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Summary" sheetId="1" state="visible" r:id="rId3"/>
    <sheet name="Trades Agustin" sheetId="2" state="visible" r:id="rId4"/>
    <sheet name="2000 Summary " sheetId="3" state="visible" r:id="rId5"/>
    <sheet name="2000 detail" sheetId="4" state="visible" r:id="rId6"/>
    <sheet name="1999" sheetId="5" state="visible" r:id="rId7"/>
  </sheets>
  <externalReferences>
    <externalReference r:id="rId8"/>
    <externalReference r:id="rId9"/>
  </externalReferences>
  <definedNames>
    <definedName function="false" hidden="false" localSheetId="4" name="_xlnm.Print_Titles" vbProcedure="false">'1999'!$1:$1</definedName>
    <definedName function="false" hidden="false" localSheetId="3" name="_xlnm.Print_Area" vbProcedure="false">'2000 detail'!$A$1:$O$798</definedName>
    <definedName function="false" hidden="false" localSheetId="3" name="_xlnm.Print_Titles" vbProcedure="false">'2000 detail'!$1:$2</definedName>
    <definedName function="false" hidden="true" localSheetId="3" name="_xlnm._FilterDatabase" vbProcedure="false">'2000 detail'!$A$1:$AB$721</definedName>
    <definedName function="false" hidden="false" localSheetId="2" name="_xlnm.Print_Titles" vbProcedure="false">'2000 Summary '!$4:$5</definedName>
    <definedName function="false" hidden="false" localSheetId="0" name="_xlnm.Print_Titles" vbProcedure="false">'2001 Summary'!$5:$6</definedName>
    <definedName function="false" hidden="false" localSheetId="1" name="_xlnm.Print_Titles" vbProcedure="false">'Trades Agustin'!$1:$4</definedName>
    <definedName function="false" hidden="true" localSheetId="1" name="_xlnm._FilterDatabase" vbProcedure="false">'Trades Agustin'!$A$1:$AD$218</definedName>
    <definedName function="false" hidden="false" name="Column" vbProcedure="false">[1]Prices!$A$2:$T$3</definedName>
    <definedName function="false" hidden="false" name="DTITLE" vbProcedure="false">#REF!</definedName>
    <definedName function="false" hidden="false" name="FWD_Prices" vbProcedure="false">'[1]FWD Prices'!$A$4:$T$267</definedName>
    <definedName function="false" hidden="false" name="Prices" vbProcedure="false">[1]Prices!$A$4:$T$267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1" name="Column" vbProcedure="false">[2]Prices!$A$2:$T$3</definedName>
    <definedName function="false" hidden="false" localSheetId="1" name="FWD_Prices" vbProcedure="false">'[2]FWD Prices'!$A$4:$T$267</definedName>
    <definedName function="false" hidden="false" localSheetId="1" name="Prices" vbProcedure="false">[2]Prices!$A$4:$T$267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nvu:
</t>
        </r>
        <r>
          <rPr>
            <sz val="8"/>
            <color rgb="FF000000"/>
            <rFont val="Tahoma"/>
            <family val="0"/>
          </rPr>
          <t xml:space="preserve">Deal #QV3052 3/02/01 per Agustin Perez.  Deal #QW0941 3/09/01 per DPR.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99</xdr:colOff>
                <xdr:row>45</xdr:row>
                <xdr:rowOff>7</xdr:rowOff>
              </xdr:from>
              <xdr:to>
                <xdr:col>5</xdr:col>
                <xdr:colOff>15</xdr:colOff>
                <xdr:row>49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105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17</xdr:colOff>
                <xdr:row>103</xdr:row>
                <xdr:rowOff>7</xdr:rowOff>
              </xdr:from>
              <xdr:to>
                <xdr:col>15</xdr:col>
                <xdr:colOff>64</xdr:colOff>
                <xdr:row>107</xdr:row>
                <xdr:rowOff>13</xdr:rowOff>
              </xdr:to>
            </anchor>
          </commentPr>
        </mc:Choice>
        <mc:Fallback/>
      </mc:AlternateContent>
    </comment>
    <comment ref="N106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104</xdr:row>
                <xdr:rowOff>7</xdr:rowOff>
              </xdr:from>
              <xdr:to>
                <xdr:col>15</xdr:col>
                <xdr:colOff>64</xdr:colOff>
                <xdr:row>108</xdr:row>
                <xdr:rowOff>13</xdr:rowOff>
              </xdr:to>
            </anchor>
          </commentPr>
        </mc:Choice>
        <mc:Fallback/>
      </mc:AlternateContent>
    </comment>
    <comment ref="N107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105</xdr:row>
                <xdr:rowOff>7</xdr:rowOff>
              </xdr:from>
              <xdr:to>
                <xdr:col>15</xdr:col>
                <xdr:colOff>64</xdr:colOff>
                <xdr:row>109</xdr:row>
                <xdr:rowOff>13</xdr:rowOff>
              </xdr:to>
            </anchor>
          </commentPr>
        </mc:Choice>
        <mc:Fallback/>
      </mc:AlternateContent>
    </comment>
    <comment ref="N108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106</xdr:row>
                <xdr:rowOff>7</xdr:rowOff>
              </xdr:from>
              <xdr:to>
                <xdr:col>15</xdr:col>
                <xdr:colOff>64</xdr:colOff>
                <xdr:row>110</xdr:row>
                <xdr:rowOff>13</xdr:rowOff>
              </xdr:to>
            </anchor>
          </commentPr>
        </mc:Choice>
        <mc:Fallback/>
      </mc:AlternateContent>
    </comment>
    <comment ref="N109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107</xdr:row>
                <xdr:rowOff>7</xdr:rowOff>
              </xdr:from>
              <xdr:to>
                <xdr:col>15</xdr:col>
                <xdr:colOff>64</xdr:colOff>
                <xdr:row>111</xdr:row>
                <xdr:rowOff>13</xdr:rowOff>
              </xdr:to>
            </anchor>
          </commentPr>
        </mc:Choice>
        <mc:Fallback/>
      </mc:AlternateContent>
    </comment>
    <comment ref="N110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108</xdr:row>
                <xdr:rowOff>7</xdr:rowOff>
              </xdr:from>
              <xdr:to>
                <xdr:col>15</xdr:col>
                <xdr:colOff>64</xdr:colOff>
                <xdr:row>112</xdr:row>
                <xdr:rowOff>13</xdr:rowOff>
              </xdr:to>
            </anchor>
          </commentPr>
        </mc:Choice>
        <mc:Fallback/>
      </mc:AlternateContent>
    </comment>
    <comment ref="N111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109</xdr:row>
                <xdr:rowOff>7</xdr:rowOff>
              </xdr:from>
              <xdr:to>
                <xdr:col>15</xdr:col>
                <xdr:colOff>64</xdr:colOff>
                <xdr:row>113</xdr:row>
                <xdr:rowOff>13</xdr:rowOff>
              </xdr:to>
            </anchor>
          </commentPr>
        </mc:Choice>
        <mc:Fallback/>
      </mc:AlternateContent>
    </comment>
    <comment ref="N112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110</xdr:row>
                <xdr:rowOff>7</xdr:rowOff>
              </xdr:from>
              <xdr:to>
                <xdr:col>15</xdr:col>
                <xdr:colOff>64</xdr:colOff>
                <xdr:row>114</xdr:row>
                <xdr:rowOff>13</xdr:rowOff>
              </xdr:to>
            </anchor>
          </commentPr>
        </mc:Choice>
        <mc:Fallback/>
      </mc:AlternateContent>
    </comment>
    <comment ref="N113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111</xdr:row>
                <xdr:rowOff>7</xdr:rowOff>
              </xdr:from>
              <xdr:to>
                <xdr:col>15</xdr:col>
                <xdr:colOff>64</xdr:colOff>
                <xdr:row>115</xdr:row>
                <xdr:rowOff>13</xdr:rowOff>
              </xdr:to>
            </anchor>
          </commentPr>
        </mc:Choice>
        <mc:Fallback/>
      </mc:AlternateContent>
    </comment>
    <comment ref="N114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112</xdr:row>
                <xdr:rowOff>7</xdr:rowOff>
              </xdr:from>
              <xdr:to>
                <xdr:col>15</xdr:col>
                <xdr:colOff>64</xdr:colOff>
                <xdr:row>116</xdr:row>
                <xdr:rowOff>13</xdr:rowOff>
              </xdr:to>
            </anchor>
          </commentPr>
        </mc:Choice>
        <mc:Fallback/>
      </mc:AlternateContent>
    </comment>
    <comment ref="N115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113</xdr:row>
                <xdr:rowOff>7</xdr:rowOff>
              </xdr:from>
              <xdr:to>
                <xdr:col>15</xdr:col>
                <xdr:colOff>64</xdr:colOff>
                <xdr:row>117</xdr:row>
                <xdr:rowOff>13</xdr:rowOff>
              </xdr:to>
            </anchor>
          </commentPr>
        </mc:Choice>
        <mc:Fallback/>
      </mc:AlternateContent>
    </comment>
    <comment ref="N116" authorId="0">
      <text>
        <r>
          <rPr>
            <b val="true"/>
            <sz val="8"/>
            <color rgb="FF000000"/>
            <rFont val="Tahoma"/>
            <family val="0"/>
          </rPr>
          <t xml:space="preserve">aperez:
Se le va a pagar 1.20 a Vitro cada mes como annuity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114</xdr:row>
                <xdr:rowOff>7</xdr:rowOff>
              </xdr:from>
              <xdr:to>
                <xdr:col>15</xdr:col>
                <xdr:colOff>64</xdr:colOff>
                <xdr:row>118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<sst xmlns="http://schemas.openxmlformats.org/spreadsheetml/2006/main" count="7824" uniqueCount="386">
  <si>
    <t xml:space="preserve">MEXICO ORIGINATIONS 2001</t>
  </si>
  <si>
    <t xml:space="preserve">Volume</t>
  </si>
  <si>
    <t xml:space="preserve"> </t>
  </si>
  <si>
    <t xml:space="preserve">Amount</t>
  </si>
  <si>
    <t xml:space="preserve">Trade #</t>
  </si>
  <si>
    <t xml:space="preserve">Deal #</t>
  </si>
  <si>
    <t xml:space="preserve">Trade Date</t>
  </si>
  <si>
    <t xml:space="preserve">Counterparty</t>
  </si>
  <si>
    <t xml:space="preserve">MMBtu</t>
  </si>
  <si>
    <t xml:space="preserve">Origination</t>
  </si>
  <si>
    <t xml:space="preserve">Granted</t>
  </si>
  <si>
    <t xml:space="preserve">Variance</t>
  </si>
  <si>
    <t xml:space="preserve">Description</t>
  </si>
  <si>
    <t xml:space="preserve">QK2805.1</t>
  </si>
  <si>
    <t xml:space="preserve">Mexichem</t>
  </si>
  <si>
    <t xml:space="preserve">Mar 01 - May 01 Call Natural Gas</t>
  </si>
  <si>
    <t xml:space="preserve">QL1791.1</t>
  </si>
  <si>
    <t xml:space="preserve">Galvak</t>
  </si>
  <si>
    <t xml:space="preserve">Feb 01 - Apr 01 Put Natural Gas</t>
  </si>
  <si>
    <t xml:space="preserve">QM4784-85</t>
  </si>
  <si>
    <t xml:space="preserve">Gas Natural México</t>
  </si>
  <si>
    <t xml:space="preserve">Feb 01 - Sep 01 Swap Natural Gas</t>
  </si>
  <si>
    <t xml:space="preserve">QM7580</t>
  </si>
  <si>
    <t xml:space="preserve">Grupo Kimex</t>
  </si>
  <si>
    <t xml:space="preserve">Feb 01 Call &amp; Put Natural Gas</t>
  </si>
  <si>
    <t xml:space="preserve">QD7022.1</t>
  </si>
  <si>
    <t xml:space="preserve">Autlan</t>
  </si>
  <si>
    <t xml:space="preserve">Mar 02 - Sep 05 ENA Fixed Price Swap Natural Gas</t>
  </si>
  <si>
    <t xml:space="preserve">Was included in Agustin's schedule 12/01/00.</t>
  </si>
  <si>
    <t xml:space="preserve">Jan 2001 Totals</t>
  </si>
  <si>
    <t xml:space="preserve">QR4615.1</t>
  </si>
  <si>
    <t xml:space="preserve">Grupo Industrial Saltillo</t>
  </si>
  <si>
    <t xml:space="preserve">Jan 03 - Dec 03 Swap Natural Gas</t>
  </si>
  <si>
    <t xml:space="preserve">QS5019</t>
  </si>
  <si>
    <t xml:space="preserve">Vitro</t>
  </si>
  <si>
    <t xml:space="preserve">Mar 01 - Sep 01 Swap Natural Gas.  Per Errol</t>
  </si>
  <si>
    <t xml:space="preserve">McLaughlin, variance will be corrected 3/30/01.</t>
  </si>
  <si>
    <t xml:space="preserve">QT2518</t>
  </si>
  <si>
    <t xml:space="preserve">Sanitarios Azteca</t>
  </si>
  <si>
    <t xml:space="preserve">Mar 01 - Dec 01 Swap Natural Gas.  Per Errol</t>
  </si>
  <si>
    <t xml:space="preserve">QT2541</t>
  </si>
  <si>
    <t xml:space="preserve">Grupo IMSA</t>
  </si>
  <si>
    <t xml:space="preserve">Apr 02 - Dec 03 Swap Natural Gas</t>
  </si>
  <si>
    <t xml:space="preserve">Lamosa Revestimientos</t>
  </si>
  <si>
    <t xml:space="preserve">Apr 01 - Mar 02 Swap Fuel Oil</t>
  </si>
  <si>
    <t xml:space="preserve">Per Veronica Hill (book administrator), this deal will</t>
  </si>
  <si>
    <t xml:space="preserve">be granted to Mexico on 3/21/01.</t>
  </si>
  <si>
    <t xml:space="preserve">Termination</t>
  </si>
  <si>
    <t xml:space="preserve">Partial Termination</t>
  </si>
  <si>
    <t xml:space="preserve">Feb 2001 Totals</t>
  </si>
  <si>
    <t xml:space="preserve">QV3052 / Q70941</t>
  </si>
  <si>
    <t xml:space="preserve">Tubos de Acero de Mexico</t>
  </si>
  <si>
    <t xml:space="preserve">Mar 02 - Dec 03 Put Natural Gas</t>
  </si>
  <si>
    <t xml:space="preserve">QW8224</t>
  </si>
  <si>
    <t xml:space="preserve">Vitro Corporativo</t>
  </si>
  <si>
    <t xml:space="preserve">Apr 01 - Dec 03 Swap Natural Gas</t>
  </si>
  <si>
    <t xml:space="preserve">Correction of 2/16/01 Vitro Deal #QS5019.</t>
  </si>
  <si>
    <t xml:space="preserve">Correction of 2/22/01 Sanitarios Azteca Deal #QT2518.</t>
  </si>
  <si>
    <t xml:space="preserve">Correction of 2/23/01 Lamosa Revestimientos deal.</t>
  </si>
  <si>
    <t xml:space="preserve">Correction of 2/27/01 Vitro deal.</t>
  </si>
  <si>
    <t xml:space="preserve">Duplicate correction of 2/27/01 Vitro deal.  Contacted Errol McLaughlin.</t>
  </si>
  <si>
    <t xml:space="preserve">Mar 2001 Totals</t>
  </si>
  <si>
    <t xml:space="preserve">2001 GRAND TOTAL</t>
  </si>
  <si>
    <t xml:space="preserve">Conterparty</t>
  </si>
  <si>
    <t xml:space="preserve">Commodity</t>
  </si>
  <si>
    <t xml:space="preserve">Index</t>
  </si>
  <si>
    <t xml:space="preserve">ENA
Buy / Sell</t>
  </si>
  <si>
    <t xml:space="preserve">Structure</t>
  </si>
  <si>
    <t xml:space="preserve">Premium 
$ / mmbtu</t>
  </si>
  <si>
    <t xml:space="preserve">Premium 
$</t>
  </si>
  <si>
    <t xml:space="preserve">Period</t>
  </si>
  <si>
    <t xml:space="preserve">Units</t>
  </si>
  <si>
    <t xml:space="preserve">Price / Strike</t>
  </si>
  <si>
    <t xml:space="preserve">Notional Value</t>
  </si>
  <si>
    <t xml:space="preserve">Origination 
$ / mmbtu</t>
  </si>
  <si>
    <t xml:space="preserve">Origination 
$</t>
  </si>
  <si>
    <t xml:space="preserve">IFERC Price</t>
  </si>
  <si>
    <t xml:space="preserve">Forward Curve</t>
  </si>
  <si>
    <t xml:space="preserve">Closed P/L</t>
  </si>
  <si>
    <t xml:space="preserve">Open 
P/L</t>
  </si>
  <si>
    <t xml:space="preserve">TOTAL
P/L</t>
  </si>
  <si>
    <t xml:space="preserve">Industry Type</t>
  </si>
  <si>
    <t xml:space="preserve">Discount Factor</t>
  </si>
  <si>
    <t xml:space="preserve">Credit Days</t>
  </si>
  <si>
    <t xml:space="preserve">Settlement Contact</t>
  </si>
  <si>
    <t xml:space="preserve">TOTAL</t>
  </si>
  <si>
    <t xml:space="preserve">BCF's</t>
  </si>
  <si>
    <t xml:space="preserve">000's USD</t>
  </si>
  <si>
    <t xml:space="preserve">USD</t>
  </si>
  <si>
    <t xml:space="preserve">Natural Gas</t>
  </si>
  <si>
    <t xml:space="preserve">Tetco-PG&amp;E</t>
  </si>
  <si>
    <t xml:space="preserve">Sell</t>
  </si>
  <si>
    <t xml:space="preserve">Call</t>
  </si>
  <si>
    <t xml:space="preserve">Petrochemical</t>
  </si>
  <si>
    <t xml:space="preserve">30N</t>
  </si>
  <si>
    <t xml:space="preserve">Jennifer Blay</t>
  </si>
  <si>
    <t xml:space="preserve">QK2805.2</t>
  </si>
  <si>
    <t xml:space="preserve">Buy</t>
  </si>
  <si>
    <t xml:space="preserve">Put</t>
  </si>
  <si>
    <t xml:space="preserve">Steel</t>
  </si>
  <si>
    <t xml:space="preserve">QM4784 &amp; QM4785</t>
  </si>
  <si>
    <t xml:space="preserve">Swap</t>
  </si>
  <si>
    <t xml:space="preserve">LDC</t>
  </si>
  <si>
    <t xml:space="preserve">Autoparts</t>
  </si>
  <si>
    <t xml:space="preserve">QS1519</t>
  </si>
  <si>
    <t xml:space="preserve">NGI SoCal</t>
  </si>
  <si>
    <t xml:space="preserve">Terminated</t>
  </si>
  <si>
    <t xml:space="preserve">Glass</t>
  </si>
  <si>
    <t xml:space="preserve">Ceramic</t>
  </si>
  <si>
    <t xml:space="preserve">HSC</t>
  </si>
  <si>
    <t xml:space="preserve">Fuel Oil</t>
  </si>
  <si>
    <t xml:space="preserve">#6 3% USGC</t>
  </si>
  <si>
    <t xml:space="preserve">BBl</t>
  </si>
  <si>
    <t xml:space="preserve">QV3052</t>
  </si>
  <si>
    <t xml:space="preserve">Tubos de Acero de México</t>
  </si>
  <si>
    <t xml:space="preserve">Tetco-PG&amp;E Gas Daily Midpoint</t>
  </si>
  <si>
    <t xml:space="preserve">5B</t>
  </si>
  <si>
    <t xml:space="preserve">Annuity</t>
  </si>
  <si>
    <t xml:space="preserve">MEXICO ORIGINATIONS 2000</t>
  </si>
  <si>
    <t xml:space="preserve">Jul 00 - Mar 01 Fixed Price Swap Natural Gas</t>
  </si>
  <si>
    <t xml:space="preserve">Jun Totals</t>
  </si>
  <si>
    <t xml:space="preserve">Vito</t>
  </si>
  <si>
    <t xml:space="preserve">Aug 00 - Mar 01 Fixed Price Swap Natural Gas</t>
  </si>
  <si>
    <t xml:space="preserve">Jul Totals</t>
  </si>
  <si>
    <t xml:space="preserve">Sep 00 - Feb 01 Collar Natural Gas</t>
  </si>
  <si>
    <t xml:space="preserve">Grupo Calidra</t>
  </si>
  <si>
    <t xml:space="preserve">Fersinsa Gist</t>
  </si>
  <si>
    <t xml:space="preserve">"</t>
  </si>
  <si>
    <t xml:space="preserve">Sep 00 - May 01 Collar Natural Gas</t>
  </si>
  <si>
    <t xml:space="preserve">Kimex</t>
  </si>
  <si>
    <t xml:space="preserve">Colortex</t>
  </si>
  <si>
    <t xml:space="preserve">Compania Industrial Kindy</t>
  </si>
  <si>
    <t xml:space="preserve">Hylsa</t>
  </si>
  <si>
    <t xml:space="preserve">Deacero</t>
  </si>
  <si>
    <t xml:space="preserve">Aceros Nacionales</t>
  </si>
  <si>
    <t xml:space="preserve">Alambres y Derivados</t>
  </si>
  <si>
    <t xml:space="preserve">Gas Natural Mexico</t>
  </si>
  <si>
    <t xml:space="preserve">Sep 00 - Feb 01 Fixed Price Swap</t>
  </si>
  <si>
    <t xml:space="preserve">Arancia</t>
  </si>
  <si>
    <t xml:space="preserve">Sep 00 - Feb 01 Extendible Natural Gas. Volume includes 6 mos extendible. No origination.</t>
  </si>
  <si>
    <t xml:space="preserve">Bimbo Chihuahua, S.A. de C.V.</t>
  </si>
  <si>
    <t xml:space="preserve">Bimbo del Golfo, S.A. de C.V.</t>
  </si>
  <si>
    <t xml:space="preserve">Bimbo del Norte, S.A. de C.V.</t>
  </si>
  <si>
    <t xml:space="preserve">Bimbo del Noroeste, S.A. de C.V.</t>
  </si>
  <si>
    <t xml:space="preserve">Bimbo de Baja California, S.A. de C.V. </t>
  </si>
  <si>
    <t xml:space="preserve">Bimbo de Occidente, S.A. de C.V.</t>
  </si>
  <si>
    <t xml:space="preserve">Bimbo de Puebla, S.A. de C.V.</t>
  </si>
  <si>
    <t xml:space="preserve">Bimbo de San Luis Potosí, S.A. de C.V.</t>
  </si>
  <si>
    <t xml:space="preserve">Bimbo del Sureste, S.A. de C.V.</t>
  </si>
  <si>
    <t xml:space="preserve">Bimbo de Toluca, S.A. de C.V.</t>
  </si>
  <si>
    <t xml:space="preserve">Panificación Bimbo, S.A. de C.V.</t>
  </si>
  <si>
    <t xml:space="preserve">Continental de Alimentos, S.A. de C.V. </t>
  </si>
  <si>
    <t xml:space="preserve">Suandy de México, S.A. de C.V. </t>
  </si>
  <si>
    <t xml:space="preserve">Productos Marinela, S.A. de C.V. </t>
  </si>
  <si>
    <t xml:space="preserve">Marinela Baja California, S.A. de C.V.</t>
  </si>
  <si>
    <t xml:space="preserve">Marinela del Norte, S.A. de C.V. </t>
  </si>
  <si>
    <t xml:space="preserve">Marinela de Occidente, S.A. de C.V. </t>
  </si>
  <si>
    <t xml:space="preserve">Marinela del Sureste, S.A. de C.V.</t>
  </si>
  <si>
    <t xml:space="preserve">Marilara, S.A. de C.V.</t>
  </si>
  <si>
    <t xml:space="preserve">Galletas Lara, S.A. de C.V.</t>
  </si>
  <si>
    <t xml:space="preserve">Barcel México, S.A. de C.V. </t>
  </si>
  <si>
    <t xml:space="preserve">Ricolino, S.A. de C.V.</t>
  </si>
  <si>
    <t xml:space="preserve">Industrial de Maíz, S.A. de C.V. </t>
  </si>
  <si>
    <t xml:space="preserve">Cementos Apasco</t>
  </si>
  <si>
    <t xml:space="preserve">Cemex Mexico</t>
  </si>
  <si>
    <t xml:space="preserve">Sep 00 - Feb 01 Call Natural Gas</t>
  </si>
  <si>
    <t xml:space="preserve">Industrias Derivadas del Etileno</t>
  </si>
  <si>
    <t xml:space="preserve">Sintesis Organicas</t>
  </si>
  <si>
    <t xml:space="preserve">Poliestireno y Derivados</t>
  </si>
  <si>
    <t xml:space="preserve">Kimberly Clark de Mexico</t>
  </si>
  <si>
    <t xml:space="preserve">Crisoba Industrial</t>
  </si>
  <si>
    <t xml:space="preserve">Sep 00 - Feb 01 Fixed Price Swap Natural Gas</t>
  </si>
  <si>
    <t xml:space="preserve">Comercializadora Metrogas</t>
  </si>
  <si>
    <t xml:space="preserve">Industrias Monterrey</t>
  </si>
  <si>
    <t xml:space="preserve">PMI</t>
  </si>
  <si>
    <t xml:space="preserve">Sep 00 - Feb 01 Basis Swap Natural Gas</t>
  </si>
  <si>
    <t xml:space="preserve">Papeles Higienicos de Mexico</t>
  </si>
  <si>
    <t xml:space="preserve">Compañia Papelera Maldonado</t>
  </si>
  <si>
    <t xml:space="preserve">Procarsa</t>
  </si>
  <si>
    <t xml:space="preserve">Compañia Mexicana de Tubos</t>
  </si>
  <si>
    <t xml:space="preserve">Sigosa</t>
  </si>
  <si>
    <t xml:space="preserve">Sep 00 - May 01 Fixed Price Swap Natural Gas</t>
  </si>
  <si>
    <t xml:space="preserve">Aug Totals</t>
  </si>
  <si>
    <t xml:space="preserve">Compañia Minera Autlan</t>
  </si>
  <si>
    <t xml:space="preserve">Oct 00 - Sep 05 Fixed Price Swap Natural Gas (Includes $400,000 credit reserve).</t>
  </si>
  <si>
    <r>
      <rPr>
        <sz val="10"/>
        <rFont val="Arial"/>
        <family val="0"/>
      </rPr>
      <t xml:space="preserve">General de Cerámica </t>
    </r>
    <r>
      <rPr>
        <b val="true"/>
        <i val="true"/>
        <sz val="10"/>
        <color rgb="FFFF0000"/>
        <rFont val="Arial"/>
        <family val="2"/>
      </rPr>
      <t xml:space="preserve">(granted in Oct)</t>
    </r>
  </si>
  <si>
    <t xml:space="preserve">Oct 00 - Sep 01 Extendible Natural Gas</t>
  </si>
  <si>
    <t xml:space="preserve">Nov 00 - Feb 01 Collar Natural Gas</t>
  </si>
  <si>
    <r>
      <rPr>
        <sz val="10"/>
        <rFont val="Arial"/>
        <family val="0"/>
      </rPr>
      <t xml:space="preserve">Vitro </t>
    </r>
    <r>
      <rPr>
        <b val="true"/>
        <i val="true"/>
        <sz val="10"/>
        <color rgb="FFFF0000"/>
        <rFont val="Arial"/>
        <family val="2"/>
      </rPr>
      <t xml:space="preserve">(variance granted in Nov</t>
    </r>
    <r>
      <rPr>
        <sz val="10"/>
        <rFont val="Arial"/>
        <family val="0"/>
      </rPr>
      <t xml:space="preserve">)</t>
    </r>
  </si>
  <si>
    <t xml:space="preserve">Apr 00 - Sep 00 Fixed Price Swap Natural Gas</t>
  </si>
  <si>
    <t xml:space="preserve">Sep Totals</t>
  </si>
  <si>
    <t xml:space="preserve">Nov 00 - Mar 01 Fixed Price Swap Natural Gas </t>
  </si>
  <si>
    <t xml:space="preserve">Enertek</t>
  </si>
  <si>
    <t xml:space="preserve">Dec 00 - Jan 01 ENA buy Call</t>
  </si>
  <si>
    <t xml:space="preserve">Nov 00 - Jan 01 Fixed Price Swap Natural Gas </t>
  </si>
  <si>
    <t xml:space="preserve">Jan 01 ENA Fixed Price Swap</t>
  </si>
  <si>
    <t xml:space="preserve">Industrias Acros Whirpool - Vitro</t>
  </si>
  <si>
    <t xml:space="preserve">Kerdal</t>
  </si>
  <si>
    <t xml:space="preserve">Lamosa Revestimentos</t>
  </si>
  <si>
    <t xml:space="preserve">Mar 01 - Dec 01 Fixed Price Swap Natural Gas </t>
  </si>
  <si>
    <t xml:space="preserve">Mar 01 - Sep 01 Fixed Price Swap Natural Gas </t>
  </si>
  <si>
    <t xml:space="preserve">Fibras Quimicas (Fiqua)</t>
  </si>
  <si>
    <t xml:space="preserve">Dec 00 - Jan 01 Collar Natural Gas</t>
  </si>
  <si>
    <t xml:space="preserve">Petrotemex (Alpex)</t>
  </si>
  <si>
    <t xml:space="preserve">Nov 00 - Sep 01 Fixed Price Swap Natural Gas </t>
  </si>
  <si>
    <t xml:space="preserve">Univex</t>
  </si>
  <si>
    <t xml:space="preserve">Nov 00 - Jan 01 Collar Natural Gas</t>
  </si>
  <si>
    <t xml:space="preserve">Nylon</t>
  </si>
  <si>
    <t xml:space="preserve">Jan 01 Fixed Price Swap Natural Gas </t>
  </si>
  <si>
    <t xml:space="preserve">Nov 00 Fixed Price Swap Natural Gas </t>
  </si>
  <si>
    <t xml:space="preserve">Dec 00 Fixed Price Swap Natural Gas </t>
  </si>
  <si>
    <t xml:space="preserve">Nov 00 - Feb 02 ENA buy Fixed Price Swap</t>
  </si>
  <si>
    <t xml:space="preserve">Dec 00 - Jan 01 ENA buy Fixed Price Swap</t>
  </si>
  <si>
    <t xml:space="preserve">?</t>
  </si>
  <si>
    <t xml:space="preserve">Gas National de Mexico</t>
  </si>
  <si>
    <t xml:space="preserve">Is this Mexico Origination???</t>
  </si>
  <si>
    <t xml:space="preserve">Deal # 64 granted in October</t>
  </si>
  <si>
    <t xml:space="preserve">Oct Totals</t>
  </si>
  <si>
    <t xml:space="preserve">Cia. Papelera Maldonado</t>
  </si>
  <si>
    <t xml:space="preserve">Dec 00 - Mar 01 Call </t>
  </si>
  <si>
    <t xml:space="preserve">Compania Minera Autlan</t>
  </si>
  <si>
    <t xml:space="preserve">Terminate deal Q61449.1 12/00-2/02 and deal Q06760.1 12/00-2/02 and pay Autlan $450,466</t>
  </si>
  <si>
    <t xml:space="preserve">Portion of Deal # 68 Granted in November</t>
  </si>
  <si>
    <t xml:space="preserve">Nov Totals</t>
  </si>
  <si>
    <t xml:space="preserve">Jan 01 - Feb 01 Fixed Price Swap</t>
  </si>
  <si>
    <t xml:space="preserve">Jan 01 - Mar 01 Fixed Price Swap</t>
  </si>
  <si>
    <t xml:space="preserve">Grup Calidra</t>
  </si>
  <si>
    <t xml:space="preserve">Jan 01 - Feb 01 Call Natural Gas</t>
  </si>
  <si>
    <t xml:space="preserve">Fibras Quimicas</t>
  </si>
  <si>
    <t xml:space="preserve">Jan 01 ENA buy Fixed Price Swap</t>
  </si>
  <si>
    <t xml:space="preserve">Jan 01 ENA buy Call sell Put Collar</t>
  </si>
  <si>
    <t xml:space="preserve">Petrotemex</t>
  </si>
  <si>
    <t xml:space="preserve">Dec Totals</t>
  </si>
  <si>
    <t xml:space="preserve">GRAND TOTAL</t>
  </si>
  <si>
    <t xml:space="preserve">NL9674</t>
  </si>
  <si>
    <t xml:space="preserve">PG&amp;E-Tetco</t>
  </si>
  <si>
    <t xml:space="preserve">Fixed Price Swap</t>
  </si>
  <si>
    <t xml:space="preserve">NQ8461.1 &amp; .2</t>
  </si>
  <si>
    <t xml:space="preserve">NV5335</t>
  </si>
  <si>
    <t xml:space="preserve">Collar</t>
  </si>
  <si>
    <t xml:space="preserve">3.75 / 4.40</t>
  </si>
  <si>
    <t xml:space="preserve">NV4984</t>
  </si>
  <si>
    <t xml:space="preserve">NW3215</t>
  </si>
  <si>
    <t xml:space="preserve">3.50 / 7.00</t>
  </si>
  <si>
    <t xml:space="preserve">Limestone</t>
  </si>
  <si>
    <t xml:space="preserve">Beatrice Reyna</t>
  </si>
  <si>
    <t xml:space="preserve">NW3262</t>
  </si>
  <si>
    <t xml:space="preserve">Fersinsa Gist-Brocades</t>
  </si>
  <si>
    <t xml:space="preserve">4.00 / 4.50</t>
  </si>
  <si>
    <t xml:space="preserve">Pharmaceutical</t>
  </si>
  <si>
    <t xml:space="preserve">NW2995</t>
  </si>
  <si>
    <t xml:space="preserve">3.00 / 9.00</t>
  </si>
  <si>
    <t xml:space="preserve">Textil</t>
  </si>
  <si>
    <t xml:space="preserve">NW3167</t>
  </si>
  <si>
    <t xml:space="preserve">NW3037</t>
  </si>
  <si>
    <t xml:space="preserve">Compañia Industrial Kindy</t>
  </si>
  <si>
    <t xml:space="preserve">NW6273</t>
  </si>
  <si>
    <t xml:space="preserve">3.00 / 9.50</t>
  </si>
  <si>
    <t xml:space="preserve">Acero</t>
  </si>
  <si>
    <t xml:space="preserve">NW6351</t>
  </si>
  <si>
    <t xml:space="preserve">NW6371</t>
  </si>
  <si>
    <t xml:space="preserve">NW4893.1</t>
  </si>
  <si>
    <t xml:space="preserve">LDC / Autoparts</t>
  </si>
  <si>
    <t xml:space="preserve">NW5256</t>
  </si>
  <si>
    <t xml:space="preserve">3.00 / 9.20</t>
  </si>
  <si>
    <t xml:space="preserve">NW5317</t>
  </si>
  <si>
    <t xml:space="preserve">NW5370</t>
  </si>
  <si>
    <t xml:space="preserve">NW8010</t>
  </si>
  <si>
    <t xml:space="preserve">Extendible</t>
  </si>
  <si>
    <t xml:space="preserve">Food</t>
  </si>
  <si>
    <t xml:space="preserve">Extendible Period</t>
  </si>
  <si>
    <t xml:space="preserve">NW8838.1,  NW8838.2</t>
  </si>
  <si>
    <t xml:space="preserve">4.00 / 5.20</t>
  </si>
  <si>
    <t xml:space="preserve">NW8771.7,  NW8771.8</t>
  </si>
  <si>
    <t xml:space="preserve">NW8771.5,  NW8771.6</t>
  </si>
  <si>
    <t xml:space="preserve">NW8771.3,  NW8771.4</t>
  </si>
  <si>
    <t xml:space="preserve">NW8771.1,  NW8771.2</t>
  </si>
  <si>
    <t xml:space="preserve">NW8838.3,  NW8838.4</t>
  </si>
  <si>
    <t xml:space="preserve">NW8838.5,  NW8838.6</t>
  </si>
  <si>
    <t xml:space="preserve">NW8838.7,  NW8838.8</t>
  </si>
  <si>
    <t xml:space="preserve">NW8893.3,  NW8893.4</t>
  </si>
  <si>
    <t xml:space="preserve">NW8878.1,  NW8878.2</t>
  </si>
  <si>
    <t xml:space="preserve">NW8878.5,  NW8878.6</t>
  </si>
  <si>
    <t xml:space="preserve">NW8893.5,  NW8893.6</t>
  </si>
  <si>
    <t xml:space="preserve">NW8878.7,  NW8878.8</t>
  </si>
  <si>
    <t xml:space="preserve">NW8878.3,  NW8878.4</t>
  </si>
  <si>
    <t xml:space="preserve">NW8893.1,  NW8893.2</t>
  </si>
  <si>
    <t xml:space="preserve">NW8903.1,  NW8903.2</t>
  </si>
  <si>
    <t xml:space="preserve">NW8893.7,  NW8893.8</t>
  </si>
  <si>
    <t xml:space="preserve">NW8903.7,  NW8903.8</t>
  </si>
  <si>
    <t xml:space="preserve">NW8903.3,  NW8903.4</t>
  </si>
  <si>
    <t xml:space="preserve">NW8917.1,  NW8917.2</t>
  </si>
  <si>
    <t xml:space="preserve">NW8903.5,  NW8903.6</t>
  </si>
  <si>
    <t xml:space="preserve">NW8917.3,  NW8917.4</t>
  </si>
  <si>
    <t xml:space="preserve">NW8917.5,  NW8917.6</t>
  </si>
  <si>
    <t xml:space="preserve">NW8011</t>
  </si>
  <si>
    <t xml:space="preserve">3.25 / 7.10</t>
  </si>
  <si>
    <t xml:space="preserve">Cement</t>
  </si>
  <si>
    <t xml:space="preserve">NW9450</t>
  </si>
  <si>
    <t xml:space="preserve">3.00 / 8.30</t>
  </si>
  <si>
    <t xml:space="preserve">NW9446</t>
  </si>
  <si>
    <t xml:space="preserve">NW9742 (legs 1 &amp; 2).</t>
  </si>
  <si>
    <t xml:space="preserve">3.60 / 5.10</t>
  </si>
  <si>
    <t xml:space="preserve">NW9742 LEGS 3 &amp; 4</t>
  </si>
  <si>
    <t xml:space="preserve">NW9742 LEGS 5 &amp; 6</t>
  </si>
  <si>
    <t xml:space="preserve">NW9790 LEGS 3 &amp; 4</t>
  </si>
  <si>
    <t xml:space="preserve">3.00 / 8.22</t>
  </si>
  <si>
    <t xml:space="preserve">Paper</t>
  </si>
  <si>
    <t xml:space="preserve">NW9790 LEGS 1 &amp; 2</t>
  </si>
  <si>
    <t xml:space="preserve">NW9602</t>
  </si>
  <si>
    <t xml:space="preserve">NW9649</t>
  </si>
  <si>
    <t xml:space="preserve">NX1037</t>
  </si>
  <si>
    <t xml:space="preserve">3.00 / 8.62</t>
  </si>
  <si>
    <t xml:space="preserve">Basis Swap</t>
  </si>
  <si>
    <t xml:space="preserve">NX1266 (1&amp;2)</t>
  </si>
  <si>
    <t xml:space="preserve">3.90 / 4.70</t>
  </si>
  <si>
    <t xml:space="preserve">NX1266.3</t>
  </si>
  <si>
    <t xml:space="preserve">NX1486</t>
  </si>
  <si>
    <t xml:space="preserve">NX3790.1  y  NX3790.2</t>
  </si>
  <si>
    <t xml:space="preserve">3.00 / 9.30</t>
  </si>
  <si>
    <t xml:space="preserve">NX3790.3  y  NX3790.4</t>
  </si>
  <si>
    <t xml:space="preserve">NX3659.1  y  NX3659.2</t>
  </si>
  <si>
    <t xml:space="preserve">3.00 / 9.10</t>
  </si>
  <si>
    <t xml:space="preserve">NX3659.3  y  NX3659.4</t>
  </si>
  <si>
    <t xml:space="preserve">NX3659.5  y  NX3659.6</t>
  </si>
  <si>
    <t xml:space="preserve">NX3964</t>
  </si>
  <si>
    <t xml:space="preserve">PG&amp;E</t>
  </si>
  <si>
    <t xml:space="preserve">NX4031</t>
  </si>
  <si>
    <t xml:space="preserve">Tetco South Tx</t>
  </si>
  <si>
    <t xml:space="preserve">Q06760.1</t>
  </si>
  <si>
    <t xml:space="preserve">Minning</t>
  </si>
  <si>
    <t xml:space="preserve">Credit Reserve</t>
  </si>
  <si>
    <t xml:space="preserve">Q15463</t>
  </si>
  <si>
    <t xml:space="preserve">General de Cerámica</t>
  </si>
  <si>
    <t xml:space="preserve">Q15730 (legs 1 &amp; 2)</t>
  </si>
  <si>
    <t xml:space="preserve">4.50 / 5.75</t>
  </si>
  <si>
    <t xml:space="preserve">Q15730 (legs 5 &amp; 6)</t>
  </si>
  <si>
    <t xml:space="preserve">Q15730 (legs 3 &amp; 4)</t>
  </si>
  <si>
    <t xml:space="preserve">Q28741.1</t>
  </si>
  <si>
    <t xml:space="preserve">Q28741.2</t>
  </si>
  <si>
    <t xml:space="preserve">Electric Generator</t>
  </si>
  <si>
    <t xml:space="preserve">ENA buy Call</t>
  </si>
  <si>
    <t xml:space="preserve">ENA buy Fixed Price Swap</t>
  </si>
  <si>
    <t xml:space="preserve">Q38842.1</t>
  </si>
  <si>
    <t xml:space="preserve">Appliances</t>
  </si>
  <si>
    <t xml:space="preserve">Q40562</t>
  </si>
  <si>
    <t xml:space="preserve">Q46791.1</t>
  </si>
  <si>
    <t xml:space="preserve">Q54217.1</t>
  </si>
  <si>
    <t xml:space="preserve">Q54217.4</t>
  </si>
  <si>
    <t xml:space="preserve">5.50 / 4.35</t>
  </si>
  <si>
    <t xml:space="preserve">5.50 / 4.50</t>
  </si>
  <si>
    <t xml:space="preserve">Q54271</t>
  </si>
  <si>
    <t xml:space="preserve">5.50 / 4.52</t>
  </si>
  <si>
    <t xml:space="preserve">Q52281.1</t>
  </si>
  <si>
    <t xml:space="preserve">Q57074.1 y .2</t>
  </si>
  <si>
    <t xml:space="preserve">Q52319</t>
  </si>
  <si>
    <t xml:space="preserve">5.50 / 4.30</t>
  </si>
  <si>
    <t xml:space="preserve">Q52183.1</t>
  </si>
  <si>
    <t xml:space="preserve">Q53855.1</t>
  </si>
  <si>
    <t xml:space="preserve">Q59140</t>
  </si>
  <si>
    <t xml:space="preserve">Q61449.1</t>
  </si>
  <si>
    <t xml:space="preserve">Q94259</t>
  </si>
  <si>
    <t xml:space="preserve">Partial termination</t>
  </si>
  <si>
    <t xml:space="preserve">QF8833</t>
  </si>
  <si>
    <t xml:space="preserve">QI3142.1</t>
  </si>
  <si>
    <t xml:space="preserve">QI3142.3</t>
  </si>
  <si>
    <t xml:space="preserve">QI1254</t>
  </si>
  <si>
    <t xml:space="preserve">ENA buy Call sell Put Collar</t>
  </si>
  <si>
    <t xml:space="preserve">QI1257.1</t>
  </si>
  <si>
    <t xml:space="preserve">QI1232</t>
  </si>
  <si>
    <t xml:space="preserve">QI1453</t>
  </si>
  <si>
    <t xml:space="preserve">QI1458</t>
  </si>
  <si>
    <t xml:space="preserve">QI3142.4</t>
  </si>
  <si>
    <t xml:space="preserve">TFM</t>
  </si>
  <si>
    <t xml:space="preserve">Heating Oil</t>
  </si>
  <si>
    <t xml:space="preserve">HO Nymex</t>
  </si>
  <si>
    <t xml:space="preserve">53.00 Call</t>
  </si>
  <si>
    <t xml:space="preserve">Bbl</t>
  </si>
  <si>
    <t xml:space="preserve">Costless Collar</t>
  </si>
  <si>
    <t xml:space="preserve">3.190 / 2.510</t>
  </si>
  <si>
    <t xml:space="preserve">3.050 / 2.460</t>
  </si>
  <si>
    <t xml:space="preserve">Peñoles</t>
  </si>
  <si>
    <t xml:space="preserve">2.60 Call</t>
  </si>
  <si>
    <t xml:space="preserve">Zero Cost Collar</t>
  </si>
  <si>
    <t xml:space="preserve">2.600 / 1.910</t>
  </si>
  <si>
    <t xml:space="preserve">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</si>
</sst>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dd\-mmm\-yy"/>
    <numFmt numFmtId="167" formatCode="#,##0"/>
    <numFmt numFmtId="168" formatCode="[$-409]m/d/yyyy"/>
    <numFmt numFmtId="169" formatCode="[$-409]#,##0_);[RED]\(#,##0\)"/>
    <numFmt numFmtId="170" formatCode="\$#,##0.00_);[RED]&quot;($&quot;#,##0.00\)"/>
    <numFmt numFmtId="171" formatCode="[$-409]#,##0.00_);[RED]\(#,##0.00\)"/>
    <numFmt numFmtId="172" formatCode="0.0000"/>
    <numFmt numFmtId="173" formatCode="_(* #,##0.00_);_(* \(#,##0.00\);_(* \-????_);_(@_)"/>
    <numFmt numFmtId="174" formatCode="_(* #,##0.0000_);_(* \(#,##0.0000\);_(* \-????_);_(@_)"/>
    <numFmt numFmtId="175" formatCode="_(* #,##0.000_);_(* \(#,##0.000\);_(* \-???_);_(@_)"/>
    <numFmt numFmtId="176" formatCode="\$#,##0_);&quot;($&quot;#,##0\)"/>
    <numFmt numFmtId="177" formatCode="[$-409]mmm\-yy"/>
    <numFmt numFmtId="178" formatCode="#,##0.0000"/>
    <numFmt numFmtId="179" formatCode="#,##0.00"/>
    <numFmt numFmtId="180" formatCode="_(* #,##0_);_(* \(#,##0\);_(* \-??_);_(@_)"/>
    <numFmt numFmtId="181" formatCode="0.000"/>
    <numFmt numFmtId="182" formatCode="&quot;$ &quot;#,##0_);[RED]&quot;($ &quot;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0000FF"/>
      <name val="Arial"/>
      <family val="2"/>
    </font>
    <font>
      <i val="true"/>
      <sz val="10"/>
      <color rgb="FF0000FF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9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9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9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9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9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nvu/Local%20Settings/Temporary%20Internet%20Files/OLK34/Trades-Agusti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s-Agustin%2003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Prices"/>
      <sheetName val="FWD Pric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Prices"/>
      <sheetName val="FWD Pric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0" width="2.7"/>
    <col collapsed="false" customWidth="true" hidden="false" outlineLevel="0" max="3" min="3" style="1" width="15.56"/>
    <col collapsed="false" customWidth="true" hidden="false" outlineLevel="0" max="4" min="4" style="0" width="2.7"/>
    <col collapsed="false" customWidth="true" hidden="false" outlineLevel="0" max="5" min="5" style="1" width="11.42"/>
    <col collapsed="false" customWidth="true" hidden="false" outlineLevel="0" max="6" min="6" style="0" width="2.7"/>
    <col collapsed="false" customWidth="true" hidden="false" outlineLevel="0" max="7" min="7" style="0" width="35.56"/>
    <col collapsed="false" customWidth="true" hidden="false" outlineLevel="0" max="8" min="8" style="0" width="2.84"/>
    <col collapsed="false" customWidth="true" hidden="false" outlineLevel="0" max="9" min="9" style="0" width="13.56"/>
    <col collapsed="false" customWidth="true" hidden="false" outlineLevel="0" max="10" min="10" style="0" width="1.99"/>
    <col collapsed="false" customWidth="true" hidden="false" outlineLevel="0" max="11" min="11" style="2" width="14.7"/>
    <col collapsed="false" customWidth="true" hidden="false" outlineLevel="0" max="12" min="12" style="0" width="2.56"/>
    <col collapsed="false" customWidth="true" hidden="false" outlineLevel="0" max="13" min="13" style="3" width="12.7"/>
    <col collapsed="false" customWidth="true" hidden="false" outlineLevel="0" max="14" min="14" style="0" width="2.42"/>
    <col collapsed="false" customWidth="true" hidden="false" outlineLevel="0" max="15" min="15" style="1" width="13.41"/>
    <col collapsed="false" customWidth="true" hidden="false" outlineLevel="0" max="16" min="16" style="0" width="2.84"/>
    <col collapsed="false" customWidth="true" hidden="false" outlineLevel="0" max="17" min="17" style="0" width="45.28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"/>
      <c r="S1" s="1"/>
      <c r="T1" s="1"/>
    </row>
    <row r="2" customFormat="false" ht="12.75" hidden="false" customHeight="false" outlineLevel="0" collapsed="false">
      <c r="E2" s="5"/>
    </row>
    <row r="3" customFormat="false" ht="12.75" hidden="false" customHeight="false" outlineLevel="0" collapsed="false">
      <c r="E3" s="5"/>
    </row>
    <row r="5" customFormat="false" ht="12.75" hidden="false" customHeight="false" outlineLevel="0" collapsed="false">
      <c r="B5" s="5"/>
      <c r="D5" s="5"/>
      <c r="E5" s="5"/>
      <c r="F5" s="5"/>
      <c r="G5" s="5"/>
      <c r="H5" s="5"/>
      <c r="I5" s="5" t="s">
        <v>1</v>
      </c>
      <c r="J5" s="5"/>
      <c r="K5" s="6" t="s">
        <v>2</v>
      </c>
      <c r="L5" s="5"/>
      <c r="M5" s="6" t="s">
        <v>3</v>
      </c>
      <c r="N5" s="5"/>
      <c r="O5" s="5"/>
      <c r="P5" s="5"/>
      <c r="Q5" s="5"/>
    </row>
    <row r="6" customFormat="false" ht="13.5" hidden="false" customHeight="false" outlineLevel="0" collapsed="false">
      <c r="A6" s="7" t="s">
        <v>4</v>
      </c>
      <c r="B6" s="7"/>
      <c r="C6" s="7" t="s">
        <v>5</v>
      </c>
      <c r="D6" s="7"/>
      <c r="E6" s="7" t="s">
        <v>6</v>
      </c>
      <c r="F6" s="7"/>
      <c r="G6" s="7" t="s">
        <v>7</v>
      </c>
      <c r="H6" s="7"/>
      <c r="I6" s="7" t="s">
        <v>8</v>
      </c>
      <c r="J6" s="7"/>
      <c r="K6" s="8" t="s">
        <v>9</v>
      </c>
      <c r="L6" s="7"/>
      <c r="M6" s="8" t="s">
        <v>10</v>
      </c>
      <c r="N6" s="7"/>
      <c r="O6" s="7" t="s">
        <v>11</v>
      </c>
      <c r="P6" s="7"/>
      <c r="Q6" s="7" t="s">
        <v>12</v>
      </c>
    </row>
    <row r="7" customFormat="false" ht="12.75" hidden="false" customHeight="false" outlineLevel="0" collapsed="false">
      <c r="B7" s="9"/>
      <c r="D7" s="9"/>
      <c r="E7" s="9"/>
      <c r="F7" s="9"/>
      <c r="G7" s="9"/>
      <c r="H7" s="9"/>
      <c r="I7" s="9"/>
      <c r="J7" s="9"/>
      <c r="K7" s="6"/>
      <c r="L7" s="9"/>
      <c r="M7" s="6"/>
      <c r="N7" s="9"/>
      <c r="O7" s="9"/>
      <c r="P7" s="9"/>
      <c r="Q7" s="9"/>
    </row>
    <row r="8" customFormat="false" ht="12.75" hidden="false" customHeight="false" outlineLevel="0" collapsed="false">
      <c r="A8" s="1" t="n">
        <v>1</v>
      </c>
      <c r="B8" s="9"/>
      <c r="C8" s="10" t="s">
        <v>13</v>
      </c>
      <c r="D8" s="9"/>
      <c r="E8" s="11" t="n">
        <v>36896</v>
      </c>
      <c r="F8" s="9"/>
      <c r="G8" s="12" t="s">
        <v>14</v>
      </c>
      <c r="H8" s="9"/>
      <c r="I8" s="13" t="n">
        <f aca="false">60000*6</f>
        <v>360000</v>
      </c>
      <c r="J8" s="9"/>
      <c r="K8" s="14" t="n">
        <v>900</v>
      </c>
      <c r="L8" s="9"/>
      <c r="M8" s="14" t="n">
        <v>900</v>
      </c>
      <c r="N8" s="9"/>
      <c r="O8" s="15" t="n">
        <f aca="false">K8-M8</f>
        <v>0</v>
      </c>
      <c r="P8" s="9"/>
      <c r="Q8" s="16" t="s">
        <v>15</v>
      </c>
    </row>
    <row r="9" customFormat="false" ht="12.75" hidden="false" customHeight="false" outlineLevel="0" collapsed="false">
      <c r="B9" s="9"/>
      <c r="C9" s="10"/>
      <c r="D9" s="9"/>
      <c r="E9" s="11"/>
      <c r="F9" s="9"/>
      <c r="G9" s="12"/>
      <c r="H9" s="9"/>
      <c r="I9" s="13"/>
      <c r="J9" s="9"/>
      <c r="K9" s="14"/>
      <c r="L9" s="9"/>
      <c r="M9" s="14"/>
      <c r="N9" s="9"/>
      <c r="O9" s="15"/>
      <c r="P9" s="9"/>
      <c r="Q9" s="16"/>
    </row>
    <row r="10" customFormat="false" ht="12.75" hidden="false" customHeight="false" outlineLevel="0" collapsed="false">
      <c r="A10" s="1" t="n">
        <v>2</v>
      </c>
      <c r="B10" s="9"/>
      <c r="C10" s="10" t="s">
        <v>16</v>
      </c>
      <c r="D10" s="9"/>
      <c r="E10" s="11" t="n">
        <v>36901</v>
      </c>
      <c r="F10" s="9"/>
      <c r="G10" s="12" t="s">
        <v>17</v>
      </c>
      <c r="H10" s="9"/>
      <c r="I10" s="13" t="n">
        <f aca="false">60000*3</f>
        <v>180000</v>
      </c>
      <c r="J10" s="9"/>
      <c r="K10" s="14" t="n">
        <v>2700</v>
      </c>
      <c r="L10" s="9"/>
      <c r="M10" s="14" t="n">
        <v>2700</v>
      </c>
      <c r="N10" s="9"/>
      <c r="O10" s="15" t="n">
        <f aca="false">K10-M10</f>
        <v>0</v>
      </c>
      <c r="P10" s="9"/>
      <c r="Q10" s="16" t="s">
        <v>18</v>
      </c>
    </row>
    <row r="11" customFormat="false" ht="12.75" hidden="false" customHeight="false" outlineLevel="0" collapsed="false">
      <c r="B11" s="9"/>
      <c r="D11" s="9"/>
      <c r="E11" s="11"/>
      <c r="F11" s="9"/>
      <c r="G11" s="12"/>
      <c r="H11" s="9"/>
      <c r="I11" s="13"/>
      <c r="J11" s="9"/>
      <c r="K11" s="14"/>
      <c r="L11" s="9"/>
      <c r="M11" s="14"/>
      <c r="N11" s="9"/>
      <c r="O11" s="15"/>
      <c r="P11" s="9"/>
      <c r="Q11" s="16"/>
    </row>
    <row r="12" customFormat="false" ht="12.75" hidden="false" customHeight="false" outlineLevel="0" collapsed="false">
      <c r="A12" s="1" t="n">
        <v>3</v>
      </c>
      <c r="B12" s="9"/>
      <c r="C12" s="1" t="s">
        <v>19</v>
      </c>
      <c r="D12" s="9"/>
      <c r="E12" s="11" t="n">
        <v>36910</v>
      </c>
      <c r="F12" s="9"/>
      <c r="G12" s="12" t="s">
        <v>20</v>
      </c>
      <c r="H12" s="9"/>
      <c r="I12" s="13" t="n">
        <v>1040000</v>
      </c>
      <c r="J12" s="9"/>
      <c r="K12" s="14" t="n">
        <v>31000</v>
      </c>
      <c r="L12" s="9"/>
      <c r="M12" s="14" t="n">
        <v>31000</v>
      </c>
      <c r="N12" s="9"/>
      <c r="O12" s="15" t="n">
        <f aca="false">K12-M12</f>
        <v>0</v>
      </c>
      <c r="P12" s="9"/>
      <c r="Q12" s="16" t="s">
        <v>21</v>
      </c>
    </row>
    <row r="13" customFormat="false" ht="12.75" hidden="false" customHeight="false" outlineLevel="0" collapsed="false">
      <c r="B13" s="9"/>
      <c r="D13" s="9"/>
      <c r="E13" s="11"/>
      <c r="F13" s="9"/>
      <c r="G13" s="12"/>
      <c r="H13" s="9"/>
      <c r="I13" s="13"/>
      <c r="J13" s="9"/>
      <c r="K13" s="14"/>
      <c r="L13" s="9"/>
      <c r="M13" s="14"/>
      <c r="N13" s="9"/>
      <c r="O13" s="15"/>
      <c r="P13" s="9"/>
      <c r="Q13" s="16"/>
    </row>
    <row r="14" customFormat="false" ht="12.75" hidden="false" customHeight="false" outlineLevel="0" collapsed="false">
      <c r="A14" s="1" t="n">
        <v>4</v>
      </c>
      <c r="B14" s="9"/>
      <c r="C14" s="1" t="s">
        <v>22</v>
      </c>
      <c r="D14" s="9"/>
      <c r="E14" s="11" t="n">
        <v>36913</v>
      </c>
      <c r="F14" s="9"/>
      <c r="G14" s="12" t="s">
        <v>23</v>
      </c>
      <c r="H14" s="9"/>
      <c r="I14" s="13" t="n">
        <f aca="false">40000*2</f>
        <v>80000</v>
      </c>
      <c r="J14" s="9"/>
      <c r="K14" s="14" t="n">
        <v>800</v>
      </c>
      <c r="L14" s="9"/>
      <c r="M14" s="14" t="n">
        <v>800</v>
      </c>
      <c r="N14" s="9"/>
      <c r="O14" s="15" t="n">
        <f aca="false">K14-M14</f>
        <v>0</v>
      </c>
      <c r="P14" s="9"/>
      <c r="Q14" s="16" t="s">
        <v>24</v>
      </c>
    </row>
    <row r="15" customFormat="false" ht="12.75" hidden="false" customHeight="false" outlineLevel="0" collapsed="false">
      <c r="B15" s="9"/>
      <c r="D15" s="9"/>
      <c r="E15" s="11"/>
      <c r="F15" s="9"/>
      <c r="G15" s="12"/>
      <c r="H15" s="9"/>
      <c r="I15" s="13"/>
      <c r="J15" s="9"/>
      <c r="K15" s="14"/>
      <c r="L15" s="9"/>
      <c r="M15" s="14"/>
      <c r="N15" s="9"/>
      <c r="O15" s="15"/>
      <c r="P15" s="9"/>
      <c r="Q15" s="16"/>
    </row>
    <row r="16" customFormat="false" ht="12.75" hidden="false" customHeight="false" outlineLevel="0" collapsed="false">
      <c r="A16" s="17" t="n">
        <v>100</v>
      </c>
      <c r="B16" s="18"/>
      <c r="C16" s="17" t="s">
        <v>25</v>
      </c>
      <c r="D16" s="18"/>
      <c r="E16" s="19" t="n">
        <v>36896</v>
      </c>
      <c r="F16" s="18"/>
      <c r="G16" s="20" t="s">
        <v>26</v>
      </c>
      <c r="H16" s="18"/>
      <c r="I16" s="21" t="n">
        <v>0</v>
      </c>
      <c r="J16" s="18"/>
      <c r="K16" s="22" t="n">
        <v>0</v>
      </c>
      <c r="L16" s="23"/>
      <c r="M16" s="24" t="n">
        <v>4537</v>
      </c>
      <c r="N16" s="23"/>
      <c r="O16" s="25" t="n">
        <f aca="false">K16-M16</f>
        <v>-4537</v>
      </c>
      <c r="P16" s="18"/>
      <c r="Q16" s="26" t="s">
        <v>27</v>
      </c>
      <c r="R16" s="27"/>
    </row>
    <row r="17" customFormat="false" ht="12.75" hidden="false" customHeight="false" outlineLevel="0" collapsed="false">
      <c r="A17" s="17"/>
      <c r="B17" s="18"/>
      <c r="C17" s="17"/>
      <c r="D17" s="18"/>
      <c r="E17" s="19"/>
      <c r="F17" s="18"/>
      <c r="G17" s="20"/>
      <c r="H17" s="18"/>
      <c r="I17" s="21"/>
      <c r="J17" s="18"/>
      <c r="K17" s="21"/>
      <c r="L17" s="23"/>
      <c r="M17" s="24"/>
      <c r="N17" s="23"/>
      <c r="O17" s="25"/>
      <c r="P17" s="18"/>
      <c r="Q17" s="26" t="s">
        <v>28</v>
      </c>
      <c r="R17" s="27"/>
    </row>
    <row r="18" customFormat="false" ht="12.75" hidden="false" customHeight="false" outlineLevel="0" collapsed="false">
      <c r="A18" s="28"/>
      <c r="B18" s="29"/>
      <c r="C18" s="28"/>
      <c r="D18" s="29"/>
      <c r="E18" s="30"/>
      <c r="F18" s="29"/>
      <c r="G18" s="31"/>
      <c r="H18" s="29"/>
      <c r="I18" s="14"/>
      <c r="J18" s="29"/>
      <c r="K18" s="14"/>
      <c r="L18" s="29"/>
      <c r="M18" s="14"/>
      <c r="N18" s="29"/>
      <c r="O18" s="32"/>
      <c r="P18" s="29"/>
      <c r="Q18" s="33"/>
    </row>
    <row r="19" customFormat="false" ht="12.75" hidden="false" customHeight="false" outlineLevel="0" collapsed="false">
      <c r="G19" s="34" t="s">
        <v>29</v>
      </c>
      <c r="I19" s="35" t="n">
        <f aca="false">SUM(I7:I18)</f>
        <v>1660000</v>
      </c>
      <c r="J19" s="35" t="s">
        <v>2</v>
      </c>
      <c r="K19" s="36" t="n">
        <f aca="false">SUM(K7:K18)</f>
        <v>35400</v>
      </c>
      <c r="L19" s="35" t="s">
        <v>2</v>
      </c>
      <c r="M19" s="36" t="n">
        <f aca="false">SUM(M7:M18)</f>
        <v>39937</v>
      </c>
      <c r="N19" s="35" t="s">
        <v>2</v>
      </c>
      <c r="O19" s="36" t="n">
        <f aca="false">SUM(O7:O18)</f>
        <v>-4537</v>
      </c>
      <c r="P19" s="37"/>
      <c r="Q19" s="38"/>
    </row>
    <row r="20" customFormat="false" ht="12.75" hidden="false" customHeight="false" outlineLevel="0" collapsed="false">
      <c r="A20" s="28"/>
      <c r="B20" s="29"/>
      <c r="C20" s="28"/>
      <c r="D20" s="29"/>
      <c r="E20" s="30"/>
      <c r="F20" s="29"/>
      <c r="G20" s="31"/>
      <c r="H20" s="29"/>
      <c r="I20" s="14"/>
      <c r="J20" s="29"/>
      <c r="K20" s="14"/>
      <c r="L20" s="29"/>
      <c r="M20" s="14"/>
      <c r="N20" s="29"/>
      <c r="O20" s="32"/>
      <c r="P20" s="29"/>
      <c r="Q20" s="33"/>
    </row>
    <row r="21" customFormat="false" ht="12.75" hidden="false" customHeight="false" outlineLevel="0" collapsed="false">
      <c r="B21" s="9"/>
      <c r="D21" s="9"/>
      <c r="E21" s="11"/>
      <c r="F21" s="9"/>
      <c r="G21" s="12"/>
      <c r="H21" s="9"/>
      <c r="I21" s="13"/>
      <c r="J21" s="9"/>
      <c r="K21" s="14"/>
      <c r="L21" s="9"/>
      <c r="M21" s="14"/>
      <c r="N21" s="9"/>
      <c r="O21" s="15"/>
      <c r="P21" s="9"/>
      <c r="Q21" s="16"/>
    </row>
    <row r="22" customFormat="false" ht="12.75" hidden="false" customHeight="false" outlineLevel="0" collapsed="false">
      <c r="A22" s="1" t="n">
        <v>5</v>
      </c>
      <c r="B22" s="9"/>
      <c r="C22" s="1" t="s">
        <v>30</v>
      </c>
      <c r="D22" s="9"/>
      <c r="E22" s="11" t="n">
        <v>36934</v>
      </c>
      <c r="F22" s="9"/>
      <c r="G22" s="12" t="s">
        <v>31</v>
      </c>
      <c r="H22" s="9"/>
      <c r="I22" s="13" t="n">
        <f aca="false">60000*12</f>
        <v>720000</v>
      </c>
      <c r="J22" s="9"/>
      <c r="K22" s="14" t="n">
        <f aca="false">12*600</f>
        <v>7200</v>
      </c>
      <c r="L22" s="9"/>
      <c r="M22" s="14" t="n">
        <v>7200</v>
      </c>
      <c r="N22" s="9"/>
      <c r="O22" s="15" t="n">
        <f aca="false">K22-M22</f>
        <v>0</v>
      </c>
      <c r="P22" s="9"/>
      <c r="Q22" s="16" t="s">
        <v>32</v>
      </c>
    </row>
    <row r="23" customFormat="false" ht="12.75" hidden="false" customHeight="false" outlineLevel="0" collapsed="false">
      <c r="B23" s="9"/>
      <c r="D23" s="9"/>
      <c r="E23" s="11"/>
      <c r="F23" s="9"/>
      <c r="G23" s="12"/>
      <c r="H23" s="9"/>
      <c r="I23" s="13"/>
      <c r="J23" s="9"/>
      <c r="K23" s="14"/>
      <c r="L23" s="9"/>
      <c r="M23" s="14"/>
      <c r="N23" s="9"/>
      <c r="O23" s="15"/>
      <c r="P23" s="9"/>
      <c r="Q23" s="16"/>
    </row>
    <row r="24" customFormat="false" ht="12.75" hidden="false" customHeight="false" outlineLevel="0" collapsed="false">
      <c r="A24" s="28" t="n">
        <v>6</v>
      </c>
      <c r="B24" s="29"/>
      <c r="C24" s="28" t="s">
        <v>33</v>
      </c>
      <c r="D24" s="29"/>
      <c r="E24" s="30" t="n">
        <v>36938</v>
      </c>
      <c r="F24" s="29"/>
      <c r="G24" s="31" t="s">
        <v>34</v>
      </c>
      <c r="H24" s="29"/>
      <c r="I24" s="39" t="n">
        <f aca="false">21081*7</f>
        <v>147567</v>
      </c>
      <c r="J24" s="29"/>
      <c r="K24" s="14" t="n">
        <f aca="false">843.24*7</f>
        <v>5902.68</v>
      </c>
      <c r="L24" s="29"/>
      <c r="M24" s="14" t="n">
        <v>5010</v>
      </c>
      <c r="N24" s="29"/>
      <c r="O24" s="32" t="n">
        <f aca="false">K24-M24</f>
        <v>892.68</v>
      </c>
      <c r="P24" s="29"/>
      <c r="Q24" s="33" t="s">
        <v>35</v>
      </c>
    </row>
    <row r="25" customFormat="false" ht="12.75" hidden="false" customHeight="false" outlineLevel="0" collapsed="false">
      <c r="A25" s="28"/>
      <c r="B25" s="29"/>
      <c r="C25" s="28"/>
      <c r="D25" s="29"/>
      <c r="E25" s="30"/>
      <c r="F25" s="29"/>
      <c r="G25" s="31"/>
      <c r="H25" s="29"/>
      <c r="I25" s="39"/>
      <c r="J25" s="29"/>
      <c r="K25" s="14"/>
      <c r="L25" s="29"/>
      <c r="M25" s="14"/>
      <c r="N25" s="29"/>
      <c r="O25" s="32"/>
      <c r="P25" s="29"/>
      <c r="Q25" s="33" t="s">
        <v>36</v>
      </c>
    </row>
    <row r="26" customFormat="false" ht="12.75" hidden="false" customHeight="false" outlineLevel="0" collapsed="false">
      <c r="A26" s="28" t="n">
        <v>7</v>
      </c>
      <c r="B26" s="29"/>
      <c r="C26" s="28" t="s">
        <v>37</v>
      </c>
      <c r="D26" s="29"/>
      <c r="E26" s="30" t="n">
        <v>36944</v>
      </c>
      <c r="F26" s="29"/>
      <c r="G26" s="31" t="s">
        <v>38</v>
      </c>
      <c r="H26" s="29"/>
      <c r="I26" s="39" t="n">
        <f aca="false">16280*10</f>
        <v>162800</v>
      </c>
      <c r="J26" s="29"/>
      <c r="K26" s="14" t="n">
        <f aca="false">366.3*10</f>
        <v>3663</v>
      </c>
      <c r="L26" s="29"/>
      <c r="M26" s="14" t="n">
        <v>3297</v>
      </c>
      <c r="N26" s="29"/>
      <c r="O26" s="32" t="n">
        <f aca="false">K26-M26</f>
        <v>366</v>
      </c>
      <c r="P26" s="29"/>
      <c r="Q26" s="33" t="s">
        <v>39</v>
      </c>
    </row>
    <row r="27" customFormat="false" ht="12.75" hidden="false" customHeight="false" outlineLevel="0" collapsed="false">
      <c r="A27" s="28"/>
      <c r="B27" s="29"/>
      <c r="C27" s="28"/>
      <c r="D27" s="29"/>
      <c r="E27" s="30"/>
      <c r="F27" s="29"/>
      <c r="G27" s="31"/>
      <c r="H27" s="29"/>
      <c r="I27" s="39"/>
      <c r="J27" s="29"/>
      <c r="K27" s="14"/>
      <c r="L27" s="29"/>
      <c r="M27" s="14"/>
      <c r="N27" s="29"/>
      <c r="O27" s="32"/>
      <c r="P27" s="29"/>
      <c r="Q27" s="33" t="s">
        <v>36</v>
      </c>
    </row>
    <row r="28" customFormat="false" ht="12.75" hidden="false" customHeight="false" outlineLevel="0" collapsed="false">
      <c r="A28" s="17" t="n">
        <v>8</v>
      </c>
      <c r="B28" s="18"/>
      <c r="C28" s="17" t="s">
        <v>40</v>
      </c>
      <c r="D28" s="18"/>
      <c r="E28" s="19" t="n">
        <v>36944</v>
      </c>
      <c r="F28" s="18"/>
      <c r="G28" s="20" t="s">
        <v>41</v>
      </c>
      <c r="H28" s="18"/>
      <c r="I28" s="40" t="n">
        <v>11811707</v>
      </c>
      <c r="J28" s="18"/>
      <c r="K28" s="21" t="n">
        <v>118117.07</v>
      </c>
      <c r="L28" s="18"/>
      <c r="M28" s="21" t="n">
        <v>117932</v>
      </c>
      <c r="N28" s="18"/>
      <c r="O28" s="25" t="n">
        <f aca="false">K28-M28</f>
        <v>185.070000000007</v>
      </c>
      <c r="P28" s="18"/>
      <c r="Q28" s="26" t="s">
        <v>42</v>
      </c>
    </row>
    <row r="29" customFormat="false" ht="12.75" hidden="false" customHeight="false" outlineLevel="0" collapsed="false">
      <c r="B29" s="9"/>
      <c r="D29" s="9"/>
      <c r="E29" s="9"/>
      <c r="F29" s="9"/>
      <c r="G29" s="9"/>
      <c r="H29" s="9"/>
      <c r="I29" s="13"/>
      <c r="J29" s="9"/>
      <c r="K29" s="6"/>
      <c r="L29" s="9"/>
      <c r="M29" s="14"/>
      <c r="N29" s="9"/>
      <c r="O29" s="9"/>
      <c r="P29" s="9"/>
      <c r="Q29" s="16"/>
    </row>
    <row r="30" customFormat="false" ht="12.75" hidden="false" customHeight="false" outlineLevel="0" collapsed="false">
      <c r="A30" s="28" t="n">
        <v>9</v>
      </c>
      <c r="B30" s="29"/>
      <c r="C30" s="28"/>
      <c r="D30" s="29"/>
      <c r="E30" s="30" t="n">
        <v>36945</v>
      </c>
      <c r="F30" s="29"/>
      <c r="G30" s="31" t="s">
        <v>43</v>
      </c>
      <c r="H30" s="29"/>
      <c r="I30" s="39" t="n">
        <v>379250</v>
      </c>
      <c r="J30" s="29"/>
      <c r="K30" s="14" t="n">
        <v>7585</v>
      </c>
      <c r="L30" s="29"/>
      <c r="M30" s="14" t="n">
        <v>6826</v>
      </c>
      <c r="N30" s="29"/>
      <c r="O30" s="32" t="n">
        <f aca="false">K30-M30</f>
        <v>759</v>
      </c>
      <c r="P30" s="29"/>
      <c r="Q30" s="33" t="s">
        <v>39</v>
      </c>
    </row>
    <row r="31" customFormat="false" ht="12.75" hidden="false" customHeight="false" outlineLevel="0" collapsed="false">
      <c r="A31" s="28"/>
      <c r="B31" s="29"/>
      <c r="C31" s="28"/>
      <c r="D31" s="29"/>
      <c r="E31" s="30"/>
      <c r="F31" s="29"/>
      <c r="G31" s="31"/>
      <c r="H31" s="29"/>
      <c r="I31" s="39"/>
      <c r="J31" s="29"/>
      <c r="K31" s="14"/>
      <c r="L31" s="29"/>
      <c r="M31" s="14"/>
      <c r="N31" s="29"/>
      <c r="O31" s="32"/>
      <c r="P31" s="29"/>
      <c r="Q31" s="33" t="s">
        <v>36</v>
      </c>
    </row>
    <row r="32" customFormat="false" ht="12.75" hidden="false" customHeight="false" outlineLevel="0" collapsed="false">
      <c r="A32" s="28" t="n">
        <v>10</v>
      </c>
      <c r="B32" s="29"/>
      <c r="C32" s="28"/>
      <c r="D32" s="29"/>
      <c r="E32" s="30" t="n">
        <v>36948</v>
      </c>
      <c r="F32" s="29"/>
      <c r="G32" s="31" t="s">
        <v>43</v>
      </c>
      <c r="H32" s="29"/>
      <c r="I32" s="39" t="n">
        <f aca="false">37925*10</f>
        <v>379250</v>
      </c>
      <c r="J32" s="29"/>
      <c r="K32" s="14" t="n">
        <f aca="false">379.25*10</f>
        <v>3792.5</v>
      </c>
      <c r="L32" s="29"/>
      <c r="M32" s="14" t="n">
        <v>3413</v>
      </c>
      <c r="N32" s="29"/>
      <c r="O32" s="32" t="n">
        <f aca="false">K32-M32</f>
        <v>379.5</v>
      </c>
      <c r="P32" s="29"/>
      <c r="Q32" s="33" t="s">
        <v>39</v>
      </c>
    </row>
    <row r="33" customFormat="false" ht="12.75" hidden="false" customHeight="false" outlineLevel="0" collapsed="false">
      <c r="A33" s="28"/>
      <c r="B33" s="29"/>
      <c r="C33" s="28"/>
      <c r="D33" s="29"/>
      <c r="E33" s="30"/>
      <c r="F33" s="29"/>
      <c r="G33" s="31"/>
      <c r="H33" s="29"/>
      <c r="I33" s="39"/>
      <c r="J33" s="29"/>
      <c r="K33" s="14"/>
      <c r="L33" s="29"/>
      <c r="M33" s="14"/>
      <c r="N33" s="29"/>
      <c r="O33" s="32"/>
      <c r="P33" s="29"/>
      <c r="Q33" s="33" t="s">
        <v>36</v>
      </c>
    </row>
    <row r="34" customFormat="false" ht="12.75" hidden="false" customHeight="false" outlineLevel="0" collapsed="false">
      <c r="A34" s="17" t="n">
        <v>11</v>
      </c>
      <c r="B34" s="18"/>
      <c r="C34" s="17"/>
      <c r="D34" s="18"/>
      <c r="E34" s="19" t="n">
        <v>36949</v>
      </c>
      <c r="F34" s="18"/>
      <c r="G34" s="20" t="s">
        <v>34</v>
      </c>
      <c r="H34" s="18"/>
      <c r="I34" s="40" t="n">
        <f aca="false">32400*12</f>
        <v>388800</v>
      </c>
      <c r="J34" s="18"/>
      <c r="K34" s="21" t="n">
        <f aca="false">3240*12</f>
        <v>38880</v>
      </c>
      <c r="L34" s="18"/>
      <c r="M34" s="21" t="n">
        <v>0</v>
      </c>
      <c r="N34" s="18"/>
      <c r="O34" s="25" t="n">
        <f aca="false">K34-M34</f>
        <v>38880</v>
      </c>
      <c r="P34" s="18"/>
      <c r="Q34" s="26" t="s">
        <v>44</v>
      </c>
    </row>
    <row r="35" customFormat="false" ht="12.75" hidden="false" customHeight="false" outlineLevel="0" collapsed="false">
      <c r="A35" s="17"/>
      <c r="B35" s="18"/>
      <c r="C35" s="17"/>
      <c r="D35" s="18"/>
      <c r="E35" s="19"/>
      <c r="F35" s="18"/>
      <c r="G35" s="20"/>
      <c r="H35" s="18"/>
      <c r="I35" s="40"/>
      <c r="J35" s="18"/>
      <c r="K35" s="21"/>
      <c r="L35" s="18"/>
      <c r="M35" s="21"/>
      <c r="N35" s="18"/>
      <c r="O35" s="25"/>
      <c r="P35" s="18"/>
      <c r="Q35" s="26" t="s">
        <v>45</v>
      </c>
    </row>
    <row r="36" customFormat="false" ht="12.75" hidden="false" customHeight="false" outlineLevel="0" collapsed="false">
      <c r="A36" s="17"/>
      <c r="B36" s="18"/>
      <c r="C36" s="17"/>
      <c r="D36" s="18"/>
      <c r="E36" s="19"/>
      <c r="F36" s="18"/>
      <c r="G36" s="20"/>
      <c r="H36" s="18"/>
      <c r="I36" s="40"/>
      <c r="J36" s="18"/>
      <c r="K36" s="21"/>
      <c r="L36" s="18"/>
      <c r="M36" s="21"/>
      <c r="N36" s="18"/>
      <c r="O36" s="25"/>
      <c r="P36" s="18"/>
      <c r="Q36" s="26" t="s">
        <v>46</v>
      </c>
    </row>
    <row r="37" customFormat="false" ht="12.75" hidden="false" customHeight="false" outlineLevel="0" collapsed="false">
      <c r="B37" s="9"/>
      <c r="D37" s="9"/>
      <c r="E37" s="11"/>
      <c r="F37" s="9"/>
      <c r="G37" s="12"/>
      <c r="H37" s="9"/>
      <c r="I37" s="13"/>
      <c r="J37" s="9"/>
      <c r="K37" s="14"/>
      <c r="L37" s="9"/>
      <c r="M37" s="14"/>
      <c r="N37" s="9"/>
      <c r="O37" s="15"/>
      <c r="P37" s="9"/>
      <c r="Q37" s="16"/>
    </row>
    <row r="38" customFormat="false" ht="12.75" hidden="false" customHeight="false" outlineLevel="0" collapsed="false">
      <c r="A38" s="1" t="n">
        <v>12</v>
      </c>
      <c r="B38" s="9"/>
      <c r="C38" s="10"/>
      <c r="D38" s="9"/>
      <c r="E38" s="11"/>
      <c r="F38" s="9"/>
      <c r="G38" s="12" t="s">
        <v>34</v>
      </c>
      <c r="H38" s="9"/>
      <c r="I38" s="14" t="n">
        <v>0</v>
      </c>
      <c r="J38" s="41"/>
      <c r="K38" s="14" t="n">
        <v>0</v>
      </c>
      <c r="L38" s="41"/>
      <c r="M38" s="14" t="n">
        <v>0</v>
      </c>
      <c r="N38" s="41"/>
      <c r="O38" s="15" t="n">
        <f aca="false">K38-M38</f>
        <v>0</v>
      </c>
      <c r="P38" s="9"/>
      <c r="Q38" s="16" t="s">
        <v>47</v>
      </c>
    </row>
    <row r="39" customFormat="false" ht="12.75" hidden="false" customHeight="false" outlineLevel="0" collapsed="false">
      <c r="B39" s="9"/>
      <c r="C39" s="10"/>
      <c r="D39" s="9"/>
      <c r="E39" s="11"/>
      <c r="F39" s="9"/>
      <c r="G39" s="12"/>
      <c r="H39" s="9"/>
      <c r="I39" s="42"/>
      <c r="J39" s="41"/>
      <c r="K39" s="42"/>
      <c r="L39" s="41"/>
      <c r="M39" s="42"/>
      <c r="N39" s="41"/>
      <c r="O39" s="43"/>
      <c r="P39" s="9"/>
      <c r="Q39" s="16"/>
    </row>
    <row r="40" customFormat="false" ht="12.75" hidden="false" customHeight="false" outlineLevel="0" collapsed="false">
      <c r="A40" s="1" t="n">
        <v>13</v>
      </c>
      <c r="B40" s="9"/>
      <c r="C40" s="10"/>
      <c r="D40" s="9"/>
      <c r="E40" s="11"/>
      <c r="F40" s="9"/>
      <c r="G40" s="12" t="s">
        <v>38</v>
      </c>
      <c r="H40" s="9"/>
      <c r="I40" s="14" t="n">
        <v>0</v>
      </c>
      <c r="J40" s="41"/>
      <c r="K40" s="14" t="n">
        <v>0</v>
      </c>
      <c r="L40" s="41"/>
      <c r="M40" s="14" t="n">
        <v>0</v>
      </c>
      <c r="N40" s="41"/>
      <c r="O40" s="15" t="n">
        <f aca="false">K40-M40</f>
        <v>0</v>
      </c>
      <c r="P40" s="9"/>
      <c r="Q40" s="16" t="s">
        <v>48</v>
      </c>
    </row>
    <row r="41" customFormat="false" ht="12.75" hidden="false" customHeight="false" outlineLevel="0" collapsed="false">
      <c r="B41" s="9"/>
      <c r="C41" s="10"/>
      <c r="D41" s="9"/>
      <c r="E41" s="11"/>
      <c r="F41" s="9"/>
      <c r="G41" s="12"/>
      <c r="H41" s="9"/>
      <c r="I41" s="42"/>
      <c r="J41" s="41"/>
      <c r="K41" s="42"/>
      <c r="L41" s="41"/>
      <c r="M41" s="42"/>
      <c r="N41" s="41"/>
      <c r="O41" s="43"/>
      <c r="P41" s="9"/>
      <c r="Q41" s="16"/>
    </row>
    <row r="42" customFormat="false" ht="12.75" hidden="false" customHeight="false" outlineLevel="0" collapsed="false">
      <c r="A42" s="1" t="n">
        <v>14</v>
      </c>
      <c r="B42" s="9"/>
      <c r="C42" s="10"/>
      <c r="D42" s="9"/>
      <c r="E42" s="11"/>
      <c r="F42" s="9"/>
      <c r="G42" s="12" t="s">
        <v>43</v>
      </c>
      <c r="H42" s="9"/>
      <c r="I42" s="14" t="n">
        <v>0</v>
      </c>
      <c r="J42" s="41"/>
      <c r="K42" s="14" t="n">
        <v>0</v>
      </c>
      <c r="L42" s="41"/>
      <c r="M42" s="14" t="n">
        <v>0</v>
      </c>
      <c r="N42" s="41"/>
      <c r="O42" s="15" t="n">
        <f aca="false">K42-M42</f>
        <v>0</v>
      </c>
      <c r="P42" s="9"/>
      <c r="Q42" s="16" t="s">
        <v>47</v>
      </c>
    </row>
    <row r="43" customFormat="false" ht="12.75" hidden="false" customHeight="false" outlineLevel="0" collapsed="false">
      <c r="B43" s="9"/>
      <c r="C43" s="10"/>
      <c r="D43" s="9"/>
      <c r="E43" s="11"/>
      <c r="F43" s="9"/>
      <c r="G43" s="12"/>
      <c r="H43" s="9"/>
      <c r="I43" s="13"/>
      <c r="J43" s="9"/>
      <c r="K43" s="14"/>
      <c r="L43" s="9"/>
      <c r="M43" s="14"/>
      <c r="N43" s="9"/>
      <c r="O43" s="15"/>
      <c r="P43" s="9"/>
      <c r="Q43" s="16"/>
    </row>
    <row r="44" customFormat="false" ht="12.75" hidden="false" customHeight="false" outlineLevel="0" collapsed="false">
      <c r="G44" s="34" t="s">
        <v>49</v>
      </c>
      <c r="I44" s="35" t="n">
        <f aca="false">SUM(I22:I43)</f>
        <v>13989374</v>
      </c>
      <c r="J44" s="35" t="s">
        <v>2</v>
      </c>
      <c r="K44" s="36" t="n">
        <f aca="false">SUM(K22:K43)</f>
        <v>185140.25</v>
      </c>
      <c r="L44" s="35" t="s">
        <v>2</v>
      </c>
      <c r="M44" s="36" t="n">
        <f aca="false">SUM(M22:M43)</f>
        <v>143678</v>
      </c>
      <c r="N44" s="35" t="s">
        <v>2</v>
      </c>
      <c r="O44" s="36" t="n">
        <f aca="false">SUM(O22:O43)</f>
        <v>41462.25</v>
      </c>
      <c r="P44" s="37"/>
      <c r="Q44" s="38"/>
    </row>
    <row r="45" customFormat="false" ht="12.75" hidden="false" customHeight="false" outlineLevel="0" collapsed="false">
      <c r="G45" s="34"/>
      <c r="I45" s="44"/>
      <c r="J45" s="44"/>
      <c r="K45" s="45"/>
      <c r="L45" s="44"/>
      <c r="M45" s="45"/>
      <c r="N45" s="44"/>
      <c r="O45" s="45"/>
      <c r="P45" s="37"/>
      <c r="Q45" s="38"/>
    </row>
    <row r="46" customFormat="false" ht="12.75" hidden="false" customHeight="false" outlineLevel="0" collapsed="false">
      <c r="G46" s="34"/>
      <c r="I46" s="44"/>
      <c r="J46" s="44"/>
      <c r="K46" s="45"/>
      <c r="L46" s="44"/>
      <c r="M46" s="45"/>
      <c r="N46" s="44"/>
      <c r="O46" s="45"/>
      <c r="P46" s="37"/>
      <c r="Q46" s="38"/>
    </row>
    <row r="47" customFormat="false" ht="12.75" hidden="false" customHeight="false" outlineLevel="0" collapsed="false">
      <c r="A47" s="1" t="n">
        <v>15</v>
      </c>
      <c r="C47" s="1" t="s">
        <v>50</v>
      </c>
      <c r="E47" s="46" t="n">
        <v>36952</v>
      </c>
      <c r="G47" s="12" t="s">
        <v>51</v>
      </c>
      <c r="I47" s="44" t="n">
        <f aca="false">200000*22</f>
        <v>4400000</v>
      </c>
      <c r="J47" s="44"/>
      <c r="K47" s="47" t="n">
        <v>66000</v>
      </c>
      <c r="L47" s="47"/>
      <c r="M47" s="47" t="n">
        <v>66000</v>
      </c>
      <c r="N47" s="44"/>
      <c r="O47" s="15" t="n">
        <f aca="false">K47-M47</f>
        <v>0</v>
      </c>
      <c r="P47" s="37"/>
      <c r="Q47" s="38" t="s">
        <v>52</v>
      </c>
    </row>
    <row r="48" customFormat="false" ht="12.75" hidden="false" customHeight="false" outlineLevel="0" collapsed="false">
      <c r="G48" s="12"/>
      <c r="I48" s="44"/>
      <c r="J48" s="44"/>
      <c r="K48" s="47"/>
      <c r="L48" s="47"/>
      <c r="M48" s="47"/>
      <c r="N48" s="44"/>
      <c r="O48" s="45"/>
      <c r="P48" s="37"/>
      <c r="Q48" s="38"/>
    </row>
    <row r="49" customFormat="false" ht="12.75" hidden="false" customHeight="false" outlineLevel="0" collapsed="false">
      <c r="A49" s="17" t="n">
        <v>16</v>
      </c>
      <c r="B49" s="23"/>
      <c r="C49" s="17" t="s">
        <v>53</v>
      </c>
      <c r="D49" s="23"/>
      <c r="E49" s="48" t="n">
        <v>36963</v>
      </c>
      <c r="F49" s="23"/>
      <c r="G49" s="20" t="s">
        <v>54</v>
      </c>
      <c r="H49" s="23"/>
      <c r="I49" s="49" t="n">
        <f aca="false">383000*33</f>
        <v>12639000</v>
      </c>
      <c r="J49" s="49"/>
      <c r="K49" s="50" t="n">
        <v>338955</v>
      </c>
      <c r="L49" s="50"/>
      <c r="M49" s="25" t="n">
        <v>0</v>
      </c>
      <c r="N49" s="49"/>
      <c r="O49" s="25" t="n">
        <f aca="false">K49-M49</f>
        <v>338955</v>
      </c>
      <c r="P49" s="51"/>
      <c r="Q49" s="52" t="s">
        <v>55</v>
      </c>
    </row>
    <row r="50" customFormat="false" ht="12.75" hidden="false" customHeight="false" outlineLevel="0" collapsed="false">
      <c r="A50" s="28"/>
      <c r="B50" s="27"/>
      <c r="C50" s="28"/>
      <c r="D50" s="27"/>
      <c r="E50" s="28"/>
      <c r="F50" s="27"/>
      <c r="G50" s="31"/>
      <c r="H50" s="27"/>
      <c r="I50" s="53"/>
      <c r="J50" s="53"/>
      <c r="K50" s="54"/>
      <c r="L50" s="53"/>
      <c r="M50" s="54"/>
      <c r="N50" s="53"/>
      <c r="O50" s="54"/>
      <c r="P50" s="55"/>
      <c r="Q50" s="56"/>
    </row>
    <row r="51" customFormat="false" ht="12.75" hidden="false" customHeight="false" outlineLevel="0" collapsed="false">
      <c r="A51" s="28"/>
      <c r="B51" s="27"/>
      <c r="C51" s="28" t="s">
        <v>33</v>
      </c>
      <c r="D51" s="27"/>
      <c r="E51" s="28"/>
      <c r="F51" s="27"/>
      <c r="G51" s="31" t="s">
        <v>34</v>
      </c>
      <c r="H51" s="27"/>
      <c r="I51" s="53"/>
      <c r="J51" s="53"/>
      <c r="K51" s="14" t="n">
        <v>0</v>
      </c>
      <c r="L51" s="53"/>
      <c r="M51" s="14" t="n">
        <v>892.68</v>
      </c>
      <c r="N51" s="53"/>
      <c r="O51" s="32" t="n">
        <f aca="false">K51-M51</f>
        <v>-892.68</v>
      </c>
      <c r="P51" s="55"/>
      <c r="Q51" s="56" t="s">
        <v>56</v>
      </c>
    </row>
    <row r="52" customFormat="false" ht="12.75" hidden="false" customHeight="false" outlineLevel="0" collapsed="false">
      <c r="A52" s="28"/>
      <c r="B52" s="27"/>
      <c r="C52" s="28"/>
      <c r="D52" s="27"/>
      <c r="E52" s="28"/>
      <c r="F52" s="27"/>
      <c r="G52" s="31"/>
      <c r="H52" s="27"/>
      <c r="I52" s="53"/>
      <c r="J52" s="53"/>
      <c r="K52" s="54"/>
      <c r="L52" s="53"/>
      <c r="M52" s="14"/>
      <c r="N52" s="53"/>
      <c r="O52" s="32"/>
      <c r="P52" s="55"/>
      <c r="Q52" s="56"/>
    </row>
    <row r="53" customFormat="false" ht="12.75" hidden="false" customHeight="false" outlineLevel="0" collapsed="false">
      <c r="A53" s="28"/>
      <c r="B53" s="27"/>
      <c r="C53" s="28" t="s">
        <v>37</v>
      </c>
      <c r="D53" s="27"/>
      <c r="E53" s="28"/>
      <c r="F53" s="27"/>
      <c r="G53" s="31" t="s">
        <v>38</v>
      </c>
      <c r="H53" s="27"/>
      <c r="I53" s="53"/>
      <c r="J53" s="53"/>
      <c r="K53" s="14" t="n">
        <v>0</v>
      </c>
      <c r="L53" s="53"/>
      <c r="M53" s="14" t="n">
        <v>366</v>
      </c>
      <c r="N53" s="53"/>
      <c r="O53" s="32" t="n">
        <f aca="false">K53-M53</f>
        <v>-366</v>
      </c>
      <c r="P53" s="55"/>
      <c r="Q53" s="56" t="s">
        <v>57</v>
      </c>
    </row>
    <row r="54" customFormat="false" ht="12.75" hidden="false" customHeight="false" outlineLevel="0" collapsed="false">
      <c r="A54" s="28"/>
      <c r="B54" s="27"/>
      <c r="C54" s="28"/>
      <c r="D54" s="27"/>
      <c r="E54" s="28"/>
      <c r="F54" s="27"/>
      <c r="G54" s="31"/>
      <c r="H54" s="27"/>
      <c r="I54" s="53"/>
      <c r="J54" s="53"/>
      <c r="K54" s="54"/>
      <c r="L54" s="53"/>
      <c r="M54" s="14"/>
      <c r="N54" s="53"/>
      <c r="O54" s="32"/>
      <c r="P54" s="55"/>
      <c r="Q54" s="56"/>
    </row>
    <row r="55" customFormat="false" ht="12.75" hidden="false" customHeight="false" outlineLevel="0" collapsed="false">
      <c r="A55" s="28"/>
      <c r="B55" s="27"/>
      <c r="C55" s="28"/>
      <c r="D55" s="27"/>
      <c r="E55" s="28"/>
      <c r="F55" s="27"/>
      <c r="G55" s="31" t="s">
        <v>43</v>
      </c>
      <c r="H55" s="27"/>
      <c r="I55" s="53"/>
      <c r="J55" s="53"/>
      <c r="K55" s="14" t="n">
        <v>0</v>
      </c>
      <c r="L55" s="53"/>
      <c r="M55" s="14" t="n">
        <v>759</v>
      </c>
      <c r="N55" s="53"/>
      <c r="O55" s="32" t="n">
        <f aca="false">K55-M55</f>
        <v>-759</v>
      </c>
      <c r="P55" s="55"/>
      <c r="Q55" s="56" t="s">
        <v>58</v>
      </c>
    </row>
    <row r="56" customFormat="false" ht="12.75" hidden="false" customHeight="false" outlineLevel="0" collapsed="false">
      <c r="A56" s="28"/>
      <c r="B56" s="27"/>
      <c r="C56" s="28"/>
      <c r="D56" s="27"/>
      <c r="E56" s="28"/>
      <c r="F56" s="27"/>
      <c r="G56" s="31"/>
      <c r="H56" s="27"/>
      <c r="I56" s="53"/>
      <c r="J56" s="53"/>
      <c r="K56" s="54"/>
      <c r="L56" s="53"/>
      <c r="M56" s="14"/>
      <c r="N56" s="53"/>
      <c r="O56" s="32"/>
      <c r="P56" s="55"/>
      <c r="Q56" s="56"/>
    </row>
    <row r="57" customFormat="false" ht="12.75" hidden="false" customHeight="false" outlineLevel="0" collapsed="false">
      <c r="A57" s="28"/>
      <c r="B57" s="27"/>
      <c r="C57" s="28"/>
      <c r="D57" s="27"/>
      <c r="E57" s="28"/>
      <c r="F57" s="27"/>
      <c r="G57" s="31" t="s">
        <v>43</v>
      </c>
      <c r="H57" s="27"/>
      <c r="I57" s="53"/>
      <c r="J57" s="53"/>
      <c r="K57" s="14" t="n">
        <v>0</v>
      </c>
      <c r="L57" s="53"/>
      <c r="M57" s="14" t="n">
        <v>379.5</v>
      </c>
      <c r="N57" s="53"/>
      <c r="O57" s="32" t="n">
        <f aca="false">K57-M57</f>
        <v>-379.5</v>
      </c>
      <c r="P57" s="55"/>
      <c r="Q57" s="56" t="s">
        <v>59</v>
      </c>
    </row>
    <row r="58" customFormat="false" ht="12.75" hidden="false" customHeight="false" outlineLevel="0" collapsed="false">
      <c r="A58" s="28"/>
      <c r="B58" s="27"/>
      <c r="C58" s="28"/>
      <c r="D58" s="27"/>
      <c r="E58" s="28"/>
      <c r="F58" s="27"/>
      <c r="G58" s="31"/>
      <c r="H58" s="27"/>
      <c r="I58" s="53"/>
      <c r="J58" s="53"/>
      <c r="K58" s="14"/>
      <c r="L58" s="53"/>
      <c r="M58" s="14"/>
      <c r="N58" s="53"/>
      <c r="O58" s="32"/>
      <c r="P58" s="55"/>
      <c r="Q58" s="56"/>
    </row>
    <row r="59" customFormat="false" ht="12.75" hidden="false" customHeight="false" outlineLevel="0" collapsed="false">
      <c r="A59" s="17"/>
      <c r="B59" s="23"/>
      <c r="C59" s="17"/>
      <c r="D59" s="23"/>
      <c r="E59" s="17"/>
      <c r="F59" s="23"/>
      <c r="G59" s="20" t="s">
        <v>43</v>
      </c>
      <c r="H59" s="23"/>
      <c r="I59" s="49"/>
      <c r="J59" s="49"/>
      <c r="K59" s="21" t="n">
        <v>0</v>
      </c>
      <c r="L59" s="49"/>
      <c r="M59" s="21" t="n">
        <v>379.5</v>
      </c>
      <c r="N59" s="49"/>
      <c r="O59" s="25" t="n">
        <f aca="false">K59-M59</f>
        <v>-379.5</v>
      </c>
      <c r="P59" s="51"/>
      <c r="Q59" s="52" t="s">
        <v>60</v>
      </c>
    </row>
    <row r="60" customFormat="false" ht="12.75" hidden="false" customHeight="false" outlineLevel="0" collapsed="false">
      <c r="A60" s="17"/>
      <c r="B60" s="23"/>
      <c r="C60" s="17"/>
      <c r="D60" s="23"/>
      <c r="E60" s="17"/>
      <c r="F60" s="23"/>
      <c r="G60" s="20"/>
      <c r="H60" s="23"/>
      <c r="I60" s="49"/>
      <c r="J60" s="49"/>
      <c r="K60" s="21"/>
      <c r="L60" s="49"/>
      <c r="M60" s="21"/>
      <c r="N60" s="49"/>
      <c r="O60" s="25"/>
      <c r="P60" s="51"/>
      <c r="Q60" s="52"/>
    </row>
    <row r="61" customFormat="false" ht="12.75" hidden="false" customHeight="false" outlineLevel="0" collapsed="false">
      <c r="A61" s="17"/>
      <c r="B61" s="23"/>
      <c r="C61" s="17"/>
      <c r="D61" s="23"/>
      <c r="E61" s="17"/>
      <c r="F61" s="23"/>
      <c r="G61" s="20" t="s">
        <v>43</v>
      </c>
      <c r="H61" s="23"/>
      <c r="I61" s="49"/>
      <c r="J61" s="49"/>
      <c r="K61" s="21" t="n">
        <v>0</v>
      </c>
      <c r="L61" s="49"/>
      <c r="M61" s="21" t="n">
        <v>379.5</v>
      </c>
      <c r="N61" s="49"/>
      <c r="O61" s="25" t="n">
        <f aca="false">K61-M61</f>
        <v>-379.5</v>
      </c>
      <c r="P61" s="51"/>
      <c r="Q61" s="52" t="s">
        <v>60</v>
      </c>
    </row>
    <row r="62" customFormat="false" ht="12.75" hidden="false" customHeight="false" outlineLevel="0" collapsed="false">
      <c r="A62" s="28"/>
      <c r="B62" s="27"/>
      <c r="C62" s="28"/>
      <c r="D62" s="27"/>
      <c r="E62" s="28"/>
      <c r="F62" s="27"/>
      <c r="G62" s="31"/>
      <c r="H62" s="27"/>
      <c r="I62" s="53"/>
      <c r="J62" s="53"/>
      <c r="K62" s="14"/>
      <c r="L62" s="53"/>
      <c r="M62" s="14"/>
      <c r="N62" s="53"/>
      <c r="O62" s="32"/>
      <c r="P62" s="55"/>
      <c r="Q62" s="56"/>
    </row>
    <row r="63" customFormat="false" ht="12.75" hidden="false" customHeight="false" outlineLevel="0" collapsed="false">
      <c r="G63" s="34" t="s">
        <v>61</v>
      </c>
      <c r="I63" s="35" t="n">
        <f aca="false">SUM(I47:I62)</f>
        <v>17039000</v>
      </c>
      <c r="J63" s="35"/>
      <c r="K63" s="36" t="n">
        <f aca="false">SUM(K47:K62)</f>
        <v>404955</v>
      </c>
      <c r="L63" s="35"/>
      <c r="M63" s="36" t="n">
        <f aca="false">SUM(M47:M62)</f>
        <v>69156.18</v>
      </c>
      <c r="N63" s="35"/>
      <c r="O63" s="36" t="n">
        <f aca="false">SUM(O47:O62)</f>
        <v>335798.82</v>
      </c>
      <c r="P63" s="37"/>
      <c r="Q63" s="38"/>
    </row>
    <row r="64" customFormat="false" ht="12.75" hidden="false" customHeight="false" outlineLevel="0" collapsed="false">
      <c r="E64" s="46"/>
      <c r="M64" s="14"/>
      <c r="O64" s="57"/>
      <c r="P64" s="37"/>
      <c r="Q64" s="38"/>
    </row>
    <row r="65" customFormat="false" ht="13.5" hidden="false" customHeight="false" outlineLevel="0" collapsed="false">
      <c r="B65" s="58"/>
      <c r="D65" s="58"/>
      <c r="F65" s="58"/>
      <c r="G65" s="34" t="s">
        <v>62</v>
      </c>
      <c r="H65" s="58"/>
      <c r="I65" s="59" t="n">
        <f aca="false">I19+I44+I63</f>
        <v>32688374</v>
      </c>
      <c r="J65" s="60" t="s">
        <v>2</v>
      </c>
      <c r="K65" s="61" t="n">
        <f aca="false">K19+K44+K63</f>
        <v>625495.25</v>
      </c>
      <c r="L65" s="59" t="s">
        <v>2</v>
      </c>
      <c r="M65" s="61" t="n">
        <f aca="false">M19+M44+M63</f>
        <v>252771.18</v>
      </c>
      <c r="N65" s="59" t="s">
        <v>2</v>
      </c>
      <c r="O65" s="61" t="n">
        <f aca="false">O19+O44+O63</f>
        <v>372724.07</v>
      </c>
      <c r="P65" s="0" t="s">
        <v>2</v>
      </c>
      <c r="Q65" s="38"/>
    </row>
    <row r="66" customFormat="false" ht="13.5" hidden="false" customHeight="false" outlineLevel="0" collapsed="false">
      <c r="E66" s="46"/>
      <c r="O66" s="57"/>
      <c r="P66" s="37"/>
      <c r="Q66" s="38"/>
    </row>
    <row r="67" customFormat="false" ht="12.75" hidden="false" customHeight="false" outlineLevel="0" collapsed="false">
      <c r="E67" s="46"/>
      <c r="I67" s="37"/>
      <c r="O67" s="57"/>
      <c r="P67" s="37"/>
      <c r="Q67" s="38"/>
    </row>
    <row r="68" customFormat="false" ht="12.75" hidden="false" customHeight="false" outlineLevel="0" collapsed="false">
      <c r="E68" s="46"/>
      <c r="I68" s="37"/>
      <c r="O68" s="57"/>
      <c r="P68" s="37"/>
      <c r="Q68" s="38"/>
    </row>
    <row r="69" customFormat="false" ht="12.75" hidden="false" customHeight="false" outlineLevel="0" collapsed="false">
      <c r="E69" s="46"/>
      <c r="O69" s="57"/>
      <c r="P69" s="37"/>
      <c r="Q69" s="38"/>
    </row>
    <row r="70" customFormat="false" ht="12.75" hidden="false" customHeight="false" outlineLevel="0" collapsed="false">
      <c r="E70" s="46"/>
      <c r="O70" s="57"/>
      <c r="P70" s="37"/>
      <c r="Q70" s="38"/>
    </row>
    <row r="71" customFormat="false" ht="12.75" hidden="false" customHeight="false" outlineLevel="0" collapsed="false">
      <c r="E71" s="46"/>
      <c r="O71" s="57"/>
      <c r="P71" s="37"/>
      <c r="Q71" s="38"/>
    </row>
    <row r="72" customFormat="false" ht="12.75" hidden="false" customHeight="false" outlineLevel="0" collapsed="false">
      <c r="E72" s="46"/>
      <c r="I72" s="37"/>
      <c r="O72" s="57"/>
      <c r="P72" s="37"/>
      <c r="Q72" s="38"/>
    </row>
    <row r="73" customFormat="false" ht="12.75" hidden="false" customHeight="false" outlineLevel="0" collapsed="false">
      <c r="E73" s="46"/>
      <c r="I73" s="37"/>
      <c r="O73" s="57"/>
      <c r="P73" s="37"/>
      <c r="Q73" s="38"/>
    </row>
    <row r="74" customFormat="false" ht="12.75" hidden="false" customHeight="false" outlineLevel="0" collapsed="false">
      <c r="E74" s="46"/>
      <c r="I74" s="37"/>
      <c r="O74" s="57"/>
      <c r="P74" s="37"/>
      <c r="Q74" s="38"/>
    </row>
    <row r="75" customFormat="false" ht="12.75" hidden="false" customHeight="false" outlineLevel="0" collapsed="false">
      <c r="E75" s="46"/>
      <c r="I75" s="37"/>
      <c r="O75" s="57"/>
      <c r="P75" s="37"/>
      <c r="Q75" s="38"/>
    </row>
    <row r="76" customFormat="false" ht="12.75" hidden="false" customHeight="false" outlineLevel="0" collapsed="false">
      <c r="E76" s="46"/>
      <c r="I76" s="37"/>
      <c r="O76" s="57"/>
      <c r="P76" s="37"/>
      <c r="Q76" s="38"/>
    </row>
    <row r="77" customFormat="false" ht="12.75" hidden="false" customHeight="false" outlineLevel="0" collapsed="false">
      <c r="E77" s="46"/>
      <c r="I77" s="37"/>
      <c r="O77" s="57"/>
      <c r="P77" s="37"/>
      <c r="Q77" s="38"/>
    </row>
    <row r="78" customFormat="false" ht="12.75" hidden="false" customHeight="false" outlineLevel="0" collapsed="false">
      <c r="E78" s="46"/>
      <c r="I78" s="37"/>
      <c r="O78" s="57"/>
      <c r="P78" s="37"/>
      <c r="Q78" s="38"/>
    </row>
    <row r="79" customFormat="false" ht="12.75" hidden="false" customHeight="false" outlineLevel="0" collapsed="false">
      <c r="E79" s="46"/>
      <c r="I79" s="37"/>
      <c r="O79" s="57"/>
      <c r="P79" s="37"/>
      <c r="Q79" s="38"/>
    </row>
    <row r="80" customFormat="false" ht="12.75" hidden="false" customHeight="false" outlineLevel="0" collapsed="false">
      <c r="E80" s="46"/>
      <c r="I80" s="37"/>
      <c r="O80" s="57"/>
      <c r="P80" s="37"/>
      <c r="Q80" s="38"/>
    </row>
    <row r="81" customFormat="false" ht="12.75" hidden="false" customHeight="false" outlineLevel="0" collapsed="false">
      <c r="E81" s="46"/>
      <c r="I81" s="37"/>
      <c r="O81" s="57"/>
      <c r="P81" s="37"/>
      <c r="Q81" s="38"/>
    </row>
    <row r="82" customFormat="false" ht="12.75" hidden="false" customHeight="false" outlineLevel="0" collapsed="false">
      <c r="E82" s="46"/>
      <c r="I82" s="37"/>
      <c r="O82" s="57"/>
      <c r="P82" s="37"/>
      <c r="Q82" s="38"/>
    </row>
    <row r="83" customFormat="false" ht="12.75" hidden="false" customHeight="false" outlineLevel="0" collapsed="false">
      <c r="E83" s="46"/>
      <c r="I83" s="37"/>
      <c r="O83" s="57"/>
      <c r="P83" s="37"/>
      <c r="Q83" s="38"/>
    </row>
    <row r="84" customFormat="false" ht="12.75" hidden="false" customHeight="false" outlineLevel="0" collapsed="false">
      <c r="E84" s="46"/>
      <c r="I84" s="37"/>
      <c r="O84" s="57"/>
      <c r="P84" s="37"/>
      <c r="Q84" s="38"/>
    </row>
    <row r="85" customFormat="false" ht="12.75" hidden="false" customHeight="false" outlineLevel="0" collapsed="false">
      <c r="E85" s="46"/>
      <c r="I85" s="37"/>
      <c r="O85" s="57"/>
      <c r="P85" s="37"/>
    </row>
    <row r="86" customFormat="false" ht="12.75" hidden="false" customHeight="false" outlineLevel="0" collapsed="false">
      <c r="E86" s="46"/>
      <c r="I86" s="37"/>
      <c r="O86" s="57"/>
      <c r="P86" s="37"/>
    </row>
    <row r="87" customFormat="false" ht="12.75" hidden="false" customHeight="false" outlineLevel="0" collapsed="false">
      <c r="E87" s="46"/>
      <c r="I87" s="37"/>
      <c r="O87" s="57"/>
      <c r="P87" s="37"/>
    </row>
    <row r="88" customFormat="false" ht="12.75" hidden="false" customHeight="false" outlineLevel="0" collapsed="false">
      <c r="E88" s="46"/>
      <c r="I88" s="37"/>
      <c r="O88" s="57"/>
      <c r="P88" s="37"/>
    </row>
    <row r="89" customFormat="false" ht="12.75" hidden="false" customHeight="false" outlineLevel="0" collapsed="false">
      <c r="E89" s="46"/>
      <c r="I89" s="37"/>
      <c r="O89" s="57"/>
      <c r="P89" s="37"/>
    </row>
    <row r="90" customFormat="false" ht="12.75" hidden="false" customHeight="false" outlineLevel="0" collapsed="false">
      <c r="E90" s="46"/>
      <c r="I90" s="37"/>
      <c r="O90" s="57"/>
      <c r="P90" s="37"/>
    </row>
    <row r="91" customFormat="false" ht="12.75" hidden="false" customHeight="false" outlineLevel="0" collapsed="false">
      <c r="E91" s="46"/>
      <c r="I91" s="37"/>
      <c r="O91" s="57"/>
      <c r="P91" s="37"/>
    </row>
    <row r="92" customFormat="false" ht="12.75" hidden="false" customHeight="false" outlineLevel="0" collapsed="false">
      <c r="E92" s="46"/>
      <c r="I92" s="37"/>
      <c r="O92" s="57"/>
      <c r="P92" s="37"/>
    </row>
    <row r="93" customFormat="false" ht="12.75" hidden="false" customHeight="false" outlineLevel="0" collapsed="false">
      <c r="E93" s="46"/>
      <c r="I93" s="37"/>
      <c r="O93" s="57"/>
      <c r="P93" s="37"/>
    </row>
    <row r="94" customFormat="false" ht="12.75" hidden="false" customHeight="false" outlineLevel="0" collapsed="false">
      <c r="E94" s="46"/>
      <c r="I94" s="37"/>
      <c r="O94" s="57"/>
      <c r="P94" s="37"/>
    </row>
    <row r="95" customFormat="false" ht="12.75" hidden="false" customHeight="false" outlineLevel="0" collapsed="false">
      <c r="E95" s="46"/>
      <c r="I95" s="37"/>
      <c r="O95" s="57"/>
      <c r="P95" s="37"/>
    </row>
    <row r="96" customFormat="false" ht="12.75" hidden="false" customHeight="false" outlineLevel="0" collapsed="false">
      <c r="E96" s="46"/>
      <c r="I96" s="37"/>
      <c r="O96" s="57"/>
      <c r="P96" s="37"/>
    </row>
    <row r="97" customFormat="false" ht="12.75" hidden="false" customHeight="false" outlineLevel="0" collapsed="false">
      <c r="E97" s="46"/>
      <c r="I97" s="37"/>
      <c r="O97" s="57"/>
      <c r="P97" s="37"/>
    </row>
    <row r="98" customFormat="false" ht="12.75" hidden="false" customHeight="false" outlineLevel="0" collapsed="false">
      <c r="E98" s="46"/>
      <c r="I98" s="37"/>
      <c r="O98" s="57"/>
      <c r="P98" s="37"/>
    </row>
    <row r="99" customFormat="false" ht="12.75" hidden="false" customHeight="false" outlineLevel="0" collapsed="false">
      <c r="E99" s="46"/>
      <c r="I99" s="37"/>
      <c r="O99" s="57"/>
      <c r="P99" s="37"/>
    </row>
    <row r="100" customFormat="false" ht="12.75" hidden="false" customHeight="false" outlineLevel="0" collapsed="false">
      <c r="E100" s="46"/>
      <c r="I100" s="37"/>
      <c r="O100" s="57"/>
      <c r="P100" s="37"/>
    </row>
    <row r="101" customFormat="false" ht="12.75" hidden="false" customHeight="false" outlineLevel="0" collapsed="false">
      <c r="E101" s="46"/>
      <c r="I101" s="37"/>
      <c r="O101" s="57"/>
      <c r="P101" s="37"/>
    </row>
    <row r="102" customFormat="false" ht="12.75" hidden="false" customHeight="false" outlineLevel="0" collapsed="false">
      <c r="E102" s="46"/>
      <c r="I102" s="37"/>
      <c r="O102" s="57"/>
      <c r="P102" s="37"/>
    </row>
    <row r="103" customFormat="false" ht="12.75" hidden="false" customHeight="false" outlineLevel="0" collapsed="false">
      <c r="E103" s="46"/>
      <c r="I103" s="37"/>
      <c r="O103" s="57"/>
      <c r="P103" s="37"/>
    </row>
    <row r="104" customFormat="false" ht="12.75" hidden="false" customHeight="false" outlineLevel="0" collapsed="false">
      <c r="E104" s="46"/>
      <c r="I104" s="37"/>
      <c r="O104" s="57"/>
      <c r="P104" s="37"/>
    </row>
    <row r="105" customFormat="false" ht="12.75" hidden="false" customHeight="false" outlineLevel="0" collapsed="false">
      <c r="E105" s="46"/>
      <c r="I105" s="37"/>
      <c r="O105" s="57"/>
      <c r="P105" s="37"/>
    </row>
    <row r="106" customFormat="false" ht="12.75" hidden="false" customHeight="false" outlineLevel="0" collapsed="false">
      <c r="E106" s="46"/>
      <c r="I106" s="37"/>
      <c r="O106" s="57"/>
      <c r="P106" s="37"/>
    </row>
    <row r="107" customFormat="false" ht="12.75" hidden="false" customHeight="false" outlineLevel="0" collapsed="false">
      <c r="E107" s="46"/>
      <c r="I107" s="37"/>
      <c r="O107" s="57"/>
      <c r="P107" s="37"/>
    </row>
    <row r="108" customFormat="false" ht="12.75" hidden="false" customHeight="false" outlineLevel="0" collapsed="false">
      <c r="E108" s="46"/>
      <c r="I108" s="37"/>
      <c r="O108" s="57"/>
      <c r="P108" s="37"/>
    </row>
    <row r="109" customFormat="false" ht="12.75" hidden="false" customHeight="false" outlineLevel="0" collapsed="false">
      <c r="E109" s="46"/>
      <c r="I109" s="37"/>
      <c r="O109" s="57"/>
      <c r="P109" s="37"/>
    </row>
    <row r="110" customFormat="false" ht="12.75" hidden="false" customHeight="false" outlineLevel="0" collapsed="false">
      <c r="E110" s="46"/>
      <c r="I110" s="37"/>
      <c r="O110" s="57"/>
      <c r="P110" s="37"/>
    </row>
    <row r="111" customFormat="false" ht="12.75" hidden="false" customHeight="false" outlineLevel="0" collapsed="false">
      <c r="E111" s="46"/>
      <c r="I111" s="37"/>
      <c r="O111" s="57"/>
      <c r="P111" s="37"/>
    </row>
    <row r="112" customFormat="false" ht="12.75" hidden="false" customHeight="false" outlineLevel="0" collapsed="false">
      <c r="E112" s="46"/>
      <c r="I112" s="37"/>
      <c r="O112" s="57"/>
      <c r="P112" s="37"/>
    </row>
    <row r="113" customFormat="false" ht="12.75" hidden="false" customHeight="false" outlineLevel="0" collapsed="false">
      <c r="E113" s="46"/>
      <c r="I113" s="37"/>
      <c r="O113" s="57"/>
      <c r="P113" s="37"/>
    </row>
    <row r="114" customFormat="false" ht="12.75" hidden="false" customHeight="false" outlineLevel="0" collapsed="false">
      <c r="E114" s="46"/>
      <c r="I114" s="37"/>
      <c r="O114" s="57"/>
      <c r="P114" s="37"/>
    </row>
    <row r="115" customFormat="false" ht="12.75" hidden="false" customHeight="false" outlineLevel="0" collapsed="false">
      <c r="E115" s="46"/>
      <c r="I115" s="37"/>
      <c r="O115" s="57"/>
      <c r="P115" s="37"/>
    </row>
    <row r="116" customFormat="false" ht="12.75" hidden="false" customHeight="false" outlineLevel="0" collapsed="false">
      <c r="E116" s="46"/>
      <c r="I116" s="37"/>
      <c r="O116" s="57"/>
      <c r="P116" s="37"/>
    </row>
    <row r="117" customFormat="false" ht="12.75" hidden="false" customHeight="false" outlineLevel="0" collapsed="false">
      <c r="E117" s="46"/>
      <c r="I117" s="37"/>
      <c r="O117" s="57"/>
      <c r="P117" s="37"/>
    </row>
    <row r="118" customFormat="false" ht="12.75" hidden="false" customHeight="false" outlineLevel="0" collapsed="false">
      <c r="E118" s="46"/>
      <c r="I118" s="37"/>
      <c r="O118" s="57"/>
      <c r="P118" s="37"/>
    </row>
    <row r="119" customFormat="false" ht="12.75" hidden="false" customHeight="false" outlineLevel="0" collapsed="false">
      <c r="E119" s="46"/>
      <c r="I119" s="37"/>
      <c r="O119" s="57"/>
      <c r="P119" s="37"/>
    </row>
    <row r="120" customFormat="false" ht="12.75" hidden="false" customHeight="false" outlineLevel="0" collapsed="false">
      <c r="E120" s="46"/>
      <c r="I120" s="37"/>
      <c r="O120" s="57"/>
      <c r="P120" s="37"/>
    </row>
    <row r="121" customFormat="false" ht="12.75" hidden="false" customHeight="false" outlineLevel="0" collapsed="false">
      <c r="E121" s="46"/>
      <c r="I121" s="37"/>
      <c r="O121" s="57"/>
      <c r="P121" s="37"/>
    </row>
    <row r="122" customFormat="false" ht="12.75" hidden="false" customHeight="false" outlineLevel="0" collapsed="false">
      <c r="E122" s="46"/>
      <c r="I122" s="37"/>
      <c r="O122" s="57"/>
      <c r="P122" s="37"/>
    </row>
    <row r="123" customFormat="false" ht="12.75" hidden="false" customHeight="false" outlineLevel="0" collapsed="false">
      <c r="E123" s="46"/>
      <c r="I123" s="37"/>
      <c r="O123" s="57"/>
      <c r="P123" s="37"/>
    </row>
    <row r="124" customFormat="false" ht="12.75" hidden="false" customHeight="false" outlineLevel="0" collapsed="false">
      <c r="E124" s="46"/>
      <c r="I124" s="37"/>
      <c r="O124" s="57"/>
      <c r="P124" s="37"/>
    </row>
    <row r="125" customFormat="false" ht="12.75" hidden="false" customHeight="false" outlineLevel="0" collapsed="false">
      <c r="E125" s="46"/>
      <c r="I125" s="37"/>
      <c r="O125" s="57"/>
      <c r="P125" s="37"/>
    </row>
    <row r="126" customFormat="false" ht="12.75" hidden="false" customHeight="false" outlineLevel="0" collapsed="false">
      <c r="E126" s="46"/>
      <c r="I126" s="37"/>
      <c r="O126" s="57"/>
      <c r="P126" s="37"/>
    </row>
    <row r="127" customFormat="false" ht="12.75" hidden="false" customHeight="false" outlineLevel="0" collapsed="false">
      <c r="E127" s="46"/>
      <c r="I127" s="37"/>
      <c r="O127" s="57"/>
      <c r="P127" s="37"/>
    </row>
    <row r="128" customFormat="false" ht="12.75" hidden="false" customHeight="false" outlineLevel="0" collapsed="false">
      <c r="E128" s="46"/>
      <c r="I128" s="37"/>
      <c r="O128" s="57"/>
      <c r="P128" s="37"/>
    </row>
    <row r="129" customFormat="false" ht="12.75" hidden="false" customHeight="false" outlineLevel="0" collapsed="false">
      <c r="E129" s="46"/>
      <c r="I129" s="37"/>
      <c r="O129" s="57"/>
      <c r="P129" s="37"/>
    </row>
    <row r="130" customFormat="false" ht="12.75" hidden="false" customHeight="false" outlineLevel="0" collapsed="false">
      <c r="E130" s="46"/>
      <c r="I130" s="37"/>
      <c r="O130" s="57"/>
      <c r="P130" s="37"/>
    </row>
    <row r="131" customFormat="false" ht="12.75" hidden="false" customHeight="false" outlineLevel="0" collapsed="false">
      <c r="E131" s="46"/>
      <c r="I131" s="37"/>
      <c r="O131" s="57"/>
      <c r="P131" s="37"/>
    </row>
    <row r="132" customFormat="false" ht="12.75" hidden="false" customHeight="false" outlineLevel="0" collapsed="false">
      <c r="E132" s="46"/>
      <c r="I132" s="37"/>
      <c r="O132" s="57"/>
      <c r="P132" s="37"/>
    </row>
    <row r="133" customFormat="false" ht="12.75" hidden="false" customHeight="false" outlineLevel="0" collapsed="false">
      <c r="E133" s="46"/>
      <c r="I133" s="37"/>
      <c r="O133" s="57"/>
      <c r="P133" s="37"/>
    </row>
    <row r="134" customFormat="false" ht="12.75" hidden="false" customHeight="false" outlineLevel="0" collapsed="false">
      <c r="E134" s="46"/>
      <c r="I134" s="37"/>
      <c r="O134" s="57"/>
      <c r="P134" s="37"/>
    </row>
    <row r="135" customFormat="false" ht="12.75" hidden="false" customHeight="false" outlineLevel="0" collapsed="false">
      <c r="E135" s="46"/>
      <c r="I135" s="37"/>
      <c r="O135" s="57"/>
      <c r="P135" s="37"/>
    </row>
    <row r="136" customFormat="false" ht="12.75" hidden="false" customHeight="false" outlineLevel="0" collapsed="false">
      <c r="E136" s="46"/>
      <c r="I136" s="37"/>
      <c r="O136" s="57"/>
      <c r="P136" s="37"/>
    </row>
    <row r="137" customFormat="false" ht="12.75" hidden="false" customHeight="false" outlineLevel="0" collapsed="false">
      <c r="E137" s="46"/>
      <c r="I137" s="37"/>
      <c r="O137" s="57"/>
      <c r="P137" s="37"/>
    </row>
    <row r="138" customFormat="false" ht="12.75" hidden="false" customHeight="false" outlineLevel="0" collapsed="false">
      <c r="E138" s="46"/>
      <c r="I138" s="37"/>
      <c r="O138" s="57"/>
      <c r="P138" s="37"/>
    </row>
    <row r="139" customFormat="false" ht="12.75" hidden="false" customHeight="false" outlineLevel="0" collapsed="false">
      <c r="E139" s="46"/>
      <c r="I139" s="37"/>
      <c r="O139" s="57"/>
      <c r="P139" s="37"/>
    </row>
    <row r="140" customFormat="false" ht="12.75" hidden="false" customHeight="false" outlineLevel="0" collapsed="false">
      <c r="E140" s="46"/>
      <c r="I140" s="37"/>
      <c r="O140" s="57"/>
      <c r="P140" s="37"/>
    </row>
    <row r="141" customFormat="false" ht="12.75" hidden="false" customHeight="false" outlineLevel="0" collapsed="false">
      <c r="E141" s="46"/>
      <c r="I141" s="37"/>
      <c r="O141" s="57"/>
      <c r="P141" s="37"/>
    </row>
    <row r="142" customFormat="false" ht="12.75" hidden="false" customHeight="false" outlineLevel="0" collapsed="false">
      <c r="E142" s="46"/>
      <c r="I142" s="37"/>
      <c r="O142" s="57"/>
      <c r="P142" s="37"/>
    </row>
    <row r="143" customFormat="false" ht="12.75" hidden="false" customHeight="false" outlineLevel="0" collapsed="false">
      <c r="E143" s="46"/>
      <c r="I143" s="37"/>
      <c r="O143" s="57"/>
      <c r="P143" s="37"/>
    </row>
    <row r="144" customFormat="false" ht="12.75" hidden="false" customHeight="false" outlineLevel="0" collapsed="false">
      <c r="E144" s="46"/>
      <c r="I144" s="37"/>
      <c r="O144" s="57"/>
      <c r="P144" s="37"/>
    </row>
    <row r="145" customFormat="false" ht="12.75" hidden="false" customHeight="false" outlineLevel="0" collapsed="false">
      <c r="E145" s="46"/>
      <c r="I145" s="37"/>
      <c r="O145" s="57"/>
      <c r="P145" s="37"/>
    </row>
    <row r="146" customFormat="false" ht="12.75" hidden="false" customHeight="false" outlineLevel="0" collapsed="false">
      <c r="E146" s="46"/>
      <c r="I146" s="37"/>
      <c r="O146" s="57"/>
      <c r="P146" s="37"/>
    </row>
    <row r="147" customFormat="false" ht="12.75" hidden="false" customHeight="false" outlineLevel="0" collapsed="false">
      <c r="E147" s="46"/>
      <c r="I147" s="37"/>
      <c r="O147" s="57"/>
      <c r="P147" s="37"/>
    </row>
    <row r="148" customFormat="false" ht="12.75" hidden="false" customHeight="false" outlineLevel="0" collapsed="false">
      <c r="E148" s="46"/>
      <c r="I148" s="37"/>
      <c r="O148" s="57"/>
      <c r="P148" s="37"/>
    </row>
    <row r="149" customFormat="false" ht="12.75" hidden="false" customHeight="false" outlineLevel="0" collapsed="false">
      <c r="E149" s="46"/>
      <c r="I149" s="37"/>
      <c r="O149" s="57"/>
      <c r="P149" s="37"/>
    </row>
    <row r="150" customFormat="false" ht="12.75" hidden="false" customHeight="false" outlineLevel="0" collapsed="false">
      <c r="E150" s="46"/>
      <c r="I150" s="37"/>
      <c r="O150" s="57"/>
      <c r="P150" s="37"/>
    </row>
    <row r="151" customFormat="false" ht="12.75" hidden="false" customHeight="false" outlineLevel="0" collapsed="false">
      <c r="E151" s="46"/>
      <c r="I151" s="37"/>
      <c r="O151" s="57"/>
      <c r="P151" s="37"/>
    </row>
    <row r="152" customFormat="false" ht="12.75" hidden="false" customHeight="false" outlineLevel="0" collapsed="false">
      <c r="E152" s="46"/>
      <c r="I152" s="37"/>
      <c r="O152" s="57"/>
      <c r="P152" s="37"/>
    </row>
    <row r="153" customFormat="false" ht="12.75" hidden="false" customHeight="false" outlineLevel="0" collapsed="false">
      <c r="E153" s="46"/>
      <c r="I153" s="37"/>
      <c r="O153" s="57"/>
      <c r="P153" s="37"/>
    </row>
    <row r="154" customFormat="false" ht="12.75" hidden="false" customHeight="false" outlineLevel="0" collapsed="false">
      <c r="E154" s="46"/>
      <c r="I154" s="37"/>
      <c r="O154" s="57"/>
      <c r="P154" s="37"/>
    </row>
    <row r="155" customFormat="false" ht="12.75" hidden="false" customHeight="false" outlineLevel="0" collapsed="false">
      <c r="E155" s="46"/>
      <c r="I155" s="37"/>
      <c r="O155" s="57"/>
      <c r="P155" s="37"/>
    </row>
    <row r="156" customFormat="false" ht="12.75" hidden="false" customHeight="false" outlineLevel="0" collapsed="false">
      <c r="E156" s="46"/>
      <c r="I156" s="37"/>
      <c r="O156" s="57"/>
      <c r="P156" s="37"/>
    </row>
    <row r="157" customFormat="false" ht="12.75" hidden="false" customHeight="false" outlineLevel="0" collapsed="false">
      <c r="E157" s="46"/>
      <c r="I157" s="37"/>
      <c r="O157" s="57"/>
      <c r="P157" s="37"/>
    </row>
    <row r="158" customFormat="false" ht="12.75" hidden="false" customHeight="false" outlineLevel="0" collapsed="false">
      <c r="E158" s="46"/>
      <c r="I158" s="37"/>
      <c r="O158" s="57"/>
      <c r="P158" s="37"/>
    </row>
    <row r="159" customFormat="false" ht="12.75" hidden="false" customHeight="false" outlineLevel="0" collapsed="false">
      <c r="E159" s="46"/>
      <c r="I159" s="37"/>
      <c r="O159" s="57"/>
      <c r="P159" s="37"/>
    </row>
    <row r="160" customFormat="false" ht="12.75" hidden="false" customHeight="false" outlineLevel="0" collapsed="false">
      <c r="E160" s="46"/>
      <c r="I160" s="37"/>
      <c r="O160" s="57"/>
      <c r="P160" s="37"/>
    </row>
    <row r="161" customFormat="false" ht="12.75" hidden="false" customHeight="false" outlineLevel="0" collapsed="false">
      <c r="E161" s="46"/>
      <c r="I161" s="37"/>
      <c r="O161" s="57"/>
      <c r="P161" s="37"/>
    </row>
    <row r="162" customFormat="false" ht="12.75" hidden="false" customHeight="false" outlineLevel="0" collapsed="false">
      <c r="E162" s="46"/>
      <c r="I162" s="37"/>
      <c r="O162" s="57"/>
      <c r="P162" s="37"/>
    </row>
    <row r="163" customFormat="false" ht="12.75" hidden="false" customHeight="false" outlineLevel="0" collapsed="false">
      <c r="E163" s="46"/>
      <c r="I163" s="37"/>
      <c r="O163" s="57"/>
      <c r="P163" s="37"/>
    </row>
    <row r="164" customFormat="false" ht="12.75" hidden="false" customHeight="false" outlineLevel="0" collapsed="false">
      <c r="E164" s="46"/>
      <c r="I164" s="37"/>
      <c r="O164" s="57"/>
      <c r="P164" s="37"/>
    </row>
    <row r="165" customFormat="false" ht="12.75" hidden="false" customHeight="false" outlineLevel="0" collapsed="false">
      <c r="E165" s="46"/>
      <c r="I165" s="37"/>
      <c r="O165" s="57"/>
      <c r="P165" s="37"/>
    </row>
    <row r="166" customFormat="false" ht="12.75" hidden="false" customHeight="false" outlineLevel="0" collapsed="false">
      <c r="E166" s="46"/>
      <c r="I166" s="37"/>
      <c r="O166" s="57"/>
      <c r="P166" s="37"/>
    </row>
    <row r="167" customFormat="false" ht="12.75" hidden="false" customHeight="false" outlineLevel="0" collapsed="false">
      <c r="E167" s="46"/>
      <c r="I167" s="37"/>
      <c r="O167" s="57"/>
      <c r="P167" s="37"/>
    </row>
    <row r="168" customFormat="false" ht="12.75" hidden="false" customHeight="false" outlineLevel="0" collapsed="false">
      <c r="E168" s="46"/>
      <c r="I168" s="37"/>
      <c r="O168" s="57"/>
      <c r="P168" s="37"/>
    </row>
    <row r="169" customFormat="false" ht="12.75" hidden="false" customHeight="false" outlineLevel="0" collapsed="false">
      <c r="E169" s="46"/>
      <c r="I169" s="37"/>
      <c r="O169" s="57"/>
      <c r="P169" s="37"/>
    </row>
    <row r="170" customFormat="false" ht="12.75" hidden="false" customHeight="false" outlineLevel="0" collapsed="false">
      <c r="E170" s="46"/>
      <c r="I170" s="37"/>
      <c r="O170" s="57"/>
      <c r="P170" s="37"/>
    </row>
    <row r="171" customFormat="false" ht="12.75" hidden="false" customHeight="false" outlineLevel="0" collapsed="false">
      <c r="E171" s="46"/>
      <c r="I171" s="37"/>
      <c r="O171" s="57"/>
      <c r="P171" s="37"/>
    </row>
    <row r="172" customFormat="false" ht="12.75" hidden="false" customHeight="false" outlineLevel="0" collapsed="false">
      <c r="E172" s="46"/>
      <c r="I172" s="37"/>
      <c r="O172" s="57"/>
      <c r="P172" s="37"/>
    </row>
    <row r="173" customFormat="false" ht="12.75" hidden="false" customHeight="false" outlineLevel="0" collapsed="false">
      <c r="E173" s="46"/>
      <c r="I173" s="37"/>
      <c r="O173" s="57"/>
      <c r="P173" s="37"/>
    </row>
    <row r="174" customFormat="false" ht="12.75" hidden="false" customHeight="false" outlineLevel="0" collapsed="false">
      <c r="E174" s="46"/>
      <c r="I174" s="37"/>
      <c r="O174" s="57"/>
      <c r="P174" s="37"/>
    </row>
    <row r="175" customFormat="false" ht="12.75" hidden="false" customHeight="false" outlineLevel="0" collapsed="false">
      <c r="E175" s="46"/>
      <c r="I175" s="37"/>
      <c r="O175" s="57"/>
      <c r="P175" s="37"/>
    </row>
    <row r="176" customFormat="false" ht="12.75" hidden="false" customHeight="false" outlineLevel="0" collapsed="false">
      <c r="E176" s="46"/>
      <c r="I176" s="37"/>
      <c r="O176" s="57"/>
      <c r="P176" s="37"/>
    </row>
    <row r="177" customFormat="false" ht="12.75" hidden="false" customHeight="false" outlineLevel="0" collapsed="false">
      <c r="E177" s="46"/>
      <c r="I177" s="37"/>
      <c r="O177" s="57"/>
      <c r="P177" s="37"/>
    </row>
    <row r="178" customFormat="false" ht="12.75" hidden="false" customHeight="false" outlineLevel="0" collapsed="false">
      <c r="E178" s="46"/>
      <c r="I178" s="37"/>
      <c r="O178" s="57"/>
      <c r="P178" s="37"/>
    </row>
    <row r="179" customFormat="false" ht="12.75" hidden="false" customHeight="false" outlineLevel="0" collapsed="false">
      <c r="E179" s="46"/>
      <c r="I179" s="37"/>
      <c r="O179" s="57"/>
      <c r="P179" s="37"/>
    </row>
    <row r="180" customFormat="false" ht="12.75" hidden="false" customHeight="false" outlineLevel="0" collapsed="false">
      <c r="E180" s="46"/>
      <c r="I180" s="37"/>
      <c r="O180" s="57"/>
      <c r="P180" s="37"/>
    </row>
    <row r="181" customFormat="false" ht="12.75" hidden="false" customHeight="false" outlineLevel="0" collapsed="false">
      <c r="E181" s="46"/>
      <c r="I181" s="37"/>
      <c r="O181" s="57"/>
      <c r="P181" s="37"/>
    </row>
    <row r="182" customFormat="false" ht="12.75" hidden="false" customHeight="false" outlineLevel="0" collapsed="false">
      <c r="E182" s="46"/>
      <c r="I182" s="37"/>
      <c r="O182" s="57"/>
      <c r="P182" s="37"/>
    </row>
    <row r="183" customFormat="false" ht="12.75" hidden="false" customHeight="false" outlineLevel="0" collapsed="false">
      <c r="E183" s="46"/>
      <c r="I183" s="37"/>
      <c r="O183" s="57"/>
      <c r="P183" s="37"/>
    </row>
    <row r="184" customFormat="false" ht="12.75" hidden="false" customHeight="false" outlineLevel="0" collapsed="false">
      <c r="E184" s="46"/>
      <c r="I184" s="37"/>
      <c r="O184" s="57"/>
      <c r="P184" s="37"/>
    </row>
    <row r="185" customFormat="false" ht="12.75" hidden="false" customHeight="false" outlineLevel="0" collapsed="false">
      <c r="E185" s="46"/>
      <c r="I185" s="37"/>
      <c r="O185" s="57"/>
      <c r="P185" s="37"/>
    </row>
    <row r="186" customFormat="false" ht="12.75" hidden="false" customHeight="false" outlineLevel="0" collapsed="false">
      <c r="E186" s="46"/>
      <c r="I186" s="37"/>
      <c r="O186" s="57"/>
      <c r="P186" s="37"/>
    </row>
    <row r="187" customFormat="false" ht="12.75" hidden="false" customHeight="false" outlineLevel="0" collapsed="false">
      <c r="E187" s="46"/>
      <c r="I187" s="37"/>
      <c r="O187" s="57"/>
      <c r="P187" s="37"/>
    </row>
    <row r="188" customFormat="false" ht="12.75" hidden="false" customHeight="false" outlineLevel="0" collapsed="false">
      <c r="E188" s="46"/>
      <c r="I188" s="37"/>
      <c r="O188" s="57"/>
      <c r="P188" s="37"/>
    </row>
    <row r="189" customFormat="false" ht="12.75" hidden="false" customHeight="false" outlineLevel="0" collapsed="false">
      <c r="E189" s="46"/>
      <c r="I189" s="37"/>
      <c r="O189" s="57"/>
      <c r="P189" s="37"/>
    </row>
    <row r="190" customFormat="false" ht="12.75" hidden="false" customHeight="false" outlineLevel="0" collapsed="false">
      <c r="E190" s="46"/>
      <c r="I190" s="37"/>
      <c r="O190" s="57"/>
      <c r="P190" s="37"/>
    </row>
    <row r="191" customFormat="false" ht="12.75" hidden="false" customHeight="false" outlineLevel="0" collapsed="false">
      <c r="E191" s="46"/>
      <c r="I191" s="37"/>
      <c r="O191" s="57"/>
      <c r="P191" s="37"/>
    </row>
    <row r="192" customFormat="false" ht="12.75" hidden="false" customHeight="false" outlineLevel="0" collapsed="false">
      <c r="E192" s="46"/>
      <c r="I192" s="37"/>
      <c r="O192" s="57"/>
      <c r="P192" s="37"/>
    </row>
    <row r="193" customFormat="false" ht="12.75" hidden="false" customHeight="false" outlineLevel="0" collapsed="false">
      <c r="E193" s="46"/>
      <c r="I193" s="37"/>
      <c r="O193" s="57"/>
      <c r="P193" s="37"/>
    </row>
    <row r="194" customFormat="false" ht="12.75" hidden="false" customHeight="false" outlineLevel="0" collapsed="false">
      <c r="E194" s="46"/>
      <c r="I194" s="37"/>
      <c r="O194" s="57"/>
      <c r="P194" s="37"/>
    </row>
    <row r="195" customFormat="false" ht="12.75" hidden="false" customHeight="false" outlineLevel="0" collapsed="false">
      <c r="E195" s="46"/>
      <c r="I195" s="37"/>
      <c r="O195" s="57"/>
      <c r="P195" s="37"/>
    </row>
    <row r="196" customFormat="false" ht="12.75" hidden="false" customHeight="false" outlineLevel="0" collapsed="false">
      <c r="E196" s="46"/>
      <c r="I196" s="37"/>
      <c r="O196" s="57"/>
      <c r="P196" s="37"/>
    </row>
    <row r="197" customFormat="false" ht="12.75" hidden="false" customHeight="false" outlineLevel="0" collapsed="false">
      <c r="E197" s="46"/>
      <c r="I197" s="37"/>
      <c r="O197" s="57"/>
      <c r="P197" s="37"/>
    </row>
    <row r="198" customFormat="false" ht="12.75" hidden="false" customHeight="false" outlineLevel="0" collapsed="false">
      <c r="E198" s="46"/>
      <c r="I198" s="37"/>
      <c r="O198" s="57"/>
      <c r="P198" s="37"/>
    </row>
    <row r="199" customFormat="false" ht="12.75" hidden="false" customHeight="false" outlineLevel="0" collapsed="false">
      <c r="E199" s="46"/>
      <c r="I199" s="37"/>
      <c r="O199" s="57"/>
      <c r="P199" s="37"/>
    </row>
    <row r="200" customFormat="false" ht="12.75" hidden="false" customHeight="false" outlineLevel="0" collapsed="false">
      <c r="E200" s="46"/>
      <c r="I200" s="37"/>
      <c r="O200" s="57"/>
      <c r="P200" s="37"/>
    </row>
    <row r="201" customFormat="false" ht="12.75" hidden="false" customHeight="false" outlineLevel="0" collapsed="false">
      <c r="E201" s="46"/>
      <c r="I201" s="37"/>
      <c r="O201" s="57"/>
      <c r="P201" s="37"/>
    </row>
    <row r="202" customFormat="false" ht="12.75" hidden="false" customHeight="false" outlineLevel="0" collapsed="false">
      <c r="E202" s="46"/>
      <c r="I202" s="37"/>
      <c r="O202" s="57"/>
      <c r="P202" s="37"/>
    </row>
    <row r="203" customFormat="false" ht="12.75" hidden="false" customHeight="false" outlineLevel="0" collapsed="false">
      <c r="E203" s="46"/>
      <c r="I203" s="37"/>
      <c r="O203" s="57"/>
      <c r="P203" s="37"/>
    </row>
    <row r="204" customFormat="false" ht="12.75" hidden="false" customHeight="false" outlineLevel="0" collapsed="false">
      <c r="E204" s="46"/>
      <c r="I204" s="37"/>
      <c r="O204" s="57"/>
      <c r="P204" s="37"/>
    </row>
    <row r="205" customFormat="false" ht="12.75" hidden="false" customHeight="false" outlineLevel="0" collapsed="false">
      <c r="E205" s="46"/>
      <c r="I205" s="37"/>
      <c r="O205" s="57"/>
      <c r="P205" s="37"/>
    </row>
    <row r="206" customFormat="false" ht="12.75" hidden="false" customHeight="false" outlineLevel="0" collapsed="false">
      <c r="E206" s="46"/>
      <c r="I206" s="37"/>
      <c r="O206" s="57"/>
      <c r="P206" s="37"/>
    </row>
    <row r="207" customFormat="false" ht="12.75" hidden="false" customHeight="false" outlineLevel="0" collapsed="false">
      <c r="E207" s="46"/>
      <c r="I207" s="37"/>
      <c r="O207" s="57"/>
      <c r="P207" s="37"/>
    </row>
    <row r="208" customFormat="false" ht="12.75" hidden="false" customHeight="false" outlineLevel="0" collapsed="false">
      <c r="E208" s="46"/>
      <c r="I208" s="37"/>
      <c r="O208" s="57"/>
      <c r="P208" s="37"/>
    </row>
    <row r="209" customFormat="false" ht="12.75" hidden="false" customHeight="false" outlineLevel="0" collapsed="false">
      <c r="E209" s="46"/>
      <c r="I209" s="37"/>
      <c r="O209" s="57"/>
      <c r="P209" s="37"/>
    </row>
    <row r="210" customFormat="false" ht="12.75" hidden="false" customHeight="false" outlineLevel="0" collapsed="false">
      <c r="E210" s="46"/>
      <c r="I210" s="37"/>
      <c r="O210" s="57"/>
      <c r="P210" s="37"/>
    </row>
    <row r="211" customFormat="false" ht="12.75" hidden="false" customHeight="false" outlineLevel="0" collapsed="false">
      <c r="E211" s="46"/>
      <c r="I211" s="37"/>
      <c r="O211" s="57"/>
      <c r="P211" s="37"/>
    </row>
    <row r="212" customFormat="false" ht="12.75" hidden="false" customHeight="false" outlineLevel="0" collapsed="false">
      <c r="E212" s="46"/>
      <c r="I212" s="37"/>
      <c r="O212" s="57"/>
      <c r="P212" s="37"/>
    </row>
    <row r="213" customFormat="false" ht="12.75" hidden="false" customHeight="false" outlineLevel="0" collapsed="false">
      <c r="E213" s="46"/>
      <c r="I213" s="37"/>
      <c r="O213" s="57"/>
      <c r="P213" s="37"/>
    </row>
    <row r="214" customFormat="false" ht="12.75" hidden="false" customHeight="false" outlineLevel="0" collapsed="false">
      <c r="E214" s="46"/>
      <c r="I214" s="37"/>
      <c r="O214" s="57"/>
      <c r="P214" s="37"/>
    </row>
    <row r="215" customFormat="false" ht="12.75" hidden="false" customHeight="false" outlineLevel="0" collapsed="false">
      <c r="E215" s="46"/>
      <c r="I215" s="37"/>
      <c r="O215" s="57"/>
      <c r="P215" s="37"/>
    </row>
    <row r="216" customFormat="false" ht="12.75" hidden="false" customHeight="false" outlineLevel="0" collapsed="false">
      <c r="E216" s="46"/>
      <c r="I216" s="37"/>
      <c r="O216" s="57"/>
      <c r="P216" s="37"/>
    </row>
    <row r="217" customFormat="false" ht="12.75" hidden="false" customHeight="false" outlineLevel="0" collapsed="false">
      <c r="E217" s="46"/>
      <c r="I217" s="37"/>
      <c r="O217" s="57"/>
      <c r="P217" s="37"/>
    </row>
    <row r="218" customFormat="false" ht="12.75" hidden="false" customHeight="false" outlineLevel="0" collapsed="false">
      <c r="E218" s="46"/>
      <c r="I218" s="37"/>
      <c r="O218" s="57"/>
      <c r="P218" s="37"/>
    </row>
    <row r="219" customFormat="false" ht="12.75" hidden="false" customHeight="false" outlineLevel="0" collapsed="false">
      <c r="E219" s="46"/>
      <c r="I219" s="37"/>
      <c r="O219" s="57"/>
      <c r="P219" s="37"/>
    </row>
    <row r="220" customFormat="false" ht="12.75" hidden="false" customHeight="false" outlineLevel="0" collapsed="false">
      <c r="E220" s="46"/>
      <c r="I220" s="37"/>
      <c r="O220" s="57"/>
      <c r="P220" s="37"/>
    </row>
    <row r="221" customFormat="false" ht="12.75" hidden="false" customHeight="false" outlineLevel="0" collapsed="false">
      <c r="E221" s="46"/>
      <c r="I221" s="37"/>
      <c r="O221" s="57"/>
      <c r="P221" s="37"/>
    </row>
    <row r="222" customFormat="false" ht="12.75" hidden="false" customHeight="false" outlineLevel="0" collapsed="false">
      <c r="E222" s="46"/>
      <c r="I222" s="37"/>
      <c r="O222" s="57"/>
      <c r="P222" s="37"/>
    </row>
    <row r="223" customFormat="false" ht="12.75" hidden="false" customHeight="false" outlineLevel="0" collapsed="false">
      <c r="E223" s="46"/>
      <c r="I223" s="37"/>
      <c r="O223" s="57"/>
      <c r="P223" s="37"/>
    </row>
    <row r="224" customFormat="false" ht="12.75" hidden="false" customHeight="false" outlineLevel="0" collapsed="false">
      <c r="E224" s="46"/>
      <c r="I224" s="37"/>
      <c r="O224" s="57"/>
      <c r="P224" s="37"/>
    </row>
    <row r="225" customFormat="false" ht="12.75" hidden="false" customHeight="false" outlineLevel="0" collapsed="false">
      <c r="E225" s="46"/>
      <c r="I225" s="37"/>
      <c r="O225" s="57"/>
      <c r="P225" s="37"/>
    </row>
    <row r="226" customFormat="false" ht="12.75" hidden="false" customHeight="false" outlineLevel="0" collapsed="false">
      <c r="E226" s="46"/>
      <c r="I226" s="37"/>
      <c r="O226" s="57"/>
      <c r="P226" s="37"/>
    </row>
    <row r="227" customFormat="false" ht="12.75" hidden="false" customHeight="false" outlineLevel="0" collapsed="false">
      <c r="E227" s="46"/>
      <c r="I227" s="37"/>
      <c r="O227" s="57"/>
      <c r="P227" s="37"/>
    </row>
    <row r="228" customFormat="false" ht="12.75" hidden="false" customHeight="false" outlineLevel="0" collapsed="false">
      <c r="E228" s="46"/>
      <c r="I228" s="37"/>
      <c r="O228" s="57"/>
      <c r="P228" s="37"/>
    </row>
    <row r="229" customFormat="false" ht="12.75" hidden="false" customHeight="false" outlineLevel="0" collapsed="false">
      <c r="E229" s="46"/>
      <c r="I229" s="37"/>
      <c r="O229" s="57"/>
      <c r="P229" s="37"/>
    </row>
    <row r="230" customFormat="false" ht="12.75" hidden="false" customHeight="false" outlineLevel="0" collapsed="false">
      <c r="E230" s="46"/>
      <c r="I230" s="37"/>
      <c r="O230" s="57"/>
      <c r="P230" s="37"/>
    </row>
    <row r="231" customFormat="false" ht="12.75" hidden="false" customHeight="false" outlineLevel="0" collapsed="false">
      <c r="E231" s="46"/>
      <c r="I231" s="37"/>
      <c r="O231" s="57"/>
      <c r="P231" s="37"/>
    </row>
    <row r="232" customFormat="false" ht="12.75" hidden="false" customHeight="false" outlineLevel="0" collapsed="false">
      <c r="E232" s="46"/>
      <c r="I232" s="37"/>
      <c r="O232" s="57"/>
      <c r="P232" s="37"/>
    </row>
    <row r="233" customFormat="false" ht="12.75" hidden="false" customHeight="false" outlineLevel="0" collapsed="false">
      <c r="E233" s="46"/>
      <c r="I233" s="37"/>
      <c r="O233" s="57"/>
      <c r="P233" s="37"/>
    </row>
    <row r="234" customFormat="false" ht="12.75" hidden="false" customHeight="false" outlineLevel="0" collapsed="false">
      <c r="E234" s="46"/>
      <c r="I234" s="37"/>
      <c r="O234" s="57"/>
      <c r="P234" s="37"/>
    </row>
    <row r="235" customFormat="false" ht="12.75" hidden="false" customHeight="false" outlineLevel="0" collapsed="false">
      <c r="E235" s="46"/>
      <c r="I235" s="37"/>
      <c r="O235" s="57"/>
      <c r="P235" s="37"/>
    </row>
    <row r="236" customFormat="false" ht="12.75" hidden="false" customHeight="false" outlineLevel="0" collapsed="false">
      <c r="E236" s="46"/>
      <c r="I236" s="37"/>
      <c r="O236" s="57"/>
      <c r="P236" s="37"/>
    </row>
    <row r="237" customFormat="false" ht="12.75" hidden="false" customHeight="false" outlineLevel="0" collapsed="false">
      <c r="E237" s="46"/>
      <c r="I237" s="37"/>
      <c r="O237" s="57"/>
      <c r="P237" s="37"/>
    </row>
    <row r="238" customFormat="false" ht="12.75" hidden="false" customHeight="false" outlineLevel="0" collapsed="false">
      <c r="E238" s="46"/>
      <c r="I238" s="37"/>
      <c r="O238" s="57"/>
      <c r="P238" s="37"/>
    </row>
    <row r="239" customFormat="false" ht="12.75" hidden="false" customHeight="false" outlineLevel="0" collapsed="false">
      <c r="E239" s="46"/>
      <c r="I239" s="37"/>
      <c r="O239" s="57"/>
      <c r="P239" s="37"/>
    </row>
    <row r="240" customFormat="false" ht="12.75" hidden="false" customHeight="false" outlineLevel="0" collapsed="false">
      <c r="E240" s="46"/>
      <c r="I240" s="37"/>
      <c r="O240" s="57"/>
      <c r="P240" s="37"/>
    </row>
    <row r="241" customFormat="false" ht="12.75" hidden="false" customHeight="false" outlineLevel="0" collapsed="false">
      <c r="E241" s="46"/>
      <c r="I241" s="37"/>
      <c r="O241" s="57"/>
      <c r="P241" s="37"/>
    </row>
    <row r="242" customFormat="false" ht="12.75" hidden="false" customHeight="false" outlineLevel="0" collapsed="false">
      <c r="E242" s="46"/>
      <c r="I242" s="37"/>
      <c r="O242" s="57"/>
      <c r="P242" s="37"/>
    </row>
    <row r="243" customFormat="false" ht="12.75" hidden="false" customHeight="false" outlineLevel="0" collapsed="false">
      <c r="E243" s="46"/>
      <c r="I243" s="37"/>
      <c r="O243" s="57"/>
      <c r="P243" s="37"/>
    </row>
    <row r="244" customFormat="false" ht="12.75" hidden="false" customHeight="false" outlineLevel="0" collapsed="false">
      <c r="E244" s="46"/>
      <c r="I244" s="37"/>
      <c r="O244" s="57"/>
      <c r="P244" s="37"/>
    </row>
    <row r="245" customFormat="false" ht="12.75" hidden="false" customHeight="false" outlineLevel="0" collapsed="false">
      <c r="E245" s="46"/>
      <c r="I245" s="37"/>
      <c r="O245" s="57"/>
      <c r="P245" s="37"/>
    </row>
    <row r="246" customFormat="false" ht="12.75" hidden="false" customHeight="false" outlineLevel="0" collapsed="false">
      <c r="E246" s="46"/>
      <c r="I246" s="37"/>
      <c r="O246" s="57"/>
      <c r="P246" s="37"/>
    </row>
    <row r="247" customFormat="false" ht="12.75" hidden="false" customHeight="false" outlineLevel="0" collapsed="false">
      <c r="E247" s="46"/>
      <c r="I247" s="37"/>
      <c r="O247" s="57"/>
      <c r="P247" s="37"/>
    </row>
    <row r="248" customFormat="false" ht="12.75" hidden="false" customHeight="false" outlineLevel="0" collapsed="false">
      <c r="E248" s="46"/>
      <c r="I248" s="37"/>
      <c r="O248" s="57"/>
      <c r="P248" s="37"/>
    </row>
    <row r="249" customFormat="false" ht="12.75" hidden="false" customHeight="false" outlineLevel="0" collapsed="false">
      <c r="E249" s="46"/>
      <c r="I249" s="37"/>
      <c r="O249" s="57"/>
      <c r="P249" s="37"/>
    </row>
    <row r="250" customFormat="false" ht="12.75" hidden="false" customHeight="false" outlineLevel="0" collapsed="false">
      <c r="E250" s="46"/>
      <c r="I250" s="37"/>
      <c r="O250" s="57"/>
      <c r="P250" s="37"/>
    </row>
    <row r="251" customFormat="false" ht="12.75" hidden="false" customHeight="false" outlineLevel="0" collapsed="false">
      <c r="E251" s="46"/>
      <c r="I251" s="37"/>
      <c r="O251" s="57"/>
      <c r="P251" s="37"/>
    </row>
    <row r="252" customFormat="false" ht="12.75" hidden="false" customHeight="false" outlineLevel="0" collapsed="false">
      <c r="E252" s="46"/>
    </row>
    <row r="253" customFormat="false" ht="12.75" hidden="false" customHeight="false" outlineLevel="0" collapsed="false">
      <c r="E253" s="46"/>
    </row>
    <row r="254" customFormat="false" ht="12.75" hidden="false" customHeight="false" outlineLevel="0" collapsed="false">
      <c r="E254" s="46"/>
    </row>
    <row r="255" customFormat="false" ht="12.75" hidden="false" customHeight="false" outlineLevel="0" collapsed="false">
      <c r="E255" s="46"/>
    </row>
    <row r="256" customFormat="false" ht="12.75" hidden="false" customHeight="false" outlineLevel="0" collapsed="false">
      <c r="E256" s="46"/>
    </row>
    <row r="257" customFormat="false" ht="12.75" hidden="false" customHeight="false" outlineLevel="0" collapsed="false">
      <c r="E257" s="46"/>
    </row>
    <row r="258" customFormat="false" ht="12.75" hidden="false" customHeight="false" outlineLevel="0" collapsed="false">
      <c r="E258" s="46"/>
    </row>
    <row r="259" customFormat="false" ht="12.75" hidden="false" customHeight="false" outlineLevel="0" collapsed="false">
      <c r="E259" s="46"/>
    </row>
    <row r="260" customFormat="false" ht="12.75" hidden="false" customHeight="false" outlineLevel="0" collapsed="false">
      <c r="E260" s="46"/>
    </row>
    <row r="261" customFormat="false" ht="12.75" hidden="false" customHeight="false" outlineLevel="0" collapsed="false">
      <c r="E261" s="46"/>
    </row>
    <row r="262" customFormat="false" ht="12.75" hidden="false" customHeight="false" outlineLevel="0" collapsed="false">
      <c r="E262" s="46"/>
    </row>
    <row r="263" customFormat="false" ht="12.75" hidden="false" customHeight="false" outlineLevel="0" collapsed="false">
      <c r="E263" s="46"/>
    </row>
    <row r="264" customFormat="false" ht="12.75" hidden="false" customHeight="false" outlineLevel="0" collapsed="false">
      <c r="E264" s="46"/>
    </row>
    <row r="265" customFormat="false" ht="12.75" hidden="false" customHeight="false" outlineLevel="0" collapsed="false">
      <c r="E265" s="46"/>
    </row>
    <row r="266" customFormat="false" ht="12.75" hidden="false" customHeight="false" outlineLevel="0" collapsed="false">
      <c r="E266" s="46"/>
    </row>
    <row r="267" customFormat="false" ht="12.75" hidden="false" customHeight="false" outlineLevel="0" collapsed="false">
      <c r="E267" s="46"/>
    </row>
    <row r="268" customFormat="false" ht="12.75" hidden="false" customHeight="false" outlineLevel="0" collapsed="false">
      <c r="E268" s="46"/>
    </row>
    <row r="269" customFormat="false" ht="12.75" hidden="false" customHeight="false" outlineLevel="0" collapsed="false">
      <c r="E269" s="46"/>
    </row>
    <row r="270" customFormat="false" ht="12.75" hidden="false" customHeight="false" outlineLevel="0" collapsed="false">
      <c r="E270" s="46"/>
    </row>
    <row r="271" customFormat="false" ht="12.75" hidden="false" customHeight="false" outlineLevel="0" collapsed="false">
      <c r="E271" s="46"/>
    </row>
    <row r="272" customFormat="false" ht="12.75" hidden="false" customHeight="false" outlineLevel="0" collapsed="false">
      <c r="E272" s="46"/>
    </row>
    <row r="273" customFormat="false" ht="12.75" hidden="false" customHeight="false" outlineLevel="0" collapsed="false">
      <c r="E273" s="46"/>
    </row>
    <row r="274" customFormat="false" ht="12.75" hidden="false" customHeight="false" outlineLevel="0" collapsed="false">
      <c r="E274" s="46"/>
    </row>
    <row r="275" customFormat="false" ht="12.75" hidden="false" customHeight="false" outlineLevel="0" collapsed="false">
      <c r="E275" s="46"/>
    </row>
    <row r="276" customFormat="false" ht="12.75" hidden="false" customHeight="false" outlineLevel="0" collapsed="false">
      <c r="E276" s="46"/>
    </row>
  </sheetData>
  <mergeCells count="1">
    <mergeCell ref="A1:Q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    &amp;T       &amp;A&amp;RO:\TransAcctgptg\Susan\Mexico\2001 Reporting\Originations\&amp;F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8"/>
  <sheetViews>
    <sheetView showFormulas="false" showGridLines="false" showRowColHeaders="true" showZeros="true" rightToLeft="false" tabSelected="false" showOutlineSymbols="true" defaultGridColor="true" view="normal" topLeftCell="K1" colorId="64" zoomScale="100" zoomScaleNormal="100" zoomScalePageLayoutView="100" workbookViewId="0">
      <pane xSplit="0" ySplit="4" topLeftCell="BM169" activePane="bottomLeft" state="frozen"/>
      <selection pane="topLeft" activeCell="K1" activeCellId="0" sqref="K1"/>
      <selection pane="bottomLeft" activeCell="Q148" activeCellId="0" sqref="Q148:Q180"/>
    </sheetView>
  </sheetViews>
  <sheetFormatPr defaultColWidth="11.70703125" defaultRowHeight="12.75" customHeight="true" zeroHeight="false" outlineLevelRow="0" outlineLevelCol="1"/>
  <cols>
    <col collapsed="false" customWidth="true" hidden="false" outlineLevel="0" max="1" min="1" style="10" width="9.14"/>
    <col collapsed="false" customWidth="true" hidden="false" outlineLevel="0" max="2" min="2" style="10" width="20.13"/>
    <col collapsed="false" customWidth="true" hidden="false" outlineLevel="0" max="3" min="3" style="62" width="10.41"/>
    <col collapsed="false" customWidth="true" hidden="false" outlineLevel="0" max="4" min="4" style="12" width="26.42"/>
    <col collapsed="false" customWidth="true" hidden="false" outlineLevel="0" max="5" min="5" style="12" width="14.7"/>
    <col collapsed="false" customWidth="true" hidden="false" outlineLevel="0" max="6" min="6" style="12" width="14.28"/>
    <col collapsed="false" customWidth="true" hidden="false" outlineLevel="0" max="7" min="7" style="10" width="14.28"/>
    <col collapsed="false" customWidth="true" hidden="false" outlineLevel="0" max="8" min="8" style="12" width="15.56"/>
    <col collapsed="false" customWidth="true" hidden="false" outlineLevel="0" max="9" min="9" style="63" width="15.56"/>
    <col collapsed="false" customWidth="true" hidden="false" outlineLevel="0" max="10" min="10" style="64" width="15.56"/>
    <col collapsed="false" customWidth="true" hidden="false" outlineLevel="0" max="11" min="11" style="65" width="9.28"/>
    <col collapsed="false" customWidth="true" hidden="false" outlineLevel="0" max="12" min="12" style="13" width="14.7"/>
    <col collapsed="false" customWidth="true" hidden="false" outlineLevel="0" max="13" min="13" style="38" width="7.99"/>
    <col collapsed="false" customWidth="true" hidden="false" outlineLevel="0" max="14" min="14" style="63" width="11.85"/>
    <col collapsed="false" customWidth="true" hidden="false" outlineLevel="0" max="15" min="15" style="66" width="11.85"/>
    <col collapsed="false" customWidth="true" hidden="false" outlineLevel="1" max="16" min="16" style="67" width="14.7"/>
    <col collapsed="false" customWidth="true" hidden="false" outlineLevel="1" max="17" min="17" style="68" width="15.85"/>
    <col collapsed="false" customWidth="true" hidden="true" outlineLevel="0" max="18" min="18" style="12" width="9.28"/>
    <col collapsed="false" customWidth="false" hidden="false" outlineLevel="0" max="20" min="19" style="69" width="11.7"/>
    <col collapsed="false" customWidth="false" hidden="true" outlineLevel="0" max="21" min="21" style="12" width="11.7"/>
    <col collapsed="false" customWidth="true" hidden="false" outlineLevel="0" max="22" min="22" style="70" width="13.28"/>
    <col collapsed="false" customWidth="true" hidden="false" outlineLevel="0" max="23" min="23" style="71" width="16.13"/>
    <col collapsed="false" customWidth="false" hidden="false" outlineLevel="0" max="24" min="24" style="71" width="11.7"/>
    <col collapsed="false" customWidth="false" hidden="true" outlineLevel="0" max="26" min="25" style="12" width="11.7"/>
    <col collapsed="false" customWidth="false" hidden="false" outlineLevel="0" max="28" min="27" style="12" width="11.7"/>
    <col collapsed="false" customWidth="false" hidden="false" outlineLevel="0" max="29" min="29" style="10" width="11.7"/>
    <col collapsed="false" customWidth="true" hidden="false" outlineLevel="0" max="30" min="30" style="12" width="14.99"/>
    <col collapsed="false" customWidth="false" hidden="false" outlineLevel="0" max="257" min="31" style="12" width="11.7"/>
  </cols>
  <sheetData>
    <row r="1" customFormat="false" ht="32.25" hidden="false" customHeight="false" outlineLevel="0" collapsed="false">
      <c r="A1" s="72" t="s">
        <v>4</v>
      </c>
      <c r="B1" s="72" t="s">
        <v>5</v>
      </c>
      <c r="C1" s="73" t="s">
        <v>6</v>
      </c>
      <c r="D1" s="72" t="s">
        <v>63</v>
      </c>
      <c r="E1" s="72" t="s">
        <v>64</v>
      </c>
      <c r="F1" s="72" t="s">
        <v>65</v>
      </c>
      <c r="G1" s="72" t="s">
        <v>66</v>
      </c>
      <c r="H1" s="72" t="s">
        <v>67</v>
      </c>
      <c r="I1" s="74" t="s">
        <v>68</v>
      </c>
      <c r="J1" s="75" t="s">
        <v>69</v>
      </c>
      <c r="K1" s="76" t="s">
        <v>70</v>
      </c>
      <c r="L1" s="77" t="s">
        <v>1</v>
      </c>
      <c r="M1" s="78" t="s">
        <v>71</v>
      </c>
      <c r="N1" s="74" t="s">
        <v>72</v>
      </c>
      <c r="O1" s="79" t="s">
        <v>73</v>
      </c>
      <c r="P1" s="80" t="s">
        <v>74</v>
      </c>
      <c r="Q1" s="81" t="s">
        <v>75</v>
      </c>
      <c r="R1" s="72"/>
      <c r="S1" s="82" t="s">
        <v>76</v>
      </c>
      <c r="T1" s="82" t="s">
        <v>77</v>
      </c>
      <c r="U1" s="72"/>
      <c r="V1" s="83" t="s">
        <v>78</v>
      </c>
      <c r="W1" s="84" t="s">
        <v>79</v>
      </c>
      <c r="X1" s="84" t="s">
        <v>80</v>
      </c>
      <c r="Y1" s="72"/>
      <c r="Z1" s="72"/>
      <c r="AA1" s="72" t="s">
        <v>81</v>
      </c>
      <c r="AB1" s="72" t="s">
        <v>82</v>
      </c>
      <c r="AC1" s="72" t="s">
        <v>83</v>
      </c>
      <c r="AD1" s="72" t="s">
        <v>84</v>
      </c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</row>
    <row r="2" customFormat="false" ht="12.75" hidden="false" customHeight="false" outlineLevel="0" collapsed="false">
      <c r="K2" s="85"/>
      <c r="N2" s="86"/>
    </row>
    <row r="3" customFormat="false" ht="15.75" hidden="false" customHeight="false" outlineLevel="0" collapsed="false">
      <c r="A3" s="87" t="s">
        <v>85</v>
      </c>
      <c r="B3" s="87"/>
      <c r="C3" s="88"/>
      <c r="D3" s="89"/>
      <c r="E3" s="89"/>
      <c r="F3" s="89"/>
      <c r="G3" s="87"/>
      <c r="H3" s="89"/>
      <c r="I3" s="90"/>
      <c r="J3" s="91"/>
      <c r="K3" s="92"/>
      <c r="L3" s="93" t="n">
        <f aca="false">SUM(L6:L8821)/1000000-SUM(L105:L116)/1000000+SUM(L105:L116)/1000000*6.28</f>
        <v>34.981238</v>
      </c>
      <c r="M3" s="94" t="s">
        <v>86</v>
      </c>
      <c r="N3" s="90"/>
      <c r="O3" s="95" t="n">
        <f aca="false">SUM(O6:O8821)/1000</f>
        <v>147996.601585</v>
      </c>
      <c r="P3" s="96"/>
      <c r="Q3" s="97" t="n">
        <f aca="false">SUM(Q6:Q8821)</f>
        <v>626695.25</v>
      </c>
      <c r="R3" s="89"/>
      <c r="S3" s="98"/>
      <c r="T3" s="98"/>
      <c r="U3" s="89"/>
      <c r="V3" s="99"/>
      <c r="W3" s="100"/>
      <c r="X3" s="100"/>
      <c r="Y3" s="89"/>
      <c r="Z3" s="89"/>
      <c r="AA3" s="89"/>
      <c r="AB3" s="89"/>
      <c r="AC3" s="87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customFormat="false" ht="12.75" hidden="false" customHeight="false" outlineLevel="0" collapsed="false">
      <c r="K4" s="85"/>
      <c r="N4" s="86"/>
      <c r="O4" s="66" t="s">
        <v>87</v>
      </c>
      <c r="Q4" s="101" t="s">
        <v>88</v>
      </c>
    </row>
    <row r="5" customFormat="false" ht="15.75" hidden="false" customHeight="false" outlineLevel="0" collapsed="false">
      <c r="A5" s="102"/>
      <c r="B5" s="102"/>
      <c r="C5" s="103"/>
      <c r="D5" s="102"/>
      <c r="E5" s="102"/>
      <c r="F5" s="102"/>
      <c r="G5" s="102"/>
      <c r="H5" s="102"/>
      <c r="I5" s="104"/>
      <c r="J5" s="105"/>
      <c r="K5" s="106"/>
      <c r="L5" s="107"/>
      <c r="M5" s="108"/>
      <c r="N5" s="104"/>
      <c r="O5" s="109"/>
      <c r="P5" s="110"/>
      <c r="Q5" s="111"/>
      <c r="R5" s="102"/>
      <c r="S5" s="112"/>
      <c r="T5" s="112"/>
      <c r="U5" s="102"/>
      <c r="V5" s="113"/>
      <c r="W5" s="114"/>
      <c r="X5" s="114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</row>
    <row r="6" customFormat="false" ht="12.75" hidden="false" customHeight="false" outlineLevel="0" collapsed="false">
      <c r="A6" s="10" t="n">
        <v>1</v>
      </c>
      <c r="B6" s="10" t="s">
        <v>13</v>
      </c>
      <c r="C6" s="62" t="n">
        <v>36896</v>
      </c>
      <c r="D6" s="12" t="s">
        <v>14</v>
      </c>
      <c r="E6" s="12" t="s">
        <v>89</v>
      </c>
      <c r="F6" s="12" t="s">
        <v>90</v>
      </c>
      <c r="G6" s="10" t="s">
        <v>91</v>
      </c>
      <c r="H6" s="12" t="s">
        <v>92</v>
      </c>
      <c r="I6" s="63" t="n">
        <v>0.225</v>
      </c>
      <c r="J6" s="64" t="n">
        <f aca="false">+I6*L6</f>
        <v>13500</v>
      </c>
      <c r="K6" s="85" t="n">
        <v>36951</v>
      </c>
      <c r="L6" s="13" t="n">
        <v>60000</v>
      </c>
      <c r="M6" s="38" t="s">
        <v>8</v>
      </c>
      <c r="N6" s="86" t="n">
        <v>7</v>
      </c>
      <c r="O6" s="66" t="n">
        <f aca="false">L6*N6</f>
        <v>420000</v>
      </c>
      <c r="P6" s="67" t="n">
        <v>0.005</v>
      </c>
      <c r="Q6" s="68" t="n">
        <f aca="false">P6*L6</f>
        <v>300</v>
      </c>
      <c r="S6" s="69" t="str">
        <f aca="false">VLOOKUP(K6,Prices,HLOOKUP(F6,Column,2))</f>
        <v/>
      </c>
      <c r="T6" s="69" t="n">
        <f aca="false">IF(S6=0,VLOOKUP(K6,FWD_Prices,HLOOKUP(F6,Column,2)),0)</f>
        <v>0</v>
      </c>
      <c r="V6" s="70" t="e">
        <f aca="false">IF(H6="Swap",S6-N6,IF(H6="Call",MAX(S6-N6,0),IF(H6="Put",MAX(N6-S6,0),"Error on Structure")))*IF(G6="Buy",1,IF(G6="Sell",-1,"Error on Buy/Sell"))*L6*IF(S6=0,0,1)</f>
        <v>#VALUE!</v>
      </c>
      <c r="W6" s="70" t="n">
        <f aca="false">IF(H6="Swap",T6-N6,IF(H6="Call",MAX(T6-N6,0),IF(H6="Put",MAX(N6-T6,0),"Error on Structure")))*IF(G6="Buy",1,IF(G6="Sell",-1,"Error on Buy/Sell"))*L6*IF(T6=0,0,1)</f>
        <v>-0</v>
      </c>
      <c r="X6" s="71" t="e">
        <f aca="false">SUM(V6:W6)</f>
        <v>#VALUE!</v>
      </c>
      <c r="AA6" s="12" t="s">
        <v>93</v>
      </c>
      <c r="AC6" s="10" t="s">
        <v>94</v>
      </c>
      <c r="AD6" s="12" t="s">
        <v>95</v>
      </c>
    </row>
    <row r="7" customFormat="false" ht="12.75" hidden="false" customHeight="false" outlineLevel="0" collapsed="false">
      <c r="A7" s="10" t="n">
        <v>1</v>
      </c>
      <c r="B7" s="10" t="s">
        <v>13</v>
      </c>
      <c r="C7" s="62" t="n">
        <v>36896</v>
      </c>
      <c r="D7" s="12" t="s">
        <v>14</v>
      </c>
      <c r="E7" s="12" t="s">
        <v>89</v>
      </c>
      <c r="F7" s="12" t="s">
        <v>90</v>
      </c>
      <c r="G7" s="10" t="s">
        <v>91</v>
      </c>
      <c r="H7" s="12" t="s">
        <v>92</v>
      </c>
      <c r="I7" s="63" t="n">
        <v>0.225</v>
      </c>
      <c r="J7" s="64" t="n">
        <f aca="false">+I7*L7</f>
        <v>13500</v>
      </c>
      <c r="K7" s="85" t="n">
        <v>36982</v>
      </c>
      <c r="L7" s="13" t="n">
        <v>60000</v>
      </c>
      <c r="M7" s="38" t="s">
        <v>8</v>
      </c>
      <c r="N7" s="86" t="n">
        <v>7</v>
      </c>
      <c r="O7" s="66" t="n">
        <f aca="false">L7*N7</f>
        <v>420000</v>
      </c>
      <c r="P7" s="67" t="n">
        <v>0.005</v>
      </c>
      <c r="Q7" s="68" t="n">
        <f aca="false">P7*L7</f>
        <v>300</v>
      </c>
      <c r="S7" s="69" t="str">
        <f aca="false">VLOOKUP(K7,Prices,HLOOKUP(F7,Column,2))</f>
        <v/>
      </c>
      <c r="T7" s="69" t="n">
        <f aca="false">IF(S7=0,VLOOKUP(K7,FWD_Prices,HLOOKUP(F7,Column,2)),0)</f>
        <v>0</v>
      </c>
      <c r="V7" s="70" t="e">
        <f aca="false">IF(H7="Swap",S7-N7,IF(H7="Call",MAX(S7-N7,0),IF(H7="Put",MAX(N7-S7,0),"Error on Structure")))*IF(G7="Buy",1,IF(G7="Sell",-1,"Error on Buy/Sell"))*L7*IF(S7=0,0,1)</f>
        <v>#VALUE!</v>
      </c>
      <c r="W7" s="70" t="n">
        <f aca="false">IF(H7="Swap",T7-N7,IF(H7="Call",MAX(T7-N7,0),IF(H7="Put",MAX(N7-T7,0),"Error on Structure")))*IF(G7="Buy",1,IF(G7="Sell",-1,"Error on Buy/Sell"))*L7*IF(T7=0,0,1)</f>
        <v>-0</v>
      </c>
      <c r="X7" s="71" t="e">
        <f aca="false">SUM(V7:W7)</f>
        <v>#VALUE!</v>
      </c>
      <c r="AA7" s="12" t="s">
        <v>93</v>
      </c>
      <c r="AC7" s="10" t="s">
        <v>94</v>
      </c>
      <c r="AD7" s="12" t="s">
        <v>95</v>
      </c>
    </row>
    <row r="8" customFormat="false" ht="12.75" hidden="false" customHeight="false" outlineLevel="0" collapsed="false">
      <c r="A8" s="10" t="n">
        <v>1</v>
      </c>
      <c r="B8" s="10" t="s">
        <v>13</v>
      </c>
      <c r="C8" s="62" t="n">
        <v>36896</v>
      </c>
      <c r="D8" s="12" t="s">
        <v>14</v>
      </c>
      <c r="E8" s="12" t="s">
        <v>89</v>
      </c>
      <c r="F8" s="12" t="s">
        <v>90</v>
      </c>
      <c r="G8" s="10" t="s">
        <v>91</v>
      </c>
      <c r="H8" s="12" t="s">
        <v>92</v>
      </c>
      <c r="I8" s="63" t="n">
        <v>0.225</v>
      </c>
      <c r="J8" s="64" t="n">
        <f aca="false">+I8*L8</f>
        <v>13500</v>
      </c>
      <c r="K8" s="85" t="n">
        <v>37012</v>
      </c>
      <c r="L8" s="13" t="n">
        <v>60000</v>
      </c>
      <c r="M8" s="38" t="s">
        <v>8</v>
      </c>
      <c r="N8" s="86" t="n">
        <v>7</v>
      </c>
      <c r="O8" s="66" t="n">
        <f aca="false">L8*N8</f>
        <v>420000</v>
      </c>
      <c r="P8" s="67" t="n">
        <v>0.005</v>
      </c>
      <c r="Q8" s="68" t="n">
        <f aca="false">P8*L8</f>
        <v>300</v>
      </c>
      <c r="S8" s="69" t="str">
        <f aca="false">VLOOKUP(K8,Prices,HLOOKUP(F8,Column,2))</f>
        <v/>
      </c>
      <c r="T8" s="69" t="n">
        <f aca="false">IF(S8=0,VLOOKUP(K8,FWD_Prices,HLOOKUP(F8,Column,2)),0)</f>
        <v>0</v>
      </c>
      <c r="V8" s="70" t="e">
        <f aca="false">IF(H8="Swap",S8-N8,IF(H8="Call",MAX(S8-N8,0),IF(H8="Put",MAX(N8-S8,0),"Error on Structure")))*IF(G8="Buy",1,IF(G8="Sell",-1,"Error on Buy/Sell"))*L8*IF(S8=0,0,1)</f>
        <v>#VALUE!</v>
      </c>
      <c r="W8" s="70" t="n">
        <f aca="false">IF(H8="Swap",T8-N8,IF(H8="Call",MAX(T8-N8,0),IF(H8="Put",MAX(N8-T8,0),"Error on Structure")))*IF(G8="Buy",1,IF(G8="Sell",-1,"Error on Buy/Sell"))*L8*IF(T8=0,0,1)</f>
        <v>-0</v>
      </c>
      <c r="X8" s="71" t="e">
        <f aca="false">SUM(V8:W8)</f>
        <v>#VALUE!</v>
      </c>
      <c r="AA8" s="12" t="s">
        <v>93</v>
      </c>
      <c r="AC8" s="10" t="s">
        <v>94</v>
      </c>
      <c r="AD8" s="12" t="s">
        <v>95</v>
      </c>
    </row>
    <row r="9" customFormat="false" ht="12.75" hidden="false" customHeight="false" outlineLevel="0" collapsed="false">
      <c r="A9" s="10" t="n">
        <v>1</v>
      </c>
      <c r="B9" s="10" t="s">
        <v>96</v>
      </c>
      <c r="C9" s="62" t="n">
        <v>36896</v>
      </c>
      <c r="D9" s="12" t="s">
        <v>14</v>
      </c>
      <c r="E9" s="12" t="s">
        <v>89</v>
      </c>
      <c r="F9" s="12" t="s">
        <v>90</v>
      </c>
      <c r="G9" s="10" t="s">
        <v>97</v>
      </c>
      <c r="H9" s="12" t="s">
        <v>98</v>
      </c>
      <c r="I9" s="63" t="n">
        <v>0</v>
      </c>
      <c r="J9" s="64" t="n">
        <f aca="false">+I9*L9</f>
        <v>0</v>
      </c>
      <c r="K9" s="85" t="n">
        <v>36951</v>
      </c>
      <c r="L9" s="13" t="n">
        <v>60000</v>
      </c>
      <c r="M9" s="38" t="s">
        <v>8</v>
      </c>
      <c r="N9" s="86" t="n">
        <v>6</v>
      </c>
      <c r="O9" s="66" t="n">
        <f aca="false">L9*N9</f>
        <v>360000</v>
      </c>
      <c r="P9" s="67" t="n">
        <v>0</v>
      </c>
      <c r="Q9" s="68" t="n">
        <f aca="false">P9*L9</f>
        <v>0</v>
      </c>
      <c r="S9" s="69" t="str">
        <f aca="false">VLOOKUP(K9,Prices,HLOOKUP(F9,Column,2))</f>
        <v/>
      </c>
      <c r="T9" s="69" t="n">
        <f aca="false">IF(S9=0,VLOOKUP(K9,FWD_Prices,HLOOKUP(F9,Column,2)),0)</f>
        <v>0</v>
      </c>
      <c r="V9" s="70" t="e">
        <f aca="false">IF(H9="Swap",S9-N9,IF(H9="Call",MAX(S9-N9,0),IF(H9="Put",MAX(N9-S9,0),"Error on Structure")))*IF(G9="Buy",1,IF(G9="Sell",-1,"Error on Buy/Sell"))*L9*IF(S9=0,0,1)</f>
        <v>#VALUE!</v>
      </c>
      <c r="W9" s="70" t="n">
        <f aca="false">IF(H9="Swap",T9-N9,IF(H9="Call",MAX(T9-N9,0),IF(H9="Put",MAX(N9-T9,0),"Error on Structure")))*IF(G9="Buy",1,IF(G9="Sell",-1,"Error on Buy/Sell"))*L9*IF(T9=0,0,1)</f>
        <v>0</v>
      </c>
      <c r="X9" s="71" t="e">
        <f aca="false">SUM(V9:W9)</f>
        <v>#VALUE!</v>
      </c>
      <c r="AA9" s="12" t="s">
        <v>93</v>
      </c>
      <c r="AC9" s="10" t="s">
        <v>94</v>
      </c>
      <c r="AD9" s="12" t="s">
        <v>95</v>
      </c>
    </row>
    <row r="10" customFormat="false" ht="12.75" hidden="false" customHeight="false" outlineLevel="0" collapsed="false">
      <c r="A10" s="10" t="n">
        <v>1</v>
      </c>
      <c r="B10" s="10" t="s">
        <v>96</v>
      </c>
      <c r="C10" s="62" t="n">
        <v>36896</v>
      </c>
      <c r="D10" s="12" t="s">
        <v>14</v>
      </c>
      <c r="E10" s="12" t="s">
        <v>89</v>
      </c>
      <c r="F10" s="12" t="s">
        <v>90</v>
      </c>
      <c r="G10" s="10" t="s">
        <v>97</v>
      </c>
      <c r="H10" s="12" t="s">
        <v>98</v>
      </c>
      <c r="I10" s="63" t="n">
        <v>0</v>
      </c>
      <c r="J10" s="64" t="n">
        <f aca="false">+I10*L10</f>
        <v>0</v>
      </c>
      <c r="K10" s="85" t="n">
        <v>36982</v>
      </c>
      <c r="L10" s="13" t="n">
        <v>60000</v>
      </c>
      <c r="M10" s="38" t="s">
        <v>8</v>
      </c>
      <c r="N10" s="86" t="n">
        <v>6</v>
      </c>
      <c r="O10" s="66" t="n">
        <f aca="false">L10*N10</f>
        <v>360000</v>
      </c>
      <c r="P10" s="67" t="n">
        <v>0</v>
      </c>
      <c r="Q10" s="68" t="n">
        <f aca="false">P10*L10</f>
        <v>0</v>
      </c>
      <c r="S10" s="69" t="str">
        <f aca="false">VLOOKUP(K10,Prices,HLOOKUP(F10,Column,2))</f>
        <v/>
      </c>
      <c r="T10" s="69" t="n">
        <f aca="false">IF(S10=0,VLOOKUP(K10,FWD_Prices,HLOOKUP(F10,Column,2)),0)</f>
        <v>0</v>
      </c>
      <c r="V10" s="70" t="e">
        <f aca="false">IF(H10="Swap",S10-N10,IF(H10="Call",MAX(S10-N10,0),IF(H10="Put",MAX(N10-S10,0),"Error on Structure")))*IF(G10="Buy",1,IF(G10="Sell",-1,"Error on Buy/Sell"))*L10*IF(S10=0,0,1)</f>
        <v>#VALUE!</v>
      </c>
      <c r="W10" s="70" t="n">
        <f aca="false">IF(H10="Swap",T10-N10,IF(H10="Call",MAX(T10-N10,0),IF(H10="Put",MAX(N10-T10,0),"Error on Structure")))*IF(G10="Buy",1,IF(G10="Sell",-1,"Error on Buy/Sell"))*L10*IF(T10=0,0,1)</f>
        <v>0</v>
      </c>
      <c r="X10" s="71" t="e">
        <f aca="false">SUM(V10:W10)</f>
        <v>#VALUE!</v>
      </c>
      <c r="AA10" s="12" t="s">
        <v>93</v>
      </c>
      <c r="AC10" s="10" t="s">
        <v>94</v>
      </c>
      <c r="AD10" s="12" t="s">
        <v>95</v>
      </c>
    </row>
    <row r="11" customFormat="false" ht="12.75" hidden="false" customHeight="false" outlineLevel="0" collapsed="false">
      <c r="A11" s="10" t="n">
        <v>1</v>
      </c>
      <c r="B11" s="10" t="s">
        <v>96</v>
      </c>
      <c r="C11" s="62" t="n">
        <v>36896</v>
      </c>
      <c r="D11" s="12" t="s">
        <v>14</v>
      </c>
      <c r="E11" s="12" t="s">
        <v>89</v>
      </c>
      <c r="F11" s="12" t="s">
        <v>90</v>
      </c>
      <c r="G11" s="10" t="s">
        <v>97</v>
      </c>
      <c r="H11" s="12" t="s">
        <v>98</v>
      </c>
      <c r="I11" s="63" t="n">
        <v>0</v>
      </c>
      <c r="J11" s="64" t="n">
        <f aca="false">+I11*L11</f>
        <v>0</v>
      </c>
      <c r="K11" s="85" t="n">
        <v>37012</v>
      </c>
      <c r="L11" s="13" t="n">
        <v>60000</v>
      </c>
      <c r="M11" s="38" t="s">
        <v>8</v>
      </c>
      <c r="N11" s="86" t="n">
        <v>6</v>
      </c>
      <c r="O11" s="66" t="n">
        <f aca="false">L11*N11</f>
        <v>360000</v>
      </c>
      <c r="P11" s="67" t="n">
        <v>0</v>
      </c>
      <c r="Q11" s="68" t="n">
        <f aca="false">P11*L11</f>
        <v>0</v>
      </c>
      <c r="S11" s="69" t="str">
        <f aca="false">VLOOKUP(K11,Prices,HLOOKUP(F11,Column,2))</f>
        <v/>
      </c>
      <c r="T11" s="69" t="n">
        <f aca="false">IF(S11=0,VLOOKUP(K11,FWD_Prices,HLOOKUP(F11,Column,2)),0)</f>
        <v>0</v>
      </c>
      <c r="V11" s="70" t="e">
        <f aca="false">IF(H11="Swap",S11-N11,IF(H11="Call",MAX(S11-N11,0),IF(H11="Put",MAX(N11-S11,0),"Error on Structure")))*IF(G11="Buy",1,IF(G11="Sell",-1,"Error on Buy/Sell"))*L11*IF(S11=0,0,1)</f>
        <v>#VALUE!</v>
      </c>
      <c r="W11" s="70" t="n">
        <f aca="false">IF(H11="Swap",T11-N11,IF(H11="Call",MAX(T11-N11,0),IF(H11="Put",MAX(N11-T11,0),"Error on Structure")))*IF(G11="Buy",1,IF(G11="Sell",-1,"Error on Buy/Sell"))*L11*IF(T11=0,0,1)</f>
        <v>0</v>
      </c>
      <c r="X11" s="71" t="e">
        <f aca="false">SUM(V11:W11)</f>
        <v>#VALUE!</v>
      </c>
      <c r="AA11" s="12" t="s">
        <v>93</v>
      </c>
      <c r="AC11" s="10" t="s">
        <v>94</v>
      </c>
      <c r="AD11" s="12" t="s">
        <v>95</v>
      </c>
    </row>
    <row r="13" customFormat="false" ht="12.75" hidden="false" customHeight="false" outlineLevel="0" collapsed="false">
      <c r="A13" s="10" t="n">
        <v>2</v>
      </c>
      <c r="B13" s="10" t="s">
        <v>16</v>
      </c>
      <c r="C13" s="62" t="n">
        <v>36901</v>
      </c>
      <c r="D13" s="12" t="s">
        <v>17</v>
      </c>
      <c r="E13" s="12" t="s">
        <v>89</v>
      </c>
      <c r="F13" s="12" t="s">
        <v>90</v>
      </c>
      <c r="G13" s="10" t="s">
        <v>91</v>
      </c>
      <c r="H13" s="12" t="s">
        <v>98</v>
      </c>
      <c r="I13" s="63" t="n">
        <v>0.04</v>
      </c>
      <c r="J13" s="64" t="n">
        <f aca="false">+I13*L13</f>
        <v>2400</v>
      </c>
      <c r="K13" s="85" t="n">
        <v>36923</v>
      </c>
      <c r="L13" s="13" t="n">
        <v>60000</v>
      </c>
      <c r="M13" s="38" t="s">
        <v>8</v>
      </c>
      <c r="N13" s="86" t="n">
        <v>4.52</v>
      </c>
      <c r="O13" s="66" t="n">
        <f aca="false">L13*N13</f>
        <v>271200</v>
      </c>
      <c r="P13" s="67" t="n">
        <v>0.015</v>
      </c>
      <c r="Q13" s="68" t="n">
        <f aca="false">P13*L13</f>
        <v>900</v>
      </c>
      <c r="S13" s="69" t="str">
        <f aca="false">VLOOKUP(K13,Prices,HLOOKUP(F13,Column,2))</f>
        <v/>
      </c>
      <c r="T13" s="69" t="n">
        <f aca="false">IF(S13=0,VLOOKUP(K13,FWD_Prices,HLOOKUP(F13,Column,2)),0)</f>
        <v>0</v>
      </c>
      <c r="V13" s="70" t="e">
        <f aca="false">IF(H13="Swap",S13-N13,IF(H13="Call",MAX(S13-N13,0),IF(H13="Put",MAX(N13-S13,0),"Error on Structure")))*IF(G13="Buy",1,IF(G13="Sell",-1,"Error on Buy/Sell"))*L13*IF(S13=0,0,1)</f>
        <v>#VALUE!</v>
      </c>
      <c r="W13" s="70" t="n">
        <f aca="false">IF(H13="Swap",T13-N13,IF(H13="Call",MAX(T13-N13,0),IF(H13="Put",MAX(N13-T13,0),"Error on Structure")))*IF(G13="Buy",1,IF(G13="Sell",-1,"Error on Buy/Sell"))*L13*IF(T13=0,0,1)</f>
        <v>-0</v>
      </c>
      <c r="X13" s="71" t="e">
        <f aca="false">SUM(V13:W13)</f>
        <v>#VALUE!</v>
      </c>
      <c r="AA13" s="12" t="s">
        <v>99</v>
      </c>
    </row>
    <row r="14" customFormat="false" ht="12.75" hidden="false" customHeight="false" outlineLevel="0" collapsed="false">
      <c r="A14" s="10" t="n">
        <v>2</v>
      </c>
      <c r="B14" s="10" t="s">
        <v>16</v>
      </c>
      <c r="C14" s="62" t="n">
        <v>36901</v>
      </c>
      <c r="D14" s="12" t="s">
        <v>17</v>
      </c>
      <c r="E14" s="12" t="s">
        <v>89</v>
      </c>
      <c r="F14" s="12" t="s">
        <v>90</v>
      </c>
      <c r="G14" s="10" t="s">
        <v>91</v>
      </c>
      <c r="H14" s="12" t="s">
        <v>98</v>
      </c>
      <c r="I14" s="63" t="n">
        <v>0.04</v>
      </c>
      <c r="J14" s="64" t="n">
        <f aca="false">+I14*L14</f>
        <v>2400</v>
      </c>
      <c r="K14" s="85" t="n">
        <v>36951</v>
      </c>
      <c r="L14" s="13" t="n">
        <v>60000</v>
      </c>
      <c r="M14" s="38" t="s">
        <v>8</v>
      </c>
      <c r="N14" s="86" t="n">
        <v>4.52</v>
      </c>
      <c r="O14" s="66" t="n">
        <f aca="false">L14*N14</f>
        <v>271200</v>
      </c>
      <c r="P14" s="67" t="n">
        <v>0.015</v>
      </c>
      <c r="Q14" s="68" t="n">
        <f aca="false">P14*L14</f>
        <v>900</v>
      </c>
      <c r="S14" s="69" t="str">
        <f aca="false">VLOOKUP(K14,Prices,HLOOKUP(F14,Column,2))</f>
        <v/>
      </c>
      <c r="T14" s="69" t="n">
        <f aca="false">IF(S14=0,VLOOKUP(K14,FWD_Prices,HLOOKUP(F14,Column,2)),0)</f>
        <v>0</v>
      </c>
      <c r="V14" s="70" t="e">
        <f aca="false">IF(H14="Swap",S14-N14,IF(H14="Call",MAX(S14-N14,0),IF(H14="Put",MAX(N14-S14,0),"Error on Structure")))*IF(G14="Buy",1,IF(G14="Sell",-1,"Error on Buy/Sell"))*L14*IF(S14=0,0,1)</f>
        <v>#VALUE!</v>
      </c>
      <c r="W14" s="70" t="n">
        <f aca="false">IF(H14="Swap",T14-N14,IF(H14="Call",MAX(T14-N14,0),IF(H14="Put",MAX(N14-T14,0),"Error on Structure")))*IF(G14="Buy",1,IF(G14="Sell",-1,"Error on Buy/Sell"))*L14*IF(T14=0,0,1)</f>
        <v>-0</v>
      </c>
      <c r="X14" s="71" t="e">
        <f aca="false">SUM(V14:W14)</f>
        <v>#VALUE!</v>
      </c>
      <c r="AA14" s="12" t="s">
        <v>99</v>
      </c>
    </row>
    <row r="15" customFormat="false" ht="12.75" hidden="false" customHeight="false" outlineLevel="0" collapsed="false">
      <c r="A15" s="10" t="n">
        <v>2</v>
      </c>
      <c r="B15" s="10" t="s">
        <v>16</v>
      </c>
      <c r="C15" s="62" t="n">
        <v>36901</v>
      </c>
      <c r="D15" s="12" t="s">
        <v>17</v>
      </c>
      <c r="E15" s="12" t="s">
        <v>89</v>
      </c>
      <c r="F15" s="12" t="s">
        <v>90</v>
      </c>
      <c r="G15" s="10" t="s">
        <v>91</v>
      </c>
      <c r="H15" s="12" t="s">
        <v>98</v>
      </c>
      <c r="I15" s="63" t="n">
        <v>0.04</v>
      </c>
      <c r="J15" s="64" t="n">
        <f aca="false">+I15*L15</f>
        <v>2400</v>
      </c>
      <c r="K15" s="85" t="n">
        <v>36982</v>
      </c>
      <c r="L15" s="13" t="n">
        <v>60000</v>
      </c>
      <c r="M15" s="38" t="s">
        <v>8</v>
      </c>
      <c r="N15" s="86" t="n">
        <v>4.52</v>
      </c>
      <c r="O15" s="66" t="n">
        <f aca="false">L15*N15</f>
        <v>271200</v>
      </c>
      <c r="P15" s="67" t="n">
        <v>0.015</v>
      </c>
      <c r="Q15" s="68" t="n">
        <f aca="false">P15*L15</f>
        <v>900</v>
      </c>
      <c r="S15" s="69" t="str">
        <f aca="false">VLOOKUP(K15,Prices,HLOOKUP(F15,Column,2))</f>
        <v/>
      </c>
      <c r="T15" s="69" t="n">
        <f aca="false">IF(S15=0,VLOOKUP(K15,FWD_Prices,HLOOKUP(F15,Column,2)),0)</f>
        <v>0</v>
      </c>
      <c r="V15" s="70" t="e">
        <f aca="false">IF(H15="Swap",S15-N15,IF(H15="Call",MAX(S15-N15,0),IF(H15="Put",MAX(N15-S15,0),"Error on Structure")))*IF(G15="Buy",1,IF(G15="Sell",-1,"Error on Buy/Sell"))*L15*IF(S15=0,0,1)</f>
        <v>#VALUE!</v>
      </c>
      <c r="W15" s="70" t="n">
        <f aca="false">IF(H15="Swap",T15-N15,IF(H15="Call",MAX(T15-N15,0),IF(H15="Put",MAX(N15-T15,0),"Error on Structure")))*IF(G15="Buy",1,IF(G15="Sell",-1,"Error on Buy/Sell"))*L15*IF(T15=0,0,1)</f>
        <v>-0</v>
      </c>
      <c r="X15" s="71" t="e">
        <f aca="false">SUM(V15:W15)</f>
        <v>#VALUE!</v>
      </c>
      <c r="AA15" s="12" t="s">
        <v>99</v>
      </c>
    </row>
    <row r="17" customFormat="false" ht="12.75" hidden="false" customHeight="false" outlineLevel="0" collapsed="false">
      <c r="A17" s="10" t="n">
        <v>3</v>
      </c>
      <c r="B17" s="10" t="s">
        <v>100</v>
      </c>
      <c r="C17" s="62" t="n">
        <v>36910</v>
      </c>
      <c r="D17" s="12" t="s">
        <v>20</v>
      </c>
      <c r="E17" s="12" t="s">
        <v>89</v>
      </c>
      <c r="F17" s="12" t="s">
        <v>90</v>
      </c>
      <c r="G17" s="10" t="s">
        <v>97</v>
      </c>
      <c r="H17" s="12" t="s">
        <v>101</v>
      </c>
      <c r="I17" s="63" t="n">
        <v>0</v>
      </c>
      <c r="J17" s="64" t="n">
        <f aca="false">+I17*L17</f>
        <v>0</v>
      </c>
      <c r="K17" s="85" t="n">
        <v>36923</v>
      </c>
      <c r="L17" s="13" t="n">
        <v>280000</v>
      </c>
      <c r="M17" s="38" t="s">
        <v>8</v>
      </c>
      <c r="N17" s="86" t="n">
        <v>6.95</v>
      </c>
      <c r="O17" s="66" t="n">
        <f aca="false">L17*N17</f>
        <v>1946000</v>
      </c>
      <c r="P17" s="67" t="n">
        <v>0.0425</v>
      </c>
      <c r="Q17" s="68" t="n">
        <f aca="false">P17*L17</f>
        <v>11900</v>
      </c>
      <c r="S17" s="69" t="str">
        <f aca="false">VLOOKUP(K17,Prices,HLOOKUP(F17,Column,2))</f>
        <v/>
      </c>
      <c r="T17" s="69" t="n">
        <f aca="false">IF(S17=0,VLOOKUP(K17,FWD_Prices,HLOOKUP(F17,Column,2)),0)</f>
        <v>0</v>
      </c>
      <c r="V17" s="70" t="e">
        <f aca="false">IF(H17="Swap",S17-N17,IF(H17="Call",MAX(S17-N17,0),IF(H17="Put",MAX(N17-S17,0),"Error on Structure")))*IF(G17="Buy",1,IF(G17="Sell",-1,"Error on Buy/Sell"))*L17*IF(S17=0,0,1)</f>
        <v>#VALUE!</v>
      </c>
      <c r="W17" s="70" t="n">
        <f aca="false">IF(H17="Swap",T17-N17,IF(H17="Call",MAX(T17-N17,0),IF(H17="Put",MAX(N17-T17,0),"Error on Structure")))*IF(G17="Buy",1,IF(G17="Sell",-1,"Error on Buy/Sell"))*L17*IF(T17=0,0,1)</f>
        <v>-0</v>
      </c>
      <c r="X17" s="71" t="e">
        <f aca="false">SUM(V17:W17)</f>
        <v>#VALUE!</v>
      </c>
      <c r="AA17" s="12" t="s">
        <v>102</v>
      </c>
    </row>
    <row r="18" customFormat="false" ht="12.75" hidden="false" customHeight="false" outlineLevel="0" collapsed="false">
      <c r="A18" s="10" t="n">
        <v>3</v>
      </c>
      <c r="B18" s="10" t="s">
        <v>100</v>
      </c>
      <c r="C18" s="62" t="n">
        <v>36910</v>
      </c>
      <c r="D18" s="12" t="s">
        <v>20</v>
      </c>
      <c r="E18" s="12" t="s">
        <v>89</v>
      </c>
      <c r="F18" s="12" t="s">
        <v>90</v>
      </c>
      <c r="G18" s="10" t="s">
        <v>97</v>
      </c>
      <c r="H18" s="12" t="s">
        <v>101</v>
      </c>
      <c r="I18" s="63" t="n">
        <v>0</v>
      </c>
      <c r="J18" s="64" t="n">
        <f aca="false">+I18*L18</f>
        <v>0</v>
      </c>
      <c r="K18" s="85" t="n">
        <v>36951</v>
      </c>
      <c r="L18" s="13" t="n">
        <v>280000</v>
      </c>
      <c r="M18" s="38" t="s">
        <v>8</v>
      </c>
      <c r="N18" s="86" t="n">
        <v>6.95</v>
      </c>
      <c r="O18" s="66" t="n">
        <f aca="false">L18*N18</f>
        <v>1946000</v>
      </c>
      <c r="P18" s="67" t="n">
        <v>0.0425</v>
      </c>
      <c r="Q18" s="68" t="n">
        <f aca="false">P18*L18</f>
        <v>11900</v>
      </c>
      <c r="S18" s="69" t="str">
        <f aca="false">VLOOKUP(K18,Prices,HLOOKUP(F18,Column,2))</f>
        <v/>
      </c>
      <c r="T18" s="69" t="n">
        <f aca="false">IF(S18=0,VLOOKUP(K18,FWD_Prices,HLOOKUP(F18,Column,2)),0)</f>
        <v>0</v>
      </c>
      <c r="V18" s="70" t="e">
        <f aca="false">IF(H18="Swap",S18-N18,IF(H18="Call",MAX(S18-N18,0),IF(H18="Put",MAX(N18-S18,0),"Error on Structure")))*IF(G18="Buy",1,IF(G18="Sell",-1,"Error on Buy/Sell"))*L18*IF(S18=0,0,1)</f>
        <v>#VALUE!</v>
      </c>
      <c r="W18" s="70" t="n">
        <f aca="false">IF(H18="Swap",T18-N18,IF(H18="Call",MAX(T18-N18,0),IF(H18="Put",MAX(N18-T18,0),"Error on Structure")))*IF(G18="Buy",1,IF(G18="Sell",-1,"Error on Buy/Sell"))*L18*IF(T18=0,0,1)</f>
        <v>-0</v>
      </c>
      <c r="X18" s="71" t="e">
        <f aca="false">SUM(V18:W18)</f>
        <v>#VALUE!</v>
      </c>
      <c r="AA18" s="12" t="s">
        <v>102</v>
      </c>
    </row>
    <row r="19" customFormat="false" ht="12.75" hidden="false" customHeight="false" outlineLevel="0" collapsed="false">
      <c r="A19" s="10" t="n">
        <v>3</v>
      </c>
      <c r="B19" s="10" t="s">
        <v>100</v>
      </c>
      <c r="C19" s="62" t="n">
        <v>36910</v>
      </c>
      <c r="D19" s="12" t="s">
        <v>20</v>
      </c>
      <c r="E19" s="12" t="s">
        <v>89</v>
      </c>
      <c r="F19" s="12" t="s">
        <v>90</v>
      </c>
      <c r="G19" s="10" t="s">
        <v>97</v>
      </c>
      <c r="H19" s="12" t="s">
        <v>101</v>
      </c>
      <c r="I19" s="63" t="n">
        <v>0</v>
      </c>
      <c r="J19" s="64" t="n">
        <f aca="false">+I19*L19</f>
        <v>0</v>
      </c>
      <c r="K19" s="85" t="n">
        <v>36982</v>
      </c>
      <c r="L19" s="13" t="n">
        <v>80000</v>
      </c>
      <c r="M19" s="38" t="s">
        <v>8</v>
      </c>
      <c r="N19" s="86" t="n">
        <v>5.595</v>
      </c>
      <c r="O19" s="66" t="n">
        <f aca="false">L19*N19</f>
        <v>447600</v>
      </c>
      <c r="P19" s="67" t="n">
        <v>0.015</v>
      </c>
      <c r="Q19" s="68" t="n">
        <f aca="false">P19*L19</f>
        <v>1200</v>
      </c>
      <c r="S19" s="69" t="str">
        <f aca="false">VLOOKUP(K19,Prices,HLOOKUP(F19,Column,2))</f>
        <v/>
      </c>
      <c r="T19" s="69" t="n">
        <f aca="false">IF(S19=0,VLOOKUP(K19,FWD_Prices,HLOOKUP(F19,Column,2)),0)</f>
        <v>0</v>
      </c>
      <c r="V19" s="70" t="e">
        <f aca="false">IF(H19="Swap",S19-N19,IF(H19="Call",MAX(S19-N19,0),IF(H19="Put",MAX(N19-S19,0),"Error on Structure")))*IF(G19="Buy",1,IF(G19="Sell",-1,"Error on Buy/Sell"))*L19*IF(S19=0,0,1)</f>
        <v>#VALUE!</v>
      </c>
      <c r="W19" s="70" t="n">
        <f aca="false">IF(H19="Swap",T19-N19,IF(H19="Call",MAX(T19-N19,0),IF(H19="Put",MAX(N19-T19,0),"Error on Structure")))*IF(G19="Buy",1,IF(G19="Sell",-1,"Error on Buy/Sell"))*L19*IF(T19=0,0,1)</f>
        <v>-0</v>
      </c>
      <c r="X19" s="71" t="e">
        <f aca="false">SUM(V19:W19)</f>
        <v>#VALUE!</v>
      </c>
      <c r="AA19" s="12" t="s">
        <v>102</v>
      </c>
    </row>
    <row r="20" customFormat="false" ht="12.75" hidden="false" customHeight="false" outlineLevel="0" collapsed="false">
      <c r="A20" s="10" t="n">
        <v>3</v>
      </c>
      <c r="B20" s="10" t="s">
        <v>100</v>
      </c>
      <c r="C20" s="62" t="n">
        <v>36910</v>
      </c>
      <c r="D20" s="12" t="s">
        <v>20</v>
      </c>
      <c r="E20" s="12" t="s">
        <v>89</v>
      </c>
      <c r="F20" s="12" t="s">
        <v>90</v>
      </c>
      <c r="G20" s="10" t="s">
        <v>97</v>
      </c>
      <c r="H20" s="12" t="s">
        <v>101</v>
      </c>
      <c r="I20" s="63" t="n">
        <v>0</v>
      </c>
      <c r="J20" s="64" t="n">
        <f aca="false">+I20*L20</f>
        <v>0</v>
      </c>
      <c r="K20" s="85" t="n">
        <v>37012</v>
      </c>
      <c r="L20" s="13" t="n">
        <v>80000</v>
      </c>
      <c r="M20" s="38" t="s">
        <v>8</v>
      </c>
      <c r="N20" s="86" t="n">
        <v>5.595</v>
      </c>
      <c r="O20" s="66" t="n">
        <f aca="false">L20*N20</f>
        <v>447600</v>
      </c>
      <c r="P20" s="67" t="n">
        <v>0.015</v>
      </c>
      <c r="Q20" s="68" t="n">
        <f aca="false">P20*L20</f>
        <v>1200</v>
      </c>
      <c r="S20" s="69" t="str">
        <f aca="false">VLOOKUP(K20,Prices,HLOOKUP(F20,Column,2))</f>
        <v/>
      </c>
      <c r="T20" s="69" t="n">
        <f aca="false">IF(S20=0,VLOOKUP(K20,FWD_Prices,HLOOKUP(F20,Column,2)),0)</f>
        <v>0</v>
      </c>
      <c r="V20" s="70" t="e">
        <f aca="false">IF(H20="Swap",S20-N20,IF(H20="Call",MAX(S20-N20,0),IF(H20="Put",MAX(N20-S20,0),"Error on Structure")))*IF(G20="Buy",1,IF(G20="Sell",-1,"Error on Buy/Sell"))*L20*IF(S20=0,0,1)</f>
        <v>#VALUE!</v>
      </c>
      <c r="W20" s="70" t="n">
        <f aca="false">IF(H20="Swap",T20-N20,IF(H20="Call",MAX(T20-N20,0),IF(H20="Put",MAX(N20-T20,0),"Error on Structure")))*IF(G20="Buy",1,IF(G20="Sell",-1,"Error on Buy/Sell"))*L20*IF(T20=0,0,1)</f>
        <v>-0</v>
      </c>
      <c r="X20" s="71" t="e">
        <f aca="false">SUM(V20:W20)</f>
        <v>#VALUE!</v>
      </c>
      <c r="AA20" s="12" t="s">
        <v>102</v>
      </c>
    </row>
    <row r="21" customFormat="false" ht="12.75" hidden="false" customHeight="false" outlineLevel="0" collapsed="false">
      <c r="A21" s="10" t="n">
        <v>3</v>
      </c>
      <c r="B21" s="10" t="s">
        <v>100</v>
      </c>
      <c r="C21" s="62" t="n">
        <v>36910</v>
      </c>
      <c r="D21" s="12" t="s">
        <v>20</v>
      </c>
      <c r="E21" s="12" t="s">
        <v>89</v>
      </c>
      <c r="F21" s="12" t="s">
        <v>90</v>
      </c>
      <c r="G21" s="10" t="s">
        <v>97</v>
      </c>
      <c r="H21" s="12" t="s">
        <v>101</v>
      </c>
      <c r="I21" s="63" t="n">
        <v>0</v>
      </c>
      <c r="J21" s="64" t="n">
        <f aca="false">+I21*L21</f>
        <v>0</v>
      </c>
      <c r="K21" s="85" t="n">
        <v>37043</v>
      </c>
      <c r="L21" s="13" t="n">
        <v>80000</v>
      </c>
      <c r="M21" s="38" t="s">
        <v>8</v>
      </c>
      <c r="N21" s="86" t="n">
        <v>5.595</v>
      </c>
      <c r="O21" s="66" t="n">
        <f aca="false">L21*N21</f>
        <v>447600</v>
      </c>
      <c r="P21" s="67" t="n">
        <v>0.015</v>
      </c>
      <c r="Q21" s="68" t="n">
        <f aca="false">P21*L21</f>
        <v>1200</v>
      </c>
      <c r="S21" s="69" t="str">
        <f aca="false">VLOOKUP(K21,Prices,HLOOKUP(F21,Column,2))</f>
        <v/>
      </c>
      <c r="T21" s="69" t="n">
        <f aca="false">IF(S21=0,VLOOKUP(K21,FWD_Prices,HLOOKUP(F21,Column,2)),0)</f>
        <v>0</v>
      </c>
      <c r="V21" s="70" t="e">
        <f aca="false">IF(H21="Swap",S21-N21,IF(H21="Call",MAX(S21-N21,0),IF(H21="Put",MAX(N21-S21,0),"Error on Structure")))*IF(G21="Buy",1,IF(G21="Sell",-1,"Error on Buy/Sell"))*L21*IF(S21=0,0,1)</f>
        <v>#VALUE!</v>
      </c>
      <c r="W21" s="70" t="n">
        <f aca="false">IF(H21="Swap",T21-N21,IF(H21="Call",MAX(T21-N21,0),IF(H21="Put",MAX(N21-T21,0),"Error on Structure")))*IF(G21="Buy",1,IF(G21="Sell",-1,"Error on Buy/Sell"))*L21*IF(T21=0,0,1)</f>
        <v>-0</v>
      </c>
      <c r="X21" s="71" t="e">
        <f aca="false">SUM(V21:W21)</f>
        <v>#VALUE!</v>
      </c>
      <c r="AA21" s="12" t="s">
        <v>102</v>
      </c>
    </row>
    <row r="22" customFormat="false" ht="12.75" hidden="false" customHeight="false" outlineLevel="0" collapsed="false">
      <c r="A22" s="10" t="n">
        <v>3</v>
      </c>
      <c r="B22" s="10" t="s">
        <v>100</v>
      </c>
      <c r="C22" s="62" t="n">
        <v>36910</v>
      </c>
      <c r="D22" s="12" t="s">
        <v>20</v>
      </c>
      <c r="E22" s="12" t="s">
        <v>89</v>
      </c>
      <c r="F22" s="12" t="s">
        <v>90</v>
      </c>
      <c r="G22" s="10" t="s">
        <v>97</v>
      </c>
      <c r="H22" s="12" t="s">
        <v>101</v>
      </c>
      <c r="I22" s="63" t="n">
        <v>0</v>
      </c>
      <c r="J22" s="64" t="n">
        <f aca="false">+I22*L22</f>
        <v>0</v>
      </c>
      <c r="K22" s="85" t="n">
        <v>37073</v>
      </c>
      <c r="L22" s="13" t="n">
        <v>80000</v>
      </c>
      <c r="M22" s="38" t="s">
        <v>8</v>
      </c>
      <c r="N22" s="86" t="n">
        <v>5.595</v>
      </c>
      <c r="O22" s="66" t="n">
        <f aca="false">L22*N22</f>
        <v>447600</v>
      </c>
      <c r="P22" s="67" t="n">
        <v>0.015</v>
      </c>
      <c r="Q22" s="68" t="n">
        <f aca="false">P22*L22</f>
        <v>1200</v>
      </c>
      <c r="S22" s="69" t="str">
        <f aca="false">VLOOKUP(K22,Prices,HLOOKUP(F22,Column,2))</f>
        <v/>
      </c>
      <c r="T22" s="69" t="n">
        <f aca="false">IF(S22=0,VLOOKUP(K22,FWD_Prices,HLOOKUP(F22,Column,2)),0)</f>
        <v>0</v>
      </c>
      <c r="V22" s="70" t="e">
        <f aca="false">IF(H22="Swap",S22-N22,IF(H22="Call",MAX(S22-N22,0),IF(H22="Put",MAX(N22-S22,0),"Error on Structure")))*IF(G22="Buy",1,IF(G22="Sell",-1,"Error on Buy/Sell"))*L22*IF(S22=0,0,1)</f>
        <v>#VALUE!</v>
      </c>
      <c r="W22" s="70" t="n">
        <f aca="false">IF(H22="Swap",T22-N22,IF(H22="Call",MAX(T22-N22,0),IF(H22="Put",MAX(N22-T22,0),"Error on Structure")))*IF(G22="Buy",1,IF(G22="Sell",-1,"Error on Buy/Sell"))*L22*IF(T22=0,0,1)</f>
        <v>-0</v>
      </c>
      <c r="X22" s="71" t="e">
        <f aca="false">SUM(V22:W22)</f>
        <v>#VALUE!</v>
      </c>
      <c r="AA22" s="12" t="s">
        <v>102</v>
      </c>
    </row>
    <row r="23" customFormat="false" ht="12.75" hidden="false" customHeight="false" outlineLevel="0" collapsed="false">
      <c r="A23" s="10" t="n">
        <v>3</v>
      </c>
      <c r="B23" s="10" t="s">
        <v>100</v>
      </c>
      <c r="C23" s="62" t="n">
        <v>36910</v>
      </c>
      <c r="D23" s="12" t="s">
        <v>20</v>
      </c>
      <c r="E23" s="12" t="s">
        <v>89</v>
      </c>
      <c r="F23" s="12" t="s">
        <v>90</v>
      </c>
      <c r="G23" s="10" t="s">
        <v>97</v>
      </c>
      <c r="H23" s="12" t="s">
        <v>101</v>
      </c>
      <c r="I23" s="63" t="n">
        <v>0</v>
      </c>
      <c r="J23" s="64" t="n">
        <f aca="false">+I23*L23</f>
        <v>0</v>
      </c>
      <c r="K23" s="85" t="n">
        <v>37104</v>
      </c>
      <c r="L23" s="13" t="n">
        <v>80000</v>
      </c>
      <c r="M23" s="38" t="s">
        <v>8</v>
      </c>
      <c r="N23" s="86" t="n">
        <v>5.595</v>
      </c>
      <c r="O23" s="66" t="n">
        <f aca="false">L23*N23</f>
        <v>447600</v>
      </c>
      <c r="P23" s="67" t="n">
        <v>0.015</v>
      </c>
      <c r="Q23" s="68" t="n">
        <f aca="false">P23*L23</f>
        <v>1200</v>
      </c>
      <c r="S23" s="69" t="str">
        <f aca="false">VLOOKUP(K23,Prices,HLOOKUP(F23,Column,2))</f>
        <v/>
      </c>
      <c r="T23" s="69" t="n">
        <f aca="false">IF(S23=0,VLOOKUP(K23,FWD_Prices,HLOOKUP(F23,Column,2)),0)</f>
        <v>0</v>
      </c>
      <c r="V23" s="70" t="e">
        <f aca="false">IF(H23="Swap",S23-N23,IF(H23="Call",MAX(S23-N23,0),IF(H23="Put",MAX(N23-S23,0),"Error on Structure")))*IF(G23="Buy",1,IF(G23="Sell",-1,"Error on Buy/Sell"))*L23*IF(S23=0,0,1)</f>
        <v>#VALUE!</v>
      </c>
      <c r="W23" s="70" t="n">
        <f aca="false">IF(H23="Swap",T23-N23,IF(H23="Call",MAX(T23-N23,0),IF(H23="Put",MAX(N23-T23,0),"Error on Structure")))*IF(G23="Buy",1,IF(G23="Sell",-1,"Error on Buy/Sell"))*L23*IF(T23=0,0,1)</f>
        <v>-0</v>
      </c>
      <c r="X23" s="71" t="e">
        <f aca="false">SUM(V23:W23)</f>
        <v>#VALUE!</v>
      </c>
      <c r="AA23" s="12" t="s">
        <v>102</v>
      </c>
    </row>
    <row r="24" customFormat="false" ht="12.75" hidden="false" customHeight="false" outlineLevel="0" collapsed="false">
      <c r="A24" s="10" t="n">
        <v>3</v>
      </c>
      <c r="B24" s="10" t="s">
        <v>100</v>
      </c>
      <c r="C24" s="62" t="n">
        <v>36910</v>
      </c>
      <c r="D24" s="12" t="s">
        <v>20</v>
      </c>
      <c r="E24" s="12" t="s">
        <v>89</v>
      </c>
      <c r="F24" s="12" t="s">
        <v>90</v>
      </c>
      <c r="G24" s="10" t="s">
        <v>97</v>
      </c>
      <c r="H24" s="12" t="s">
        <v>101</v>
      </c>
      <c r="I24" s="63" t="n">
        <v>0</v>
      </c>
      <c r="J24" s="64" t="n">
        <f aca="false">+I24*L24</f>
        <v>0</v>
      </c>
      <c r="K24" s="85" t="n">
        <v>37135</v>
      </c>
      <c r="L24" s="13" t="n">
        <v>80000</v>
      </c>
      <c r="M24" s="38" t="s">
        <v>8</v>
      </c>
      <c r="N24" s="86" t="n">
        <v>5.595</v>
      </c>
      <c r="O24" s="66" t="n">
        <f aca="false">L24*N24</f>
        <v>447600</v>
      </c>
      <c r="P24" s="67" t="n">
        <v>0.015</v>
      </c>
      <c r="Q24" s="68" t="n">
        <f aca="false">P24*L24</f>
        <v>1200</v>
      </c>
      <c r="S24" s="69" t="str">
        <f aca="false">VLOOKUP(K24,Prices,HLOOKUP(F24,Column,2))</f>
        <v/>
      </c>
      <c r="T24" s="69" t="n">
        <f aca="false">IF(S24=0,VLOOKUP(K24,FWD_Prices,HLOOKUP(F24,Column,2)),0)</f>
        <v>0</v>
      </c>
      <c r="V24" s="70" t="e">
        <f aca="false">IF(H24="Swap",S24-N24,IF(H24="Call",MAX(S24-N24,0),IF(H24="Put",MAX(N24-S24,0),"Error on Structure")))*IF(G24="Buy",1,IF(G24="Sell",-1,"Error on Buy/Sell"))*L24*IF(S24=0,0,1)</f>
        <v>#VALUE!</v>
      </c>
      <c r="W24" s="70" t="n">
        <f aca="false">IF(H24="Swap",T24-N24,IF(H24="Call",MAX(T24-N24,0),IF(H24="Put",MAX(N24-T24,0),"Error on Structure")))*IF(G24="Buy",1,IF(G24="Sell",-1,"Error on Buy/Sell"))*L24*IF(T24=0,0,1)</f>
        <v>-0</v>
      </c>
      <c r="X24" s="71" t="e">
        <f aca="false">SUM(V24:W24)</f>
        <v>#VALUE!</v>
      </c>
      <c r="AA24" s="12" t="s">
        <v>102</v>
      </c>
    </row>
    <row r="26" customFormat="false" ht="12.75" hidden="false" customHeight="false" outlineLevel="0" collapsed="false">
      <c r="A26" s="10" t="n">
        <v>4</v>
      </c>
      <c r="B26" s="10" t="s">
        <v>22</v>
      </c>
      <c r="C26" s="62" t="n">
        <v>36913</v>
      </c>
      <c r="D26" s="12" t="s">
        <v>23</v>
      </c>
      <c r="E26" s="12" t="s">
        <v>89</v>
      </c>
      <c r="F26" s="12" t="s">
        <v>90</v>
      </c>
      <c r="G26" s="10" t="s">
        <v>97</v>
      </c>
      <c r="H26" s="12" t="s">
        <v>92</v>
      </c>
      <c r="I26" s="63" t="n">
        <v>-0.025</v>
      </c>
      <c r="J26" s="64" t="n">
        <f aca="false">+I26*L26</f>
        <v>-1000</v>
      </c>
      <c r="K26" s="85" t="n">
        <v>36923</v>
      </c>
      <c r="L26" s="13" t="n">
        <v>40000</v>
      </c>
      <c r="M26" s="38" t="s">
        <v>8</v>
      </c>
      <c r="N26" s="86" t="n">
        <v>9</v>
      </c>
      <c r="O26" s="66" t="n">
        <f aca="false">L26*N26</f>
        <v>360000</v>
      </c>
      <c r="P26" s="67" t="n">
        <v>0.02</v>
      </c>
      <c r="Q26" s="68" t="n">
        <f aca="false">P26*L26</f>
        <v>800</v>
      </c>
      <c r="S26" s="69" t="str">
        <f aca="false">VLOOKUP(K26,Prices,HLOOKUP(F26,Column,2))</f>
        <v/>
      </c>
      <c r="T26" s="69" t="n">
        <f aca="false">IF(S26=0,VLOOKUP(K26,FWD_Prices,HLOOKUP(F26,Column,2)),0)</f>
        <v>0</v>
      </c>
      <c r="V26" s="70" t="e">
        <f aca="false">IF(H26="Swap",S26-N26,IF(H26="Call",MAX(S26-N26,0),IF(H26="Put",MAX(N26-S26,0),"Error on Structure")))*IF(G26="Buy",1,IF(G26="Sell",-1,"Error on Buy/Sell"))*L26*IF(S26=0,0,1)</f>
        <v>#VALUE!</v>
      </c>
      <c r="W26" s="70" t="n">
        <f aca="false">IF(H26="Swap",T26-N26,IF(H26="Call",MAX(T26-N26,0),IF(H26="Put",MAX(N26-T26,0),"Error on Structure")))*IF(G26="Buy",1,IF(G26="Sell",-1,"Error on Buy/Sell"))*L26*IF(T26=0,0,1)</f>
        <v>0</v>
      </c>
      <c r="X26" s="71" t="e">
        <f aca="false">SUM(V26:W26)</f>
        <v>#VALUE!</v>
      </c>
    </row>
    <row r="27" customFormat="false" ht="12.75" hidden="false" customHeight="false" outlineLevel="0" collapsed="false">
      <c r="A27" s="10" t="n">
        <v>4</v>
      </c>
      <c r="B27" s="10" t="s">
        <v>22</v>
      </c>
      <c r="C27" s="62" t="n">
        <v>36913</v>
      </c>
      <c r="D27" s="12" t="s">
        <v>23</v>
      </c>
      <c r="E27" s="12" t="s">
        <v>89</v>
      </c>
      <c r="F27" s="12" t="s">
        <v>90</v>
      </c>
      <c r="G27" s="10" t="s">
        <v>91</v>
      </c>
      <c r="H27" s="12" t="s">
        <v>98</v>
      </c>
      <c r="I27" s="63" t="n">
        <v>0</v>
      </c>
      <c r="J27" s="64" t="n">
        <f aca="false">+I27*L27</f>
        <v>0</v>
      </c>
      <c r="K27" s="85" t="n">
        <v>36923</v>
      </c>
      <c r="L27" s="13" t="n">
        <v>40000</v>
      </c>
      <c r="M27" s="38" t="s">
        <v>8</v>
      </c>
      <c r="N27" s="86" t="n">
        <v>3</v>
      </c>
      <c r="O27" s="66" t="n">
        <f aca="false">L27*N27</f>
        <v>120000</v>
      </c>
      <c r="P27" s="67" t="n">
        <v>0</v>
      </c>
      <c r="Q27" s="68" t="n">
        <f aca="false">P27*L27</f>
        <v>0</v>
      </c>
      <c r="S27" s="69" t="str">
        <f aca="false">VLOOKUP(K27,Prices,HLOOKUP(F27,Column,2))</f>
        <v/>
      </c>
      <c r="T27" s="69" t="n">
        <f aca="false">IF(S27=0,VLOOKUP(K27,FWD_Prices,HLOOKUP(F27,Column,2)),0)</f>
        <v>0</v>
      </c>
      <c r="V27" s="70" t="e">
        <f aca="false">IF(H27="Swap",S27-N27,IF(H27="Call",MAX(S27-N27,0),IF(H27="Put",MAX(N27-S27,0),"Error on Structure")))*IF(G27="Buy",1,IF(G27="Sell",-1,"Error on Buy/Sell"))*L27*IF(S27=0,0,1)</f>
        <v>#VALUE!</v>
      </c>
      <c r="W27" s="70" t="n">
        <f aca="false">IF(H27="Swap",T27-N27,IF(H27="Call",MAX(T27-N27,0),IF(H27="Put",MAX(N27-T27,0),"Error on Structure")))*IF(G27="Buy",1,IF(G27="Sell",-1,"Error on Buy/Sell"))*L27*IF(T27=0,0,1)</f>
        <v>-0</v>
      </c>
      <c r="X27" s="71" t="e">
        <f aca="false">SUM(V27:W27)</f>
        <v>#VALUE!</v>
      </c>
    </row>
    <row r="28" customFormat="false" ht="12.75" hidden="false" customHeight="false" outlineLevel="0" collapsed="false">
      <c r="K28" s="85"/>
      <c r="N28" s="86"/>
      <c r="W28" s="70"/>
    </row>
    <row r="29" customFormat="false" ht="12.75" hidden="false" customHeight="false" outlineLevel="0" collapsed="false">
      <c r="A29" s="10" t="n">
        <v>5</v>
      </c>
      <c r="B29" s="10" t="s">
        <v>30</v>
      </c>
      <c r="C29" s="62" t="n">
        <v>36934</v>
      </c>
      <c r="D29" s="12" t="s">
        <v>31</v>
      </c>
      <c r="E29" s="12" t="s">
        <v>89</v>
      </c>
      <c r="F29" s="12" t="s">
        <v>90</v>
      </c>
      <c r="G29" s="10" t="s">
        <v>97</v>
      </c>
      <c r="H29" s="12" t="s">
        <v>101</v>
      </c>
      <c r="I29" s="63" t="n">
        <v>0</v>
      </c>
      <c r="J29" s="64" t="n">
        <f aca="false">+I29*L29</f>
        <v>0</v>
      </c>
      <c r="K29" s="85" t="n">
        <v>37622</v>
      </c>
      <c r="L29" s="13" t="n">
        <v>60000</v>
      </c>
      <c r="M29" s="38" t="s">
        <v>8</v>
      </c>
      <c r="N29" s="86" t="n">
        <v>4.15</v>
      </c>
      <c r="O29" s="66" t="n">
        <f aca="false">L29*N29</f>
        <v>249000</v>
      </c>
      <c r="P29" s="67" t="n">
        <v>0.01</v>
      </c>
      <c r="Q29" s="68" t="n">
        <f aca="false">P29*L29</f>
        <v>600</v>
      </c>
      <c r="S29" s="69" t="str">
        <f aca="false">VLOOKUP(K29,Prices,HLOOKUP(F29,Column,2))</f>
        <v/>
      </c>
      <c r="T29" s="69" t="n">
        <f aca="false">IF(S29=0,VLOOKUP(K29,FWD_Prices,HLOOKUP(F29,Column,2)),0)</f>
        <v>0</v>
      </c>
      <c r="V29" s="70" t="e">
        <f aca="false">IF(H29="Swap",S29-N29,IF(H29="Call",MAX(S29-N29,0),IF(H29="Put",MAX(N29-S29,0),"Error on Structure")))*IF(G29="Buy",1,IF(G29="Sell",-1,"Error on Buy/Sell"))*L29*IF(S29=0,0,1)</f>
        <v>#VALUE!</v>
      </c>
      <c r="W29" s="70" t="n">
        <f aca="false">IF(H29="Swap",T29-N29,IF(H29="Call",MAX(T29-N29,0),IF(H29="Put",MAX(N29-T29,0),"Error on Structure")))*IF(G29="Buy",1,IF(G29="Sell",-1,"Error on Buy/Sell"))*L29*IF(T29=0,0,1)</f>
        <v>-0</v>
      </c>
      <c r="X29" s="71" t="e">
        <f aca="false">SUM(V29:W29)</f>
        <v>#VALUE!</v>
      </c>
      <c r="AA29" s="12" t="s">
        <v>103</v>
      </c>
    </row>
    <row r="30" customFormat="false" ht="12.75" hidden="false" customHeight="false" outlineLevel="0" collapsed="false">
      <c r="A30" s="10" t="n">
        <v>5</v>
      </c>
      <c r="B30" s="10" t="s">
        <v>30</v>
      </c>
      <c r="C30" s="62" t="n">
        <v>36934</v>
      </c>
      <c r="D30" s="12" t="s">
        <v>31</v>
      </c>
      <c r="E30" s="12" t="s">
        <v>89</v>
      </c>
      <c r="F30" s="12" t="s">
        <v>90</v>
      </c>
      <c r="G30" s="10" t="s">
        <v>97</v>
      </c>
      <c r="H30" s="12" t="s">
        <v>101</v>
      </c>
      <c r="I30" s="63" t="n">
        <v>0</v>
      </c>
      <c r="J30" s="64" t="n">
        <f aca="false">+I30*L30</f>
        <v>0</v>
      </c>
      <c r="K30" s="85" t="n">
        <v>37653</v>
      </c>
      <c r="L30" s="13" t="n">
        <v>60000</v>
      </c>
      <c r="M30" s="38" t="s">
        <v>8</v>
      </c>
      <c r="N30" s="86" t="n">
        <v>4.15</v>
      </c>
      <c r="O30" s="66" t="n">
        <f aca="false">L30*N30</f>
        <v>249000</v>
      </c>
      <c r="P30" s="67" t="n">
        <v>0.01</v>
      </c>
      <c r="Q30" s="68" t="n">
        <f aca="false">P30*L30</f>
        <v>600</v>
      </c>
      <c r="S30" s="69" t="str">
        <f aca="false">VLOOKUP(K30,Prices,HLOOKUP(F30,Column,2))</f>
        <v/>
      </c>
      <c r="T30" s="69" t="n">
        <f aca="false">IF(S30=0,VLOOKUP(K30,FWD_Prices,HLOOKUP(F30,Column,2)),0)</f>
        <v>0</v>
      </c>
      <c r="V30" s="70" t="e">
        <f aca="false">IF(H30="Swap",S30-N30,IF(H30="Call",MAX(S30-N30,0),IF(H30="Put",MAX(N30-S30,0),"Error on Structure")))*IF(G30="Buy",1,IF(G30="Sell",-1,"Error on Buy/Sell"))*L30*IF(S30=0,0,1)</f>
        <v>#VALUE!</v>
      </c>
      <c r="W30" s="70" t="n">
        <f aca="false">IF(H30="Swap",T30-N30,IF(H30="Call",MAX(T30-N30,0),IF(H30="Put",MAX(N30-T30,0),"Error on Structure")))*IF(G30="Buy",1,IF(G30="Sell",-1,"Error on Buy/Sell"))*L30*IF(T30=0,0,1)</f>
        <v>-0</v>
      </c>
      <c r="X30" s="71" t="e">
        <f aca="false">SUM(V30:W30)</f>
        <v>#VALUE!</v>
      </c>
      <c r="AA30" s="12" t="s">
        <v>103</v>
      </c>
    </row>
    <row r="31" customFormat="false" ht="12.75" hidden="false" customHeight="false" outlineLevel="0" collapsed="false">
      <c r="A31" s="10" t="n">
        <v>5</v>
      </c>
      <c r="B31" s="10" t="s">
        <v>30</v>
      </c>
      <c r="C31" s="62" t="n">
        <v>36934</v>
      </c>
      <c r="D31" s="12" t="s">
        <v>31</v>
      </c>
      <c r="E31" s="12" t="s">
        <v>89</v>
      </c>
      <c r="F31" s="12" t="s">
        <v>90</v>
      </c>
      <c r="G31" s="10" t="s">
        <v>97</v>
      </c>
      <c r="H31" s="12" t="s">
        <v>101</v>
      </c>
      <c r="I31" s="63" t="n">
        <v>0</v>
      </c>
      <c r="J31" s="64" t="n">
        <f aca="false">+I31*L31</f>
        <v>0</v>
      </c>
      <c r="K31" s="85" t="n">
        <v>37681</v>
      </c>
      <c r="L31" s="13" t="n">
        <v>60000</v>
      </c>
      <c r="M31" s="38" t="s">
        <v>8</v>
      </c>
      <c r="N31" s="86" t="n">
        <v>4.15</v>
      </c>
      <c r="O31" s="66" t="n">
        <f aca="false">L31*N31</f>
        <v>249000</v>
      </c>
      <c r="P31" s="67" t="n">
        <v>0.01</v>
      </c>
      <c r="Q31" s="68" t="n">
        <f aca="false">P31*L31</f>
        <v>600</v>
      </c>
      <c r="S31" s="69" t="str">
        <f aca="false">VLOOKUP(K31,Prices,HLOOKUP(F31,Column,2))</f>
        <v/>
      </c>
      <c r="T31" s="69" t="n">
        <f aca="false">IF(S31=0,VLOOKUP(K31,FWD_Prices,HLOOKUP(F31,Column,2)),0)</f>
        <v>0</v>
      </c>
      <c r="V31" s="70" t="e">
        <f aca="false">IF(H31="Swap",S31-N31,IF(H31="Call",MAX(S31-N31,0),IF(H31="Put",MAX(N31-S31,0),"Error on Structure")))*IF(G31="Buy",1,IF(G31="Sell",-1,"Error on Buy/Sell"))*L31*IF(S31=0,0,1)</f>
        <v>#VALUE!</v>
      </c>
      <c r="W31" s="70" t="n">
        <f aca="false">IF(H31="Swap",T31-N31,IF(H31="Call",MAX(T31-N31,0),IF(H31="Put",MAX(N31-T31,0),"Error on Structure")))*IF(G31="Buy",1,IF(G31="Sell",-1,"Error on Buy/Sell"))*L31*IF(T31=0,0,1)</f>
        <v>-0</v>
      </c>
      <c r="X31" s="71" t="e">
        <f aca="false">SUM(V31:W31)</f>
        <v>#VALUE!</v>
      </c>
      <c r="AA31" s="12" t="s">
        <v>103</v>
      </c>
    </row>
    <row r="32" customFormat="false" ht="12.75" hidden="false" customHeight="false" outlineLevel="0" collapsed="false">
      <c r="A32" s="10" t="n">
        <v>5</v>
      </c>
      <c r="B32" s="10" t="s">
        <v>30</v>
      </c>
      <c r="C32" s="62" t="n">
        <v>36934</v>
      </c>
      <c r="D32" s="12" t="s">
        <v>31</v>
      </c>
      <c r="E32" s="12" t="s">
        <v>89</v>
      </c>
      <c r="F32" s="12" t="s">
        <v>90</v>
      </c>
      <c r="G32" s="10" t="s">
        <v>97</v>
      </c>
      <c r="H32" s="12" t="s">
        <v>101</v>
      </c>
      <c r="I32" s="63" t="n">
        <v>0</v>
      </c>
      <c r="J32" s="64" t="n">
        <f aca="false">+I32*L32</f>
        <v>0</v>
      </c>
      <c r="K32" s="85" t="n">
        <v>37712</v>
      </c>
      <c r="L32" s="13" t="n">
        <v>60000</v>
      </c>
      <c r="M32" s="38" t="s">
        <v>8</v>
      </c>
      <c r="N32" s="86" t="n">
        <v>4.15</v>
      </c>
      <c r="O32" s="66" t="n">
        <f aca="false">L32*N32</f>
        <v>249000</v>
      </c>
      <c r="P32" s="67" t="n">
        <v>0.01</v>
      </c>
      <c r="Q32" s="68" t="n">
        <f aca="false">P32*L32</f>
        <v>600</v>
      </c>
      <c r="S32" s="69" t="str">
        <f aca="false">VLOOKUP(K32,Prices,HLOOKUP(F32,Column,2))</f>
        <v/>
      </c>
      <c r="T32" s="69" t="n">
        <f aca="false">IF(S32=0,VLOOKUP(K32,FWD_Prices,HLOOKUP(F32,Column,2)),0)</f>
        <v>0</v>
      </c>
      <c r="V32" s="70" t="e">
        <f aca="false">IF(H32="Swap",S32-N32,IF(H32="Call",MAX(S32-N32,0),IF(H32="Put",MAX(N32-S32,0),"Error on Structure")))*IF(G32="Buy",1,IF(G32="Sell",-1,"Error on Buy/Sell"))*L32*IF(S32=0,0,1)</f>
        <v>#VALUE!</v>
      </c>
      <c r="W32" s="70" t="n">
        <f aca="false">IF(H32="Swap",T32-N32,IF(H32="Call",MAX(T32-N32,0),IF(H32="Put",MAX(N32-T32,0),"Error on Structure")))*IF(G32="Buy",1,IF(G32="Sell",-1,"Error on Buy/Sell"))*L32*IF(T32=0,0,1)</f>
        <v>-0</v>
      </c>
      <c r="X32" s="71" t="e">
        <f aca="false">SUM(V32:W32)</f>
        <v>#VALUE!</v>
      </c>
      <c r="AA32" s="12" t="s">
        <v>103</v>
      </c>
    </row>
    <row r="33" customFormat="false" ht="12.75" hidden="false" customHeight="false" outlineLevel="0" collapsed="false">
      <c r="A33" s="10" t="n">
        <v>5</v>
      </c>
      <c r="B33" s="10" t="s">
        <v>30</v>
      </c>
      <c r="C33" s="62" t="n">
        <v>36934</v>
      </c>
      <c r="D33" s="12" t="s">
        <v>31</v>
      </c>
      <c r="E33" s="12" t="s">
        <v>89</v>
      </c>
      <c r="F33" s="12" t="s">
        <v>90</v>
      </c>
      <c r="G33" s="10" t="s">
        <v>97</v>
      </c>
      <c r="H33" s="12" t="s">
        <v>101</v>
      </c>
      <c r="I33" s="63" t="n">
        <v>0</v>
      </c>
      <c r="J33" s="64" t="n">
        <f aca="false">+I33*L33</f>
        <v>0</v>
      </c>
      <c r="K33" s="85" t="n">
        <v>37742</v>
      </c>
      <c r="L33" s="13" t="n">
        <v>60000</v>
      </c>
      <c r="M33" s="38" t="s">
        <v>8</v>
      </c>
      <c r="N33" s="86" t="n">
        <v>4.15</v>
      </c>
      <c r="O33" s="66" t="n">
        <f aca="false">L33*N33</f>
        <v>249000</v>
      </c>
      <c r="P33" s="67" t="n">
        <v>0.01</v>
      </c>
      <c r="Q33" s="68" t="n">
        <f aca="false">P33*L33</f>
        <v>600</v>
      </c>
      <c r="S33" s="69" t="str">
        <f aca="false">VLOOKUP(K33,Prices,HLOOKUP(F33,Column,2))</f>
        <v/>
      </c>
      <c r="T33" s="69" t="n">
        <f aca="false">IF(S33=0,VLOOKUP(K33,FWD_Prices,HLOOKUP(F33,Column,2)),0)</f>
        <v>0</v>
      </c>
      <c r="V33" s="70" t="e">
        <f aca="false">IF(H33="Swap",S33-N33,IF(H33="Call",MAX(S33-N33,0),IF(H33="Put",MAX(N33-S33,0),"Error on Structure")))*IF(G33="Buy",1,IF(G33="Sell",-1,"Error on Buy/Sell"))*L33*IF(S33=0,0,1)</f>
        <v>#VALUE!</v>
      </c>
      <c r="W33" s="70" t="n">
        <f aca="false">IF(H33="Swap",T33-N33,IF(H33="Call",MAX(T33-N33,0),IF(H33="Put",MAX(N33-T33,0),"Error on Structure")))*IF(G33="Buy",1,IF(G33="Sell",-1,"Error on Buy/Sell"))*L33*IF(T33=0,0,1)</f>
        <v>-0</v>
      </c>
      <c r="X33" s="71" t="e">
        <f aca="false">SUM(V33:W33)</f>
        <v>#VALUE!</v>
      </c>
      <c r="AA33" s="12" t="s">
        <v>103</v>
      </c>
    </row>
    <row r="34" customFormat="false" ht="12.75" hidden="false" customHeight="false" outlineLevel="0" collapsed="false">
      <c r="A34" s="10" t="n">
        <v>5</v>
      </c>
      <c r="B34" s="10" t="s">
        <v>30</v>
      </c>
      <c r="C34" s="62" t="n">
        <v>36934</v>
      </c>
      <c r="D34" s="12" t="s">
        <v>31</v>
      </c>
      <c r="E34" s="12" t="s">
        <v>89</v>
      </c>
      <c r="F34" s="12" t="s">
        <v>90</v>
      </c>
      <c r="G34" s="10" t="s">
        <v>97</v>
      </c>
      <c r="H34" s="12" t="s">
        <v>101</v>
      </c>
      <c r="I34" s="63" t="n">
        <v>0</v>
      </c>
      <c r="J34" s="64" t="n">
        <f aca="false">+I34*L34</f>
        <v>0</v>
      </c>
      <c r="K34" s="85" t="n">
        <v>37773</v>
      </c>
      <c r="L34" s="13" t="n">
        <v>60000</v>
      </c>
      <c r="M34" s="38" t="s">
        <v>8</v>
      </c>
      <c r="N34" s="86" t="n">
        <v>4.15</v>
      </c>
      <c r="O34" s="66" t="n">
        <f aca="false">L34*N34</f>
        <v>249000</v>
      </c>
      <c r="P34" s="67" t="n">
        <v>0.01</v>
      </c>
      <c r="Q34" s="68" t="n">
        <f aca="false">P34*L34</f>
        <v>600</v>
      </c>
      <c r="S34" s="69" t="str">
        <f aca="false">VLOOKUP(K34,Prices,HLOOKUP(F34,Column,2))</f>
        <v/>
      </c>
      <c r="T34" s="69" t="n">
        <f aca="false">IF(S34=0,VLOOKUP(K34,FWD_Prices,HLOOKUP(F34,Column,2)),0)</f>
        <v>0</v>
      </c>
      <c r="V34" s="70" t="e">
        <f aca="false">IF(H34="Swap",S34-N34,IF(H34="Call",MAX(S34-N34,0),IF(H34="Put",MAX(N34-S34,0),"Error on Structure")))*IF(G34="Buy",1,IF(G34="Sell",-1,"Error on Buy/Sell"))*L34*IF(S34=0,0,1)</f>
        <v>#VALUE!</v>
      </c>
      <c r="W34" s="70" t="n">
        <f aca="false">IF(H34="Swap",T34-N34,IF(H34="Call",MAX(T34-N34,0),IF(H34="Put",MAX(N34-T34,0),"Error on Structure")))*IF(G34="Buy",1,IF(G34="Sell",-1,"Error on Buy/Sell"))*L34*IF(T34=0,0,1)</f>
        <v>-0</v>
      </c>
      <c r="X34" s="71" t="e">
        <f aca="false">SUM(V34:W34)</f>
        <v>#VALUE!</v>
      </c>
      <c r="AA34" s="12" t="s">
        <v>103</v>
      </c>
    </row>
    <row r="35" customFormat="false" ht="12.75" hidden="false" customHeight="false" outlineLevel="0" collapsed="false">
      <c r="A35" s="10" t="n">
        <v>5</v>
      </c>
      <c r="B35" s="10" t="s">
        <v>30</v>
      </c>
      <c r="C35" s="62" t="n">
        <v>36934</v>
      </c>
      <c r="D35" s="12" t="s">
        <v>31</v>
      </c>
      <c r="E35" s="12" t="s">
        <v>89</v>
      </c>
      <c r="F35" s="12" t="s">
        <v>90</v>
      </c>
      <c r="G35" s="10" t="s">
        <v>97</v>
      </c>
      <c r="H35" s="12" t="s">
        <v>101</v>
      </c>
      <c r="I35" s="63" t="n">
        <v>0</v>
      </c>
      <c r="J35" s="64" t="n">
        <f aca="false">+I35*L35</f>
        <v>0</v>
      </c>
      <c r="K35" s="85" t="n">
        <v>37803</v>
      </c>
      <c r="L35" s="13" t="n">
        <v>60000</v>
      </c>
      <c r="M35" s="38" t="s">
        <v>8</v>
      </c>
      <c r="N35" s="86" t="n">
        <v>4.15</v>
      </c>
      <c r="O35" s="66" t="n">
        <f aca="false">L35*N35</f>
        <v>249000</v>
      </c>
      <c r="P35" s="67" t="n">
        <v>0.01</v>
      </c>
      <c r="Q35" s="68" t="n">
        <f aca="false">P35*L35</f>
        <v>600</v>
      </c>
      <c r="S35" s="69" t="str">
        <f aca="false">VLOOKUP(K35,Prices,HLOOKUP(F35,Column,2))</f>
        <v/>
      </c>
      <c r="T35" s="69" t="n">
        <f aca="false">IF(S35=0,VLOOKUP(K35,FWD_Prices,HLOOKUP(F35,Column,2)),0)</f>
        <v>0</v>
      </c>
      <c r="V35" s="70" t="e">
        <f aca="false">IF(H35="Swap",S35-N35,IF(H35="Call",MAX(S35-N35,0),IF(H35="Put",MAX(N35-S35,0),"Error on Structure")))*IF(G35="Buy",1,IF(G35="Sell",-1,"Error on Buy/Sell"))*L35*IF(S35=0,0,1)</f>
        <v>#VALUE!</v>
      </c>
      <c r="W35" s="70" t="n">
        <f aca="false">IF(H35="Swap",T35-N35,IF(H35="Call",MAX(T35-N35,0),IF(H35="Put",MAX(N35-T35,0),"Error on Structure")))*IF(G35="Buy",1,IF(G35="Sell",-1,"Error on Buy/Sell"))*L35*IF(T35=0,0,1)</f>
        <v>-0</v>
      </c>
      <c r="X35" s="71" t="e">
        <f aca="false">SUM(V35:W35)</f>
        <v>#VALUE!</v>
      </c>
      <c r="AA35" s="12" t="s">
        <v>103</v>
      </c>
    </row>
    <row r="36" customFormat="false" ht="12.75" hidden="false" customHeight="false" outlineLevel="0" collapsed="false">
      <c r="A36" s="10" t="n">
        <v>5</v>
      </c>
      <c r="B36" s="10" t="s">
        <v>30</v>
      </c>
      <c r="C36" s="62" t="n">
        <v>36934</v>
      </c>
      <c r="D36" s="12" t="s">
        <v>31</v>
      </c>
      <c r="E36" s="12" t="s">
        <v>89</v>
      </c>
      <c r="F36" s="12" t="s">
        <v>90</v>
      </c>
      <c r="G36" s="10" t="s">
        <v>97</v>
      </c>
      <c r="H36" s="12" t="s">
        <v>101</v>
      </c>
      <c r="I36" s="63" t="n">
        <v>0</v>
      </c>
      <c r="J36" s="64" t="n">
        <f aca="false">+I36*L36</f>
        <v>0</v>
      </c>
      <c r="K36" s="85" t="n">
        <v>37834</v>
      </c>
      <c r="L36" s="13" t="n">
        <v>60000</v>
      </c>
      <c r="M36" s="38" t="s">
        <v>8</v>
      </c>
      <c r="N36" s="86" t="n">
        <v>4.15</v>
      </c>
      <c r="O36" s="66" t="n">
        <f aca="false">L36*N36</f>
        <v>249000</v>
      </c>
      <c r="P36" s="67" t="n">
        <v>0.01</v>
      </c>
      <c r="Q36" s="68" t="n">
        <f aca="false">P36*L36</f>
        <v>600</v>
      </c>
      <c r="S36" s="69" t="str">
        <f aca="false">VLOOKUP(K36,Prices,HLOOKUP(F36,Column,2))</f>
        <v/>
      </c>
      <c r="T36" s="69" t="n">
        <f aca="false">IF(S36=0,VLOOKUP(K36,FWD_Prices,HLOOKUP(F36,Column,2)),0)</f>
        <v>0</v>
      </c>
      <c r="V36" s="70" t="e">
        <f aca="false">IF(H36="Swap",S36-N36,IF(H36="Call",MAX(S36-N36,0),IF(H36="Put",MAX(N36-S36,0),"Error on Structure")))*IF(G36="Buy",1,IF(G36="Sell",-1,"Error on Buy/Sell"))*L36*IF(S36=0,0,1)</f>
        <v>#VALUE!</v>
      </c>
      <c r="W36" s="70" t="n">
        <f aca="false">IF(H36="Swap",T36-N36,IF(H36="Call",MAX(T36-N36,0),IF(H36="Put",MAX(N36-T36,0),"Error on Structure")))*IF(G36="Buy",1,IF(G36="Sell",-1,"Error on Buy/Sell"))*L36*IF(T36=0,0,1)</f>
        <v>-0</v>
      </c>
      <c r="X36" s="71" t="e">
        <f aca="false">SUM(V36:W36)</f>
        <v>#VALUE!</v>
      </c>
      <c r="AA36" s="12" t="s">
        <v>103</v>
      </c>
    </row>
    <row r="37" customFormat="false" ht="12.75" hidden="false" customHeight="false" outlineLevel="0" collapsed="false">
      <c r="A37" s="10" t="n">
        <v>5</v>
      </c>
      <c r="B37" s="10" t="s">
        <v>30</v>
      </c>
      <c r="C37" s="62" t="n">
        <v>36934</v>
      </c>
      <c r="D37" s="12" t="s">
        <v>31</v>
      </c>
      <c r="E37" s="12" t="s">
        <v>89</v>
      </c>
      <c r="F37" s="12" t="s">
        <v>90</v>
      </c>
      <c r="G37" s="10" t="s">
        <v>97</v>
      </c>
      <c r="H37" s="12" t="s">
        <v>101</v>
      </c>
      <c r="I37" s="63" t="n">
        <v>0</v>
      </c>
      <c r="J37" s="64" t="n">
        <f aca="false">+I37*L37</f>
        <v>0</v>
      </c>
      <c r="K37" s="85" t="n">
        <v>37865</v>
      </c>
      <c r="L37" s="13" t="n">
        <v>60000</v>
      </c>
      <c r="M37" s="38" t="s">
        <v>8</v>
      </c>
      <c r="N37" s="86" t="n">
        <v>4.15</v>
      </c>
      <c r="O37" s="66" t="n">
        <f aca="false">L37*N37</f>
        <v>249000</v>
      </c>
      <c r="P37" s="67" t="n">
        <v>0.01</v>
      </c>
      <c r="Q37" s="68" t="n">
        <f aca="false">P37*L37</f>
        <v>600</v>
      </c>
      <c r="S37" s="69" t="str">
        <f aca="false">VLOOKUP(K37,Prices,HLOOKUP(F37,Column,2))</f>
        <v/>
      </c>
      <c r="T37" s="69" t="n">
        <f aca="false">IF(S37=0,VLOOKUP(K37,FWD_Prices,HLOOKUP(F37,Column,2)),0)</f>
        <v>0</v>
      </c>
      <c r="V37" s="70" t="e">
        <f aca="false">IF(H37="Swap",S37-N37,IF(H37="Call",MAX(S37-N37,0),IF(H37="Put",MAX(N37-S37,0),"Error on Structure")))*IF(G37="Buy",1,IF(G37="Sell",-1,"Error on Buy/Sell"))*L37*IF(S37=0,0,1)</f>
        <v>#VALUE!</v>
      </c>
      <c r="W37" s="70" t="n">
        <f aca="false">IF(H37="Swap",T37-N37,IF(H37="Call",MAX(T37-N37,0),IF(H37="Put",MAX(N37-T37,0),"Error on Structure")))*IF(G37="Buy",1,IF(G37="Sell",-1,"Error on Buy/Sell"))*L37*IF(T37=0,0,1)</f>
        <v>-0</v>
      </c>
      <c r="X37" s="71" t="e">
        <f aca="false">SUM(V37:W37)</f>
        <v>#VALUE!</v>
      </c>
      <c r="AA37" s="12" t="s">
        <v>103</v>
      </c>
    </row>
    <row r="38" customFormat="false" ht="12.75" hidden="false" customHeight="false" outlineLevel="0" collapsed="false">
      <c r="A38" s="10" t="n">
        <v>5</v>
      </c>
      <c r="B38" s="10" t="s">
        <v>30</v>
      </c>
      <c r="C38" s="62" t="n">
        <v>36934</v>
      </c>
      <c r="D38" s="12" t="s">
        <v>31</v>
      </c>
      <c r="E38" s="12" t="s">
        <v>89</v>
      </c>
      <c r="F38" s="12" t="s">
        <v>90</v>
      </c>
      <c r="G38" s="10" t="s">
        <v>97</v>
      </c>
      <c r="H38" s="12" t="s">
        <v>101</v>
      </c>
      <c r="I38" s="63" t="n">
        <v>0</v>
      </c>
      <c r="J38" s="64" t="n">
        <f aca="false">+I38*L38</f>
        <v>0</v>
      </c>
      <c r="K38" s="85" t="n">
        <v>37895</v>
      </c>
      <c r="L38" s="13" t="n">
        <v>60000</v>
      </c>
      <c r="M38" s="38" t="s">
        <v>8</v>
      </c>
      <c r="N38" s="86" t="n">
        <v>4.15</v>
      </c>
      <c r="O38" s="66" t="n">
        <f aca="false">L38*N38</f>
        <v>249000</v>
      </c>
      <c r="P38" s="67" t="n">
        <v>0.01</v>
      </c>
      <c r="Q38" s="68" t="n">
        <f aca="false">P38*L38</f>
        <v>600</v>
      </c>
      <c r="S38" s="69" t="str">
        <f aca="false">VLOOKUP(K38,Prices,HLOOKUP(F38,Column,2))</f>
        <v/>
      </c>
      <c r="T38" s="69" t="n">
        <f aca="false">IF(S38=0,VLOOKUP(K38,FWD_Prices,HLOOKUP(F38,Column,2)),0)</f>
        <v>0</v>
      </c>
      <c r="V38" s="70" t="e">
        <f aca="false">IF(H38="Swap",S38-N38,IF(H38="Call",MAX(S38-N38,0),IF(H38="Put",MAX(N38-S38,0),"Error on Structure")))*IF(G38="Buy",1,IF(G38="Sell",-1,"Error on Buy/Sell"))*L38*IF(S38=0,0,1)</f>
        <v>#VALUE!</v>
      </c>
      <c r="W38" s="70" t="n">
        <f aca="false">IF(H38="Swap",T38-N38,IF(H38="Call",MAX(T38-N38,0),IF(H38="Put",MAX(N38-T38,0),"Error on Structure")))*IF(G38="Buy",1,IF(G38="Sell",-1,"Error on Buy/Sell"))*L38*IF(T38=0,0,1)</f>
        <v>-0</v>
      </c>
      <c r="X38" s="71" t="e">
        <f aca="false">SUM(V38:W38)</f>
        <v>#VALUE!</v>
      </c>
      <c r="AA38" s="12" t="s">
        <v>103</v>
      </c>
    </row>
    <row r="39" customFormat="false" ht="12.75" hidden="false" customHeight="false" outlineLevel="0" collapsed="false">
      <c r="A39" s="10" t="n">
        <v>5</v>
      </c>
      <c r="B39" s="10" t="s">
        <v>30</v>
      </c>
      <c r="C39" s="62" t="n">
        <v>36934</v>
      </c>
      <c r="D39" s="12" t="s">
        <v>31</v>
      </c>
      <c r="E39" s="12" t="s">
        <v>89</v>
      </c>
      <c r="F39" s="12" t="s">
        <v>90</v>
      </c>
      <c r="G39" s="10" t="s">
        <v>97</v>
      </c>
      <c r="H39" s="12" t="s">
        <v>101</v>
      </c>
      <c r="I39" s="63" t="n">
        <v>0</v>
      </c>
      <c r="J39" s="64" t="n">
        <f aca="false">+I39*L39</f>
        <v>0</v>
      </c>
      <c r="K39" s="85" t="n">
        <v>37926</v>
      </c>
      <c r="L39" s="13" t="n">
        <v>60000</v>
      </c>
      <c r="M39" s="38" t="s">
        <v>8</v>
      </c>
      <c r="N39" s="86" t="n">
        <v>4.15</v>
      </c>
      <c r="O39" s="66" t="n">
        <f aca="false">L39*N39</f>
        <v>249000</v>
      </c>
      <c r="P39" s="67" t="n">
        <v>0.01</v>
      </c>
      <c r="Q39" s="68" t="n">
        <f aca="false">P39*L39</f>
        <v>600</v>
      </c>
      <c r="S39" s="69" t="str">
        <f aca="false">VLOOKUP(K39,Prices,HLOOKUP(F39,Column,2))</f>
        <v/>
      </c>
      <c r="T39" s="69" t="n">
        <f aca="false">IF(S39=0,VLOOKUP(K39,FWD_Prices,HLOOKUP(F39,Column,2)),0)</f>
        <v>0</v>
      </c>
      <c r="V39" s="70" t="e">
        <f aca="false">IF(H39="Swap",S39-N39,IF(H39="Call",MAX(S39-N39,0),IF(H39="Put",MAX(N39-S39,0),"Error on Structure")))*IF(G39="Buy",1,IF(G39="Sell",-1,"Error on Buy/Sell"))*L39*IF(S39=0,0,1)</f>
        <v>#VALUE!</v>
      </c>
      <c r="W39" s="70" t="n">
        <f aca="false">IF(H39="Swap",T39-N39,IF(H39="Call",MAX(T39-N39,0),IF(H39="Put",MAX(N39-T39,0),"Error on Structure")))*IF(G39="Buy",1,IF(G39="Sell",-1,"Error on Buy/Sell"))*L39*IF(T39=0,0,1)</f>
        <v>-0</v>
      </c>
      <c r="X39" s="71" t="e">
        <f aca="false">SUM(V39:W39)</f>
        <v>#VALUE!</v>
      </c>
      <c r="AA39" s="12" t="s">
        <v>103</v>
      </c>
    </row>
    <row r="40" customFormat="false" ht="12.75" hidden="false" customHeight="false" outlineLevel="0" collapsed="false">
      <c r="A40" s="10" t="n">
        <v>5</v>
      </c>
      <c r="B40" s="10" t="s">
        <v>30</v>
      </c>
      <c r="C40" s="62" t="n">
        <v>36934</v>
      </c>
      <c r="D40" s="12" t="s">
        <v>31</v>
      </c>
      <c r="E40" s="12" t="s">
        <v>89</v>
      </c>
      <c r="F40" s="12" t="s">
        <v>90</v>
      </c>
      <c r="G40" s="10" t="s">
        <v>97</v>
      </c>
      <c r="H40" s="12" t="s">
        <v>101</v>
      </c>
      <c r="I40" s="63" t="n">
        <v>0</v>
      </c>
      <c r="J40" s="64" t="n">
        <f aca="false">+I40*L40</f>
        <v>0</v>
      </c>
      <c r="K40" s="85" t="n">
        <v>37956</v>
      </c>
      <c r="L40" s="13" t="n">
        <v>60000</v>
      </c>
      <c r="M40" s="38" t="s">
        <v>8</v>
      </c>
      <c r="N40" s="86" t="n">
        <v>4.15</v>
      </c>
      <c r="O40" s="66" t="n">
        <f aca="false">L40*N40</f>
        <v>249000</v>
      </c>
      <c r="P40" s="67" t="n">
        <v>0.01</v>
      </c>
      <c r="Q40" s="68" t="n">
        <f aca="false">P40*L40</f>
        <v>600</v>
      </c>
      <c r="S40" s="69" t="str">
        <f aca="false">VLOOKUP(K40,Prices,HLOOKUP(F40,Column,2))</f>
        <v/>
      </c>
      <c r="T40" s="69" t="n">
        <f aca="false">IF(S40=0,VLOOKUP(K40,FWD_Prices,HLOOKUP(F40,Column,2)),0)</f>
        <v>0</v>
      </c>
      <c r="V40" s="70" t="e">
        <f aca="false">IF(H40="Swap",S40-N40,IF(H40="Call",MAX(S40-N40,0),IF(H40="Put",MAX(N40-S40,0),"Error on Structure")))*IF(G40="Buy",1,IF(G40="Sell",-1,"Error on Buy/Sell"))*L40*IF(S40=0,0,1)</f>
        <v>#VALUE!</v>
      </c>
      <c r="W40" s="70" t="n">
        <f aca="false">IF(H40="Swap",T40-N40,IF(H40="Call",MAX(T40-N40,0),IF(H40="Put",MAX(N40-T40,0),"Error on Structure")))*IF(G40="Buy",1,IF(G40="Sell",-1,"Error on Buy/Sell"))*L40*IF(T40=0,0,1)</f>
        <v>-0</v>
      </c>
      <c r="X40" s="71" t="e">
        <f aca="false">SUM(V40:W40)</f>
        <v>#VALUE!</v>
      </c>
      <c r="AA40" s="12" t="s">
        <v>103</v>
      </c>
    </row>
    <row r="42" customFormat="false" ht="12.75" hidden="false" customHeight="false" outlineLevel="0" collapsed="false">
      <c r="A42" s="10" t="n">
        <v>6</v>
      </c>
      <c r="B42" s="10" t="s">
        <v>104</v>
      </c>
      <c r="C42" s="62" t="n">
        <v>36938</v>
      </c>
      <c r="D42" s="12" t="s">
        <v>54</v>
      </c>
      <c r="E42" s="12" t="s">
        <v>89</v>
      </c>
      <c r="F42" s="12" t="s">
        <v>105</v>
      </c>
      <c r="G42" s="10" t="s">
        <v>97</v>
      </c>
      <c r="H42" s="12" t="s">
        <v>101</v>
      </c>
      <c r="I42" s="63" t="n">
        <v>0</v>
      </c>
      <c r="J42" s="64" t="n">
        <f aca="false">+I42*L42</f>
        <v>0</v>
      </c>
      <c r="K42" s="85" t="n">
        <v>36951</v>
      </c>
      <c r="L42" s="13" t="n">
        <v>21081</v>
      </c>
      <c r="M42" s="38" t="s">
        <v>8</v>
      </c>
      <c r="N42" s="86" t="n">
        <v>9.58</v>
      </c>
      <c r="O42" s="66" t="n">
        <f aca="false">L42*N42</f>
        <v>201955.98</v>
      </c>
      <c r="P42" s="67" t="n">
        <v>0.04</v>
      </c>
      <c r="Q42" s="68" t="n">
        <f aca="false">P42*L42</f>
        <v>843.24</v>
      </c>
      <c r="S42" s="69" t="n">
        <f aca="false">VLOOKUP(K42,Prices,HLOOKUP(F42,Column,2))</f>
        <v>5.03</v>
      </c>
      <c r="T42" s="69" t="n">
        <f aca="false">IF(S42=0,VLOOKUP(K42,FWD_Prices,HLOOKUP(F42,Column,2)),0)</f>
        <v>0</v>
      </c>
      <c r="V42" s="70" t="s">
        <v>106</v>
      </c>
      <c r="W42" s="70" t="s">
        <v>106</v>
      </c>
      <c r="X42" s="70" t="s">
        <v>106</v>
      </c>
      <c r="AA42" s="12" t="s">
        <v>107</v>
      </c>
      <c r="AC42" s="10" t="s">
        <v>94</v>
      </c>
    </row>
    <row r="43" customFormat="false" ht="12.75" hidden="false" customHeight="false" outlineLevel="0" collapsed="false">
      <c r="A43" s="10" t="n">
        <v>6</v>
      </c>
      <c r="B43" s="10" t="s">
        <v>33</v>
      </c>
      <c r="C43" s="62" t="n">
        <v>36938</v>
      </c>
      <c r="D43" s="12" t="s">
        <v>54</v>
      </c>
      <c r="E43" s="12" t="s">
        <v>89</v>
      </c>
      <c r="F43" s="12" t="s">
        <v>105</v>
      </c>
      <c r="G43" s="10" t="s">
        <v>97</v>
      </c>
      <c r="H43" s="12" t="s">
        <v>101</v>
      </c>
      <c r="I43" s="63" t="n">
        <v>0</v>
      </c>
      <c r="J43" s="64" t="n">
        <f aca="false">+I43*L43</f>
        <v>0</v>
      </c>
      <c r="K43" s="85" t="n">
        <v>36982</v>
      </c>
      <c r="L43" s="13" t="n">
        <v>21081</v>
      </c>
      <c r="M43" s="38" t="s">
        <v>8</v>
      </c>
      <c r="N43" s="86" t="n">
        <v>9.58</v>
      </c>
      <c r="O43" s="66" t="n">
        <f aca="false">L43*N43</f>
        <v>201955.98</v>
      </c>
      <c r="P43" s="67" t="n">
        <v>0.04</v>
      </c>
      <c r="Q43" s="68" t="n">
        <f aca="false">P43*L43</f>
        <v>843.24</v>
      </c>
      <c r="S43" s="69" t="str">
        <f aca="false">VLOOKUP(K43,Prices,HLOOKUP(F43,Column,2))</f>
        <v/>
      </c>
      <c r="T43" s="69" t="n">
        <f aca="false">IF(S43=0,VLOOKUP(K43,FWD_Prices,HLOOKUP(F43,Column,2)),0)</f>
        <v>0</v>
      </c>
      <c r="V43" s="70" t="s">
        <v>106</v>
      </c>
      <c r="W43" s="70" t="s">
        <v>106</v>
      </c>
      <c r="X43" s="70" t="s">
        <v>106</v>
      </c>
      <c r="AA43" s="12" t="s">
        <v>107</v>
      </c>
      <c r="AC43" s="10" t="s">
        <v>94</v>
      </c>
    </row>
    <row r="44" customFormat="false" ht="12.75" hidden="false" customHeight="false" outlineLevel="0" collapsed="false">
      <c r="A44" s="10" t="n">
        <v>6</v>
      </c>
      <c r="B44" s="10" t="s">
        <v>33</v>
      </c>
      <c r="C44" s="62" t="n">
        <v>36938</v>
      </c>
      <c r="D44" s="12" t="s">
        <v>54</v>
      </c>
      <c r="E44" s="12" t="s">
        <v>89</v>
      </c>
      <c r="F44" s="12" t="s">
        <v>105</v>
      </c>
      <c r="G44" s="10" t="s">
        <v>97</v>
      </c>
      <c r="H44" s="12" t="s">
        <v>101</v>
      </c>
      <c r="I44" s="63" t="n">
        <v>0</v>
      </c>
      <c r="J44" s="64" t="n">
        <f aca="false">+I44*L44</f>
        <v>0</v>
      </c>
      <c r="K44" s="85" t="n">
        <v>37012</v>
      </c>
      <c r="L44" s="13" t="n">
        <v>21081</v>
      </c>
      <c r="M44" s="38" t="s">
        <v>8</v>
      </c>
      <c r="N44" s="86" t="n">
        <v>9.58</v>
      </c>
      <c r="O44" s="66" t="n">
        <f aca="false">L44*N44</f>
        <v>201955.98</v>
      </c>
      <c r="P44" s="67" t="n">
        <v>0.04</v>
      </c>
      <c r="Q44" s="68" t="n">
        <f aca="false">P44*L44</f>
        <v>843.24</v>
      </c>
      <c r="S44" s="69" t="str">
        <f aca="false">VLOOKUP(K44,Prices,HLOOKUP(F44,Column,2))</f>
        <v/>
      </c>
      <c r="T44" s="69" t="n">
        <f aca="false">IF(S44=0,VLOOKUP(K44,FWD_Prices,HLOOKUP(F44,Column,2)),0)</f>
        <v>0</v>
      </c>
      <c r="V44" s="70" t="s">
        <v>106</v>
      </c>
      <c r="W44" s="70" t="s">
        <v>106</v>
      </c>
      <c r="X44" s="70" t="s">
        <v>106</v>
      </c>
      <c r="AA44" s="12" t="s">
        <v>107</v>
      </c>
      <c r="AC44" s="10" t="s">
        <v>94</v>
      </c>
    </row>
    <row r="45" customFormat="false" ht="12.75" hidden="false" customHeight="false" outlineLevel="0" collapsed="false">
      <c r="A45" s="10" t="n">
        <v>6</v>
      </c>
      <c r="B45" s="10" t="s">
        <v>33</v>
      </c>
      <c r="C45" s="62" t="n">
        <v>36938</v>
      </c>
      <c r="D45" s="12" t="s">
        <v>54</v>
      </c>
      <c r="E45" s="12" t="s">
        <v>89</v>
      </c>
      <c r="F45" s="12" t="s">
        <v>105</v>
      </c>
      <c r="G45" s="10" t="s">
        <v>97</v>
      </c>
      <c r="H45" s="12" t="s">
        <v>101</v>
      </c>
      <c r="I45" s="63" t="n">
        <v>0</v>
      </c>
      <c r="J45" s="64" t="n">
        <f aca="false">+I45*L45</f>
        <v>0</v>
      </c>
      <c r="K45" s="85" t="n">
        <v>37043</v>
      </c>
      <c r="L45" s="13" t="n">
        <v>21081</v>
      </c>
      <c r="M45" s="38" t="s">
        <v>8</v>
      </c>
      <c r="N45" s="86" t="n">
        <v>9.58</v>
      </c>
      <c r="O45" s="66" t="n">
        <f aca="false">L45*N45</f>
        <v>201955.98</v>
      </c>
      <c r="P45" s="67" t="n">
        <v>0.04</v>
      </c>
      <c r="Q45" s="68" t="n">
        <f aca="false">P45*L45</f>
        <v>843.24</v>
      </c>
      <c r="S45" s="69" t="str">
        <f aca="false">VLOOKUP(K45,Prices,HLOOKUP(F45,Column,2))</f>
        <v/>
      </c>
      <c r="T45" s="69" t="n">
        <f aca="false">IF(S45=0,VLOOKUP(K45,FWD_Prices,HLOOKUP(F45,Column,2)),0)</f>
        <v>0</v>
      </c>
      <c r="V45" s="70" t="s">
        <v>106</v>
      </c>
      <c r="W45" s="70" t="s">
        <v>106</v>
      </c>
      <c r="X45" s="70" t="s">
        <v>106</v>
      </c>
      <c r="AA45" s="12" t="s">
        <v>107</v>
      </c>
      <c r="AC45" s="10" t="s">
        <v>94</v>
      </c>
    </row>
    <row r="46" customFormat="false" ht="12.75" hidden="false" customHeight="false" outlineLevel="0" collapsed="false">
      <c r="A46" s="10" t="n">
        <v>6</v>
      </c>
      <c r="B46" s="10" t="s">
        <v>33</v>
      </c>
      <c r="C46" s="62" t="n">
        <v>36938</v>
      </c>
      <c r="D46" s="12" t="s">
        <v>54</v>
      </c>
      <c r="E46" s="12" t="s">
        <v>89</v>
      </c>
      <c r="F46" s="12" t="s">
        <v>105</v>
      </c>
      <c r="G46" s="10" t="s">
        <v>97</v>
      </c>
      <c r="H46" s="12" t="s">
        <v>101</v>
      </c>
      <c r="I46" s="63" t="n">
        <v>0</v>
      </c>
      <c r="J46" s="64" t="n">
        <f aca="false">+I46*L46</f>
        <v>0</v>
      </c>
      <c r="K46" s="85" t="n">
        <v>37073</v>
      </c>
      <c r="L46" s="13" t="n">
        <v>21081</v>
      </c>
      <c r="M46" s="38" t="s">
        <v>8</v>
      </c>
      <c r="N46" s="86" t="n">
        <v>9.58</v>
      </c>
      <c r="O46" s="66" t="n">
        <f aca="false">L46*N46</f>
        <v>201955.98</v>
      </c>
      <c r="P46" s="67" t="n">
        <v>0.04</v>
      </c>
      <c r="Q46" s="68" t="n">
        <f aca="false">P46*L46</f>
        <v>843.24</v>
      </c>
      <c r="S46" s="69" t="str">
        <f aca="false">VLOOKUP(K46,Prices,HLOOKUP(F46,Column,2))</f>
        <v/>
      </c>
      <c r="T46" s="69" t="n">
        <f aca="false">IF(S46=0,VLOOKUP(K46,FWD_Prices,HLOOKUP(F46,Column,2)),0)</f>
        <v>0</v>
      </c>
      <c r="V46" s="70" t="s">
        <v>106</v>
      </c>
      <c r="W46" s="70" t="s">
        <v>106</v>
      </c>
      <c r="X46" s="70" t="s">
        <v>106</v>
      </c>
      <c r="AA46" s="12" t="s">
        <v>107</v>
      </c>
      <c r="AC46" s="10" t="s">
        <v>94</v>
      </c>
    </row>
    <row r="47" customFormat="false" ht="12.75" hidden="false" customHeight="false" outlineLevel="0" collapsed="false">
      <c r="A47" s="10" t="n">
        <v>6</v>
      </c>
      <c r="B47" s="10" t="s">
        <v>33</v>
      </c>
      <c r="C47" s="62" t="n">
        <v>36938</v>
      </c>
      <c r="D47" s="12" t="s">
        <v>54</v>
      </c>
      <c r="E47" s="12" t="s">
        <v>89</v>
      </c>
      <c r="F47" s="12" t="s">
        <v>105</v>
      </c>
      <c r="G47" s="10" t="s">
        <v>97</v>
      </c>
      <c r="H47" s="12" t="s">
        <v>101</v>
      </c>
      <c r="I47" s="63" t="n">
        <v>0</v>
      </c>
      <c r="J47" s="64" t="n">
        <f aca="false">+I47*L47</f>
        <v>0</v>
      </c>
      <c r="K47" s="85" t="n">
        <v>37104</v>
      </c>
      <c r="L47" s="13" t="n">
        <v>21081</v>
      </c>
      <c r="M47" s="38" t="s">
        <v>8</v>
      </c>
      <c r="N47" s="86" t="n">
        <v>9.58</v>
      </c>
      <c r="O47" s="66" t="n">
        <f aca="false">L47*N47</f>
        <v>201955.98</v>
      </c>
      <c r="P47" s="67" t="n">
        <v>0.04</v>
      </c>
      <c r="Q47" s="68" t="n">
        <f aca="false">P47*L47</f>
        <v>843.24</v>
      </c>
      <c r="S47" s="69" t="str">
        <f aca="false">VLOOKUP(K47,Prices,HLOOKUP(F47,Column,2))</f>
        <v/>
      </c>
      <c r="T47" s="69" t="n">
        <f aca="false">IF(S47=0,VLOOKUP(K47,FWD_Prices,HLOOKUP(F47,Column,2)),0)</f>
        <v>0</v>
      </c>
      <c r="V47" s="70" t="s">
        <v>106</v>
      </c>
      <c r="W47" s="70" t="s">
        <v>106</v>
      </c>
      <c r="X47" s="70" t="s">
        <v>106</v>
      </c>
      <c r="AA47" s="12" t="s">
        <v>107</v>
      </c>
      <c r="AC47" s="10" t="s">
        <v>94</v>
      </c>
    </row>
    <row r="48" customFormat="false" ht="12.75" hidden="false" customHeight="false" outlineLevel="0" collapsed="false">
      <c r="A48" s="10" t="n">
        <v>6</v>
      </c>
      <c r="B48" s="10" t="s">
        <v>33</v>
      </c>
      <c r="C48" s="62" t="n">
        <v>36938</v>
      </c>
      <c r="D48" s="12" t="s">
        <v>54</v>
      </c>
      <c r="E48" s="12" t="s">
        <v>89</v>
      </c>
      <c r="F48" s="12" t="s">
        <v>105</v>
      </c>
      <c r="G48" s="10" t="s">
        <v>97</v>
      </c>
      <c r="H48" s="12" t="s">
        <v>101</v>
      </c>
      <c r="I48" s="63" t="n">
        <v>0</v>
      </c>
      <c r="J48" s="64" t="n">
        <f aca="false">+I48*L48</f>
        <v>0</v>
      </c>
      <c r="K48" s="85" t="n">
        <v>37135</v>
      </c>
      <c r="L48" s="13" t="n">
        <v>21081</v>
      </c>
      <c r="M48" s="38" t="s">
        <v>8</v>
      </c>
      <c r="N48" s="86" t="n">
        <v>9.58</v>
      </c>
      <c r="O48" s="66" t="n">
        <f aca="false">L48*N48</f>
        <v>201955.98</v>
      </c>
      <c r="P48" s="67" t="n">
        <v>0.04</v>
      </c>
      <c r="Q48" s="68" t="n">
        <f aca="false">P48*L48</f>
        <v>843.24</v>
      </c>
      <c r="S48" s="69" t="str">
        <f aca="false">VLOOKUP(K48,Prices,HLOOKUP(F48,Column,2))</f>
        <v/>
      </c>
      <c r="T48" s="69" t="n">
        <f aca="false">IF(S48=0,VLOOKUP(K48,FWD_Prices,HLOOKUP(F48,Column,2)),0)</f>
        <v>0</v>
      </c>
      <c r="V48" s="70" t="s">
        <v>106</v>
      </c>
      <c r="W48" s="70" t="s">
        <v>106</v>
      </c>
      <c r="X48" s="70" t="s">
        <v>106</v>
      </c>
      <c r="AA48" s="12" t="s">
        <v>107</v>
      </c>
      <c r="AC48" s="10" t="s">
        <v>94</v>
      </c>
    </row>
    <row r="50" customFormat="false" ht="12.75" hidden="false" customHeight="false" outlineLevel="0" collapsed="false">
      <c r="A50" s="10" t="n">
        <v>7</v>
      </c>
      <c r="B50" s="10" t="s">
        <v>37</v>
      </c>
      <c r="C50" s="62" t="n">
        <v>36944</v>
      </c>
      <c r="D50" s="12" t="s">
        <v>38</v>
      </c>
      <c r="E50" s="12" t="s">
        <v>89</v>
      </c>
      <c r="F50" s="12" t="s">
        <v>90</v>
      </c>
      <c r="G50" s="10" t="s">
        <v>97</v>
      </c>
      <c r="H50" s="12" t="s">
        <v>101</v>
      </c>
      <c r="I50" s="63" t="n">
        <v>0</v>
      </c>
      <c r="J50" s="64" t="n">
        <f aca="false">+I50*L50</f>
        <v>0</v>
      </c>
      <c r="K50" s="85" t="n">
        <v>36951</v>
      </c>
      <c r="L50" s="13" t="n">
        <v>16280</v>
      </c>
      <c r="M50" s="38" t="s">
        <v>8</v>
      </c>
      <c r="N50" s="86" t="n">
        <v>5.005</v>
      </c>
      <c r="O50" s="66" t="n">
        <f aca="false">L50*N50</f>
        <v>81481.4</v>
      </c>
      <c r="P50" s="67" t="n">
        <v>0.0225</v>
      </c>
      <c r="Q50" s="68" t="n">
        <f aca="false">P50*L50</f>
        <v>366.3</v>
      </c>
      <c r="S50" s="69" t="str">
        <f aca="false">VLOOKUP(K50,Prices,HLOOKUP(F50,Column,2))</f>
        <v/>
      </c>
      <c r="T50" s="69" t="n">
        <f aca="false">IF(S50=0,VLOOKUP(K50,FWD_Prices,HLOOKUP(F50,Column,2)),0)</f>
        <v>0</v>
      </c>
      <c r="V50" s="70" t="s">
        <v>106</v>
      </c>
      <c r="W50" s="70" t="s">
        <v>106</v>
      </c>
      <c r="X50" s="70" t="s">
        <v>106</v>
      </c>
      <c r="AA50" s="12" t="s">
        <v>108</v>
      </c>
    </row>
    <row r="51" customFormat="false" ht="12.75" hidden="false" customHeight="false" outlineLevel="0" collapsed="false">
      <c r="A51" s="10" t="n">
        <v>7</v>
      </c>
      <c r="B51" s="10" t="s">
        <v>37</v>
      </c>
      <c r="C51" s="62" t="n">
        <v>36944</v>
      </c>
      <c r="D51" s="12" t="s">
        <v>38</v>
      </c>
      <c r="E51" s="12" t="s">
        <v>89</v>
      </c>
      <c r="F51" s="12" t="s">
        <v>90</v>
      </c>
      <c r="G51" s="10" t="s">
        <v>97</v>
      </c>
      <c r="H51" s="12" t="s">
        <v>101</v>
      </c>
      <c r="I51" s="63" t="n">
        <v>0</v>
      </c>
      <c r="J51" s="64" t="n">
        <f aca="false">+I51*L51</f>
        <v>0</v>
      </c>
      <c r="K51" s="85" t="n">
        <v>36982</v>
      </c>
      <c r="L51" s="13" t="n">
        <v>16280</v>
      </c>
      <c r="M51" s="38" t="s">
        <v>8</v>
      </c>
      <c r="N51" s="86" t="n">
        <v>5.005</v>
      </c>
      <c r="O51" s="66" t="n">
        <f aca="false">L51*N51</f>
        <v>81481.4</v>
      </c>
      <c r="P51" s="67" t="n">
        <v>0.0225</v>
      </c>
      <c r="Q51" s="68" t="n">
        <f aca="false">P51*L51</f>
        <v>366.3</v>
      </c>
      <c r="S51" s="69" t="str">
        <f aca="false">VLOOKUP(K51,Prices,HLOOKUP(F51,Column,2))</f>
        <v/>
      </c>
      <c r="T51" s="69" t="n">
        <f aca="false">IF(S51=0,VLOOKUP(K51,FWD_Prices,HLOOKUP(F51,Column,2)),0)</f>
        <v>0</v>
      </c>
      <c r="V51" s="70" t="s">
        <v>106</v>
      </c>
      <c r="W51" s="70" t="s">
        <v>106</v>
      </c>
      <c r="X51" s="70" t="s">
        <v>106</v>
      </c>
      <c r="AA51" s="12" t="s">
        <v>108</v>
      </c>
    </row>
    <row r="52" customFormat="false" ht="12.75" hidden="false" customHeight="false" outlineLevel="0" collapsed="false">
      <c r="A52" s="10" t="n">
        <v>7</v>
      </c>
      <c r="B52" s="10" t="s">
        <v>37</v>
      </c>
      <c r="C52" s="62" t="n">
        <v>36944</v>
      </c>
      <c r="D52" s="12" t="s">
        <v>38</v>
      </c>
      <c r="E52" s="12" t="s">
        <v>89</v>
      </c>
      <c r="F52" s="12" t="s">
        <v>90</v>
      </c>
      <c r="G52" s="10" t="s">
        <v>97</v>
      </c>
      <c r="H52" s="12" t="s">
        <v>101</v>
      </c>
      <c r="I52" s="63" t="n">
        <v>0</v>
      </c>
      <c r="J52" s="64" t="n">
        <f aca="false">+I52*L52</f>
        <v>0</v>
      </c>
      <c r="K52" s="85" t="n">
        <v>37012</v>
      </c>
      <c r="L52" s="13" t="n">
        <v>16280</v>
      </c>
      <c r="M52" s="38" t="s">
        <v>8</v>
      </c>
      <c r="N52" s="86" t="n">
        <v>5.005</v>
      </c>
      <c r="O52" s="66" t="n">
        <f aca="false">L52*N52</f>
        <v>81481.4</v>
      </c>
      <c r="P52" s="67" t="n">
        <v>0.0225</v>
      </c>
      <c r="Q52" s="68" t="n">
        <f aca="false">P52*L52</f>
        <v>366.3</v>
      </c>
      <c r="S52" s="69" t="str">
        <f aca="false">VLOOKUP(K52,Prices,HLOOKUP(F52,Column,2))</f>
        <v/>
      </c>
      <c r="T52" s="69" t="n">
        <f aca="false">IF(S52=0,VLOOKUP(K52,FWD_Prices,HLOOKUP(F52,Column,2)),0)</f>
        <v>0</v>
      </c>
      <c r="V52" s="70" t="s">
        <v>106</v>
      </c>
      <c r="W52" s="70" t="s">
        <v>106</v>
      </c>
      <c r="X52" s="70" t="s">
        <v>106</v>
      </c>
      <c r="AA52" s="12" t="s">
        <v>108</v>
      </c>
    </row>
    <row r="53" customFormat="false" ht="12.75" hidden="false" customHeight="false" outlineLevel="0" collapsed="false">
      <c r="A53" s="10" t="n">
        <v>7</v>
      </c>
      <c r="B53" s="10" t="s">
        <v>37</v>
      </c>
      <c r="C53" s="62" t="n">
        <v>36944</v>
      </c>
      <c r="D53" s="12" t="s">
        <v>38</v>
      </c>
      <c r="E53" s="12" t="s">
        <v>89</v>
      </c>
      <c r="F53" s="12" t="s">
        <v>90</v>
      </c>
      <c r="G53" s="10" t="s">
        <v>97</v>
      </c>
      <c r="H53" s="12" t="s">
        <v>101</v>
      </c>
      <c r="I53" s="63" t="n">
        <v>0</v>
      </c>
      <c r="J53" s="64" t="n">
        <f aca="false">+I53*L53</f>
        <v>0</v>
      </c>
      <c r="K53" s="85" t="n">
        <v>37043</v>
      </c>
      <c r="L53" s="13" t="n">
        <v>16280</v>
      </c>
      <c r="M53" s="38" t="s">
        <v>8</v>
      </c>
      <c r="N53" s="86" t="n">
        <v>5.005</v>
      </c>
      <c r="O53" s="66" t="n">
        <f aca="false">L53*N53</f>
        <v>81481.4</v>
      </c>
      <c r="P53" s="67" t="n">
        <v>0.0225</v>
      </c>
      <c r="Q53" s="68" t="n">
        <f aca="false">P53*L53</f>
        <v>366.3</v>
      </c>
      <c r="S53" s="69" t="str">
        <f aca="false">VLOOKUP(K53,Prices,HLOOKUP(F53,Column,2))</f>
        <v/>
      </c>
      <c r="T53" s="69" t="n">
        <f aca="false">IF(S53=0,VLOOKUP(K53,FWD_Prices,HLOOKUP(F53,Column,2)),0)</f>
        <v>0</v>
      </c>
      <c r="V53" s="70" t="s">
        <v>106</v>
      </c>
      <c r="W53" s="70" t="s">
        <v>106</v>
      </c>
      <c r="X53" s="70" t="s">
        <v>106</v>
      </c>
      <c r="AA53" s="12" t="s">
        <v>108</v>
      </c>
    </row>
    <row r="54" customFormat="false" ht="12.75" hidden="false" customHeight="false" outlineLevel="0" collapsed="false">
      <c r="A54" s="10" t="n">
        <v>7</v>
      </c>
      <c r="B54" s="10" t="s">
        <v>37</v>
      </c>
      <c r="C54" s="62" t="n">
        <v>36944</v>
      </c>
      <c r="D54" s="12" t="s">
        <v>38</v>
      </c>
      <c r="E54" s="12" t="s">
        <v>89</v>
      </c>
      <c r="F54" s="12" t="s">
        <v>90</v>
      </c>
      <c r="G54" s="10" t="s">
        <v>97</v>
      </c>
      <c r="H54" s="12" t="s">
        <v>101</v>
      </c>
      <c r="I54" s="63" t="n">
        <v>0</v>
      </c>
      <c r="J54" s="64" t="n">
        <f aca="false">+I54*L54</f>
        <v>0</v>
      </c>
      <c r="K54" s="85" t="n">
        <v>37073</v>
      </c>
      <c r="L54" s="13" t="n">
        <v>16280</v>
      </c>
      <c r="M54" s="38" t="s">
        <v>8</v>
      </c>
      <c r="N54" s="86" t="n">
        <v>5.005</v>
      </c>
      <c r="O54" s="66" t="n">
        <f aca="false">L54*N54</f>
        <v>81481.4</v>
      </c>
      <c r="P54" s="67" t="n">
        <v>0.0225</v>
      </c>
      <c r="Q54" s="68" t="n">
        <f aca="false">P54*L54</f>
        <v>366.3</v>
      </c>
      <c r="S54" s="69" t="str">
        <f aca="false">VLOOKUP(K54,Prices,HLOOKUP(F54,Column,2))</f>
        <v/>
      </c>
      <c r="T54" s="69" t="n">
        <f aca="false">IF(S54=0,VLOOKUP(K54,FWD_Prices,HLOOKUP(F54,Column,2)),0)</f>
        <v>0</v>
      </c>
      <c r="V54" s="70" t="s">
        <v>106</v>
      </c>
      <c r="W54" s="70" t="s">
        <v>106</v>
      </c>
      <c r="X54" s="70" t="s">
        <v>106</v>
      </c>
      <c r="AA54" s="12" t="s">
        <v>108</v>
      </c>
    </row>
    <row r="55" customFormat="false" ht="12.75" hidden="false" customHeight="false" outlineLevel="0" collapsed="false">
      <c r="A55" s="10" t="n">
        <v>7</v>
      </c>
      <c r="B55" s="10" t="s">
        <v>37</v>
      </c>
      <c r="C55" s="62" t="n">
        <v>36944</v>
      </c>
      <c r="D55" s="12" t="s">
        <v>38</v>
      </c>
      <c r="E55" s="12" t="s">
        <v>89</v>
      </c>
      <c r="F55" s="12" t="s">
        <v>90</v>
      </c>
      <c r="G55" s="10" t="s">
        <v>97</v>
      </c>
      <c r="H55" s="12" t="s">
        <v>101</v>
      </c>
      <c r="I55" s="63" t="n">
        <v>0</v>
      </c>
      <c r="J55" s="64" t="n">
        <f aca="false">+I55*L55</f>
        <v>0</v>
      </c>
      <c r="K55" s="85" t="n">
        <v>37104</v>
      </c>
      <c r="L55" s="13" t="n">
        <v>16280</v>
      </c>
      <c r="M55" s="38" t="s">
        <v>8</v>
      </c>
      <c r="N55" s="86" t="n">
        <v>5.005</v>
      </c>
      <c r="O55" s="66" t="n">
        <f aca="false">L55*N55</f>
        <v>81481.4</v>
      </c>
      <c r="P55" s="67" t="n">
        <v>0.0225</v>
      </c>
      <c r="Q55" s="68" t="n">
        <f aca="false">P55*L55</f>
        <v>366.3</v>
      </c>
      <c r="S55" s="69" t="str">
        <f aca="false">VLOOKUP(K55,Prices,HLOOKUP(F55,Column,2))</f>
        <v/>
      </c>
      <c r="T55" s="69" t="n">
        <f aca="false">IF(S55=0,VLOOKUP(K55,FWD_Prices,HLOOKUP(F55,Column,2)),0)</f>
        <v>0</v>
      </c>
      <c r="V55" s="70" t="s">
        <v>106</v>
      </c>
      <c r="W55" s="70" t="s">
        <v>106</v>
      </c>
      <c r="X55" s="70" t="s">
        <v>106</v>
      </c>
      <c r="AA55" s="12" t="s">
        <v>108</v>
      </c>
    </row>
    <row r="56" customFormat="false" ht="12.75" hidden="false" customHeight="false" outlineLevel="0" collapsed="false">
      <c r="A56" s="10" t="n">
        <v>7</v>
      </c>
      <c r="B56" s="10" t="s">
        <v>37</v>
      </c>
      <c r="C56" s="62" t="n">
        <v>36944</v>
      </c>
      <c r="D56" s="12" t="s">
        <v>38</v>
      </c>
      <c r="E56" s="12" t="s">
        <v>89</v>
      </c>
      <c r="F56" s="12" t="s">
        <v>90</v>
      </c>
      <c r="G56" s="10" t="s">
        <v>97</v>
      </c>
      <c r="H56" s="12" t="s">
        <v>101</v>
      </c>
      <c r="I56" s="63" t="n">
        <v>0</v>
      </c>
      <c r="J56" s="64" t="n">
        <f aca="false">+I56*L56</f>
        <v>0</v>
      </c>
      <c r="K56" s="85" t="n">
        <v>37135</v>
      </c>
      <c r="L56" s="13" t="n">
        <v>16280</v>
      </c>
      <c r="M56" s="38" t="s">
        <v>8</v>
      </c>
      <c r="N56" s="86" t="n">
        <v>5.005</v>
      </c>
      <c r="O56" s="66" t="n">
        <f aca="false">L56*N56</f>
        <v>81481.4</v>
      </c>
      <c r="P56" s="67" t="n">
        <v>0.0225</v>
      </c>
      <c r="Q56" s="68" t="n">
        <f aca="false">P56*L56</f>
        <v>366.3</v>
      </c>
      <c r="S56" s="69" t="str">
        <f aca="false">VLOOKUP(K56,Prices,HLOOKUP(F56,Column,2))</f>
        <v/>
      </c>
      <c r="T56" s="69" t="n">
        <f aca="false">IF(S56=0,VLOOKUP(K56,FWD_Prices,HLOOKUP(F56,Column,2)),0)</f>
        <v>0</v>
      </c>
      <c r="V56" s="70" t="s">
        <v>106</v>
      </c>
      <c r="W56" s="70" t="s">
        <v>106</v>
      </c>
      <c r="X56" s="70" t="s">
        <v>106</v>
      </c>
      <c r="AA56" s="12" t="s">
        <v>108</v>
      </c>
    </row>
    <row r="57" customFormat="false" ht="12.75" hidden="false" customHeight="false" outlineLevel="0" collapsed="false">
      <c r="A57" s="10" t="n">
        <v>7</v>
      </c>
      <c r="B57" s="10" t="s">
        <v>37</v>
      </c>
      <c r="C57" s="62" t="n">
        <v>36944</v>
      </c>
      <c r="D57" s="12" t="s">
        <v>38</v>
      </c>
      <c r="E57" s="12" t="s">
        <v>89</v>
      </c>
      <c r="F57" s="12" t="s">
        <v>90</v>
      </c>
      <c r="G57" s="10" t="s">
        <v>97</v>
      </c>
      <c r="H57" s="12" t="s">
        <v>101</v>
      </c>
      <c r="I57" s="63" t="n">
        <v>0</v>
      </c>
      <c r="J57" s="64" t="n">
        <f aca="false">+I57*L57</f>
        <v>0</v>
      </c>
      <c r="K57" s="85" t="n">
        <v>37165</v>
      </c>
      <c r="L57" s="13" t="n">
        <v>16280</v>
      </c>
      <c r="M57" s="38" t="s">
        <v>8</v>
      </c>
      <c r="N57" s="86" t="n">
        <v>5.005</v>
      </c>
      <c r="O57" s="66" t="n">
        <f aca="false">L57*N57</f>
        <v>81481.4</v>
      </c>
      <c r="P57" s="67" t="n">
        <v>0.0225</v>
      </c>
      <c r="Q57" s="68" t="n">
        <f aca="false">P57*L57</f>
        <v>366.3</v>
      </c>
      <c r="S57" s="69" t="str">
        <f aca="false">VLOOKUP(K57,Prices,HLOOKUP(F57,Column,2))</f>
        <v/>
      </c>
      <c r="T57" s="69" t="n">
        <f aca="false">IF(S57=0,VLOOKUP(K57,FWD_Prices,HLOOKUP(F57,Column,2)),0)</f>
        <v>0</v>
      </c>
      <c r="V57" s="70" t="s">
        <v>106</v>
      </c>
      <c r="W57" s="70" t="s">
        <v>106</v>
      </c>
      <c r="X57" s="70" t="s">
        <v>106</v>
      </c>
      <c r="AA57" s="12" t="s">
        <v>108</v>
      </c>
    </row>
    <row r="58" customFormat="false" ht="12.75" hidden="false" customHeight="false" outlineLevel="0" collapsed="false">
      <c r="A58" s="10" t="n">
        <v>7</v>
      </c>
      <c r="B58" s="10" t="s">
        <v>37</v>
      </c>
      <c r="C58" s="62" t="n">
        <v>36944</v>
      </c>
      <c r="D58" s="12" t="s">
        <v>38</v>
      </c>
      <c r="E58" s="12" t="s">
        <v>89</v>
      </c>
      <c r="F58" s="12" t="s">
        <v>90</v>
      </c>
      <c r="G58" s="10" t="s">
        <v>97</v>
      </c>
      <c r="H58" s="12" t="s">
        <v>101</v>
      </c>
      <c r="I58" s="63" t="n">
        <v>0</v>
      </c>
      <c r="J58" s="64" t="n">
        <f aca="false">+I58*L58</f>
        <v>0</v>
      </c>
      <c r="K58" s="85" t="n">
        <v>37196</v>
      </c>
      <c r="L58" s="13" t="n">
        <v>16280</v>
      </c>
      <c r="M58" s="38" t="s">
        <v>8</v>
      </c>
      <c r="N58" s="86" t="n">
        <v>5.005</v>
      </c>
      <c r="O58" s="66" t="n">
        <f aca="false">L58*N58</f>
        <v>81481.4</v>
      </c>
      <c r="P58" s="67" t="n">
        <v>0.0225</v>
      </c>
      <c r="Q58" s="68" t="n">
        <f aca="false">P58*L58</f>
        <v>366.3</v>
      </c>
      <c r="S58" s="69" t="str">
        <f aca="false">VLOOKUP(K58,Prices,HLOOKUP(F58,Column,2))</f>
        <v/>
      </c>
      <c r="T58" s="69" t="n">
        <f aca="false">IF(S58=0,VLOOKUP(K58,FWD_Prices,HLOOKUP(F58,Column,2)),0)</f>
        <v>0</v>
      </c>
      <c r="V58" s="70" t="s">
        <v>106</v>
      </c>
      <c r="W58" s="70" t="s">
        <v>106</v>
      </c>
      <c r="X58" s="70" t="s">
        <v>106</v>
      </c>
      <c r="AA58" s="12" t="s">
        <v>108</v>
      </c>
    </row>
    <row r="59" customFormat="false" ht="12.75" hidden="false" customHeight="false" outlineLevel="0" collapsed="false">
      <c r="A59" s="10" t="n">
        <v>7</v>
      </c>
      <c r="B59" s="10" t="s">
        <v>37</v>
      </c>
      <c r="C59" s="62" t="n">
        <v>36944</v>
      </c>
      <c r="D59" s="12" t="s">
        <v>38</v>
      </c>
      <c r="E59" s="12" t="s">
        <v>89</v>
      </c>
      <c r="F59" s="12" t="s">
        <v>90</v>
      </c>
      <c r="G59" s="10" t="s">
        <v>97</v>
      </c>
      <c r="H59" s="12" t="s">
        <v>101</v>
      </c>
      <c r="I59" s="63" t="n">
        <v>0</v>
      </c>
      <c r="J59" s="64" t="n">
        <f aca="false">+I59*L59</f>
        <v>0</v>
      </c>
      <c r="K59" s="85" t="n">
        <v>37226</v>
      </c>
      <c r="L59" s="13" t="n">
        <v>16280</v>
      </c>
      <c r="M59" s="38" t="s">
        <v>8</v>
      </c>
      <c r="N59" s="86" t="n">
        <v>5.005</v>
      </c>
      <c r="O59" s="66" t="n">
        <f aca="false">L59*N59</f>
        <v>81481.4</v>
      </c>
      <c r="P59" s="67" t="n">
        <v>0.0225</v>
      </c>
      <c r="Q59" s="68" t="n">
        <f aca="false">P59*L59</f>
        <v>366.3</v>
      </c>
      <c r="S59" s="69" t="str">
        <f aca="false">VLOOKUP(K59,Prices,HLOOKUP(F59,Column,2))</f>
        <v/>
      </c>
      <c r="T59" s="69" t="n">
        <f aca="false">IF(S59=0,VLOOKUP(K59,FWD_Prices,HLOOKUP(F59,Column,2)),0)</f>
        <v>0</v>
      </c>
      <c r="V59" s="70" t="s">
        <v>106</v>
      </c>
      <c r="W59" s="70" t="s">
        <v>106</v>
      </c>
      <c r="X59" s="70" t="s">
        <v>106</v>
      </c>
      <c r="AA59" s="12" t="s">
        <v>108</v>
      </c>
    </row>
    <row r="61" customFormat="false" ht="12.75" hidden="false" customHeight="false" outlineLevel="0" collapsed="false">
      <c r="A61" s="10" t="n">
        <v>8</v>
      </c>
      <c r="B61" s="10" t="s">
        <v>40</v>
      </c>
      <c r="C61" s="62" t="n">
        <v>36944</v>
      </c>
      <c r="D61" s="12" t="s">
        <v>41</v>
      </c>
      <c r="E61" s="12" t="s">
        <v>89</v>
      </c>
      <c r="F61" s="12" t="s">
        <v>109</v>
      </c>
      <c r="G61" s="10" t="s">
        <v>97</v>
      </c>
      <c r="H61" s="12" t="s">
        <v>101</v>
      </c>
      <c r="I61" s="63" t="n">
        <v>0</v>
      </c>
      <c r="J61" s="64" t="n">
        <f aca="false">+I61*L61</f>
        <v>0</v>
      </c>
      <c r="K61" s="85" t="n">
        <v>37347</v>
      </c>
      <c r="L61" s="13" t="n">
        <f aca="false">18427*31</f>
        <v>571237</v>
      </c>
      <c r="M61" s="38" t="s">
        <v>8</v>
      </c>
      <c r="N61" s="86" t="n">
        <v>4.3</v>
      </c>
      <c r="O61" s="66" t="n">
        <f aca="false">L61*N61</f>
        <v>2456319.1</v>
      </c>
      <c r="P61" s="67" t="n">
        <v>0.01</v>
      </c>
      <c r="Q61" s="68" t="n">
        <f aca="false">P61*L61</f>
        <v>5712.37</v>
      </c>
      <c r="S61" s="69" t="str">
        <f aca="false">VLOOKUP(K61,Prices,HLOOKUP(F61,Column,2))</f>
        <v/>
      </c>
      <c r="T61" s="69" t="n">
        <f aca="false">IF(S61=0,VLOOKUP(K61,FWD_Prices,HLOOKUP(F61,Column,2)),0)</f>
        <v>0</v>
      </c>
      <c r="V61" s="70" t="e">
        <f aca="false">IF(H61="Swap",S61-N61,IF(H61="Call",MAX(S61-N61,0),IF(H61="Put",MAX(N61-S61,0),"Error on Structure")))*IF(G61="Buy",1,IF(G61="Sell",-1,"Error on Buy/Sell"))*L61*IF(S61=0,0,1)</f>
        <v>#VALUE!</v>
      </c>
      <c r="W61" s="70" t="n">
        <f aca="false">IF(H61="Swap",T61-N61,IF(H61="Call",MAX(T61-N61,0),IF(H61="Put",MAX(N61-T61,0),"Error on Structure")))*IF(G61="Buy",1,IF(G61="Sell",-1,"Error on Buy/Sell"))*L61*IF(T61=0,0,1)</f>
        <v>-0</v>
      </c>
      <c r="X61" s="71" t="e">
        <f aca="false">SUM(V61:W61)</f>
        <v>#VALUE!</v>
      </c>
      <c r="AA61" s="12" t="s">
        <v>99</v>
      </c>
    </row>
    <row r="62" customFormat="false" ht="12.75" hidden="false" customHeight="false" outlineLevel="0" collapsed="false">
      <c r="A62" s="10" t="n">
        <v>8</v>
      </c>
      <c r="B62" s="10" t="s">
        <v>40</v>
      </c>
      <c r="C62" s="62" t="n">
        <v>36944</v>
      </c>
      <c r="D62" s="12" t="s">
        <v>41</v>
      </c>
      <c r="E62" s="12" t="s">
        <v>89</v>
      </c>
      <c r="F62" s="12" t="s">
        <v>109</v>
      </c>
      <c r="G62" s="10" t="s">
        <v>97</v>
      </c>
      <c r="H62" s="12" t="s">
        <v>101</v>
      </c>
      <c r="I62" s="63" t="n">
        <v>0</v>
      </c>
      <c r="J62" s="64" t="n">
        <f aca="false">+I62*L62</f>
        <v>0</v>
      </c>
      <c r="K62" s="85" t="n">
        <v>37377</v>
      </c>
      <c r="L62" s="13" t="n">
        <f aca="false">18427*30</f>
        <v>552810</v>
      </c>
      <c r="M62" s="38" t="s">
        <v>8</v>
      </c>
      <c r="N62" s="86" t="n">
        <v>4.3</v>
      </c>
      <c r="O62" s="66" t="n">
        <f aca="false">L62*N62</f>
        <v>2377083</v>
      </c>
      <c r="P62" s="67" t="n">
        <v>0.01</v>
      </c>
      <c r="Q62" s="68" t="n">
        <f aca="false">P62*L62</f>
        <v>5528.1</v>
      </c>
      <c r="S62" s="69" t="str">
        <f aca="false">VLOOKUP(K62,Prices,HLOOKUP(F62,Column,2))</f>
        <v/>
      </c>
      <c r="T62" s="69" t="n">
        <f aca="false">IF(S62=0,VLOOKUP(K62,FWD_Prices,HLOOKUP(F62,Column,2)),0)</f>
        <v>0</v>
      </c>
      <c r="V62" s="70" t="e">
        <f aca="false">IF(H62="Swap",S62-N62,IF(H62="Call",MAX(S62-N62,0),IF(H62="Put",MAX(N62-S62,0),"Error on Structure")))*IF(G62="Buy",1,IF(G62="Sell",-1,"Error on Buy/Sell"))*L62*IF(S62=0,0,1)</f>
        <v>#VALUE!</v>
      </c>
      <c r="W62" s="70" t="n">
        <f aca="false">IF(H62="Swap",T62-N62,IF(H62="Call",MAX(T62-N62,0),IF(H62="Put",MAX(N62-T62,0),"Error on Structure")))*IF(G62="Buy",1,IF(G62="Sell",-1,"Error on Buy/Sell"))*L62*IF(T62=0,0,1)</f>
        <v>-0</v>
      </c>
      <c r="X62" s="71" t="e">
        <f aca="false">SUM(V62:W62)</f>
        <v>#VALUE!</v>
      </c>
      <c r="AA62" s="12" t="s">
        <v>99</v>
      </c>
    </row>
    <row r="63" customFormat="false" ht="12.75" hidden="false" customHeight="false" outlineLevel="0" collapsed="false">
      <c r="A63" s="10" t="n">
        <v>8</v>
      </c>
      <c r="B63" s="10" t="s">
        <v>40</v>
      </c>
      <c r="C63" s="62" t="n">
        <v>36944</v>
      </c>
      <c r="D63" s="12" t="s">
        <v>41</v>
      </c>
      <c r="E63" s="12" t="s">
        <v>89</v>
      </c>
      <c r="F63" s="12" t="s">
        <v>109</v>
      </c>
      <c r="G63" s="10" t="s">
        <v>97</v>
      </c>
      <c r="H63" s="12" t="s">
        <v>101</v>
      </c>
      <c r="I63" s="63" t="n">
        <v>0</v>
      </c>
      <c r="J63" s="64" t="n">
        <f aca="false">+I63*L63</f>
        <v>0</v>
      </c>
      <c r="K63" s="85" t="n">
        <v>37408</v>
      </c>
      <c r="L63" s="13" t="n">
        <f aca="false">18427*31</f>
        <v>571237</v>
      </c>
      <c r="M63" s="38" t="s">
        <v>8</v>
      </c>
      <c r="N63" s="86" t="n">
        <v>4.3</v>
      </c>
      <c r="O63" s="66" t="n">
        <f aca="false">L63*N63</f>
        <v>2456319.1</v>
      </c>
      <c r="P63" s="67" t="n">
        <v>0.01</v>
      </c>
      <c r="Q63" s="68" t="n">
        <f aca="false">P63*L63</f>
        <v>5712.37</v>
      </c>
      <c r="S63" s="69" t="str">
        <f aca="false">VLOOKUP(K63,Prices,HLOOKUP(F63,Column,2))</f>
        <v/>
      </c>
      <c r="T63" s="69" t="n">
        <f aca="false">IF(S63=0,VLOOKUP(K63,FWD_Prices,HLOOKUP(F63,Column,2)),0)</f>
        <v>0</v>
      </c>
      <c r="V63" s="70" t="e">
        <f aca="false">IF(H63="Swap",S63-N63,IF(H63="Call",MAX(S63-N63,0),IF(H63="Put",MAX(N63-S63,0),"Error on Structure")))*IF(G63="Buy",1,IF(G63="Sell",-1,"Error on Buy/Sell"))*L63*IF(S63=0,0,1)</f>
        <v>#VALUE!</v>
      </c>
      <c r="W63" s="70" t="n">
        <f aca="false">IF(H63="Swap",T63-N63,IF(H63="Call",MAX(T63-N63,0),IF(H63="Put",MAX(N63-T63,0),"Error on Structure")))*IF(G63="Buy",1,IF(G63="Sell",-1,"Error on Buy/Sell"))*L63*IF(T63=0,0,1)</f>
        <v>-0</v>
      </c>
      <c r="X63" s="71" t="e">
        <f aca="false">SUM(V63:W63)</f>
        <v>#VALUE!</v>
      </c>
      <c r="AA63" s="12" t="s">
        <v>99</v>
      </c>
    </row>
    <row r="64" customFormat="false" ht="12.75" hidden="false" customHeight="false" outlineLevel="0" collapsed="false">
      <c r="A64" s="10" t="n">
        <v>8</v>
      </c>
      <c r="B64" s="10" t="s">
        <v>40</v>
      </c>
      <c r="C64" s="62" t="n">
        <v>36944</v>
      </c>
      <c r="D64" s="12" t="s">
        <v>41</v>
      </c>
      <c r="E64" s="12" t="s">
        <v>89</v>
      </c>
      <c r="F64" s="12" t="s">
        <v>109</v>
      </c>
      <c r="G64" s="10" t="s">
        <v>97</v>
      </c>
      <c r="H64" s="12" t="s">
        <v>101</v>
      </c>
      <c r="I64" s="63" t="n">
        <v>0</v>
      </c>
      <c r="J64" s="64" t="n">
        <f aca="false">+I64*L64</f>
        <v>0</v>
      </c>
      <c r="K64" s="85" t="n">
        <v>37438</v>
      </c>
      <c r="L64" s="13" t="n">
        <f aca="false">18427*31</f>
        <v>571237</v>
      </c>
      <c r="M64" s="38" t="s">
        <v>8</v>
      </c>
      <c r="N64" s="86" t="n">
        <v>4.3</v>
      </c>
      <c r="O64" s="66" t="n">
        <f aca="false">L64*N64</f>
        <v>2456319.1</v>
      </c>
      <c r="P64" s="67" t="n">
        <v>0.01</v>
      </c>
      <c r="Q64" s="68" t="n">
        <f aca="false">P64*L64</f>
        <v>5712.37</v>
      </c>
      <c r="S64" s="69" t="str">
        <f aca="false">VLOOKUP(K64,Prices,HLOOKUP(F64,Column,2))</f>
        <v/>
      </c>
      <c r="T64" s="69" t="n">
        <f aca="false">IF(S64=0,VLOOKUP(K64,FWD_Prices,HLOOKUP(F64,Column,2)),0)</f>
        <v>0</v>
      </c>
      <c r="V64" s="70" t="e">
        <f aca="false">IF(H64="Swap",S64-N64,IF(H64="Call",MAX(S64-N64,0),IF(H64="Put",MAX(N64-S64,0),"Error on Structure")))*IF(G64="Buy",1,IF(G64="Sell",-1,"Error on Buy/Sell"))*L64*IF(S64=0,0,1)</f>
        <v>#VALUE!</v>
      </c>
      <c r="W64" s="70" t="n">
        <f aca="false">IF(H64="Swap",T64-N64,IF(H64="Call",MAX(T64-N64,0),IF(H64="Put",MAX(N64-T64,0),"Error on Structure")))*IF(G64="Buy",1,IF(G64="Sell",-1,"Error on Buy/Sell"))*L64*IF(T64=0,0,1)</f>
        <v>-0</v>
      </c>
      <c r="X64" s="71" t="e">
        <f aca="false">SUM(V64:W64)</f>
        <v>#VALUE!</v>
      </c>
      <c r="AA64" s="12" t="s">
        <v>99</v>
      </c>
    </row>
    <row r="65" customFormat="false" ht="12.75" hidden="false" customHeight="false" outlineLevel="0" collapsed="false">
      <c r="A65" s="10" t="n">
        <v>8</v>
      </c>
      <c r="B65" s="10" t="s">
        <v>40</v>
      </c>
      <c r="C65" s="62" t="n">
        <v>36944</v>
      </c>
      <c r="D65" s="12" t="s">
        <v>41</v>
      </c>
      <c r="E65" s="12" t="s">
        <v>89</v>
      </c>
      <c r="F65" s="12" t="s">
        <v>109</v>
      </c>
      <c r="G65" s="10" t="s">
        <v>97</v>
      </c>
      <c r="H65" s="12" t="s">
        <v>101</v>
      </c>
      <c r="I65" s="63" t="n">
        <v>0</v>
      </c>
      <c r="J65" s="64" t="n">
        <f aca="false">+I65*L65</f>
        <v>0</v>
      </c>
      <c r="K65" s="85" t="n">
        <v>37469</v>
      </c>
      <c r="L65" s="13" t="n">
        <f aca="false">18427*30</f>
        <v>552810</v>
      </c>
      <c r="M65" s="38" t="s">
        <v>8</v>
      </c>
      <c r="N65" s="86" t="n">
        <v>4.3</v>
      </c>
      <c r="O65" s="66" t="n">
        <f aca="false">L65*N65</f>
        <v>2377083</v>
      </c>
      <c r="P65" s="67" t="n">
        <v>0.01</v>
      </c>
      <c r="Q65" s="68" t="n">
        <f aca="false">P65*L65</f>
        <v>5528.1</v>
      </c>
      <c r="S65" s="69" t="str">
        <f aca="false">VLOOKUP(K65,Prices,HLOOKUP(F65,Column,2))</f>
        <v/>
      </c>
      <c r="T65" s="69" t="n">
        <f aca="false">IF(S65=0,VLOOKUP(K65,FWD_Prices,HLOOKUP(F65,Column,2)),0)</f>
        <v>0</v>
      </c>
      <c r="V65" s="70" t="e">
        <f aca="false">IF(H65="Swap",S65-N65,IF(H65="Call",MAX(S65-N65,0),IF(H65="Put",MAX(N65-S65,0),"Error on Structure")))*IF(G65="Buy",1,IF(G65="Sell",-1,"Error on Buy/Sell"))*L65*IF(S65=0,0,1)</f>
        <v>#VALUE!</v>
      </c>
      <c r="W65" s="70" t="n">
        <f aca="false">IF(H65="Swap",T65-N65,IF(H65="Call",MAX(T65-N65,0),IF(H65="Put",MAX(N65-T65,0),"Error on Structure")))*IF(G65="Buy",1,IF(G65="Sell",-1,"Error on Buy/Sell"))*L65*IF(T65=0,0,1)</f>
        <v>-0</v>
      </c>
      <c r="X65" s="71" t="e">
        <f aca="false">SUM(V65:W65)</f>
        <v>#VALUE!</v>
      </c>
      <c r="AA65" s="12" t="s">
        <v>99</v>
      </c>
    </row>
    <row r="66" customFormat="false" ht="12.75" hidden="false" customHeight="false" outlineLevel="0" collapsed="false">
      <c r="A66" s="10" t="n">
        <v>8</v>
      </c>
      <c r="B66" s="10" t="s">
        <v>40</v>
      </c>
      <c r="C66" s="62" t="n">
        <v>36944</v>
      </c>
      <c r="D66" s="12" t="s">
        <v>41</v>
      </c>
      <c r="E66" s="12" t="s">
        <v>89</v>
      </c>
      <c r="F66" s="12" t="s">
        <v>109</v>
      </c>
      <c r="G66" s="10" t="s">
        <v>97</v>
      </c>
      <c r="H66" s="12" t="s">
        <v>101</v>
      </c>
      <c r="I66" s="63" t="n">
        <v>0</v>
      </c>
      <c r="J66" s="64" t="n">
        <f aca="false">+I66*L66</f>
        <v>0</v>
      </c>
      <c r="K66" s="85" t="n">
        <v>37500</v>
      </c>
      <c r="L66" s="13" t="n">
        <f aca="false">18427*31</f>
        <v>571237</v>
      </c>
      <c r="M66" s="38" t="s">
        <v>8</v>
      </c>
      <c r="N66" s="86" t="n">
        <v>4.3</v>
      </c>
      <c r="O66" s="66" t="n">
        <f aca="false">L66*N66</f>
        <v>2456319.1</v>
      </c>
      <c r="P66" s="67" t="n">
        <v>0.01</v>
      </c>
      <c r="Q66" s="68" t="n">
        <f aca="false">P66*L66</f>
        <v>5712.37</v>
      </c>
      <c r="S66" s="69" t="str">
        <f aca="false">VLOOKUP(K66,Prices,HLOOKUP(F66,Column,2))</f>
        <v/>
      </c>
      <c r="T66" s="69" t="n">
        <f aca="false">IF(S66=0,VLOOKUP(K66,FWD_Prices,HLOOKUP(F66,Column,2)),0)</f>
        <v>0</v>
      </c>
      <c r="V66" s="70" t="e">
        <f aca="false">IF(H66="Swap",S66-N66,IF(H66="Call",MAX(S66-N66,0),IF(H66="Put",MAX(N66-S66,0),"Error on Structure")))*IF(G66="Buy",1,IF(G66="Sell",-1,"Error on Buy/Sell"))*L66*IF(S66=0,0,1)</f>
        <v>#VALUE!</v>
      </c>
      <c r="W66" s="70" t="n">
        <f aca="false">IF(H66="Swap",T66-N66,IF(H66="Call",MAX(T66-N66,0),IF(H66="Put",MAX(N66-T66,0),"Error on Structure")))*IF(G66="Buy",1,IF(G66="Sell",-1,"Error on Buy/Sell"))*L66*IF(T66=0,0,1)</f>
        <v>-0</v>
      </c>
      <c r="X66" s="71" t="e">
        <f aca="false">SUM(V66:W66)</f>
        <v>#VALUE!</v>
      </c>
      <c r="AA66" s="12" t="s">
        <v>99</v>
      </c>
    </row>
    <row r="67" customFormat="false" ht="12.75" hidden="false" customHeight="false" outlineLevel="0" collapsed="false">
      <c r="A67" s="10" t="n">
        <v>8</v>
      </c>
      <c r="B67" s="10" t="s">
        <v>40</v>
      </c>
      <c r="C67" s="62" t="n">
        <v>36944</v>
      </c>
      <c r="D67" s="12" t="s">
        <v>41</v>
      </c>
      <c r="E67" s="12" t="s">
        <v>89</v>
      </c>
      <c r="F67" s="12" t="s">
        <v>109</v>
      </c>
      <c r="G67" s="10" t="s">
        <v>97</v>
      </c>
      <c r="H67" s="12" t="s">
        <v>101</v>
      </c>
      <c r="I67" s="63" t="n">
        <v>0</v>
      </c>
      <c r="J67" s="64" t="n">
        <f aca="false">+I67*L67</f>
        <v>0</v>
      </c>
      <c r="K67" s="85" t="n">
        <v>37530</v>
      </c>
      <c r="L67" s="13" t="n">
        <f aca="false">18427*30</f>
        <v>552810</v>
      </c>
      <c r="M67" s="38" t="s">
        <v>8</v>
      </c>
      <c r="N67" s="86" t="n">
        <v>4.3</v>
      </c>
      <c r="O67" s="66" t="n">
        <f aca="false">L67*N67</f>
        <v>2377083</v>
      </c>
      <c r="P67" s="67" t="n">
        <v>0.01</v>
      </c>
      <c r="Q67" s="68" t="n">
        <f aca="false">P67*L67</f>
        <v>5528.1</v>
      </c>
      <c r="S67" s="69" t="str">
        <f aca="false">VLOOKUP(K67,Prices,HLOOKUP(F67,Column,2))</f>
        <v/>
      </c>
      <c r="T67" s="69" t="n">
        <f aca="false">IF(S67=0,VLOOKUP(K67,FWD_Prices,HLOOKUP(F67,Column,2)),0)</f>
        <v>0</v>
      </c>
      <c r="V67" s="70" t="e">
        <f aca="false">IF(H67="Swap",S67-N67,IF(H67="Call",MAX(S67-N67,0),IF(H67="Put",MAX(N67-S67,0),"Error on Structure")))*IF(G67="Buy",1,IF(G67="Sell",-1,"Error on Buy/Sell"))*L67*IF(S67=0,0,1)</f>
        <v>#VALUE!</v>
      </c>
      <c r="W67" s="70" t="n">
        <f aca="false">IF(H67="Swap",T67-N67,IF(H67="Call",MAX(T67-N67,0),IF(H67="Put",MAX(N67-T67,0),"Error on Structure")))*IF(G67="Buy",1,IF(G67="Sell",-1,"Error on Buy/Sell"))*L67*IF(T67=0,0,1)</f>
        <v>-0</v>
      </c>
      <c r="X67" s="71" t="e">
        <f aca="false">SUM(V67:W67)</f>
        <v>#VALUE!</v>
      </c>
      <c r="AA67" s="12" t="s">
        <v>99</v>
      </c>
    </row>
    <row r="68" customFormat="false" ht="12.75" hidden="false" customHeight="false" outlineLevel="0" collapsed="false">
      <c r="A68" s="10" t="n">
        <v>8</v>
      </c>
      <c r="B68" s="10" t="s">
        <v>40</v>
      </c>
      <c r="C68" s="62" t="n">
        <v>36944</v>
      </c>
      <c r="D68" s="12" t="s">
        <v>41</v>
      </c>
      <c r="E68" s="12" t="s">
        <v>89</v>
      </c>
      <c r="F68" s="12" t="s">
        <v>109</v>
      </c>
      <c r="G68" s="10" t="s">
        <v>97</v>
      </c>
      <c r="H68" s="12" t="s">
        <v>101</v>
      </c>
      <c r="I68" s="63" t="n">
        <v>0</v>
      </c>
      <c r="J68" s="64" t="n">
        <f aca="false">+I68*L68</f>
        <v>0</v>
      </c>
      <c r="K68" s="85" t="n">
        <v>37561</v>
      </c>
      <c r="L68" s="13" t="n">
        <f aca="false">18427*31</f>
        <v>571237</v>
      </c>
      <c r="M68" s="38" t="s">
        <v>8</v>
      </c>
      <c r="N68" s="86" t="n">
        <v>4.3</v>
      </c>
      <c r="O68" s="66" t="n">
        <f aca="false">L68*N68</f>
        <v>2456319.1</v>
      </c>
      <c r="P68" s="67" t="n">
        <v>0.01</v>
      </c>
      <c r="Q68" s="68" t="n">
        <f aca="false">P68*L68</f>
        <v>5712.37</v>
      </c>
      <c r="S68" s="69" t="str">
        <f aca="false">VLOOKUP(K68,Prices,HLOOKUP(F68,Column,2))</f>
        <v/>
      </c>
      <c r="T68" s="69" t="n">
        <f aca="false">IF(S68=0,VLOOKUP(K68,FWD_Prices,HLOOKUP(F68,Column,2)),0)</f>
        <v>0</v>
      </c>
      <c r="V68" s="70" t="e">
        <f aca="false">IF(H68="Swap",S68-N68,IF(H68="Call",MAX(S68-N68,0),IF(H68="Put",MAX(N68-S68,0),"Error on Structure")))*IF(G68="Buy",1,IF(G68="Sell",-1,"Error on Buy/Sell"))*L68*IF(S68=0,0,1)</f>
        <v>#VALUE!</v>
      </c>
      <c r="W68" s="70" t="n">
        <f aca="false">IF(H68="Swap",T68-N68,IF(H68="Call",MAX(T68-N68,0),IF(H68="Put",MAX(N68-T68,0),"Error on Structure")))*IF(G68="Buy",1,IF(G68="Sell",-1,"Error on Buy/Sell"))*L68*IF(T68=0,0,1)</f>
        <v>-0</v>
      </c>
      <c r="X68" s="71" t="e">
        <f aca="false">SUM(V68:W68)</f>
        <v>#VALUE!</v>
      </c>
      <c r="AA68" s="12" t="s">
        <v>99</v>
      </c>
    </row>
    <row r="69" customFormat="false" ht="12.75" hidden="false" customHeight="false" outlineLevel="0" collapsed="false">
      <c r="A69" s="10" t="n">
        <v>8</v>
      </c>
      <c r="B69" s="10" t="s">
        <v>40</v>
      </c>
      <c r="C69" s="62" t="n">
        <v>36944</v>
      </c>
      <c r="D69" s="12" t="s">
        <v>41</v>
      </c>
      <c r="E69" s="12" t="s">
        <v>89</v>
      </c>
      <c r="F69" s="12" t="s">
        <v>109</v>
      </c>
      <c r="G69" s="10" t="s">
        <v>97</v>
      </c>
      <c r="H69" s="12" t="s">
        <v>101</v>
      </c>
      <c r="I69" s="63" t="n">
        <v>0</v>
      </c>
      <c r="J69" s="64" t="n">
        <f aca="false">+I69*L69</f>
        <v>0</v>
      </c>
      <c r="K69" s="85" t="n">
        <v>37591</v>
      </c>
      <c r="L69" s="13" t="n">
        <f aca="false">18427*31</f>
        <v>571237</v>
      </c>
      <c r="M69" s="38" t="s">
        <v>8</v>
      </c>
      <c r="N69" s="86" t="n">
        <v>4.3</v>
      </c>
      <c r="O69" s="66" t="n">
        <f aca="false">L69*N69</f>
        <v>2456319.1</v>
      </c>
      <c r="P69" s="67" t="n">
        <v>0.01</v>
      </c>
      <c r="Q69" s="68" t="n">
        <f aca="false">P69*L69</f>
        <v>5712.37</v>
      </c>
      <c r="S69" s="69" t="str">
        <f aca="false">VLOOKUP(K69,Prices,HLOOKUP(F69,Column,2))</f>
        <v/>
      </c>
      <c r="T69" s="69" t="n">
        <f aca="false">IF(S69=0,VLOOKUP(K69,FWD_Prices,HLOOKUP(F69,Column,2)),0)</f>
        <v>0</v>
      </c>
      <c r="V69" s="70" t="e">
        <f aca="false">IF(H69="Swap",S69-N69,IF(H69="Call",MAX(S69-N69,0),IF(H69="Put",MAX(N69-S69,0),"Error on Structure")))*IF(G69="Buy",1,IF(G69="Sell",-1,"Error on Buy/Sell"))*L69*IF(S69=0,0,1)</f>
        <v>#VALUE!</v>
      </c>
      <c r="W69" s="70" t="n">
        <f aca="false">IF(H69="Swap",T69-N69,IF(H69="Call",MAX(T69-N69,0),IF(H69="Put",MAX(N69-T69,0),"Error on Structure")))*IF(G69="Buy",1,IF(G69="Sell",-1,"Error on Buy/Sell"))*L69*IF(T69=0,0,1)</f>
        <v>-0</v>
      </c>
      <c r="X69" s="71" t="e">
        <f aca="false">SUM(V69:W69)</f>
        <v>#VALUE!</v>
      </c>
      <c r="AA69" s="12" t="s">
        <v>99</v>
      </c>
    </row>
    <row r="70" customFormat="false" ht="12.75" hidden="false" customHeight="false" outlineLevel="0" collapsed="false">
      <c r="A70" s="10" t="n">
        <v>8</v>
      </c>
      <c r="B70" s="10" t="s">
        <v>40</v>
      </c>
      <c r="C70" s="62" t="n">
        <v>36944</v>
      </c>
      <c r="D70" s="12" t="s">
        <v>41</v>
      </c>
      <c r="E70" s="12" t="s">
        <v>89</v>
      </c>
      <c r="F70" s="12" t="s">
        <v>109</v>
      </c>
      <c r="G70" s="10" t="s">
        <v>97</v>
      </c>
      <c r="H70" s="12" t="s">
        <v>101</v>
      </c>
      <c r="I70" s="63" t="n">
        <v>0</v>
      </c>
      <c r="J70" s="64" t="n">
        <f aca="false">+I70*L70</f>
        <v>0</v>
      </c>
      <c r="K70" s="85" t="n">
        <v>37622</v>
      </c>
      <c r="L70" s="13" t="n">
        <f aca="false">18427*28</f>
        <v>515956</v>
      </c>
      <c r="M70" s="38" t="s">
        <v>8</v>
      </c>
      <c r="N70" s="86" t="n">
        <v>4.3</v>
      </c>
      <c r="O70" s="66" t="n">
        <f aca="false">L70*N70</f>
        <v>2218610.8</v>
      </c>
      <c r="P70" s="67" t="n">
        <v>0.01</v>
      </c>
      <c r="Q70" s="68" t="n">
        <f aca="false">P70*L70</f>
        <v>5159.56</v>
      </c>
      <c r="S70" s="69" t="str">
        <f aca="false">VLOOKUP(K70,Prices,HLOOKUP(F70,Column,2))</f>
        <v/>
      </c>
      <c r="T70" s="69" t="n">
        <f aca="false">IF(S70=0,VLOOKUP(K70,FWD_Prices,HLOOKUP(F70,Column,2)),0)</f>
        <v>0</v>
      </c>
      <c r="V70" s="70" t="e">
        <f aca="false">IF(H70="Swap",S70-N70,IF(H70="Call",MAX(S70-N70,0),IF(H70="Put",MAX(N70-S70,0),"Error on Structure")))*IF(G70="Buy",1,IF(G70="Sell",-1,"Error on Buy/Sell"))*L70*IF(S70=0,0,1)</f>
        <v>#VALUE!</v>
      </c>
      <c r="W70" s="70" t="n">
        <f aca="false">IF(H70="Swap",T70-N70,IF(H70="Call",MAX(T70-N70,0),IF(H70="Put",MAX(N70-T70,0),"Error on Structure")))*IF(G70="Buy",1,IF(G70="Sell",-1,"Error on Buy/Sell"))*L70*IF(T70=0,0,1)</f>
        <v>-0</v>
      </c>
      <c r="X70" s="71" t="e">
        <f aca="false">SUM(V70:W70)</f>
        <v>#VALUE!</v>
      </c>
      <c r="AA70" s="12" t="s">
        <v>99</v>
      </c>
    </row>
    <row r="71" customFormat="false" ht="12.75" hidden="false" customHeight="false" outlineLevel="0" collapsed="false">
      <c r="A71" s="10" t="n">
        <v>8</v>
      </c>
      <c r="B71" s="10" t="s">
        <v>40</v>
      </c>
      <c r="C71" s="62" t="n">
        <v>36944</v>
      </c>
      <c r="D71" s="12" t="s">
        <v>41</v>
      </c>
      <c r="E71" s="12" t="s">
        <v>89</v>
      </c>
      <c r="F71" s="12" t="s">
        <v>109</v>
      </c>
      <c r="G71" s="10" t="s">
        <v>97</v>
      </c>
      <c r="H71" s="12" t="s">
        <v>101</v>
      </c>
      <c r="I71" s="63" t="n">
        <v>0</v>
      </c>
      <c r="J71" s="64" t="n">
        <f aca="false">+I71*L71</f>
        <v>0</v>
      </c>
      <c r="K71" s="85" t="n">
        <v>37653</v>
      </c>
      <c r="L71" s="13" t="n">
        <f aca="false">18427*31</f>
        <v>571237</v>
      </c>
      <c r="M71" s="38" t="s">
        <v>8</v>
      </c>
      <c r="N71" s="86" t="n">
        <v>4.3</v>
      </c>
      <c r="O71" s="66" t="n">
        <f aca="false">L71*N71</f>
        <v>2456319.1</v>
      </c>
      <c r="P71" s="67" t="n">
        <v>0.01</v>
      </c>
      <c r="Q71" s="68" t="n">
        <f aca="false">P71*L71</f>
        <v>5712.37</v>
      </c>
      <c r="S71" s="69" t="str">
        <f aca="false">VLOOKUP(K71,Prices,HLOOKUP(F71,Column,2))</f>
        <v/>
      </c>
      <c r="T71" s="69" t="n">
        <f aca="false">IF(S71=0,VLOOKUP(K71,FWD_Prices,HLOOKUP(F71,Column,2)),0)</f>
        <v>0</v>
      </c>
      <c r="V71" s="70" t="e">
        <f aca="false">IF(H71="Swap",S71-N71,IF(H71="Call",MAX(S71-N71,0),IF(H71="Put",MAX(N71-S71,0),"Error on Structure")))*IF(G71="Buy",1,IF(G71="Sell",-1,"Error on Buy/Sell"))*L71*IF(S71=0,0,1)</f>
        <v>#VALUE!</v>
      </c>
      <c r="W71" s="70" t="n">
        <f aca="false">IF(H71="Swap",T71-N71,IF(H71="Call",MAX(T71-N71,0),IF(H71="Put",MAX(N71-T71,0),"Error on Structure")))*IF(G71="Buy",1,IF(G71="Sell",-1,"Error on Buy/Sell"))*L71*IF(T71=0,0,1)</f>
        <v>-0</v>
      </c>
      <c r="X71" s="71" t="e">
        <f aca="false">SUM(V71:W71)</f>
        <v>#VALUE!</v>
      </c>
      <c r="AA71" s="12" t="s">
        <v>99</v>
      </c>
    </row>
    <row r="72" customFormat="false" ht="12.75" hidden="false" customHeight="false" outlineLevel="0" collapsed="false">
      <c r="A72" s="10" t="n">
        <v>8</v>
      </c>
      <c r="B72" s="10" t="s">
        <v>40</v>
      </c>
      <c r="C72" s="62" t="n">
        <v>36944</v>
      </c>
      <c r="D72" s="12" t="s">
        <v>41</v>
      </c>
      <c r="E72" s="12" t="s">
        <v>89</v>
      </c>
      <c r="F72" s="12" t="s">
        <v>109</v>
      </c>
      <c r="G72" s="10" t="s">
        <v>97</v>
      </c>
      <c r="H72" s="12" t="s">
        <v>101</v>
      </c>
      <c r="I72" s="63" t="n">
        <v>0</v>
      </c>
      <c r="J72" s="64" t="n">
        <f aca="false">+I72*L72</f>
        <v>0</v>
      </c>
      <c r="K72" s="85" t="n">
        <v>37681</v>
      </c>
      <c r="L72" s="13" t="n">
        <f aca="false">18427*30</f>
        <v>552810</v>
      </c>
      <c r="M72" s="38" t="s">
        <v>8</v>
      </c>
      <c r="N72" s="86" t="n">
        <v>4.3</v>
      </c>
      <c r="O72" s="66" t="n">
        <f aca="false">L72*N72</f>
        <v>2377083</v>
      </c>
      <c r="P72" s="67" t="n">
        <v>0.01</v>
      </c>
      <c r="Q72" s="68" t="n">
        <f aca="false">P72*L72</f>
        <v>5528.1</v>
      </c>
      <c r="S72" s="69" t="str">
        <f aca="false">VLOOKUP(K72,Prices,HLOOKUP(F72,Column,2))</f>
        <v/>
      </c>
      <c r="T72" s="69" t="n">
        <f aca="false">IF(S72=0,VLOOKUP(K72,FWD_Prices,HLOOKUP(F72,Column,2)),0)</f>
        <v>0</v>
      </c>
      <c r="V72" s="70" t="e">
        <f aca="false">IF(H72="Swap",S72-N72,IF(H72="Call",MAX(S72-N72,0),IF(H72="Put",MAX(N72-S72,0),"Error on Structure")))*IF(G72="Buy",1,IF(G72="Sell",-1,"Error on Buy/Sell"))*L72*IF(S72=0,0,1)</f>
        <v>#VALUE!</v>
      </c>
      <c r="W72" s="70" t="n">
        <f aca="false">IF(H72="Swap",T72-N72,IF(H72="Call",MAX(T72-N72,0),IF(H72="Put",MAX(N72-T72,0),"Error on Structure")))*IF(G72="Buy",1,IF(G72="Sell",-1,"Error on Buy/Sell"))*L72*IF(T72=0,0,1)</f>
        <v>-0</v>
      </c>
      <c r="X72" s="71" t="e">
        <f aca="false">SUM(V72:W72)</f>
        <v>#VALUE!</v>
      </c>
      <c r="AA72" s="12" t="s">
        <v>99</v>
      </c>
    </row>
    <row r="73" customFormat="false" ht="12.75" hidden="false" customHeight="false" outlineLevel="0" collapsed="false">
      <c r="A73" s="10" t="n">
        <v>8</v>
      </c>
      <c r="B73" s="10" t="s">
        <v>40</v>
      </c>
      <c r="C73" s="62" t="n">
        <v>36944</v>
      </c>
      <c r="D73" s="12" t="s">
        <v>41</v>
      </c>
      <c r="E73" s="12" t="s">
        <v>89</v>
      </c>
      <c r="F73" s="12" t="s">
        <v>109</v>
      </c>
      <c r="G73" s="10" t="s">
        <v>97</v>
      </c>
      <c r="H73" s="12" t="s">
        <v>101</v>
      </c>
      <c r="I73" s="63" t="n">
        <v>0</v>
      </c>
      <c r="J73" s="64" t="n">
        <f aca="false">+I73*L73</f>
        <v>0</v>
      </c>
      <c r="K73" s="85" t="n">
        <v>37712</v>
      </c>
      <c r="L73" s="13" t="n">
        <f aca="false">18427*31</f>
        <v>571237</v>
      </c>
      <c r="M73" s="38" t="s">
        <v>8</v>
      </c>
      <c r="N73" s="86" t="n">
        <v>4.3</v>
      </c>
      <c r="O73" s="66" t="n">
        <f aca="false">L73*N73</f>
        <v>2456319.1</v>
      </c>
      <c r="P73" s="67" t="n">
        <v>0.01</v>
      </c>
      <c r="Q73" s="68" t="n">
        <f aca="false">P73*L73</f>
        <v>5712.37</v>
      </c>
      <c r="S73" s="69" t="str">
        <f aca="false">VLOOKUP(K73,Prices,HLOOKUP(F73,Column,2))</f>
        <v/>
      </c>
      <c r="T73" s="69" t="n">
        <f aca="false">IF(S73=0,VLOOKUP(K73,FWD_Prices,HLOOKUP(F73,Column,2)),0)</f>
        <v>0</v>
      </c>
      <c r="V73" s="70" t="e">
        <f aca="false">IF(H73="Swap",S73-N73,IF(H73="Call",MAX(S73-N73,0),IF(H73="Put",MAX(N73-S73,0),"Error on Structure")))*IF(G73="Buy",1,IF(G73="Sell",-1,"Error on Buy/Sell"))*L73*IF(S73=0,0,1)</f>
        <v>#VALUE!</v>
      </c>
      <c r="W73" s="70" t="n">
        <f aca="false">IF(H73="Swap",T73-N73,IF(H73="Call",MAX(T73-N73,0),IF(H73="Put",MAX(N73-T73,0),"Error on Structure")))*IF(G73="Buy",1,IF(G73="Sell",-1,"Error on Buy/Sell"))*L73*IF(T73=0,0,1)</f>
        <v>-0</v>
      </c>
      <c r="X73" s="71" t="e">
        <f aca="false">SUM(V73:W73)</f>
        <v>#VALUE!</v>
      </c>
      <c r="AA73" s="12" t="s">
        <v>99</v>
      </c>
    </row>
    <row r="74" customFormat="false" ht="12.75" hidden="false" customHeight="false" outlineLevel="0" collapsed="false">
      <c r="A74" s="10" t="n">
        <v>8</v>
      </c>
      <c r="B74" s="10" t="s">
        <v>40</v>
      </c>
      <c r="C74" s="62" t="n">
        <v>36944</v>
      </c>
      <c r="D74" s="12" t="s">
        <v>41</v>
      </c>
      <c r="E74" s="12" t="s">
        <v>89</v>
      </c>
      <c r="F74" s="12" t="s">
        <v>109</v>
      </c>
      <c r="G74" s="10" t="s">
        <v>97</v>
      </c>
      <c r="H74" s="12" t="s">
        <v>101</v>
      </c>
      <c r="I74" s="63" t="n">
        <v>0</v>
      </c>
      <c r="J74" s="64" t="n">
        <f aca="false">+I74*L74</f>
        <v>0</v>
      </c>
      <c r="K74" s="85" t="n">
        <v>37742</v>
      </c>
      <c r="L74" s="13" t="n">
        <f aca="false">18427*30</f>
        <v>552810</v>
      </c>
      <c r="M74" s="38" t="s">
        <v>8</v>
      </c>
      <c r="N74" s="86" t="n">
        <v>4.3</v>
      </c>
      <c r="O74" s="66" t="n">
        <f aca="false">L74*N74</f>
        <v>2377083</v>
      </c>
      <c r="P74" s="67" t="n">
        <v>0.01</v>
      </c>
      <c r="Q74" s="68" t="n">
        <f aca="false">P74*L74</f>
        <v>5528.1</v>
      </c>
      <c r="S74" s="69" t="str">
        <f aca="false">VLOOKUP(K74,Prices,HLOOKUP(F74,Column,2))</f>
        <v/>
      </c>
      <c r="T74" s="69" t="n">
        <f aca="false">IF(S74=0,VLOOKUP(K74,FWD_Prices,HLOOKUP(F74,Column,2)),0)</f>
        <v>0</v>
      </c>
      <c r="V74" s="70" t="e">
        <f aca="false">IF(H74="Swap",S74-N74,IF(H74="Call",MAX(S74-N74,0),IF(H74="Put",MAX(N74-S74,0),"Error on Structure")))*IF(G74="Buy",1,IF(G74="Sell",-1,"Error on Buy/Sell"))*L74*IF(S74=0,0,1)</f>
        <v>#VALUE!</v>
      </c>
      <c r="W74" s="70" t="n">
        <f aca="false">IF(H74="Swap",T74-N74,IF(H74="Call",MAX(T74-N74,0),IF(H74="Put",MAX(N74-T74,0),"Error on Structure")))*IF(G74="Buy",1,IF(G74="Sell",-1,"Error on Buy/Sell"))*L74*IF(T74=0,0,1)</f>
        <v>-0</v>
      </c>
      <c r="X74" s="71" t="e">
        <f aca="false">SUM(V74:W74)</f>
        <v>#VALUE!</v>
      </c>
      <c r="AA74" s="12" t="s">
        <v>99</v>
      </c>
    </row>
    <row r="75" customFormat="false" ht="12.75" hidden="false" customHeight="false" outlineLevel="0" collapsed="false">
      <c r="A75" s="10" t="n">
        <v>8</v>
      </c>
      <c r="B75" s="10" t="s">
        <v>40</v>
      </c>
      <c r="C75" s="62" t="n">
        <v>36944</v>
      </c>
      <c r="D75" s="12" t="s">
        <v>41</v>
      </c>
      <c r="E75" s="12" t="s">
        <v>89</v>
      </c>
      <c r="F75" s="12" t="s">
        <v>109</v>
      </c>
      <c r="G75" s="10" t="s">
        <v>97</v>
      </c>
      <c r="H75" s="12" t="s">
        <v>101</v>
      </c>
      <c r="I75" s="63" t="n">
        <v>0</v>
      </c>
      <c r="J75" s="64" t="n">
        <f aca="false">+I75*L75</f>
        <v>0</v>
      </c>
      <c r="K75" s="85" t="n">
        <v>37773</v>
      </c>
      <c r="L75" s="13" t="n">
        <f aca="false">18427*31</f>
        <v>571237</v>
      </c>
      <c r="M75" s="38" t="s">
        <v>8</v>
      </c>
      <c r="N75" s="86" t="n">
        <v>4.3</v>
      </c>
      <c r="O75" s="66" t="n">
        <f aca="false">L75*N75</f>
        <v>2456319.1</v>
      </c>
      <c r="P75" s="67" t="n">
        <v>0.01</v>
      </c>
      <c r="Q75" s="68" t="n">
        <f aca="false">P75*L75</f>
        <v>5712.37</v>
      </c>
      <c r="S75" s="69" t="str">
        <f aca="false">VLOOKUP(K75,Prices,HLOOKUP(F75,Column,2))</f>
        <v/>
      </c>
      <c r="T75" s="69" t="n">
        <f aca="false">IF(S75=0,VLOOKUP(K75,FWD_Prices,HLOOKUP(F75,Column,2)),0)</f>
        <v>0</v>
      </c>
      <c r="V75" s="70" t="e">
        <f aca="false">IF(H75="Swap",S75-N75,IF(H75="Call",MAX(S75-N75,0),IF(H75="Put",MAX(N75-S75,0),"Error on Structure")))*IF(G75="Buy",1,IF(G75="Sell",-1,"Error on Buy/Sell"))*L75*IF(S75=0,0,1)</f>
        <v>#VALUE!</v>
      </c>
      <c r="W75" s="70" t="n">
        <f aca="false">IF(H75="Swap",T75-N75,IF(H75="Call",MAX(T75-N75,0),IF(H75="Put",MAX(N75-T75,0),"Error on Structure")))*IF(G75="Buy",1,IF(G75="Sell",-1,"Error on Buy/Sell"))*L75*IF(T75=0,0,1)</f>
        <v>-0</v>
      </c>
      <c r="X75" s="71" t="e">
        <f aca="false">SUM(V75:W75)</f>
        <v>#VALUE!</v>
      </c>
      <c r="AA75" s="12" t="s">
        <v>99</v>
      </c>
    </row>
    <row r="76" customFormat="false" ht="12.75" hidden="false" customHeight="false" outlineLevel="0" collapsed="false">
      <c r="A76" s="10" t="n">
        <v>8</v>
      </c>
      <c r="B76" s="10" t="s">
        <v>40</v>
      </c>
      <c r="C76" s="62" t="n">
        <v>36944</v>
      </c>
      <c r="D76" s="12" t="s">
        <v>41</v>
      </c>
      <c r="E76" s="12" t="s">
        <v>89</v>
      </c>
      <c r="F76" s="12" t="s">
        <v>109</v>
      </c>
      <c r="G76" s="10" t="s">
        <v>97</v>
      </c>
      <c r="H76" s="12" t="s">
        <v>101</v>
      </c>
      <c r="I76" s="63" t="n">
        <v>0</v>
      </c>
      <c r="J76" s="64" t="n">
        <f aca="false">+I76*L76</f>
        <v>0</v>
      </c>
      <c r="K76" s="85" t="n">
        <v>37803</v>
      </c>
      <c r="L76" s="13" t="n">
        <f aca="false">18427*31</f>
        <v>571237</v>
      </c>
      <c r="M76" s="38" t="s">
        <v>8</v>
      </c>
      <c r="N76" s="86" t="n">
        <v>4.3</v>
      </c>
      <c r="O76" s="66" t="n">
        <f aca="false">L76*N76</f>
        <v>2456319.1</v>
      </c>
      <c r="P76" s="67" t="n">
        <v>0.01</v>
      </c>
      <c r="Q76" s="68" t="n">
        <f aca="false">P76*L76</f>
        <v>5712.37</v>
      </c>
      <c r="S76" s="69" t="str">
        <f aca="false">VLOOKUP(K76,Prices,HLOOKUP(F76,Column,2))</f>
        <v/>
      </c>
      <c r="T76" s="69" t="n">
        <f aca="false">IF(S76=0,VLOOKUP(K76,FWD_Prices,HLOOKUP(F76,Column,2)),0)</f>
        <v>0</v>
      </c>
      <c r="V76" s="70" t="e">
        <f aca="false">IF(H76="Swap",S76-N76,IF(H76="Call",MAX(S76-N76,0),IF(H76="Put",MAX(N76-S76,0),"Error on Structure")))*IF(G76="Buy",1,IF(G76="Sell",-1,"Error on Buy/Sell"))*L76*IF(S76=0,0,1)</f>
        <v>#VALUE!</v>
      </c>
      <c r="W76" s="70" t="n">
        <f aca="false">IF(H76="Swap",T76-N76,IF(H76="Call",MAX(T76-N76,0),IF(H76="Put",MAX(N76-T76,0),"Error on Structure")))*IF(G76="Buy",1,IF(G76="Sell",-1,"Error on Buy/Sell"))*L76*IF(T76=0,0,1)</f>
        <v>-0</v>
      </c>
      <c r="X76" s="71" t="e">
        <f aca="false">SUM(V76:W76)</f>
        <v>#VALUE!</v>
      </c>
      <c r="AA76" s="12" t="s">
        <v>99</v>
      </c>
    </row>
    <row r="77" customFormat="false" ht="12.75" hidden="false" customHeight="false" outlineLevel="0" collapsed="false">
      <c r="A77" s="10" t="n">
        <v>8</v>
      </c>
      <c r="B77" s="10" t="s">
        <v>40</v>
      </c>
      <c r="C77" s="62" t="n">
        <v>36944</v>
      </c>
      <c r="D77" s="12" t="s">
        <v>41</v>
      </c>
      <c r="E77" s="12" t="s">
        <v>89</v>
      </c>
      <c r="F77" s="12" t="s">
        <v>109</v>
      </c>
      <c r="G77" s="10" t="s">
        <v>97</v>
      </c>
      <c r="H77" s="12" t="s">
        <v>101</v>
      </c>
      <c r="I77" s="63" t="n">
        <v>0</v>
      </c>
      <c r="J77" s="64" t="n">
        <f aca="false">+I77*L77</f>
        <v>0</v>
      </c>
      <c r="K77" s="85" t="n">
        <v>37834</v>
      </c>
      <c r="L77" s="13" t="n">
        <f aca="false">18427*30</f>
        <v>552810</v>
      </c>
      <c r="M77" s="38" t="s">
        <v>8</v>
      </c>
      <c r="N77" s="86" t="n">
        <v>4.3</v>
      </c>
      <c r="O77" s="66" t="n">
        <f aca="false">L77*N77</f>
        <v>2377083</v>
      </c>
      <c r="P77" s="67" t="n">
        <v>0.01</v>
      </c>
      <c r="Q77" s="68" t="n">
        <f aca="false">P77*L77</f>
        <v>5528.1</v>
      </c>
      <c r="S77" s="69" t="str">
        <f aca="false">VLOOKUP(K77,Prices,HLOOKUP(F77,Column,2))</f>
        <v/>
      </c>
      <c r="T77" s="69" t="n">
        <f aca="false">IF(S77=0,VLOOKUP(K77,FWD_Prices,HLOOKUP(F77,Column,2)),0)</f>
        <v>0</v>
      </c>
      <c r="V77" s="70" t="e">
        <f aca="false">IF(H77="Swap",S77-N77,IF(H77="Call",MAX(S77-N77,0),IF(H77="Put",MAX(N77-S77,0),"Error on Structure")))*IF(G77="Buy",1,IF(G77="Sell",-1,"Error on Buy/Sell"))*L77*IF(S77=0,0,1)</f>
        <v>#VALUE!</v>
      </c>
      <c r="W77" s="70" t="n">
        <f aca="false">IF(H77="Swap",T77-N77,IF(H77="Call",MAX(T77-N77,0),IF(H77="Put",MAX(N77-T77,0),"Error on Structure")))*IF(G77="Buy",1,IF(G77="Sell",-1,"Error on Buy/Sell"))*L77*IF(T77=0,0,1)</f>
        <v>-0</v>
      </c>
      <c r="X77" s="71" t="e">
        <f aca="false">SUM(V77:W77)</f>
        <v>#VALUE!</v>
      </c>
      <c r="AA77" s="12" t="s">
        <v>99</v>
      </c>
    </row>
    <row r="78" customFormat="false" ht="12.75" hidden="false" customHeight="false" outlineLevel="0" collapsed="false">
      <c r="A78" s="10" t="n">
        <v>8</v>
      </c>
      <c r="B78" s="10" t="s">
        <v>40</v>
      </c>
      <c r="C78" s="62" t="n">
        <v>36944</v>
      </c>
      <c r="D78" s="12" t="s">
        <v>41</v>
      </c>
      <c r="E78" s="12" t="s">
        <v>89</v>
      </c>
      <c r="F78" s="12" t="s">
        <v>109</v>
      </c>
      <c r="G78" s="10" t="s">
        <v>97</v>
      </c>
      <c r="H78" s="12" t="s">
        <v>101</v>
      </c>
      <c r="I78" s="63" t="n">
        <v>0</v>
      </c>
      <c r="J78" s="64" t="n">
        <f aca="false">+I78*L78</f>
        <v>0</v>
      </c>
      <c r="K78" s="85" t="n">
        <v>37865</v>
      </c>
      <c r="L78" s="13" t="n">
        <f aca="false">18427*31</f>
        <v>571237</v>
      </c>
      <c r="M78" s="38" t="s">
        <v>8</v>
      </c>
      <c r="N78" s="86" t="n">
        <v>4.3</v>
      </c>
      <c r="O78" s="66" t="n">
        <f aca="false">L78*N78</f>
        <v>2456319.1</v>
      </c>
      <c r="P78" s="67" t="n">
        <v>0.01</v>
      </c>
      <c r="Q78" s="68" t="n">
        <f aca="false">P78*L78</f>
        <v>5712.37</v>
      </c>
      <c r="S78" s="69" t="str">
        <f aca="false">VLOOKUP(K78,Prices,HLOOKUP(F78,Column,2))</f>
        <v/>
      </c>
      <c r="T78" s="69" t="n">
        <f aca="false">IF(S78=0,VLOOKUP(K78,FWD_Prices,HLOOKUP(F78,Column,2)),0)</f>
        <v>0</v>
      </c>
      <c r="V78" s="70" t="e">
        <f aca="false">IF(H78="Swap",S78-N78,IF(H78="Call",MAX(S78-N78,0),IF(H78="Put",MAX(N78-S78,0),"Error on Structure")))*IF(G78="Buy",1,IF(G78="Sell",-1,"Error on Buy/Sell"))*L78*IF(S78=0,0,1)</f>
        <v>#VALUE!</v>
      </c>
      <c r="W78" s="70" t="n">
        <f aca="false">IF(H78="Swap",T78-N78,IF(H78="Call",MAX(T78-N78,0),IF(H78="Put",MAX(N78-T78,0),"Error on Structure")))*IF(G78="Buy",1,IF(G78="Sell",-1,"Error on Buy/Sell"))*L78*IF(T78=0,0,1)</f>
        <v>-0</v>
      </c>
      <c r="X78" s="71" t="e">
        <f aca="false">SUM(V78:W78)</f>
        <v>#VALUE!</v>
      </c>
      <c r="AA78" s="12" t="s">
        <v>99</v>
      </c>
    </row>
    <row r="79" customFormat="false" ht="12.75" hidden="false" customHeight="false" outlineLevel="0" collapsed="false">
      <c r="A79" s="10" t="n">
        <v>8</v>
      </c>
      <c r="B79" s="10" t="s">
        <v>40</v>
      </c>
      <c r="C79" s="62" t="n">
        <v>36944</v>
      </c>
      <c r="D79" s="12" t="s">
        <v>41</v>
      </c>
      <c r="E79" s="12" t="s">
        <v>89</v>
      </c>
      <c r="F79" s="12" t="s">
        <v>109</v>
      </c>
      <c r="G79" s="10" t="s">
        <v>97</v>
      </c>
      <c r="H79" s="12" t="s">
        <v>101</v>
      </c>
      <c r="I79" s="63" t="n">
        <v>0</v>
      </c>
      <c r="J79" s="64" t="n">
        <f aca="false">+I79*L79</f>
        <v>0</v>
      </c>
      <c r="K79" s="85" t="n">
        <v>37895</v>
      </c>
      <c r="L79" s="13" t="n">
        <f aca="false">18427*30</f>
        <v>552810</v>
      </c>
      <c r="M79" s="38" t="s">
        <v>8</v>
      </c>
      <c r="N79" s="86" t="n">
        <v>4.3</v>
      </c>
      <c r="O79" s="66" t="n">
        <f aca="false">L79*N79</f>
        <v>2377083</v>
      </c>
      <c r="P79" s="67" t="n">
        <v>0.01</v>
      </c>
      <c r="Q79" s="68" t="n">
        <f aca="false">P79*L79</f>
        <v>5528.1</v>
      </c>
      <c r="S79" s="69" t="str">
        <f aca="false">VLOOKUP(K79,Prices,HLOOKUP(F79,Column,2))</f>
        <v/>
      </c>
      <c r="T79" s="69" t="n">
        <f aca="false">IF(S79=0,VLOOKUP(K79,FWD_Prices,HLOOKUP(F79,Column,2)),0)</f>
        <v>0</v>
      </c>
      <c r="V79" s="70" t="e">
        <f aca="false">IF(H79="Swap",S79-N79,IF(H79="Call",MAX(S79-N79,0),IF(H79="Put",MAX(N79-S79,0),"Error on Structure")))*IF(G79="Buy",1,IF(G79="Sell",-1,"Error on Buy/Sell"))*L79*IF(S79=0,0,1)</f>
        <v>#VALUE!</v>
      </c>
      <c r="W79" s="70" t="n">
        <f aca="false">IF(H79="Swap",T79-N79,IF(H79="Call",MAX(T79-N79,0),IF(H79="Put",MAX(N79-T79,0),"Error on Structure")))*IF(G79="Buy",1,IF(G79="Sell",-1,"Error on Buy/Sell"))*L79*IF(T79=0,0,1)</f>
        <v>-0</v>
      </c>
      <c r="X79" s="71" t="e">
        <f aca="false">SUM(V79:W79)</f>
        <v>#VALUE!</v>
      </c>
      <c r="AA79" s="12" t="s">
        <v>99</v>
      </c>
    </row>
    <row r="80" customFormat="false" ht="12.75" hidden="false" customHeight="false" outlineLevel="0" collapsed="false">
      <c r="A80" s="10" t="n">
        <v>8</v>
      </c>
      <c r="B80" s="10" t="s">
        <v>40</v>
      </c>
      <c r="C80" s="62" t="n">
        <v>36944</v>
      </c>
      <c r="D80" s="12" t="s">
        <v>41</v>
      </c>
      <c r="E80" s="12" t="s">
        <v>89</v>
      </c>
      <c r="F80" s="12" t="s">
        <v>109</v>
      </c>
      <c r="G80" s="10" t="s">
        <v>97</v>
      </c>
      <c r="H80" s="12" t="s">
        <v>101</v>
      </c>
      <c r="I80" s="63" t="n">
        <v>0</v>
      </c>
      <c r="J80" s="64" t="n">
        <f aca="false">+I80*L80</f>
        <v>0</v>
      </c>
      <c r="K80" s="85" t="n">
        <v>37926</v>
      </c>
      <c r="L80" s="13" t="n">
        <f aca="false">18427*31</f>
        <v>571237</v>
      </c>
      <c r="M80" s="38" t="s">
        <v>8</v>
      </c>
      <c r="N80" s="86" t="n">
        <v>4.3</v>
      </c>
      <c r="O80" s="66" t="n">
        <f aca="false">L80*N80</f>
        <v>2456319.1</v>
      </c>
      <c r="P80" s="67" t="n">
        <v>0.01</v>
      </c>
      <c r="Q80" s="68" t="n">
        <f aca="false">P80*L80</f>
        <v>5712.37</v>
      </c>
      <c r="S80" s="69" t="str">
        <f aca="false">VLOOKUP(K80,Prices,HLOOKUP(F80,Column,2))</f>
        <v/>
      </c>
      <c r="T80" s="69" t="n">
        <f aca="false">IF(S80=0,VLOOKUP(K80,FWD_Prices,HLOOKUP(F80,Column,2)),0)</f>
        <v>0</v>
      </c>
      <c r="V80" s="70" t="e">
        <f aca="false">IF(H80="Swap",S80-N80,IF(H80="Call",MAX(S80-N80,0),IF(H80="Put",MAX(N80-S80,0),"Error on Structure")))*IF(G80="Buy",1,IF(G80="Sell",-1,"Error on Buy/Sell"))*L80*IF(S80=0,0,1)</f>
        <v>#VALUE!</v>
      </c>
      <c r="W80" s="70" t="n">
        <f aca="false">IF(H80="Swap",T80-N80,IF(H80="Call",MAX(T80-N80,0),IF(H80="Put",MAX(N80-T80,0),"Error on Structure")))*IF(G80="Buy",1,IF(G80="Sell",-1,"Error on Buy/Sell"))*L80*IF(T80=0,0,1)</f>
        <v>-0</v>
      </c>
      <c r="X80" s="71" t="e">
        <f aca="false">SUM(V80:W80)</f>
        <v>#VALUE!</v>
      </c>
      <c r="AA80" s="12" t="s">
        <v>99</v>
      </c>
    </row>
    <row r="81" customFormat="false" ht="12.75" hidden="false" customHeight="false" outlineLevel="0" collapsed="false">
      <c r="A81" s="10" t="n">
        <v>8</v>
      </c>
      <c r="B81" s="10" t="s">
        <v>40</v>
      </c>
      <c r="C81" s="62" t="n">
        <v>36944</v>
      </c>
      <c r="D81" s="12" t="s">
        <v>41</v>
      </c>
      <c r="E81" s="12" t="s">
        <v>89</v>
      </c>
      <c r="F81" s="12" t="s">
        <v>109</v>
      </c>
      <c r="G81" s="10" t="s">
        <v>97</v>
      </c>
      <c r="H81" s="12" t="s">
        <v>101</v>
      </c>
      <c r="I81" s="63" t="n">
        <v>0</v>
      </c>
      <c r="J81" s="64" t="n">
        <f aca="false">+I81*L81</f>
        <v>0</v>
      </c>
      <c r="K81" s="85" t="n">
        <v>37956</v>
      </c>
      <c r="L81" s="13" t="n">
        <f aca="false">18427*31</f>
        <v>571237</v>
      </c>
      <c r="M81" s="38" t="s">
        <v>8</v>
      </c>
      <c r="N81" s="86" t="n">
        <v>4.3</v>
      </c>
      <c r="O81" s="66" t="n">
        <f aca="false">L81*N81</f>
        <v>2456319.1</v>
      </c>
      <c r="P81" s="67" t="n">
        <v>0.01</v>
      </c>
      <c r="Q81" s="68" t="n">
        <f aca="false">P81*L81</f>
        <v>5712.37</v>
      </c>
      <c r="S81" s="69" t="str">
        <f aca="false">VLOOKUP(K81,Prices,HLOOKUP(F81,Column,2))</f>
        <v/>
      </c>
      <c r="T81" s="69" t="n">
        <f aca="false">IF(S81=0,VLOOKUP(K81,FWD_Prices,HLOOKUP(F81,Column,2)),0)</f>
        <v>0</v>
      </c>
      <c r="V81" s="70" t="e">
        <f aca="false">IF(H81="Swap",S81-N81,IF(H81="Call",MAX(S81-N81,0),IF(H81="Put",MAX(N81-S81,0),"Error on Structure")))*IF(G81="Buy",1,IF(G81="Sell",-1,"Error on Buy/Sell"))*L81*IF(S81=0,0,1)</f>
        <v>#VALUE!</v>
      </c>
      <c r="W81" s="70" t="n">
        <f aca="false">IF(H81="Swap",T81-N81,IF(H81="Call",MAX(T81-N81,0),IF(H81="Put",MAX(N81-T81,0),"Error on Structure")))*IF(G81="Buy",1,IF(G81="Sell",-1,"Error on Buy/Sell"))*L81*IF(T81=0,0,1)</f>
        <v>-0</v>
      </c>
      <c r="X81" s="71" t="e">
        <f aca="false">SUM(V81:W81)</f>
        <v>#VALUE!</v>
      </c>
      <c r="AA81" s="12" t="s">
        <v>99</v>
      </c>
    </row>
    <row r="83" customFormat="false" ht="12.75" hidden="false" customHeight="false" outlineLevel="0" collapsed="false">
      <c r="A83" s="10" t="n">
        <v>9</v>
      </c>
      <c r="C83" s="62" t="n">
        <v>36945</v>
      </c>
      <c r="D83" s="12" t="s">
        <v>43</v>
      </c>
      <c r="E83" s="12" t="s">
        <v>89</v>
      </c>
      <c r="F83" s="12" t="s">
        <v>90</v>
      </c>
      <c r="G83" s="10" t="s">
        <v>97</v>
      </c>
      <c r="H83" s="12" t="s">
        <v>101</v>
      </c>
      <c r="I83" s="63" t="n">
        <v>0</v>
      </c>
      <c r="J83" s="64" t="n">
        <f aca="false">+I83*L83</f>
        <v>0</v>
      </c>
      <c r="K83" s="85" t="n">
        <v>36951</v>
      </c>
      <c r="L83" s="13" t="n">
        <v>37925</v>
      </c>
      <c r="M83" s="38" t="s">
        <v>8</v>
      </c>
      <c r="N83" s="86" t="n">
        <v>5.04</v>
      </c>
      <c r="O83" s="66" t="n">
        <f aca="false">L83*N83</f>
        <v>191142</v>
      </c>
      <c r="P83" s="67" t="n">
        <v>0.02</v>
      </c>
      <c r="Q83" s="68" t="n">
        <f aca="false">P83*L83</f>
        <v>758.5</v>
      </c>
      <c r="S83" s="69" t="str">
        <f aca="false">VLOOKUP(K83,Prices,HLOOKUP(F83,Column,2))</f>
        <v/>
      </c>
      <c r="T83" s="69" t="n">
        <f aca="false">IF(S83=0,VLOOKUP(K83,FWD_Prices,HLOOKUP(F83,Column,2)),0)</f>
        <v>0</v>
      </c>
      <c r="V83" s="70" t="s">
        <v>106</v>
      </c>
      <c r="W83" s="70" t="s">
        <v>106</v>
      </c>
      <c r="X83" s="70" t="s">
        <v>106</v>
      </c>
      <c r="AA83" s="12" t="s">
        <v>108</v>
      </c>
    </row>
    <row r="84" customFormat="false" ht="12.75" hidden="false" customHeight="false" outlineLevel="0" collapsed="false">
      <c r="A84" s="10" t="n">
        <v>9</v>
      </c>
      <c r="C84" s="62" t="n">
        <v>36945</v>
      </c>
      <c r="D84" s="12" t="s">
        <v>43</v>
      </c>
      <c r="E84" s="12" t="s">
        <v>89</v>
      </c>
      <c r="F84" s="12" t="s">
        <v>90</v>
      </c>
      <c r="G84" s="10" t="s">
        <v>97</v>
      </c>
      <c r="H84" s="12" t="s">
        <v>101</v>
      </c>
      <c r="I84" s="63" t="n">
        <v>0</v>
      </c>
      <c r="J84" s="64" t="n">
        <f aca="false">+I84*L84</f>
        <v>0</v>
      </c>
      <c r="K84" s="85" t="n">
        <v>36982</v>
      </c>
      <c r="L84" s="13" t="n">
        <v>37925</v>
      </c>
      <c r="M84" s="38" t="s">
        <v>8</v>
      </c>
      <c r="N84" s="86" t="n">
        <v>5.04</v>
      </c>
      <c r="O84" s="66" t="n">
        <f aca="false">L84*N84</f>
        <v>191142</v>
      </c>
      <c r="P84" s="67" t="n">
        <v>0.02</v>
      </c>
      <c r="Q84" s="68" t="n">
        <f aca="false">P84*L84</f>
        <v>758.5</v>
      </c>
      <c r="S84" s="69" t="str">
        <f aca="false">VLOOKUP(K84,Prices,HLOOKUP(F84,Column,2))</f>
        <v/>
      </c>
      <c r="T84" s="69" t="n">
        <f aca="false">IF(S84=0,VLOOKUP(K84,FWD_Prices,HLOOKUP(F84,Column,2)),0)</f>
        <v>0</v>
      </c>
      <c r="V84" s="70" t="s">
        <v>106</v>
      </c>
      <c r="W84" s="70" t="s">
        <v>106</v>
      </c>
      <c r="X84" s="70" t="s">
        <v>106</v>
      </c>
      <c r="AA84" s="12" t="s">
        <v>108</v>
      </c>
    </row>
    <row r="85" customFormat="false" ht="12.75" hidden="false" customHeight="false" outlineLevel="0" collapsed="false">
      <c r="A85" s="10" t="n">
        <v>9</v>
      </c>
      <c r="C85" s="62" t="n">
        <v>36945</v>
      </c>
      <c r="D85" s="12" t="s">
        <v>43</v>
      </c>
      <c r="E85" s="12" t="s">
        <v>89</v>
      </c>
      <c r="F85" s="12" t="s">
        <v>90</v>
      </c>
      <c r="G85" s="10" t="s">
        <v>97</v>
      </c>
      <c r="H85" s="12" t="s">
        <v>101</v>
      </c>
      <c r="I85" s="63" t="n">
        <v>0</v>
      </c>
      <c r="J85" s="64" t="n">
        <f aca="false">+I85*L85</f>
        <v>0</v>
      </c>
      <c r="K85" s="85" t="n">
        <v>37012</v>
      </c>
      <c r="L85" s="13" t="n">
        <v>37925</v>
      </c>
      <c r="M85" s="38" t="s">
        <v>8</v>
      </c>
      <c r="N85" s="86" t="n">
        <v>5.04</v>
      </c>
      <c r="O85" s="66" t="n">
        <f aca="false">L85*N85</f>
        <v>191142</v>
      </c>
      <c r="P85" s="67" t="n">
        <v>0.02</v>
      </c>
      <c r="Q85" s="68" t="n">
        <f aca="false">P85*L85</f>
        <v>758.5</v>
      </c>
      <c r="S85" s="69" t="str">
        <f aca="false">VLOOKUP(K85,Prices,HLOOKUP(F85,Column,2))</f>
        <v/>
      </c>
      <c r="T85" s="69" t="n">
        <f aca="false">IF(S85=0,VLOOKUP(K85,FWD_Prices,HLOOKUP(F85,Column,2)),0)</f>
        <v>0</v>
      </c>
      <c r="V85" s="70" t="s">
        <v>106</v>
      </c>
      <c r="W85" s="70" t="s">
        <v>106</v>
      </c>
      <c r="X85" s="70" t="s">
        <v>106</v>
      </c>
      <c r="AA85" s="12" t="s">
        <v>108</v>
      </c>
    </row>
    <row r="86" customFormat="false" ht="12.75" hidden="false" customHeight="false" outlineLevel="0" collapsed="false">
      <c r="A86" s="10" t="n">
        <v>9</v>
      </c>
      <c r="C86" s="62" t="n">
        <v>36945</v>
      </c>
      <c r="D86" s="12" t="s">
        <v>43</v>
      </c>
      <c r="E86" s="12" t="s">
        <v>89</v>
      </c>
      <c r="F86" s="12" t="s">
        <v>90</v>
      </c>
      <c r="G86" s="10" t="s">
        <v>97</v>
      </c>
      <c r="H86" s="12" t="s">
        <v>101</v>
      </c>
      <c r="I86" s="63" t="n">
        <v>0</v>
      </c>
      <c r="J86" s="64" t="n">
        <f aca="false">+I86*L86</f>
        <v>0</v>
      </c>
      <c r="K86" s="85" t="n">
        <v>37043</v>
      </c>
      <c r="L86" s="13" t="n">
        <v>37925</v>
      </c>
      <c r="M86" s="38" t="s">
        <v>8</v>
      </c>
      <c r="N86" s="86" t="n">
        <v>5.04</v>
      </c>
      <c r="O86" s="66" t="n">
        <f aca="false">L86*N86</f>
        <v>191142</v>
      </c>
      <c r="P86" s="67" t="n">
        <v>0.02</v>
      </c>
      <c r="Q86" s="68" t="n">
        <f aca="false">P86*L86</f>
        <v>758.5</v>
      </c>
      <c r="S86" s="69" t="str">
        <f aca="false">VLOOKUP(K86,Prices,HLOOKUP(F86,Column,2))</f>
        <v/>
      </c>
      <c r="T86" s="69" t="n">
        <f aca="false">IF(S86=0,VLOOKUP(K86,FWD_Prices,HLOOKUP(F86,Column,2)),0)</f>
        <v>0</v>
      </c>
      <c r="V86" s="70" t="s">
        <v>106</v>
      </c>
      <c r="W86" s="70" t="s">
        <v>106</v>
      </c>
      <c r="X86" s="70" t="s">
        <v>106</v>
      </c>
      <c r="AA86" s="12" t="s">
        <v>108</v>
      </c>
    </row>
    <row r="87" customFormat="false" ht="12.75" hidden="false" customHeight="false" outlineLevel="0" collapsed="false">
      <c r="A87" s="10" t="n">
        <v>9</v>
      </c>
      <c r="C87" s="62" t="n">
        <v>36945</v>
      </c>
      <c r="D87" s="12" t="s">
        <v>43</v>
      </c>
      <c r="E87" s="12" t="s">
        <v>89</v>
      </c>
      <c r="F87" s="12" t="s">
        <v>90</v>
      </c>
      <c r="G87" s="10" t="s">
        <v>97</v>
      </c>
      <c r="H87" s="12" t="s">
        <v>101</v>
      </c>
      <c r="I87" s="63" t="n">
        <v>0</v>
      </c>
      <c r="J87" s="64" t="n">
        <f aca="false">+I87*L87</f>
        <v>0</v>
      </c>
      <c r="K87" s="85" t="n">
        <v>37073</v>
      </c>
      <c r="L87" s="13" t="n">
        <v>37925</v>
      </c>
      <c r="M87" s="38" t="s">
        <v>8</v>
      </c>
      <c r="N87" s="86" t="n">
        <v>5.04</v>
      </c>
      <c r="O87" s="66" t="n">
        <f aca="false">L87*N87</f>
        <v>191142</v>
      </c>
      <c r="P87" s="67" t="n">
        <v>0.02</v>
      </c>
      <c r="Q87" s="68" t="n">
        <f aca="false">P87*L87</f>
        <v>758.5</v>
      </c>
      <c r="S87" s="69" t="str">
        <f aca="false">VLOOKUP(K87,Prices,HLOOKUP(F87,Column,2))</f>
        <v/>
      </c>
      <c r="T87" s="69" t="n">
        <f aca="false">IF(S87=0,VLOOKUP(K87,FWD_Prices,HLOOKUP(F87,Column,2)),0)</f>
        <v>0</v>
      </c>
      <c r="V87" s="70" t="s">
        <v>106</v>
      </c>
      <c r="W87" s="70" t="s">
        <v>106</v>
      </c>
      <c r="X87" s="70" t="s">
        <v>106</v>
      </c>
      <c r="AA87" s="12" t="s">
        <v>108</v>
      </c>
    </row>
    <row r="88" customFormat="false" ht="12.75" hidden="false" customHeight="false" outlineLevel="0" collapsed="false">
      <c r="A88" s="10" t="n">
        <v>9</v>
      </c>
      <c r="C88" s="62" t="n">
        <v>36945</v>
      </c>
      <c r="D88" s="12" t="s">
        <v>43</v>
      </c>
      <c r="E88" s="12" t="s">
        <v>89</v>
      </c>
      <c r="F88" s="12" t="s">
        <v>90</v>
      </c>
      <c r="G88" s="10" t="s">
        <v>97</v>
      </c>
      <c r="H88" s="12" t="s">
        <v>101</v>
      </c>
      <c r="I88" s="63" t="n">
        <v>0</v>
      </c>
      <c r="J88" s="64" t="n">
        <f aca="false">+I88*L88</f>
        <v>0</v>
      </c>
      <c r="K88" s="85" t="n">
        <v>37104</v>
      </c>
      <c r="L88" s="13" t="n">
        <v>37925</v>
      </c>
      <c r="M88" s="38" t="s">
        <v>8</v>
      </c>
      <c r="N88" s="86" t="n">
        <v>5.04</v>
      </c>
      <c r="O88" s="66" t="n">
        <f aca="false">L88*N88</f>
        <v>191142</v>
      </c>
      <c r="P88" s="67" t="n">
        <v>0.02</v>
      </c>
      <c r="Q88" s="68" t="n">
        <f aca="false">P88*L88</f>
        <v>758.5</v>
      </c>
      <c r="S88" s="69" t="str">
        <f aca="false">VLOOKUP(K88,Prices,HLOOKUP(F88,Column,2))</f>
        <v/>
      </c>
      <c r="T88" s="69" t="n">
        <f aca="false">IF(S88=0,VLOOKUP(K88,FWD_Prices,HLOOKUP(F88,Column,2)),0)</f>
        <v>0</v>
      </c>
      <c r="V88" s="70" t="s">
        <v>106</v>
      </c>
      <c r="W88" s="70" t="s">
        <v>106</v>
      </c>
      <c r="X88" s="70" t="s">
        <v>106</v>
      </c>
      <c r="AA88" s="12" t="s">
        <v>108</v>
      </c>
    </row>
    <row r="89" customFormat="false" ht="12.75" hidden="false" customHeight="false" outlineLevel="0" collapsed="false">
      <c r="A89" s="10" t="n">
        <v>9</v>
      </c>
      <c r="C89" s="62" t="n">
        <v>36945</v>
      </c>
      <c r="D89" s="12" t="s">
        <v>43</v>
      </c>
      <c r="E89" s="12" t="s">
        <v>89</v>
      </c>
      <c r="F89" s="12" t="s">
        <v>90</v>
      </c>
      <c r="G89" s="10" t="s">
        <v>97</v>
      </c>
      <c r="H89" s="12" t="s">
        <v>101</v>
      </c>
      <c r="I89" s="63" t="n">
        <v>0</v>
      </c>
      <c r="J89" s="64" t="n">
        <f aca="false">+I89*L89</f>
        <v>0</v>
      </c>
      <c r="K89" s="85" t="n">
        <v>37135</v>
      </c>
      <c r="L89" s="13" t="n">
        <v>37925</v>
      </c>
      <c r="M89" s="38" t="s">
        <v>8</v>
      </c>
      <c r="N89" s="86" t="n">
        <v>5.04</v>
      </c>
      <c r="O89" s="66" t="n">
        <f aca="false">L89*N89</f>
        <v>191142</v>
      </c>
      <c r="P89" s="67" t="n">
        <v>0.02</v>
      </c>
      <c r="Q89" s="68" t="n">
        <f aca="false">P89*L89</f>
        <v>758.5</v>
      </c>
      <c r="S89" s="69" t="str">
        <f aca="false">VLOOKUP(K89,Prices,HLOOKUP(F89,Column,2))</f>
        <v/>
      </c>
      <c r="T89" s="69" t="n">
        <f aca="false">IF(S89=0,VLOOKUP(K89,FWD_Prices,HLOOKUP(F89,Column,2)),0)</f>
        <v>0</v>
      </c>
      <c r="V89" s="70" t="s">
        <v>106</v>
      </c>
      <c r="W89" s="70" t="s">
        <v>106</v>
      </c>
      <c r="X89" s="70" t="s">
        <v>106</v>
      </c>
      <c r="AA89" s="12" t="s">
        <v>108</v>
      </c>
    </row>
    <row r="90" customFormat="false" ht="12.75" hidden="false" customHeight="false" outlineLevel="0" collapsed="false">
      <c r="A90" s="10" t="n">
        <v>9</v>
      </c>
      <c r="C90" s="62" t="n">
        <v>36945</v>
      </c>
      <c r="D90" s="12" t="s">
        <v>43</v>
      </c>
      <c r="E90" s="12" t="s">
        <v>89</v>
      </c>
      <c r="F90" s="12" t="s">
        <v>90</v>
      </c>
      <c r="G90" s="10" t="s">
        <v>97</v>
      </c>
      <c r="H90" s="12" t="s">
        <v>101</v>
      </c>
      <c r="I90" s="63" t="n">
        <v>0</v>
      </c>
      <c r="J90" s="64" t="n">
        <f aca="false">+I90*L90</f>
        <v>0</v>
      </c>
      <c r="K90" s="85" t="n">
        <v>37165</v>
      </c>
      <c r="L90" s="13" t="n">
        <v>37925</v>
      </c>
      <c r="M90" s="38" t="s">
        <v>8</v>
      </c>
      <c r="N90" s="86" t="n">
        <v>5.04</v>
      </c>
      <c r="O90" s="66" t="n">
        <f aca="false">L90*N90</f>
        <v>191142</v>
      </c>
      <c r="P90" s="67" t="n">
        <v>0.02</v>
      </c>
      <c r="Q90" s="68" t="n">
        <f aca="false">P90*L90</f>
        <v>758.5</v>
      </c>
      <c r="S90" s="69" t="str">
        <f aca="false">VLOOKUP(K90,Prices,HLOOKUP(F90,Column,2))</f>
        <v/>
      </c>
      <c r="T90" s="69" t="n">
        <f aca="false">IF(S90=0,VLOOKUP(K90,FWD_Prices,HLOOKUP(F90,Column,2)),0)</f>
        <v>0</v>
      </c>
      <c r="V90" s="70" t="s">
        <v>106</v>
      </c>
      <c r="W90" s="70" t="s">
        <v>106</v>
      </c>
      <c r="X90" s="70" t="s">
        <v>106</v>
      </c>
      <c r="AA90" s="12" t="s">
        <v>108</v>
      </c>
    </row>
    <row r="91" customFormat="false" ht="12.75" hidden="false" customHeight="false" outlineLevel="0" collapsed="false">
      <c r="A91" s="10" t="n">
        <v>9</v>
      </c>
      <c r="C91" s="62" t="n">
        <v>36945</v>
      </c>
      <c r="D91" s="12" t="s">
        <v>43</v>
      </c>
      <c r="E91" s="12" t="s">
        <v>89</v>
      </c>
      <c r="F91" s="12" t="s">
        <v>90</v>
      </c>
      <c r="G91" s="10" t="s">
        <v>97</v>
      </c>
      <c r="H91" s="12" t="s">
        <v>101</v>
      </c>
      <c r="I91" s="63" t="n">
        <v>0</v>
      </c>
      <c r="J91" s="64" t="n">
        <f aca="false">+I91*L91</f>
        <v>0</v>
      </c>
      <c r="K91" s="85" t="n">
        <v>37196</v>
      </c>
      <c r="L91" s="13" t="n">
        <v>37925</v>
      </c>
      <c r="M91" s="38" t="s">
        <v>8</v>
      </c>
      <c r="N91" s="86" t="n">
        <v>5.04</v>
      </c>
      <c r="O91" s="66" t="n">
        <f aca="false">L91*N91</f>
        <v>191142</v>
      </c>
      <c r="P91" s="67" t="n">
        <v>0.02</v>
      </c>
      <c r="Q91" s="68" t="n">
        <f aca="false">P91*L91</f>
        <v>758.5</v>
      </c>
      <c r="S91" s="69" t="str">
        <f aca="false">VLOOKUP(K91,Prices,HLOOKUP(F91,Column,2))</f>
        <v/>
      </c>
      <c r="T91" s="69" t="n">
        <f aca="false">IF(S91=0,VLOOKUP(K91,FWD_Prices,HLOOKUP(F91,Column,2)),0)</f>
        <v>0</v>
      </c>
      <c r="V91" s="70" t="s">
        <v>106</v>
      </c>
      <c r="W91" s="70" t="s">
        <v>106</v>
      </c>
      <c r="X91" s="70" t="s">
        <v>106</v>
      </c>
      <c r="AA91" s="12" t="s">
        <v>108</v>
      </c>
    </row>
    <row r="92" customFormat="false" ht="12.75" hidden="false" customHeight="false" outlineLevel="0" collapsed="false">
      <c r="A92" s="10" t="n">
        <v>9</v>
      </c>
      <c r="C92" s="62" t="n">
        <v>36945</v>
      </c>
      <c r="D92" s="12" t="s">
        <v>43</v>
      </c>
      <c r="E92" s="12" t="s">
        <v>89</v>
      </c>
      <c r="F92" s="12" t="s">
        <v>90</v>
      </c>
      <c r="G92" s="10" t="s">
        <v>97</v>
      </c>
      <c r="H92" s="12" t="s">
        <v>101</v>
      </c>
      <c r="I92" s="63" t="n">
        <v>0</v>
      </c>
      <c r="J92" s="64" t="n">
        <f aca="false">+I92*L92</f>
        <v>0</v>
      </c>
      <c r="K92" s="85" t="n">
        <v>37226</v>
      </c>
      <c r="L92" s="13" t="n">
        <v>37925</v>
      </c>
      <c r="M92" s="38" t="s">
        <v>8</v>
      </c>
      <c r="N92" s="86" t="n">
        <v>5.04</v>
      </c>
      <c r="O92" s="66" t="n">
        <f aca="false">L92*N92</f>
        <v>191142</v>
      </c>
      <c r="P92" s="67" t="n">
        <v>0.02</v>
      </c>
      <c r="Q92" s="68" t="n">
        <f aca="false">P92*L92</f>
        <v>758.5</v>
      </c>
      <c r="S92" s="69" t="str">
        <f aca="false">VLOOKUP(K92,Prices,HLOOKUP(F92,Column,2))</f>
        <v/>
      </c>
      <c r="T92" s="69" t="n">
        <f aca="false">IF(S92=0,VLOOKUP(K92,FWD_Prices,HLOOKUP(F92,Column,2)),0)</f>
        <v>0</v>
      </c>
      <c r="V92" s="70" t="s">
        <v>106</v>
      </c>
      <c r="W92" s="70" t="s">
        <v>106</v>
      </c>
      <c r="X92" s="70" t="s">
        <v>106</v>
      </c>
      <c r="AA92" s="12" t="s">
        <v>108</v>
      </c>
    </row>
    <row r="94" customFormat="false" ht="12.75" hidden="false" customHeight="false" outlineLevel="0" collapsed="false">
      <c r="A94" s="10" t="n">
        <v>10</v>
      </c>
      <c r="C94" s="62" t="n">
        <v>36948</v>
      </c>
      <c r="D94" s="12" t="s">
        <v>43</v>
      </c>
      <c r="E94" s="12" t="s">
        <v>89</v>
      </c>
      <c r="F94" s="12" t="s">
        <v>90</v>
      </c>
      <c r="G94" s="10" t="s">
        <v>97</v>
      </c>
      <c r="H94" s="12" t="s">
        <v>101</v>
      </c>
      <c r="I94" s="63" t="n">
        <v>0</v>
      </c>
      <c r="J94" s="64" t="n">
        <f aca="false">+I94*L94</f>
        <v>0</v>
      </c>
      <c r="K94" s="85" t="n">
        <v>36951</v>
      </c>
      <c r="L94" s="13" t="n">
        <v>37925</v>
      </c>
      <c r="M94" s="38" t="s">
        <v>8</v>
      </c>
      <c r="N94" s="86" t="n">
        <v>5.0325</v>
      </c>
      <c r="O94" s="66" t="n">
        <f aca="false">L94*N94</f>
        <v>190857.5625</v>
      </c>
      <c r="P94" s="67" t="n">
        <v>0.01</v>
      </c>
      <c r="Q94" s="68" t="n">
        <f aca="false">P94*L94</f>
        <v>379.25</v>
      </c>
      <c r="S94" s="69" t="str">
        <f aca="false">VLOOKUP(K94,Prices,HLOOKUP(F94,Column,2))</f>
        <v/>
      </c>
      <c r="T94" s="69" t="n">
        <f aca="false">IF(S94=0,VLOOKUP(K94,FWD_Prices,HLOOKUP(F94,Column,2)),0)</f>
        <v>0</v>
      </c>
      <c r="V94" s="70" t="s">
        <v>106</v>
      </c>
      <c r="W94" s="70" t="s">
        <v>106</v>
      </c>
      <c r="X94" s="70" t="s">
        <v>106</v>
      </c>
      <c r="AA94" s="12" t="s">
        <v>108</v>
      </c>
    </row>
    <row r="95" customFormat="false" ht="12.75" hidden="false" customHeight="false" outlineLevel="0" collapsed="false">
      <c r="A95" s="10" t="n">
        <v>10</v>
      </c>
      <c r="C95" s="62" t="n">
        <v>36948</v>
      </c>
      <c r="D95" s="12" t="s">
        <v>43</v>
      </c>
      <c r="E95" s="12" t="s">
        <v>89</v>
      </c>
      <c r="F95" s="12" t="s">
        <v>90</v>
      </c>
      <c r="G95" s="10" t="s">
        <v>97</v>
      </c>
      <c r="H95" s="12" t="s">
        <v>101</v>
      </c>
      <c r="I95" s="63" t="n">
        <v>0</v>
      </c>
      <c r="J95" s="64" t="n">
        <f aca="false">+I95*L95</f>
        <v>0</v>
      </c>
      <c r="K95" s="85" t="n">
        <v>36982</v>
      </c>
      <c r="L95" s="13" t="n">
        <v>37925</v>
      </c>
      <c r="M95" s="38" t="s">
        <v>8</v>
      </c>
      <c r="N95" s="86" t="n">
        <v>5.0325</v>
      </c>
      <c r="O95" s="66" t="n">
        <f aca="false">L95*N95</f>
        <v>190857.5625</v>
      </c>
      <c r="P95" s="67" t="n">
        <v>0.01</v>
      </c>
      <c r="Q95" s="68" t="n">
        <f aca="false">P95*L95</f>
        <v>379.25</v>
      </c>
      <c r="S95" s="69" t="str">
        <f aca="false">VLOOKUP(K95,Prices,HLOOKUP(F95,Column,2))</f>
        <v/>
      </c>
      <c r="T95" s="69" t="n">
        <f aca="false">IF(S95=0,VLOOKUP(K95,FWD_Prices,HLOOKUP(F95,Column,2)),0)</f>
        <v>0</v>
      </c>
      <c r="V95" s="70" t="s">
        <v>106</v>
      </c>
      <c r="W95" s="70" t="s">
        <v>106</v>
      </c>
      <c r="X95" s="70" t="s">
        <v>106</v>
      </c>
      <c r="AA95" s="12" t="s">
        <v>108</v>
      </c>
    </row>
    <row r="96" customFormat="false" ht="12.75" hidden="false" customHeight="false" outlineLevel="0" collapsed="false">
      <c r="A96" s="10" t="n">
        <v>10</v>
      </c>
      <c r="C96" s="62" t="n">
        <v>36948</v>
      </c>
      <c r="D96" s="12" t="s">
        <v>43</v>
      </c>
      <c r="E96" s="12" t="s">
        <v>89</v>
      </c>
      <c r="F96" s="12" t="s">
        <v>90</v>
      </c>
      <c r="G96" s="10" t="s">
        <v>97</v>
      </c>
      <c r="H96" s="12" t="s">
        <v>101</v>
      </c>
      <c r="I96" s="63" t="n">
        <v>0</v>
      </c>
      <c r="J96" s="64" t="n">
        <f aca="false">+I96*L96</f>
        <v>0</v>
      </c>
      <c r="K96" s="85" t="n">
        <v>37012</v>
      </c>
      <c r="L96" s="13" t="n">
        <v>37925</v>
      </c>
      <c r="M96" s="38" t="s">
        <v>8</v>
      </c>
      <c r="N96" s="86" t="n">
        <v>5.0325</v>
      </c>
      <c r="O96" s="66" t="n">
        <f aca="false">L96*N96</f>
        <v>190857.5625</v>
      </c>
      <c r="P96" s="67" t="n">
        <v>0.01</v>
      </c>
      <c r="Q96" s="68" t="n">
        <f aca="false">P96*L96</f>
        <v>379.25</v>
      </c>
      <c r="S96" s="69" t="str">
        <f aca="false">VLOOKUP(K96,Prices,HLOOKUP(F96,Column,2))</f>
        <v/>
      </c>
      <c r="T96" s="69" t="n">
        <f aca="false">IF(S96=0,VLOOKUP(K96,FWD_Prices,HLOOKUP(F96,Column,2)),0)</f>
        <v>0</v>
      </c>
      <c r="V96" s="70" t="s">
        <v>106</v>
      </c>
      <c r="W96" s="70" t="s">
        <v>106</v>
      </c>
      <c r="X96" s="70" t="s">
        <v>106</v>
      </c>
      <c r="AA96" s="12" t="s">
        <v>108</v>
      </c>
    </row>
    <row r="97" customFormat="false" ht="12.75" hidden="false" customHeight="false" outlineLevel="0" collapsed="false">
      <c r="A97" s="10" t="n">
        <v>10</v>
      </c>
      <c r="C97" s="62" t="n">
        <v>36948</v>
      </c>
      <c r="D97" s="12" t="s">
        <v>43</v>
      </c>
      <c r="E97" s="12" t="s">
        <v>89</v>
      </c>
      <c r="F97" s="12" t="s">
        <v>90</v>
      </c>
      <c r="G97" s="10" t="s">
        <v>97</v>
      </c>
      <c r="H97" s="12" t="s">
        <v>101</v>
      </c>
      <c r="I97" s="63" t="n">
        <v>0</v>
      </c>
      <c r="J97" s="64" t="n">
        <f aca="false">+I97*L97</f>
        <v>0</v>
      </c>
      <c r="K97" s="85" t="n">
        <v>37043</v>
      </c>
      <c r="L97" s="13" t="n">
        <v>37925</v>
      </c>
      <c r="M97" s="38" t="s">
        <v>8</v>
      </c>
      <c r="N97" s="86" t="n">
        <v>5.0325</v>
      </c>
      <c r="O97" s="66" t="n">
        <f aca="false">L97*N97</f>
        <v>190857.5625</v>
      </c>
      <c r="P97" s="67" t="n">
        <v>0.01</v>
      </c>
      <c r="Q97" s="68" t="n">
        <f aca="false">P97*L97</f>
        <v>379.25</v>
      </c>
      <c r="S97" s="69" t="str">
        <f aca="false">VLOOKUP(K97,Prices,HLOOKUP(F97,Column,2))</f>
        <v/>
      </c>
      <c r="T97" s="69" t="n">
        <f aca="false">IF(S97=0,VLOOKUP(K97,FWD_Prices,HLOOKUP(F97,Column,2)),0)</f>
        <v>0</v>
      </c>
      <c r="V97" s="70" t="s">
        <v>106</v>
      </c>
      <c r="W97" s="70" t="s">
        <v>106</v>
      </c>
      <c r="X97" s="70" t="s">
        <v>106</v>
      </c>
      <c r="AA97" s="12" t="s">
        <v>108</v>
      </c>
    </row>
    <row r="98" customFormat="false" ht="12.75" hidden="false" customHeight="false" outlineLevel="0" collapsed="false">
      <c r="A98" s="10" t="n">
        <v>10</v>
      </c>
      <c r="C98" s="62" t="n">
        <v>36948</v>
      </c>
      <c r="D98" s="12" t="s">
        <v>43</v>
      </c>
      <c r="E98" s="12" t="s">
        <v>89</v>
      </c>
      <c r="F98" s="12" t="s">
        <v>90</v>
      </c>
      <c r="G98" s="10" t="s">
        <v>97</v>
      </c>
      <c r="H98" s="12" t="s">
        <v>101</v>
      </c>
      <c r="I98" s="63" t="n">
        <v>0</v>
      </c>
      <c r="J98" s="64" t="n">
        <f aca="false">+I98*L98</f>
        <v>0</v>
      </c>
      <c r="K98" s="85" t="n">
        <v>37073</v>
      </c>
      <c r="L98" s="13" t="n">
        <v>37925</v>
      </c>
      <c r="M98" s="38" t="s">
        <v>8</v>
      </c>
      <c r="N98" s="86" t="n">
        <v>5.0325</v>
      </c>
      <c r="O98" s="66" t="n">
        <f aca="false">L98*N98</f>
        <v>190857.5625</v>
      </c>
      <c r="P98" s="67" t="n">
        <v>0.01</v>
      </c>
      <c r="Q98" s="68" t="n">
        <f aca="false">P98*L98</f>
        <v>379.25</v>
      </c>
      <c r="S98" s="69" t="str">
        <f aca="false">VLOOKUP(K98,Prices,HLOOKUP(F98,Column,2))</f>
        <v/>
      </c>
      <c r="T98" s="69" t="n">
        <f aca="false">IF(S98=0,VLOOKUP(K98,FWD_Prices,HLOOKUP(F98,Column,2)),0)</f>
        <v>0</v>
      </c>
      <c r="V98" s="70" t="s">
        <v>106</v>
      </c>
      <c r="W98" s="70" t="s">
        <v>106</v>
      </c>
      <c r="X98" s="70" t="s">
        <v>106</v>
      </c>
      <c r="AA98" s="12" t="s">
        <v>108</v>
      </c>
    </row>
    <row r="99" customFormat="false" ht="12.75" hidden="false" customHeight="false" outlineLevel="0" collapsed="false">
      <c r="A99" s="10" t="n">
        <v>10</v>
      </c>
      <c r="C99" s="62" t="n">
        <v>36948</v>
      </c>
      <c r="D99" s="12" t="s">
        <v>43</v>
      </c>
      <c r="E99" s="12" t="s">
        <v>89</v>
      </c>
      <c r="F99" s="12" t="s">
        <v>90</v>
      </c>
      <c r="G99" s="10" t="s">
        <v>97</v>
      </c>
      <c r="H99" s="12" t="s">
        <v>101</v>
      </c>
      <c r="I99" s="63" t="n">
        <v>0</v>
      </c>
      <c r="J99" s="64" t="n">
        <f aca="false">+I99*L99</f>
        <v>0</v>
      </c>
      <c r="K99" s="85" t="n">
        <v>37104</v>
      </c>
      <c r="L99" s="13" t="n">
        <v>37925</v>
      </c>
      <c r="M99" s="38" t="s">
        <v>8</v>
      </c>
      <c r="N99" s="86" t="n">
        <v>5.0325</v>
      </c>
      <c r="O99" s="66" t="n">
        <f aca="false">L99*N99</f>
        <v>190857.5625</v>
      </c>
      <c r="P99" s="67" t="n">
        <v>0.01</v>
      </c>
      <c r="Q99" s="68" t="n">
        <f aca="false">P99*L99</f>
        <v>379.25</v>
      </c>
      <c r="S99" s="69" t="str">
        <f aca="false">VLOOKUP(K99,Prices,HLOOKUP(F99,Column,2))</f>
        <v/>
      </c>
      <c r="T99" s="69" t="n">
        <f aca="false">IF(S99=0,VLOOKUP(K99,FWD_Prices,HLOOKUP(F99,Column,2)),0)</f>
        <v>0</v>
      </c>
      <c r="V99" s="70" t="s">
        <v>106</v>
      </c>
      <c r="W99" s="70" t="s">
        <v>106</v>
      </c>
      <c r="X99" s="70" t="s">
        <v>106</v>
      </c>
      <c r="AA99" s="12" t="s">
        <v>108</v>
      </c>
    </row>
    <row r="100" customFormat="false" ht="12.75" hidden="false" customHeight="false" outlineLevel="0" collapsed="false">
      <c r="A100" s="10" t="n">
        <v>10</v>
      </c>
      <c r="C100" s="62" t="n">
        <v>36948</v>
      </c>
      <c r="D100" s="12" t="s">
        <v>43</v>
      </c>
      <c r="E100" s="12" t="s">
        <v>89</v>
      </c>
      <c r="F100" s="12" t="s">
        <v>90</v>
      </c>
      <c r="G100" s="10" t="s">
        <v>97</v>
      </c>
      <c r="H100" s="12" t="s">
        <v>101</v>
      </c>
      <c r="I100" s="63" t="n">
        <v>0</v>
      </c>
      <c r="J100" s="64" t="n">
        <f aca="false">+I100*L100</f>
        <v>0</v>
      </c>
      <c r="K100" s="85" t="n">
        <v>37135</v>
      </c>
      <c r="L100" s="13" t="n">
        <v>37925</v>
      </c>
      <c r="M100" s="38" t="s">
        <v>8</v>
      </c>
      <c r="N100" s="86" t="n">
        <v>5.0325</v>
      </c>
      <c r="O100" s="66" t="n">
        <f aca="false">L100*N100</f>
        <v>190857.5625</v>
      </c>
      <c r="P100" s="67" t="n">
        <v>0.01</v>
      </c>
      <c r="Q100" s="68" t="n">
        <f aca="false">P100*L100</f>
        <v>379.25</v>
      </c>
      <c r="S100" s="69" t="str">
        <f aca="false">VLOOKUP(K100,Prices,HLOOKUP(F100,Column,2))</f>
        <v/>
      </c>
      <c r="T100" s="69" t="n">
        <f aca="false">IF(S100=0,VLOOKUP(K100,FWD_Prices,HLOOKUP(F100,Column,2)),0)</f>
        <v>0</v>
      </c>
      <c r="V100" s="70" t="s">
        <v>106</v>
      </c>
      <c r="W100" s="70" t="s">
        <v>106</v>
      </c>
      <c r="X100" s="70" t="s">
        <v>106</v>
      </c>
      <c r="AA100" s="12" t="s">
        <v>108</v>
      </c>
    </row>
    <row r="101" customFormat="false" ht="12.75" hidden="false" customHeight="false" outlineLevel="0" collapsed="false">
      <c r="A101" s="10" t="n">
        <v>10</v>
      </c>
      <c r="C101" s="62" t="n">
        <v>36948</v>
      </c>
      <c r="D101" s="12" t="s">
        <v>43</v>
      </c>
      <c r="E101" s="12" t="s">
        <v>89</v>
      </c>
      <c r="F101" s="12" t="s">
        <v>90</v>
      </c>
      <c r="G101" s="10" t="s">
        <v>97</v>
      </c>
      <c r="H101" s="12" t="s">
        <v>101</v>
      </c>
      <c r="I101" s="63" t="n">
        <v>0</v>
      </c>
      <c r="J101" s="64" t="n">
        <f aca="false">+I101*L101</f>
        <v>0</v>
      </c>
      <c r="K101" s="85" t="n">
        <v>37165</v>
      </c>
      <c r="L101" s="13" t="n">
        <v>37925</v>
      </c>
      <c r="M101" s="38" t="s">
        <v>8</v>
      </c>
      <c r="N101" s="86" t="n">
        <v>5.0325</v>
      </c>
      <c r="O101" s="66" t="n">
        <f aca="false">L101*N101</f>
        <v>190857.5625</v>
      </c>
      <c r="P101" s="67" t="n">
        <v>0.01</v>
      </c>
      <c r="Q101" s="68" t="n">
        <f aca="false">P101*L101</f>
        <v>379.25</v>
      </c>
      <c r="S101" s="69" t="str">
        <f aca="false">VLOOKUP(K101,Prices,HLOOKUP(F101,Column,2))</f>
        <v/>
      </c>
      <c r="T101" s="69" t="n">
        <f aca="false">IF(S101=0,VLOOKUP(K101,FWD_Prices,HLOOKUP(F101,Column,2)),0)</f>
        <v>0</v>
      </c>
      <c r="V101" s="70" t="s">
        <v>106</v>
      </c>
      <c r="W101" s="70" t="s">
        <v>106</v>
      </c>
      <c r="X101" s="70" t="s">
        <v>106</v>
      </c>
      <c r="AA101" s="12" t="s">
        <v>108</v>
      </c>
    </row>
    <row r="102" customFormat="false" ht="12.75" hidden="false" customHeight="false" outlineLevel="0" collapsed="false">
      <c r="A102" s="10" t="n">
        <v>10</v>
      </c>
      <c r="C102" s="62" t="n">
        <v>36948</v>
      </c>
      <c r="D102" s="12" t="s">
        <v>43</v>
      </c>
      <c r="E102" s="12" t="s">
        <v>89</v>
      </c>
      <c r="F102" s="12" t="s">
        <v>90</v>
      </c>
      <c r="G102" s="10" t="s">
        <v>97</v>
      </c>
      <c r="H102" s="12" t="s">
        <v>101</v>
      </c>
      <c r="I102" s="63" t="n">
        <v>0</v>
      </c>
      <c r="J102" s="64" t="n">
        <f aca="false">+I102*L102</f>
        <v>0</v>
      </c>
      <c r="K102" s="85" t="n">
        <v>37196</v>
      </c>
      <c r="L102" s="13" t="n">
        <v>37925</v>
      </c>
      <c r="M102" s="38" t="s">
        <v>8</v>
      </c>
      <c r="N102" s="86" t="n">
        <v>5.0325</v>
      </c>
      <c r="O102" s="66" t="n">
        <f aca="false">L102*N102</f>
        <v>190857.5625</v>
      </c>
      <c r="P102" s="67" t="n">
        <v>0.01</v>
      </c>
      <c r="Q102" s="68" t="n">
        <f aca="false">P102*L102</f>
        <v>379.25</v>
      </c>
      <c r="S102" s="69" t="str">
        <f aca="false">VLOOKUP(K102,Prices,HLOOKUP(F102,Column,2))</f>
        <v/>
      </c>
      <c r="T102" s="69" t="n">
        <f aca="false">IF(S102=0,VLOOKUP(K102,FWD_Prices,HLOOKUP(F102,Column,2)),0)</f>
        <v>0</v>
      </c>
      <c r="V102" s="70" t="s">
        <v>106</v>
      </c>
      <c r="W102" s="70" t="s">
        <v>106</v>
      </c>
      <c r="X102" s="70" t="s">
        <v>106</v>
      </c>
      <c r="AA102" s="12" t="s">
        <v>108</v>
      </c>
    </row>
    <row r="103" customFormat="false" ht="12.75" hidden="false" customHeight="false" outlineLevel="0" collapsed="false">
      <c r="A103" s="10" t="n">
        <v>10</v>
      </c>
      <c r="C103" s="62" t="n">
        <v>36948</v>
      </c>
      <c r="D103" s="12" t="s">
        <v>43</v>
      </c>
      <c r="E103" s="12" t="s">
        <v>89</v>
      </c>
      <c r="F103" s="12" t="s">
        <v>90</v>
      </c>
      <c r="G103" s="10" t="s">
        <v>97</v>
      </c>
      <c r="H103" s="12" t="s">
        <v>101</v>
      </c>
      <c r="I103" s="63" t="n">
        <v>0</v>
      </c>
      <c r="J103" s="64" t="n">
        <f aca="false">+I103*L103</f>
        <v>0</v>
      </c>
      <c r="K103" s="85" t="n">
        <v>37226</v>
      </c>
      <c r="L103" s="13" t="n">
        <v>37925</v>
      </c>
      <c r="M103" s="38" t="s">
        <v>8</v>
      </c>
      <c r="N103" s="86" t="n">
        <v>5.0325</v>
      </c>
      <c r="O103" s="66" t="n">
        <f aca="false">L103*N103</f>
        <v>190857.5625</v>
      </c>
      <c r="P103" s="67" t="n">
        <v>0.01</v>
      </c>
      <c r="Q103" s="68" t="n">
        <f aca="false">P103*L103</f>
        <v>379.25</v>
      </c>
      <c r="S103" s="69" t="str">
        <f aca="false">VLOOKUP(K103,Prices,HLOOKUP(F103,Column,2))</f>
        <v/>
      </c>
      <c r="T103" s="69" t="n">
        <f aca="false">IF(S103=0,VLOOKUP(K103,FWD_Prices,HLOOKUP(F103,Column,2)),0)</f>
        <v>0</v>
      </c>
      <c r="V103" s="70" t="s">
        <v>106</v>
      </c>
      <c r="W103" s="70" t="s">
        <v>106</v>
      </c>
      <c r="X103" s="70" t="s">
        <v>106</v>
      </c>
      <c r="AA103" s="12" t="s">
        <v>108</v>
      </c>
    </row>
    <row r="105" customFormat="false" ht="12.75" hidden="false" customHeight="false" outlineLevel="0" collapsed="false">
      <c r="A105" s="10" t="n">
        <v>11</v>
      </c>
      <c r="C105" s="62" t="n">
        <v>36949</v>
      </c>
      <c r="D105" s="12" t="s">
        <v>54</v>
      </c>
      <c r="E105" s="12" t="s">
        <v>110</v>
      </c>
      <c r="F105" s="12" t="s">
        <v>111</v>
      </c>
      <c r="G105" s="10" t="s">
        <v>91</v>
      </c>
      <c r="H105" s="12" t="s">
        <v>101</v>
      </c>
      <c r="I105" s="63" t="n">
        <v>0</v>
      </c>
      <c r="J105" s="64" t="n">
        <f aca="false">+I105*L105</f>
        <v>0</v>
      </c>
      <c r="K105" s="85" t="n">
        <v>36982</v>
      </c>
      <c r="L105" s="13" t="n">
        <v>32400</v>
      </c>
      <c r="M105" s="38" t="s">
        <v>112</v>
      </c>
      <c r="N105" s="86" t="n">
        <v>21.2</v>
      </c>
      <c r="O105" s="66" t="n">
        <f aca="false">L105*N105</f>
        <v>686880</v>
      </c>
      <c r="P105" s="67" t="n">
        <v>0.1</v>
      </c>
      <c r="Q105" s="68" t="n">
        <f aca="false">P105*L105</f>
        <v>3240</v>
      </c>
      <c r="S105" s="69" t="n">
        <f aca="false">VLOOKUP(K105,Prices,HLOOKUP(F105,Column,2))</f>
        <v>36982</v>
      </c>
      <c r="T105" s="69" t="n">
        <f aca="false">IF(S105=0,VLOOKUP(K105,FWD_Prices,HLOOKUP(F105,Column,2)),0)</f>
        <v>0</v>
      </c>
      <c r="V105" s="70" t="n">
        <f aca="false">IF(H105="Swap",S105-N105,IF(H105="Call",MAX(S105-N105,0),IF(H105="Put",MAX(N105-S105,0),"Error on Structure")))*IF(G105="Buy",1,IF(G105="Sell",-1,"Error on Buy/Sell"))*L105*IF(S105=0,0,1)</f>
        <v>-1197529920</v>
      </c>
      <c r="W105" s="70" t="n">
        <f aca="false">IF(H105="Swap",T105-N105,IF(H105="Call",MAX(T105-N105,0),IF(H105="Put",MAX(N105-T105,0),"Error on Structure")))*IF(G105="Buy",1,IF(G105="Sell",-1,"Error on Buy/Sell"))*L105*IF(T105=0,0,1)</f>
        <v>0</v>
      </c>
      <c r="X105" s="71" t="n">
        <f aca="false">SUM(V105:W105)</f>
        <v>-1197529920</v>
      </c>
      <c r="AA105" s="12" t="s">
        <v>107</v>
      </c>
      <c r="AC105" s="10" t="s">
        <v>94</v>
      </c>
    </row>
    <row r="106" customFormat="false" ht="12.75" hidden="false" customHeight="false" outlineLevel="0" collapsed="false">
      <c r="A106" s="10" t="n">
        <v>11</v>
      </c>
      <c r="C106" s="62" t="n">
        <v>36949</v>
      </c>
      <c r="D106" s="12" t="s">
        <v>54</v>
      </c>
      <c r="E106" s="12" t="s">
        <v>110</v>
      </c>
      <c r="F106" s="12" t="s">
        <v>111</v>
      </c>
      <c r="G106" s="10" t="s">
        <v>91</v>
      </c>
      <c r="H106" s="12" t="s">
        <v>101</v>
      </c>
      <c r="I106" s="63" t="n">
        <v>0</v>
      </c>
      <c r="J106" s="64" t="n">
        <f aca="false">+I106*L106</f>
        <v>0</v>
      </c>
      <c r="K106" s="85" t="n">
        <v>37012</v>
      </c>
      <c r="L106" s="13" t="n">
        <v>32400</v>
      </c>
      <c r="M106" s="38" t="s">
        <v>112</v>
      </c>
      <c r="N106" s="86" t="n">
        <v>21.2</v>
      </c>
      <c r="O106" s="66" t="n">
        <f aca="false">L106*N106</f>
        <v>686880</v>
      </c>
      <c r="P106" s="67" t="n">
        <v>0.1</v>
      </c>
      <c r="Q106" s="68" t="n">
        <f aca="false">P106*L106</f>
        <v>3240</v>
      </c>
      <c r="S106" s="69" t="n">
        <f aca="false">VLOOKUP(K106,Prices,HLOOKUP(F106,Column,2))</f>
        <v>37012</v>
      </c>
      <c r="T106" s="69" t="n">
        <f aca="false">IF(S106=0,VLOOKUP(K106,FWD_Prices,HLOOKUP(F106,Column,2)),0)</f>
        <v>0</v>
      </c>
      <c r="V106" s="70" t="n">
        <f aca="false">IF(H106="Swap",S106-N106,IF(H106="Call",MAX(S106-N106,0),IF(H106="Put",MAX(N106-S106,0),"Error on Structure")))*IF(G106="Buy",1,IF(G106="Sell",-1,"Error on Buy/Sell"))*L106*IF(S106=0,0,1)</f>
        <v>-1198501920</v>
      </c>
      <c r="W106" s="70" t="n">
        <f aca="false">IF(H106="Swap",T106-N106,IF(H106="Call",MAX(T106-N106,0),IF(H106="Put",MAX(N106-T106,0),"Error on Structure")))*IF(G106="Buy",1,IF(G106="Sell",-1,"Error on Buy/Sell"))*L106*IF(T106=0,0,1)</f>
        <v>0</v>
      </c>
      <c r="X106" s="71" t="n">
        <f aca="false">SUM(V106:W106)</f>
        <v>-1198501920</v>
      </c>
      <c r="AA106" s="12" t="s">
        <v>107</v>
      </c>
      <c r="AC106" s="10" t="s">
        <v>94</v>
      </c>
    </row>
    <row r="107" customFormat="false" ht="12.75" hidden="false" customHeight="false" outlineLevel="0" collapsed="false">
      <c r="A107" s="10" t="n">
        <v>11</v>
      </c>
      <c r="C107" s="62" t="n">
        <v>36949</v>
      </c>
      <c r="D107" s="12" t="s">
        <v>54</v>
      </c>
      <c r="E107" s="12" t="s">
        <v>110</v>
      </c>
      <c r="F107" s="12" t="s">
        <v>111</v>
      </c>
      <c r="G107" s="10" t="s">
        <v>91</v>
      </c>
      <c r="H107" s="12" t="s">
        <v>101</v>
      </c>
      <c r="I107" s="63" t="n">
        <v>0</v>
      </c>
      <c r="J107" s="64" t="n">
        <f aca="false">+I107*L107</f>
        <v>0</v>
      </c>
      <c r="K107" s="85" t="n">
        <v>37043</v>
      </c>
      <c r="L107" s="13" t="n">
        <v>32400</v>
      </c>
      <c r="M107" s="38" t="s">
        <v>112</v>
      </c>
      <c r="N107" s="86" t="n">
        <v>21.2</v>
      </c>
      <c r="O107" s="66" t="n">
        <f aca="false">L107*N107</f>
        <v>686880</v>
      </c>
      <c r="P107" s="67" t="n">
        <v>0.1</v>
      </c>
      <c r="Q107" s="68" t="n">
        <f aca="false">P107*L107</f>
        <v>3240</v>
      </c>
      <c r="S107" s="69" t="n">
        <f aca="false">VLOOKUP(K107,Prices,HLOOKUP(F107,Column,2))</f>
        <v>37043</v>
      </c>
      <c r="T107" s="69" t="n">
        <f aca="false">IF(S107=0,VLOOKUP(K107,FWD_Prices,HLOOKUP(F107,Column,2)),0)</f>
        <v>0</v>
      </c>
      <c r="V107" s="70" t="n">
        <f aca="false">IF(H107="Swap",S107-N107,IF(H107="Call",MAX(S107-N107,0),IF(H107="Put",MAX(N107-S107,0),"Error on Structure")))*IF(G107="Buy",1,IF(G107="Sell",-1,"Error on Buy/Sell"))*L107*IF(S107=0,0,1)</f>
        <v>-1199506320</v>
      </c>
      <c r="W107" s="70" t="n">
        <f aca="false">IF(H107="Swap",T107-N107,IF(H107="Call",MAX(T107-N107,0),IF(H107="Put",MAX(N107-T107,0),"Error on Structure")))*IF(G107="Buy",1,IF(G107="Sell",-1,"Error on Buy/Sell"))*L107*IF(T107=0,0,1)</f>
        <v>0</v>
      </c>
      <c r="X107" s="71" t="n">
        <f aca="false">SUM(V107:W107)</f>
        <v>-1199506320</v>
      </c>
      <c r="AA107" s="12" t="s">
        <v>107</v>
      </c>
      <c r="AC107" s="10" t="s">
        <v>94</v>
      </c>
    </row>
    <row r="108" customFormat="false" ht="12.75" hidden="false" customHeight="false" outlineLevel="0" collapsed="false">
      <c r="A108" s="10" t="n">
        <v>11</v>
      </c>
      <c r="C108" s="62" t="n">
        <v>36949</v>
      </c>
      <c r="D108" s="12" t="s">
        <v>54</v>
      </c>
      <c r="E108" s="12" t="s">
        <v>110</v>
      </c>
      <c r="F108" s="12" t="s">
        <v>111</v>
      </c>
      <c r="G108" s="10" t="s">
        <v>91</v>
      </c>
      <c r="H108" s="12" t="s">
        <v>101</v>
      </c>
      <c r="I108" s="63" t="n">
        <v>0</v>
      </c>
      <c r="J108" s="64" t="n">
        <f aca="false">+I108*L108</f>
        <v>0</v>
      </c>
      <c r="K108" s="85" t="n">
        <v>37073</v>
      </c>
      <c r="L108" s="13" t="n">
        <v>32400</v>
      </c>
      <c r="M108" s="38" t="s">
        <v>112</v>
      </c>
      <c r="N108" s="86" t="n">
        <v>21.2</v>
      </c>
      <c r="O108" s="66" t="n">
        <f aca="false">L108*N108</f>
        <v>686880</v>
      </c>
      <c r="P108" s="67" t="n">
        <v>0.1</v>
      </c>
      <c r="Q108" s="68" t="n">
        <f aca="false">P108*L108</f>
        <v>3240</v>
      </c>
      <c r="S108" s="69" t="n">
        <f aca="false">VLOOKUP(K108,Prices,HLOOKUP(F108,Column,2))</f>
        <v>37073</v>
      </c>
      <c r="T108" s="69" t="n">
        <f aca="false">IF(S108=0,VLOOKUP(K108,FWD_Prices,HLOOKUP(F108,Column,2)),0)</f>
        <v>0</v>
      </c>
      <c r="V108" s="70" t="n">
        <f aca="false">IF(H108="Swap",S108-N108,IF(H108="Call",MAX(S108-N108,0),IF(H108="Put",MAX(N108-S108,0),"Error on Structure")))*IF(G108="Buy",1,IF(G108="Sell",-1,"Error on Buy/Sell"))*L108*IF(S108=0,0,1)</f>
        <v>-1200478320</v>
      </c>
      <c r="W108" s="70" t="n">
        <f aca="false">IF(H108="Swap",T108-N108,IF(H108="Call",MAX(T108-N108,0),IF(H108="Put",MAX(N108-T108,0),"Error on Structure")))*IF(G108="Buy",1,IF(G108="Sell",-1,"Error on Buy/Sell"))*L108*IF(T108=0,0,1)</f>
        <v>0</v>
      </c>
      <c r="X108" s="71" t="n">
        <f aca="false">SUM(V108:W108)</f>
        <v>-1200478320</v>
      </c>
      <c r="AA108" s="12" t="s">
        <v>107</v>
      </c>
      <c r="AC108" s="10" t="s">
        <v>94</v>
      </c>
    </row>
    <row r="109" customFormat="false" ht="12.75" hidden="false" customHeight="false" outlineLevel="0" collapsed="false">
      <c r="A109" s="10" t="n">
        <v>11</v>
      </c>
      <c r="C109" s="62" t="n">
        <v>36949</v>
      </c>
      <c r="D109" s="12" t="s">
        <v>54</v>
      </c>
      <c r="E109" s="12" t="s">
        <v>110</v>
      </c>
      <c r="F109" s="12" t="s">
        <v>111</v>
      </c>
      <c r="G109" s="10" t="s">
        <v>91</v>
      </c>
      <c r="H109" s="12" t="s">
        <v>101</v>
      </c>
      <c r="I109" s="63" t="n">
        <v>0</v>
      </c>
      <c r="J109" s="64" t="n">
        <f aca="false">+I109*L109</f>
        <v>0</v>
      </c>
      <c r="K109" s="85" t="n">
        <v>37104</v>
      </c>
      <c r="L109" s="13" t="n">
        <v>32400</v>
      </c>
      <c r="M109" s="38" t="s">
        <v>112</v>
      </c>
      <c r="N109" s="86" t="n">
        <v>21.2</v>
      </c>
      <c r="O109" s="66" t="n">
        <f aca="false">L109*N109</f>
        <v>686880</v>
      </c>
      <c r="P109" s="67" t="n">
        <v>0.1</v>
      </c>
      <c r="Q109" s="68" t="n">
        <f aca="false">P109*L109</f>
        <v>3240</v>
      </c>
      <c r="S109" s="69" t="n">
        <f aca="false">VLOOKUP(K109,Prices,HLOOKUP(F109,Column,2))</f>
        <v>37104</v>
      </c>
      <c r="T109" s="69" t="n">
        <f aca="false">IF(S109=0,VLOOKUP(K109,FWD_Prices,HLOOKUP(F109,Column,2)),0)</f>
        <v>0</v>
      </c>
      <c r="V109" s="70" t="n">
        <f aca="false">IF(H109="Swap",S109-N109,IF(H109="Call",MAX(S109-N109,0),IF(H109="Put",MAX(N109-S109,0),"Error on Structure")))*IF(G109="Buy",1,IF(G109="Sell",-1,"Error on Buy/Sell"))*L109*IF(S109=0,0,1)</f>
        <v>-1201482720</v>
      </c>
      <c r="W109" s="70" t="n">
        <f aca="false">IF(H109="Swap",T109-N109,IF(H109="Call",MAX(T109-N109,0),IF(H109="Put",MAX(N109-T109,0),"Error on Structure")))*IF(G109="Buy",1,IF(G109="Sell",-1,"Error on Buy/Sell"))*L109*IF(T109=0,0,1)</f>
        <v>0</v>
      </c>
      <c r="X109" s="71" t="n">
        <f aca="false">SUM(V109:W109)</f>
        <v>-1201482720</v>
      </c>
      <c r="AA109" s="12" t="s">
        <v>107</v>
      </c>
      <c r="AC109" s="10" t="s">
        <v>94</v>
      </c>
    </row>
    <row r="110" customFormat="false" ht="12.75" hidden="false" customHeight="false" outlineLevel="0" collapsed="false">
      <c r="A110" s="10" t="n">
        <v>11</v>
      </c>
      <c r="C110" s="62" t="n">
        <v>36949</v>
      </c>
      <c r="D110" s="12" t="s">
        <v>54</v>
      </c>
      <c r="E110" s="12" t="s">
        <v>110</v>
      </c>
      <c r="F110" s="12" t="s">
        <v>111</v>
      </c>
      <c r="G110" s="10" t="s">
        <v>91</v>
      </c>
      <c r="H110" s="12" t="s">
        <v>101</v>
      </c>
      <c r="I110" s="63" t="n">
        <v>0</v>
      </c>
      <c r="J110" s="64" t="n">
        <f aca="false">+I110*L110</f>
        <v>0</v>
      </c>
      <c r="K110" s="85" t="n">
        <v>37135</v>
      </c>
      <c r="L110" s="13" t="n">
        <v>32400</v>
      </c>
      <c r="M110" s="38" t="s">
        <v>112</v>
      </c>
      <c r="N110" s="86" t="n">
        <v>21.2</v>
      </c>
      <c r="O110" s="66" t="n">
        <f aca="false">L110*N110</f>
        <v>686880</v>
      </c>
      <c r="P110" s="67" t="n">
        <v>0.1</v>
      </c>
      <c r="Q110" s="68" t="n">
        <f aca="false">P110*L110</f>
        <v>3240</v>
      </c>
      <c r="S110" s="69" t="n">
        <f aca="false">VLOOKUP(K110,Prices,HLOOKUP(F110,Column,2))</f>
        <v>37135</v>
      </c>
      <c r="T110" s="69" t="n">
        <f aca="false">IF(S110=0,VLOOKUP(K110,FWD_Prices,HLOOKUP(F110,Column,2)),0)</f>
        <v>0</v>
      </c>
      <c r="V110" s="70" t="n">
        <f aca="false">IF(H110="Swap",S110-N110,IF(H110="Call",MAX(S110-N110,0),IF(H110="Put",MAX(N110-S110,0),"Error on Structure")))*IF(G110="Buy",1,IF(G110="Sell",-1,"Error on Buy/Sell"))*L110*IF(S110=0,0,1)</f>
        <v>-1202487120</v>
      </c>
      <c r="W110" s="70" t="n">
        <f aca="false">IF(H110="Swap",T110-N110,IF(H110="Call",MAX(T110-N110,0),IF(H110="Put",MAX(N110-T110,0),"Error on Structure")))*IF(G110="Buy",1,IF(G110="Sell",-1,"Error on Buy/Sell"))*L110*IF(T110=0,0,1)</f>
        <v>0</v>
      </c>
      <c r="X110" s="71" t="n">
        <f aca="false">SUM(V110:W110)</f>
        <v>-1202487120</v>
      </c>
      <c r="AA110" s="12" t="s">
        <v>107</v>
      </c>
      <c r="AC110" s="10" t="s">
        <v>94</v>
      </c>
    </row>
    <row r="111" customFormat="false" ht="12.75" hidden="false" customHeight="false" outlineLevel="0" collapsed="false">
      <c r="A111" s="10" t="n">
        <v>11</v>
      </c>
      <c r="C111" s="62" t="n">
        <v>36949</v>
      </c>
      <c r="D111" s="12" t="s">
        <v>54</v>
      </c>
      <c r="E111" s="12" t="s">
        <v>110</v>
      </c>
      <c r="F111" s="12" t="s">
        <v>111</v>
      </c>
      <c r="G111" s="10" t="s">
        <v>91</v>
      </c>
      <c r="H111" s="12" t="s">
        <v>101</v>
      </c>
      <c r="I111" s="63" t="n">
        <v>0</v>
      </c>
      <c r="J111" s="64" t="n">
        <f aca="false">+I111*L111</f>
        <v>0</v>
      </c>
      <c r="K111" s="85" t="n">
        <v>37165</v>
      </c>
      <c r="L111" s="13" t="n">
        <v>32400</v>
      </c>
      <c r="M111" s="38" t="s">
        <v>112</v>
      </c>
      <c r="N111" s="86" t="n">
        <v>21.2</v>
      </c>
      <c r="O111" s="66" t="n">
        <f aca="false">L111*N111</f>
        <v>686880</v>
      </c>
      <c r="P111" s="67" t="n">
        <v>0.1</v>
      </c>
      <c r="Q111" s="68" t="n">
        <f aca="false">P111*L111</f>
        <v>3240</v>
      </c>
      <c r="S111" s="69" t="n">
        <f aca="false">VLOOKUP(K111,Prices,HLOOKUP(F111,Column,2))</f>
        <v>37165</v>
      </c>
      <c r="T111" s="69" t="n">
        <f aca="false">IF(S111=0,VLOOKUP(K111,FWD_Prices,HLOOKUP(F111,Column,2)),0)</f>
        <v>0</v>
      </c>
      <c r="V111" s="70" t="n">
        <f aca="false">IF(H111="Swap",S111-N111,IF(H111="Call",MAX(S111-N111,0),IF(H111="Put",MAX(N111-S111,0),"Error on Structure")))*IF(G111="Buy",1,IF(G111="Sell",-1,"Error on Buy/Sell"))*L111*IF(S111=0,0,1)</f>
        <v>-1203459120</v>
      </c>
      <c r="W111" s="70" t="n">
        <f aca="false">IF(H111="Swap",T111-N111,IF(H111="Call",MAX(T111-N111,0),IF(H111="Put",MAX(N111-T111,0),"Error on Structure")))*IF(G111="Buy",1,IF(G111="Sell",-1,"Error on Buy/Sell"))*L111*IF(T111=0,0,1)</f>
        <v>0</v>
      </c>
      <c r="X111" s="71" t="n">
        <f aca="false">SUM(V111:W111)</f>
        <v>-1203459120</v>
      </c>
      <c r="AA111" s="12" t="s">
        <v>107</v>
      </c>
      <c r="AC111" s="10" t="s">
        <v>94</v>
      </c>
    </row>
    <row r="112" customFormat="false" ht="12.75" hidden="false" customHeight="false" outlineLevel="0" collapsed="false">
      <c r="A112" s="10" t="n">
        <v>11</v>
      </c>
      <c r="C112" s="62" t="n">
        <v>36949</v>
      </c>
      <c r="D112" s="12" t="s">
        <v>54</v>
      </c>
      <c r="E112" s="12" t="s">
        <v>110</v>
      </c>
      <c r="F112" s="12" t="s">
        <v>111</v>
      </c>
      <c r="G112" s="10" t="s">
        <v>91</v>
      </c>
      <c r="H112" s="12" t="s">
        <v>101</v>
      </c>
      <c r="I112" s="63" t="n">
        <v>0</v>
      </c>
      <c r="J112" s="64" t="n">
        <f aca="false">+I112*L112</f>
        <v>0</v>
      </c>
      <c r="K112" s="85" t="n">
        <v>37196</v>
      </c>
      <c r="L112" s="13" t="n">
        <v>32400</v>
      </c>
      <c r="M112" s="38" t="s">
        <v>112</v>
      </c>
      <c r="N112" s="86" t="n">
        <v>21.2</v>
      </c>
      <c r="O112" s="66" t="n">
        <f aca="false">L112*N112</f>
        <v>686880</v>
      </c>
      <c r="P112" s="67" t="n">
        <v>0.1</v>
      </c>
      <c r="Q112" s="68" t="n">
        <f aca="false">P112*L112</f>
        <v>3240</v>
      </c>
      <c r="S112" s="69" t="n">
        <f aca="false">VLOOKUP(K112,Prices,HLOOKUP(F112,Column,2))</f>
        <v>37196</v>
      </c>
      <c r="T112" s="69" t="n">
        <f aca="false">IF(S112=0,VLOOKUP(K112,FWD_Prices,HLOOKUP(F112,Column,2)),0)</f>
        <v>0</v>
      </c>
      <c r="V112" s="70" t="n">
        <f aca="false">IF(H112="Swap",S112-N112,IF(H112="Call",MAX(S112-N112,0),IF(H112="Put",MAX(N112-S112,0),"Error on Structure")))*IF(G112="Buy",1,IF(G112="Sell",-1,"Error on Buy/Sell"))*L112*IF(S112=0,0,1)</f>
        <v>-1204463520</v>
      </c>
      <c r="W112" s="70" t="n">
        <f aca="false">IF(H112="Swap",T112-N112,IF(H112="Call",MAX(T112-N112,0),IF(H112="Put",MAX(N112-T112,0),"Error on Structure")))*IF(G112="Buy",1,IF(G112="Sell",-1,"Error on Buy/Sell"))*L112*IF(T112=0,0,1)</f>
        <v>0</v>
      </c>
      <c r="X112" s="71" t="n">
        <f aca="false">SUM(V112:W112)</f>
        <v>-1204463520</v>
      </c>
      <c r="AA112" s="12" t="s">
        <v>107</v>
      </c>
      <c r="AC112" s="10" t="s">
        <v>94</v>
      </c>
    </row>
    <row r="113" customFormat="false" ht="12.75" hidden="false" customHeight="false" outlineLevel="0" collapsed="false">
      <c r="A113" s="10" t="n">
        <v>11</v>
      </c>
      <c r="C113" s="62" t="n">
        <v>36949</v>
      </c>
      <c r="D113" s="12" t="s">
        <v>54</v>
      </c>
      <c r="E113" s="12" t="s">
        <v>110</v>
      </c>
      <c r="F113" s="12" t="s">
        <v>111</v>
      </c>
      <c r="G113" s="10" t="s">
        <v>91</v>
      </c>
      <c r="H113" s="12" t="s">
        <v>101</v>
      </c>
      <c r="I113" s="63" t="n">
        <v>0</v>
      </c>
      <c r="J113" s="64" t="n">
        <f aca="false">+I113*L113</f>
        <v>0</v>
      </c>
      <c r="K113" s="85" t="n">
        <v>37226</v>
      </c>
      <c r="L113" s="13" t="n">
        <v>32400</v>
      </c>
      <c r="M113" s="38" t="s">
        <v>112</v>
      </c>
      <c r="N113" s="86" t="n">
        <v>21.2</v>
      </c>
      <c r="O113" s="66" t="n">
        <f aca="false">L113*N113</f>
        <v>686880</v>
      </c>
      <c r="P113" s="67" t="n">
        <v>0.1</v>
      </c>
      <c r="Q113" s="68" t="n">
        <f aca="false">P113*L113</f>
        <v>3240</v>
      </c>
      <c r="S113" s="69" t="n">
        <f aca="false">VLOOKUP(K113,Prices,HLOOKUP(F113,Column,2))</f>
        <v>37226</v>
      </c>
      <c r="T113" s="69" t="n">
        <f aca="false">IF(S113=0,VLOOKUP(K113,FWD_Prices,HLOOKUP(F113,Column,2)),0)</f>
        <v>0</v>
      </c>
      <c r="V113" s="70" t="n">
        <f aca="false">IF(H113="Swap",S113-N113,IF(H113="Call",MAX(S113-N113,0),IF(H113="Put",MAX(N113-S113,0),"Error on Structure")))*IF(G113="Buy",1,IF(G113="Sell",-1,"Error on Buy/Sell"))*L113*IF(S113=0,0,1)</f>
        <v>-1205435520</v>
      </c>
      <c r="W113" s="70" t="n">
        <f aca="false">IF(H113="Swap",T113-N113,IF(H113="Call",MAX(T113-N113,0),IF(H113="Put",MAX(N113-T113,0),"Error on Structure")))*IF(G113="Buy",1,IF(G113="Sell",-1,"Error on Buy/Sell"))*L113*IF(T113=0,0,1)</f>
        <v>0</v>
      </c>
      <c r="X113" s="71" t="n">
        <f aca="false">SUM(V113:W113)</f>
        <v>-1205435520</v>
      </c>
      <c r="AA113" s="12" t="s">
        <v>107</v>
      </c>
      <c r="AC113" s="10" t="s">
        <v>94</v>
      </c>
    </row>
    <row r="114" customFormat="false" ht="12.75" hidden="false" customHeight="false" outlineLevel="0" collapsed="false">
      <c r="A114" s="10" t="n">
        <v>11</v>
      </c>
      <c r="C114" s="62" t="n">
        <v>36949</v>
      </c>
      <c r="D114" s="12" t="s">
        <v>54</v>
      </c>
      <c r="E114" s="12" t="s">
        <v>110</v>
      </c>
      <c r="F114" s="12" t="s">
        <v>111</v>
      </c>
      <c r="G114" s="10" t="s">
        <v>91</v>
      </c>
      <c r="H114" s="12" t="s">
        <v>101</v>
      </c>
      <c r="I114" s="63" t="n">
        <v>0</v>
      </c>
      <c r="J114" s="64" t="n">
        <f aca="false">+I114*L114</f>
        <v>0</v>
      </c>
      <c r="K114" s="85" t="n">
        <v>37257</v>
      </c>
      <c r="L114" s="13" t="n">
        <v>32400</v>
      </c>
      <c r="M114" s="38" t="s">
        <v>112</v>
      </c>
      <c r="N114" s="86" t="n">
        <v>21.2</v>
      </c>
      <c r="O114" s="66" t="n">
        <f aca="false">L114*N114</f>
        <v>686880</v>
      </c>
      <c r="P114" s="67" t="n">
        <v>0.1</v>
      </c>
      <c r="Q114" s="68" t="n">
        <f aca="false">P114*L114</f>
        <v>3240</v>
      </c>
      <c r="S114" s="69" t="n">
        <f aca="false">VLOOKUP(K114,Prices,HLOOKUP(F114,Column,2))</f>
        <v>37257</v>
      </c>
      <c r="T114" s="69" t="n">
        <f aca="false">IF(S114=0,VLOOKUP(K114,FWD_Prices,HLOOKUP(F114,Column,2)),0)</f>
        <v>0</v>
      </c>
      <c r="V114" s="70" t="n">
        <f aca="false">IF(H114="Swap",S114-N114,IF(H114="Call",MAX(S114-N114,0),IF(H114="Put",MAX(N114-S114,0),"Error on Structure")))*IF(G114="Buy",1,IF(G114="Sell",-1,"Error on Buy/Sell"))*L114*IF(S114=0,0,1)</f>
        <v>-1206439920</v>
      </c>
      <c r="W114" s="70" t="n">
        <f aca="false">IF(H114="Swap",T114-N114,IF(H114="Call",MAX(T114-N114,0),IF(H114="Put",MAX(N114-T114,0),"Error on Structure")))*IF(G114="Buy",1,IF(G114="Sell",-1,"Error on Buy/Sell"))*L114*IF(T114=0,0,1)</f>
        <v>0</v>
      </c>
      <c r="X114" s="71" t="n">
        <f aca="false">SUM(V114:W114)</f>
        <v>-1206439920</v>
      </c>
      <c r="AA114" s="12" t="s">
        <v>107</v>
      </c>
      <c r="AC114" s="10" t="s">
        <v>94</v>
      </c>
    </row>
    <row r="115" customFormat="false" ht="12.75" hidden="false" customHeight="false" outlineLevel="0" collapsed="false">
      <c r="A115" s="10" t="n">
        <v>11</v>
      </c>
      <c r="C115" s="62" t="n">
        <v>36949</v>
      </c>
      <c r="D115" s="12" t="s">
        <v>54</v>
      </c>
      <c r="E115" s="12" t="s">
        <v>110</v>
      </c>
      <c r="F115" s="12" t="s">
        <v>111</v>
      </c>
      <c r="G115" s="10" t="s">
        <v>91</v>
      </c>
      <c r="H115" s="12" t="s">
        <v>101</v>
      </c>
      <c r="I115" s="63" t="n">
        <v>0</v>
      </c>
      <c r="J115" s="64" t="n">
        <f aca="false">+I115*L115</f>
        <v>0</v>
      </c>
      <c r="K115" s="85" t="n">
        <v>37288</v>
      </c>
      <c r="L115" s="13" t="n">
        <v>32400</v>
      </c>
      <c r="M115" s="38" t="s">
        <v>112</v>
      </c>
      <c r="N115" s="86" t="n">
        <v>21.2</v>
      </c>
      <c r="O115" s="66" t="n">
        <f aca="false">L115*N115</f>
        <v>686880</v>
      </c>
      <c r="P115" s="67" t="n">
        <v>0.1</v>
      </c>
      <c r="Q115" s="68" t="n">
        <f aca="false">P115*L115</f>
        <v>3240</v>
      </c>
      <c r="S115" s="69" t="n">
        <f aca="false">VLOOKUP(K115,Prices,HLOOKUP(F115,Column,2))</f>
        <v>37288</v>
      </c>
      <c r="T115" s="69" t="n">
        <f aca="false">IF(S115=0,VLOOKUP(K115,FWD_Prices,HLOOKUP(F115,Column,2)),0)</f>
        <v>0</v>
      </c>
      <c r="V115" s="70" t="n">
        <f aca="false">IF(H115="Swap",S115-N115,IF(H115="Call",MAX(S115-N115,0),IF(H115="Put",MAX(N115-S115,0),"Error on Structure")))*IF(G115="Buy",1,IF(G115="Sell",-1,"Error on Buy/Sell"))*L115*IF(S115=0,0,1)</f>
        <v>-1207444320</v>
      </c>
      <c r="W115" s="70" t="n">
        <f aca="false">IF(H115="Swap",T115-N115,IF(H115="Call",MAX(T115-N115,0),IF(H115="Put",MAX(N115-T115,0),"Error on Structure")))*IF(G115="Buy",1,IF(G115="Sell",-1,"Error on Buy/Sell"))*L115*IF(T115=0,0,1)</f>
        <v>0</v>
      </c>
      <c r="X115" s="71" t="n">
        <f aca="false">SUM(V115:W115)</f>
        <v>-1207444320</v>
      </c>
      <c r="AA115" s="12" t="s">
        <v>107</v>
      </c>
      <c r="AC115" s="10" t="s">
        <v>94</v>
      </c>
    </row>
    <row r="116" customFormat="false" ht="12.75" hidden="false" customHeight="false" outlineLevel="0" collapsed="false">
      <c r="A116" s="10" t="n">
        <v>11</v>
      </c>
      <c r="C116" s="62" t="n">
        <v>36949</v>
      </c>
      <c r="D116" s="12" t="s">
        <v>54</v>
      </c>
      <c r="E116" s="12" t="s">
        <v>110</v>
      </c>
      <c r="F116" s="12" t="s">
        <v>111</v>
      </c>
      <c r="G116" s="10" t="s">
        <v>91</v>
      </c>
      <c r="H116" s="12" t="s">
        <v>101</v>
      </c>
      <c r="I116" s="63" t="n">
        <v>0</v>
      </c>
      <c r="J116" s="64" t="n">
        <f aca="false">+I116*L116</f>
        <v>0</v>
      </c>
      <c r="K116" s="85" t="n">
        <v>37316</v>
      </c>
      <c r="L116" s="13" t="n">
        <v>32400</v>
      </c>
      <c r="M116" s="38" t="s">
        <v>112</v>
      </c>
      <c r="N116" s="86" t="n">
        <v>21.2</v>
      </c>
      <c r="O116" s="66" t="n">
        <f aca="false">L116*N116</f>
        <v>686880</v>
      </c>
      <c r="P116" s="67" t="n">
        <v>0.1</v>
      </c>
      <c r="Q116" s="68" t="n">
        <f aca="false">P116*L116</f>
        <v>3240</v>
      </c>
      <c r="S116" s="69" t="n">
        <f aca="false">VLOOKUP(K116,Prices,HLOOKUP(F116,Column,2))</f>
        <v>37316</v>
      </c>
      <c r="T116" s="69" t="n">
        <f aca="false">IF(S116=0,VLOOKUP(K116,FWD_Prices,HLOOKUP(F116,Column,2)),0)</f>
        <v>0</v>
      </c>
      <c r="V116" s="70" t="n">
        <f aca="false">IF(H116="Swap",S116-N116,IF(H116="Call",MAX(S116-N116,0),IF(H116="Put",MAX(N116-S116,0),"Error on Structure")))*IF(G116="Buy",1,IF(G116="Sell",-1,"Error on Buy/Sell"))*L116*IF(S116=0,0,1)</f>
        <v>-1208351520</v>
      </c>
      <c r="W116" s="70" t="n">
        <f aca="false">IF(H116="Swap",T116-N116,IF(H116="Call",MAX(T116-N116,0),IF(H116="Put",MAX(N116-T116,0),"Error on Structure")))*IF(G116="Buy",1,IF(G116="Sell",-1,"Error on Buy/Sell"))*L116*IF(T116=0,0,1)</f>
        <v>0</v>
      </c>
      <c r="X116" s="71" t="n">
        <f aca="false">SUM(V116:W116)</f>
        <v>-1208351520</v>
      </c>
      <c r="AA116" s="12" t="s">
        <v>107</v>
      </c>
      <c r="AC116" s="10" t="s">
        <v>94</v>
      </c>
    </row>
    <row r="118" customFormat="false" ht="12.75" hidden="false" customHeight="false" outlineLevel="0" collapsed="false">
      <c r="A118" s="10" t="n">
        <v>12</v>
      </c>
      <c r="D118" s="12" t="s">
        <v>54</v>
      </c>
      <c r="E118" s="12" t="s">
        <v>89</v>
      </c>
      <c r="F118" s="12" t="s">
        <v>105</v>
      </c>
      <c r="H118" s="12" t="s">
        <v>47</v>
      </c>
      <c r="I118" s="63" t="n">
        <v>0</v>
      </c>
      <c r="J118" s="64" t="n">
        <f aca="false">+I118*L118</f>
        <v>0</v>
      </c>
      <c r="K118" s="85"/>
      <c r="N118" s="86"/>
      <c r="O118" s="66" t="n">
        <f aca="false">L118*N118</f>
        <v>0</v>
      </c>
      <c r="P118" s="67" t="n">
        <v>0</v>
      </c>
      <c r="Q118" s="68" t="n">
        <f aca="false">P118*L118</f>
        <v>0</v>
      </c>
      <c r="V118" s="70" t="n">
        <v>677114</v>
      </c>
      <c r="W118" s="70"/>
      <c r="X118" s="71" t="n">
        <f aca="false">SUM(V118:W118)</f>
        <v>677114</v>
      </c>
      <c r="AA118" s="12" t="s">
        <v>107</v>
      </c>
    </row>
    <row r="120" customFormat="false" ht="12.75" hidden="false" customHeight="false" outlineLevel="0" collapsed="false">
      <c r="A120" s="10" t="n">
        <v>13</v>
      </c>
      <c r="D120" s="12" t="s">
        <v>38</v>
      </c>
      <c r="E120" s="12" t="s">
        <v>89</v>
      </c>
      <c r="F120" s="12" t="s">
        <v>90</v>
      </c>
      <c r="H120" s="12" t="s">
        <v>48</v>
      </c>
      <c r="I120" s="63" t="n">
        <v>0</v>
      </c>
      <c r="J120" s="64" t="n">
        <f aca="false">+I120*L120</f>
        <v>0</v>
      </c>
      <c r="K120" s="85"/>
      <c r="N120" s="86"/>
      <c r="O120" s="66" t="n">
        <f aca="false">L120*N120</f>
        <v>0</v>
      </c>
      <c r="P120" s="67" t="n">
        <v>0</v>
      </c>
      <c r="Q120" s="68" t="n">
        <f aca="false">P120*L120</f>
        <v>0</v>
      </c>
      <c r="V120" s="70" t="n">
        <v>80418</v>
      </c>
      <c r="W120" s="70"/>
      <c r="X120" s="71" t="n">
        <f aca="false">SUM(V120:W120)</f>
        <v>80418</v>
      </c>
      <c r="AA120" s="12" t="s">
        <v>108</v>
      </c>
    </row>
    <row r="122" customFormat="false" ht="12.75" hidden="false" customHeight="false" outlineLevel="0" collapsed="false">
      <c r="A122" s="10" t="n">
        <v>14</v>
      </c>
      <c r="D122" s="12" t="s">
        <v>43</v>
      </c>
      <c r="E122" s="12" t="s">
        <v>89</v>
      </c>
      <c r="F122" s="12" t="s">
        <v>90</v>
      </c>
      <c r="H122" s="12" t="s">
        <v>47</v>
      </c>
      <c r="I122" s="63" t="n">
        <v>0</v>
      </c>
      <c r="J122" s="64" t="n">
        <f aca="false">+I122*L122</f>
        <v>0</v>
      </c>
      <c r="K122" s="85"/>
      <c r="N122" s="86"/>
      <c r="O122" s="66" t="n">
        <f aca="false">L122*N122</f>
        <v>0</v>
      </c>
      <c r="P122" s="67" t="n">
        <v>0</v>
      </c>
      <c r="Q122" s="68" t="n">
        <f aca="false">P122*L122</f>
        <v>0</v>
      </c>
      <c r="V122" s="70" t="n">
        <v>200417</v>
      </c>
      <c r="W122" s="70"/>
      <c r="X122" s="71" t="n">
        <f aca="false">SUM(V122:W122)</f>
        <v>200417</v>
      </c>
      <c r="AA122" s="12" t="s">
        <v>108</v>
      </c>
    </row>
    <row r="123" customFormat="false" ht="12.75" hidden="false" customHeight="false" outlineLevel="0" collapsed="false">
      <c r="A123" s="10" t="n">
        <v>14</v>
      </c>
      <c r="D123" s="12" t="s">
        <v>43</v>
      </c>
      <c r="E123" s="12" t="s">
        <v>89</v>
      </c>
      <c r="F123" s="12" t="s">
        <v>90</v>
      </c>
      <c r="H123" s="12" t="s">
        <v>47</v>
      </c>
      <c r="I123" s="63" t="n">
        <v>0</v>
      </c>
      <c r="J123" s="64" t="n">
        <f aca="false">+I123*L123</f>
        <v>0</v>
      </c>
      <c r="K123" s="85"/>
      <c r="N123" s="86"/>
      <c r="O123" s="66" t="n">
        <f aca="false">L123*N123</f>
        <v>0</v>
      </c>
      <c r="P123" s="67" t="n">
        <v>0</v>
      </c>
      <c r="Q123" s="68" t="n">
        <f aca="false">P123*L123</f>
        <v>0</v>
      </c>
      <c r="V123" s="70" t="n">
        <v>197686</v>
      </c>
      <c r="W123" s="70"/>
      <c r="X123" s="71" t="n">
        <f aca="false">SUM(V123:W123)</f>
        <v>197686</v>
      </c>
      <c r="AA123" s="12" t="s">
        <v>108</v>
      </c>
    </row>
    <row r="125" customFormat="false" ht="12.75" hidden="false" customHeight="false" outlineLevel="0" collapsed="false">
      <c r="A125" s="10" t="n">
        <v>15</v>
      </c>
      <c r="B125" s="10" t="s">
        <v>113</v>
      </c>
      <c r="C125" s="62" t="n">
        <v>36952</v>
      </c>
      <c r="D125" s="12" t="s">
        <v>114</v>
      </c>
      <c r="E125" s="12" t="s">
        <v>89</v>
      </c>
      <c r="F125" s="12" t="s">
        <v>115</v>
      </c>
      <c r="G125" s="10" t="s">
        <v>91</v>
      </c>
      <c r="H125" s="12" t="s">
        <v>98</v>
      </c>
      <c r="I125" s="63" t="n">
        <v>0.475</v>
      </c>
      <c r="J125" s="64" t="n">
        <f aca="false">+I125*L125</f>
        <v>95000</v>
      </c>
      <c r="K125" s="85" t="n">
        <v>37316</v>
      </c>
      <c r="L125" s="13" t="n">
        <v>200000</v>
      </c>
      <c r="M125" s="38" t="s">
        <v>8</v>
      </c>
      <c r="N125" s="86" t="n">
        <v>4</v>
      </c>
      <c r="O125" s="66" t="n">
        <f aca="false">L125*N125</f>
        <v>800000</v>
      </c>
      <c r="P125" s="67" t="n">
        <v>0.015</v>
      </c>
      <c r="Q125" s="68" t="n">
        <f aca="false">P125*L125</f>
        <v>3000</v>
      </c>
      <c r="S125" s="69" t="str">
        <f aca="false">VLOOKUP(K125,Prices,HLOOKUP(F125,Column,2))</f>
        <v/>
      </c>
      <c r="T125" s="69" t="n">
        <f aca="false">IF(S125=0,VLOOKUP(K125,FWD_Prices,HLOOKUP(F125,Column,2)),0)</f>
        <v>0</v>
      </c>
      <c r="V125" s="70" t="e">
        <f aca="false">IF(H125="Swap",S125-N125,IF(H125="Call",MAX(S125-N125,0),IF(H125="Put",MAX(N125-S125,0),"Error on Structure")))*IF(G125="Buy",1,IF(G125="Sell",-1,"Error on Buy/Sell"))*L125*IF(S125=0,0,1)</f>
        <v>#VALUE!</v>
      </c>
      <c r="W125" s="70" t="n">
        <f aca="false">IF(H125="Swap",T125-N125,IF(H125="Call",MAX(T125-N125,0),IF(H125="Put",MAX(N125-T125,0),"Error on Structure")))*IF(G125="Buy",1,IF(G125="Sell",-1,"Error on Buy/Sell"))*L125*IF(T125=0,0,1)</f>
        <v>-0</v>
      </c>
      <c r="X125" s="71" t="e">
        <f aca="false">SUM(V125:W125)</f>
        <v>#VALUE!</v>
      </c>
      <c r="AA125" s="12" t="s">
        <v>99</v>
      </c>
      <c r="AC125" s="10" t="s">
        <v>116</v>
      </c>
    </row>
    <row r="126" customFormat="false" ht="12.75" hidden="false" customHeight="false" outlineLevel="0" collapsed="false">
      <c r="A126" s="10" t="n">
        <v>15</v>
      </c>
      <c r="B126" s="10" t="s">
        <v>113</v>
      </c>
      <c r="C126" s="62" t="n">
        <v>36952</v>
      </c>
      <c r="D126" s="12" t="s">
        <v>114</v>
      </c>
      <c r="E126" s="12" t="s">
        <v>89</v>
      </c>
      <c r="F126" s="12" t="s">
        <v>115</v>
      </c>
      <c r="G126" s="10" t="s">
        <v>91</v>
      </c>
      <c r="H126" s="12" t="s">
        <v>98</v>
      </c>
      <c r="I126" s="63" t="n">
        <v>0.475</v>
      </c>
      <c r="J126" s="64" t="n">
        <f aca="false">+I126*L126</f>
        <v>95000</v>
      </c>
      <c r="K126" s="85" t="n">
        <v>37347</v>
      </c>
      <c r="L126" s="13" t="n">
        <v>200000</v>
      </c>
      <c r="M126" s="38" t="s">
        <v>8</v>
      </c>
      <c r="N126" s="86" t="n">
        <v>4</v>
      </c>
      <c r="O126" s="66" t="n">
        <f aca="false">L126*N126</f>
        <v>800000</v>
      </c>
      <c r="P126" s="67" t="n">
        <v>0.015</v>
      </c>
      <c r="Q126" s="68" t="n">
        <f aca="false">P126*L126</f>
        <v>3000</v>
      </c>
      <c r="S126" s="69" t="str">
        <f aca="false">VLOOKUP(K126,Prices,HLOOKUP(F126,Column,2))</f>
        <v/>
      </c>
      <c r="T126" s="69" t="n">
        <f aca="false">IF(S126=0,VLOOKUP(K126,FWD_Prices,HLOOKUP(F126,Column,2)),0)</f>
        <v>0</v>
      </c>
      <c r="V126" s="70" t="e">
        <f aca="false">IF(H126="Swap",S126-N126,IF(H126="Call",MAX(S126-N126,0),IF(H126="Put",MAX(N126-S126,0),"Error on Structure")))*IF(G126="Buy",1,IF(G126="Sell",-1,"Error on Buy/Sell"))*L126*IF(S126=0,0,1)</f>
        <v>#VALUE!</v>
      </c>
      <c r="W126" s="70" t="n">
        <f aca="false">IF(H126="Swap",T126-N126,IF(H126="Call",MAX(T126-N126,0),IF(H126="Put",MAX(N126-T126,0),"Error on Structure")))*IF(G126="Buy",1,IF(G126="Sell",-1,"Error on Buy/Sell"))*L126*IF(T126=0,0,1)</f>
        <v>-0</v>
      </c>
      <c r="X126" s="71" t="e">
        <f aca="false">SUM(V126:W126)</f>
        <v>#VALUE!</v>
      </c>
      <c r="AA126" s="12" t="s">
        <v>99</v>
      </c>
      <c r="AC126" s="10" t="s">
        <v>116</v>
      </c>
    </row>
    <row r="127" customFormat="false" ht="12.75" hidden="false" customHeight="false" outlineLevel="0" collapsed="false">
      <c r="A127" s="10" t="n">
        <v>15</v>
      </c>
      <c r="B127" s="10" t="s">
        <v>113</v>
      </c>
      <c r="C127" s="62" t="n">
        <v>36952</v>
      </c>
      <c r="D127" s="12" t="s">
        <v>114</v>
      </c>
      <c r="E127" s="12" t="s">
        <v>89</v>
      </c>
      <c r="F127" s="12" t="s">
        <v>115</v>
      </c>
      <c r="G127" s="10" t="s">
        <v>91</v>
      </c>
      <c r="H127" s="12" t="s">
        <v>98</v>
      </c>
      <c r="I127" s="63" t="n">
        <v>0.475</v>
      </c>
      <c r="J127" s="64" t="n">
        <f aca="false">+I127*L127</f>
        <v>95000</v>
      </c>
      <c r="K127" s="85" t="n">
        <v>37377</v>
      </c>
      <c r="L127" s="13" t="n">
        <v>200000</v>
      </c>
      <c r="M127" s="38" t="s">
        <v>8</v>
      </c>
      <c r="N127" s="86" t="n">
        <v>4</v>
      </c>
      <c r="O127" s="66" t="n">
        <f aca="false">L127*N127</f>
        <v>800000</v>
      </c>
      <c r="P127" s="67" t="n">
        <v>0.015</v>
      </c>
      <c r="Q127" s="68" t="n">
        <f aca="false">P127*L127</f>
        <v>3000</v>
      </c>
      <c r="S127" s="69" t="str">
        <f aca="false">VLOOKUP(K127,Prices,HLOOKUP(F127,Column,2))</f>
        <v/>
      </c>
      <c r="T127" s="69" t="n">
        <f aca="false">IF(S127=0,VLOOKUP(K127,FWD_Prices,HLOOKUP(F127,Column,2)),0)</f>
        <v>0</v>
      </c>
      <c r="V127" s="70" t="e">
        <f aca="false">IF(H127="Swap",S127-N127,IF(H127="Call",MAX(S127-N127,0),IF(H127="Put",MAX(N127-S127,0),"Error on Structure")))*IF(G127="Buy",1,IF(G127="Sell",-1,"Error on Buy/Sell"))*L127*IF(S127=0,0,1)</f>
        <v>#VALUE!</v>
      </c>
      <c r="W127" s="70" t="n">
        <f aca="false">IF(H127="Swap",T127-N127,IF(H127="Call",MAX(T127-N127,0),IF(H127="Put",MAX(N127-T127,0),"Error on Structure")))*IF(G127="Buy",1,IF(G127="Sell",-1,"Error on Buy/Sell"))*L127*IF(T127=0,0,1)</f>
        <v>-0</v>
      </c>
      <c r="X127" s="71" t="e">
        <f aca="false">SUM(V127:W127)</f>
        <v>#VALUE!</v>
      </c>
      <c r="AA127" s="12" t="s">
        <v>99</v>
      </c>
      <c r="AC127" s="10" t="s">
        <v>116</v>
      </c>
    </row>
    <row r="128" customFormat="false" ht="12.75" hidden="false" customHeight="false" outlineLevel="0" collapsed="false">
      <c r="A128" s="10" t="n">
        <v>15</v>
      </c>
      <c r="B128" s="10" t="s">
        <v>113</v>
      </c>
      <c r="C128" s="62" t="n">
        <v>36952</v>
      </c>
      <c r="D128" s="12" t="s">
        <v>114</v>
      </c>
      <c r="E128" s="12" t="s">
        <v>89</v>
      </c>
      <c r="F128" s="12" t="s">
        <v>115</v>
      </c>
      <c r="G128" s="10" t="s">
        <v>91</v>
      </c>
      <c r="H128" s="12" t="s">
        <v>98</v>
      </c>
      <c r="I128" s="63" t="n">
        <v>0.475</v>
      </c>
      <c r="J128" s="64" t="n">
        <f aca="false">+I128*L128</f>
        <v>95000</v>
      </c>
      <c r="K128" s="85" t="n">
        <v>37408</v>
      </c>
      <c r="L128" s="13" t="n">
        <v>200000</v>
      </c>
      <c r="M128" s="38" t="s">
        <v>8</v>
      </c>
      <c r="N128" s="86" t="n">
        <v>4</v>
      </c>
      <c r="O128" s="66" t="n">
        <f aca="false">L128*N128</f>
        <v>800000</v>
      </c>
      <c r="P128" s="67" t="n">
        <v>0.015</v>
      </c>
      <c r="Q128" s="68" t="n">
        <f aca="false">P128*L128</f>
        <v>3000</v>
      </c>
      <c r="S128" s="69" t="str">
        <f aca="false">VLOOKUP(K128,Prices,HLOOKUP(F128,Column,2))</f>
        <v/>
      </c>
      <c r="T128" s="69" t="n">
        <f aca="false">IF(S128=0,VLOOKUP(K128,FWD_Prices,HLOOKUP(F128,Column,2)),0)</f>
        <v>0</v>
      </c>
      <c r="V128" s="70" t="e">
        <f aca="false">IF(H128="Swap",S128-N128,IF(H128="Call",MAX(S128-N128,0),IF(H128="Put",MAX(N128-S128,0),"Error on Structure")))*IF(G128="Buy",1,IF(G128="Sell",-1,"Error on Buy/Sell"))*L128*IF(S128=0,0,1)</f>
        <v>#VALUE!</v>
      </c>
      <c r="W128" s="70" t="n">
        <f aca="false">IF(H128="Swap",T128-N128,IF(H128="Call",MAX(T128-N128,0),IF(H128="Put",MAX(N128-T128,0),"Error on Structure")))*IF(G128="Buy",1,IF(G128="Sell",-1,"Error on Buy/Sell"))*L128*IF(T128=0,0,1)</f>
        <v>-0</v>
      </c>
      <c r="X128" s="71" t="e">
        <f aca="false">SUM(V128:W128)</f>
        <v>#VALUE!</v>
      </c>
      <c r="AA128" s="12" t="s">
        <v>99</v>
      </c>
      <c r="AC128" s="10" t="s">
        <v>116</v>
      </c>
    </row>
    <row r="129" customFormat="false" ht="12.75" hidden="false" customHeight="false" outlineLevel="0" collapsed="false">
      <c r="A129" s="10" t="n">
        <v>15</v>
      </c>
      <c r="B129" s="10" t="s">
        <v>113</v>
      </c>
      <c r="C129" s="62" t="n">
        <v>36952</v>
      </c>
      <c r="D129" s="12" t="s">
        <v>114</v>
      </c>
      <c r="E129" s="12" t="s">
        <v>89</v>
      </c>
      <c r="F129" s="12" t="s">
        <v>115</v>
      </c>
      <c r="G129" s="10" t="s">
        <v>91</v>
      </c>
      <c r="H129" s="12" t="s">
        <v>98</v>
      </c>
      <c r="I129" s="63" t="n">
        <v>0.475</v>
      </c>
      <c r="J129" s="64" t="n">
        <f aca="false">+I129*L129</f>
        <v>95000</v>
      </c>
      <c r="K129" s="85" t="n">
        <v>37438</v>
      </c>
      <c r="L129" s="13" t="n">
        <v>200000</v>
      </c>
      <c r="M129" s="38" t="s">
        <v>8</v>
      </c>
      <c r="N129" s="86" t="n">
        <v>4</v>
      </c>
      <c r="O129" s="66" t="n">
        <f aca="false">L129*N129</f>
        <v>800000</v>
      </c>
      <c r="P129" s="67" t="n">
        <v>0.015</v>
      </c>
      <c r="Q129" s="68" t="n">
        <f aca="false">P129*L129</f>
        <v>3000</v>
      </c>
      <c r="S129" s="69" t="str">
        <f aca="false">VLOOKUP(K129,Prices,HLOOKUP(F129,Column,2))</f>
        <v/>
      </c>
      <c r="T129" s="69" t="n">
        <f aca="false">IF(S129=0,VLOOKUP(K129,FWD_Prices,HLOOKUP(F129,Column,2)),0)</f>
        <v>0</v>
      </c>
      <c r="V129" s="70" t="e">
        <f aca="false">IF(H129="Swap",S129-N129,IF(H129="Call",MAX(S129-N129,0),IF(H129="Put",MAX(N129-S129,0),"Error on Structure")))*IF(G129="Buy",1,IF(G129="Sell",-1,"Error on Buy/Sell"))*L129*IF(S129=0,0,1)</f>
        <v>#VALUE!</v>
      </c>
      <c r="W129" s="70" t="n">
        <f aca="false">IF(H129="Swap",T129-N129,IF(H129="Call",MAX(T129-N129,0),IF(H129="Put",MAX(N129-T129,0),"Error on Structure")))*IF(G129="Buy",1,IF(G129="Sell",-1,"Error on Buy/Sell"))*L129*IF(T129=0,0,1)</f>
        <v>-0</v>
      </c>
      <c r="X129" s="71" t="e">
        <f aca="false">SUM(V129:W129)</f>
        <v>#VALUE!</v>
      </c>
      <c r="AA129" s="12" t="s">
        <v>99</v>
      </c>
      <c r="AC129" s="10" t="s">
        <v>116</v>
      </c>
    </row>
    <row r="130" customFormat="false" ht="12.75" hidden="false" customHeight="false" outlineLevel="0" collapsed="false">
      <c r="A130" s="10" t="n">
        <v>15</v>
      </c>
      <c r="B130" s="10" t="s">
        <v>113</v>
      </c>
      <c r="C130" s="62" t="n">
        <v>36952</v>
      </c>
      <c r="D130" s="12" t="s">
        <v>114</v>
      </c>
      <c r="E130" s="12" t="s">
        <v>89</v>
      </c>
      <c r="F130" s="12" t="s">
        <v>115</v>
      </c>
      <c r="G130" s="10" t="s">
        <v>91</v>
      </c>
      <c r="H130" s="12" t="s">
        <v>98</v>
      </c>
      <c r="I130" s="63" t="n">
        <v>0.475</v>
      </c>
      <c r="J130" s="64" t="n">
        <f aca="false">+I130*L130</f>
        <v>95000</v>
      </c>
      <c r="K130" s="85" t="n">
        <v>37469</v>
      </c>
      <c r="L130" s="13" t="n">
        <v>200000</v>
      </c>
      <c r="M130" s="38" t="s">
        <v>8</v>
      </c>
      <c r="N130" s="86" t="n">
        <v>4</v>
      </c>
      <c r="O130" s="66" t="n">
        <f aca="false">L130*N130</f>
        <v>800000</v>
      </c>
      <c r="P130" s="67" t="n">
        <v>0.015</v>
      </c>
      <c r="Q130" s="68" t="n">
        <f aca="false">P130*L130</f>
        <v>3000</v>
      </c>
      <c r="S130" s="69" t="str">
        <f aca="false">VLOOKUP(K130,Prices,HLOOKUP(F130,Column,2))</f>
        <v/>
      </c>
      <c r="T130" s="69" t="n">
        <f aca="false">IF(S130=0,VLOOKUP(K130,FWD_Prices,HLOOKUP(F130,Column,2)),0)</f>
        <v>0</v>
      </c>
      <c r="V130" s="70" t="e">
        <f aca="false">IF(H130="Swap",S130-N130,IF(H130="Call",MAX(S130-N130,0),IF(H130="Put",MAX(N130-S130,0),"Error on Structure")))*IF(G130="Buy",1,IF(G130="Sell",-1,"Error on Buy/Sell"))*L130*IF(S130=0,0,1)</f>
        <v>#VALUE!</v>
      </c>
      <c r="W130" s="70" t="n">
        <f aca="false">IF(H130="Swap",T130-N130,IF(H130="Call",MAX(T130-N130,0),IF(H130="Put",MAX(N130-T130,0),"Error on Structure")))*IF(G130="Buy",1,IF(G130="Sell",-1,"Error on Buy/Sell"))*L130*IF(T130=0,0,1)</f>
        <v>-0</v>
      </c>
      <c r="X130" s="71" t="e">
        <f aca="false">SUM(V130:W130)</f>
        <v>#VALUE!</v>
      </c>
      <c r="AA130" s="12" t="s">
        <v>99</v>
      </c>
      <c r="AC130" s="10" t="s">
        <v>116</v>
      </c>
    </row>
    <row r="131" customFormat="false" ht="12.75" hidden="false" customHeight="false" outlineLevel="0" collapsed="false">
      <c r="A131" s="10" t="n">
        <v>15</v>
      </c>
      <c r="B131" s="10" t="s">
        <v>113</v>
      </c>
      <c r="C131" s="62" t="n">
        <v>36952</v>
      </c>
      <c r="D131" s="12" t="s">
        <v>114</v>
      </c>
      <c r="E131" s="12" t="s">
        <v>89</v>
      </c>
      <c r="F131" s="12" t="s">
        <v>115</v>
      </c>
      <c r="G131" s="10" t="s">
        <v>91</v>
      </c>
      <c r="H131" s="12" t="s">
        <v>98</v>
      </c>
      <c r="I131" s="63" t="n">
        <v>0.475</v>
      </c>
      <c r="J131" s="64" t="n">
        <f aca="false">+I131*L131</f>
        <v>95000</v>
      </c>
      <c r="K131" s="85" t="n">
        <v>37500</v>
      </c>
      <c r="L131" s="13" t="n">
        <v>200000</v>
      </c>
      <c r="M131" s="38" t="s">
        <v>8</v>
      </c>
      <c r="N131" s="86" t="n">
        <v>4</v>
      </c>
      <c r="O131" s="66" t="n">
        <f aca="false">L131*N131</f>
        <v>800000</v>
      </c>
      <c r="P131" s="67" t="n">
        <v>0.015</v>
      </c>
      <c r="Q131" s="68" t="n">
        <f aca="false">P131*L131</f>
        <v>3000</v>
      </c>
      <c r="S131" s="69" t="str">
        <f aca="false">VLOOKUP(K131,Prices,HLOOKUP(F131,Column,2))</f>
        <v/>
      </c>
      <c r="T131" s="69" t="n">
        <f aca="false">IF(S131=0,VLOOKUP(K131,FWD_Prices,HLOOKUP(F131,Column,2)),0)</f>
        <v>0</v>
      </c>
      <c r="V131" s="70" t="e">
        <f aca="false">IF(H131="Swap",S131-N131,IF(H131="Call",MAX(S131-N131,0),IF(H131="Put",MAX(N131-S131,0),"Error on Structure")))*IF(G131="Buy",1,IF(G131="Sell",-1,"Error on Buy/Sell"))*L131*IF(S131=0,0,1)</f>
        <v>#VALUE!</v>
      </c>
      <c r="W131" s="70" t="n">
        <f aca="false">IF(H131="Swap",T131-N131,IF(H131="Call",MAX(T131-N131,0),IF(H131="Put",MAX(N131-T131,0),"Error on Structure")))*IF(G131="Buy",1,IF(G131="Sell",-1,"Error on Buy/Sell"))*L131*IF(T131=0,0,1)</f>
        <v>-0</v>
      </c>
      <c r="X131" s="71" t="e">
        <f aca="false">SUM(V131:W131)</f>
        <v>#VALUE!</v>
      </c>
      <c r="AA131" s="12" t="s">
        <v>99</v>
      </c>
      <c r="AC131" s="10" t="s">
        <v>116</v>
      </c>
    </row>
    <row r="132" customFormat="false" ht="12.75" hidden="false" customHeight="false" outlineLevel="0" collapsed="false">
      <c r="A132" s="10" t="n">
        <v>15</v>
      </c>
      <c r="B132" s="10" t="s">
        <v>113</v>
      </c>
      <c r="C132" s="62" t="n">
        <v>36952</v>
      </c>
      <c r="D132" s="12" t="s">
        <v>114</v>
      </c>
      <c r="E132" s="12" t="s">
        <v>89</v>
      </c>
      <c r="F132" s="12" t="s">
        <v>115</v>
      </c>
      <c r="G132" s="10" t="s">
        <v>91</v>
      </c>
      <c r="H132" s="12" t="s">
        <v>98</v>
      </c>
      <c r="I132" s="63" t="n">
        <v>0.475</v>
      </c>
      <c r="J132" s="64" t="n">
        <f aca="false">+I132*L132</f>
        <v>95000</v>
      </c>
      <c r="K132" s="85" t="n">
        <v>37530</v>
      </c>
      <c r="L132" s="13" t="n">
        <v>200000</v>
      </c>
      <c r="M132" s="38" t="s">
        <v>8</v>
      </c>
      <c r="N132" s="86" t="n">
        <v>4</v>
      </c>
      <c r="O132" s="66" t="n">
        <f aca="false">L132*N132</f>
        <v>800000</v>
      </c>
      <c r="P132" s="67" t="n">
        <v>0.015</v>
      </c>
      <c r="Q132" s="68" t="n">
        <f aca="false">P132*L132</f>
        <v>3000</v>
      </c>
      <c r="S132" s="69" t="str">
        <f aca="false">VLOOKUP(K132,Prices,HLOOKUP(F132,Column,2))</f>
        <v/>
      </c>
      <c r="T132" s="69" t="n">
        <f aca="false">IF(S132=0,VLOOKUP(K132,FWD_Prices,HLOOKUP(F132,Column,2)),0)</f>
        <v>0</v>
      </c>
      <c r="V132" s="70" t="e">
        <f aca="false">IF(H132="Swap",S132-N132,IF(H132="Call",MAX(S132-N132,0),IF(H132="Put",MAX(N132-S132,0),"Error on Structure")))*IF(G132="Buy",1,IF(G132="Sell",-1,"Error on Buy/Sell"))*L132*IF(S132=0,0,1)</f>
        <v>#VALUE!</v>
      </c>
      <c r="W132" s="70" t="n">
        <f aca="false">IF(H132="Swap",T132-N132,IF(H132="Call",MAX(T132-N132,0),IF(H132="Put",MAX(N132-T132,0),"Error on Structure")))*IF(G132="Buy",1,IF(G132="Sell",-1,"Error on Buy/Sell"))*L132*IF(T132=0,0,1)</f>
        <v>-0</v>
      </c>
      <c r="X132" s="71" t="e">
        <f aca="false">SUM(V132:W132)</f>
        <v>#VALUE!</v>
      </c>
      <c r="AA132" s="12" t="s">
        <v>99</v>
      </c>
      <c r="AC132" s="10" t="s">
        <v>116</v>
      </c>
    </row>
    <row r="133" customFormat="false" ht="12.75" hidden="false" customHeight="false" outlineLevel="0" collapsed="false">
      <c r="A133" s="10" t="n">
        <v>15</v>
      </c>
      <c r="B133" s="10" t="s">
        <v>113</v>
      </c>
      <c r="C133" s="62" t="n">
        <v>36952</v>
      </c>
      <c r="D133" s="12" t="s">
        <v>114</v>
      </c>
      <c r="E133" s="12" t="s">
        <v>89</v>
      </c>
      <c r="F133" s="12" t="s">
        <v>115</v>
      </c>
      <c r="G133" s="10" t="s">
        <v>91</v>
      </c>
      <c r="H133" s="12" t="s">
        <v>98</v>
      </c>
      <c r="I133" s="63" t="n">
        <v>0.475</v>
      </c>
      <c r="J133" s="64" t="n">
        <f aca="false">+I133*L133</f>
        <v>95000</v>
      </c>
      <c r="K133" s="85" t="n">
        <v>37561</v>
      </c>
      <c r="L133" s="13" t="n">
        <v>200000</v>
      </c>
      <c r="M133" s="38" t="s">
        <v>8</v>
      </c>
      <c r="N133" s="86" t="n">
        <v>4</v>
      </c>
      <c r="O133" s="66" t="n">
        <f aca="false">L133*N133</f>
        <v>800000</v>
      </c>
      <c r="P133" s="67" t="n">
        <v>0.015</v>
      </c>
      <c r="Q133" s="68" t="n">
        <f aca="false">P133*L133</f>
        <v>3000</v>
      </c>
      <c r="S133" s="69" t="str">
        <f aca="false">VLOOKUP(K133,Prices,HLOOKUP(F133,Column,2))</f>
        <v/>
      </c>
      <c r="T133" s="69" t="n">
        <f aca="false">IF(S133=0,VLOOKUP(K133,FWD_Prices,HLOOKUP(F133,Column,2)),0)</f>
        <v>0</v>
      </c>
      <c r="V133" s="70" t="e">
        <f aca="false">IF(H133="Swap",S133-N133,IF(H133="Call",MAX(S133-N133,0),IF(H133="Put",MAX(N133-S133,0),"Error on Structure")))*IF(G133="Buy",1,IF(G133="Sell",-1,"Error on Buy/Sell"))*L133*IF(S133=0,0,1)</f>
        <v>#VALUE!</v>
      </c>
      <c r="W133" s="70" t="n">
        <f aca="false">IF(H133="Swap",T133-N133,IF(H133="Call",MAX(T133-N133,0),IF(H133="Put",MAX(N133-T133,0),"Error on Structure")))*IF(G133="Buy",1,IF(G133="Sell",-1,"Error on Buy/Sell"))*L133*IF(T133=0,0,1)</f>
        <v>-0</v>
      </c>
      <c r="X133" s="71" t="e">
        <f aca="false">SUM(V133:W133)</f>
        <v>#VALUE!</v>
      </c>
      <c r="AA133" s="12" t="s">
        <v>99</v>
      </c>
      <c r="AC133" s="10" t="s">
        <v>116</v>
      </c>
    </row>
    <row r="134" customFormat="false" ht="12.75" hidden="false" customHeight="false" outlineLevel="0" collapsed="false">
      <c r="A134" s="10" t="n">
        <v>15</v>
      </c>
      <c r="B134" s="10" t="s">
        <v>113</v>
      </c>
      <c r="C134" s="62" t="n">
        <v>36952</v>
      </c>
      <c r="D134" s="12" t="s">
        <v>114</v>
      </c>
      <c r="E134" s="12" t="s">
        <v>89</v>
      </c>
      <c r="F134" s="12" t="s">
        <v>115</v>
      </c>
      <c r="G134" s="10" t="s">
        <v>91</v>
      </c>
      <c r="H134" s="12" t="s">
        <v>98</v>
      </c>
      <c r="I134" s="63" t="n">
        <v>0.475</v>
      </c>
      <c r="J134" s="64" t="n">
        <f aca="false">+I134*L134</f>
        <v>95000</v>
      </c>
      <c r="K134" s="85" t="n">
        <v>37591</v>
      </c>
      <c r="L134" s="13" t="n">
        <v>200000</v>
      </c>
      <c r="M134" s="38" t="s">
        <v>8</v>
      </c>
      <c r="N134" s="86" t="n">
        <v>4</v>
      </c>
      <c r="O134" s="66" t="n">
        <f aca="false">L134*N134</f>
        <v>800000</v>
      </c>
      <c r="P134" s="67" t="n">
        <v>0.015</v>
      </c>
      <c r="Q134" s="68" t="n">
        <f aca="false">P134*L134</f>
        <v>3000</v>
      </c>
      <c r="S134" s="69" t="str">
        <f aca="false">VLOOKUP(K134,Prices,HLOOKUP(F134,Column,2))</f>
        <v/>
      </c>
      <c r="T134" s="69" t="n">
        <f aca="false">IF(S134=0,VLOOKUP(K134,FWD_Prices,HLOOKUP(F134,Column,2)),0)</f>
        <v>0</v>
      </c>
      <c r="V134" s="70" t="e">
        <f aca="false">IF(H134="Swap",S134-N134,IF(H134="Call",MAX(S134-N134,0),IF(H134="Put",MAX(N134-S134,0),"Error on Structure")))*IF(G134="Buy",1,IF(G134="Sell",-1,"Error on Buy/Sell"))*L134*IF(S134=0,0,1)</f>
        <v>#VALUE!</v>
      </c>
      <c r="W134" s="70" t="n">
        <f aca="false">IF(H134="Swap",T134-N134,IF(H134="Call",MAX(T134-N134,0),IF(H134="Put",MAX(N134-T134,0),"Error on Structure")))*IF(G134="Buy",1,IF(G134="Sell",-1,"Error on Buy/Sell"))*L134*IF(T134=0,0,1)</f>
        <v>-0</v>
      </c>
      <c r="X134" s="71" t="e">
        <f aca="false">SUM(V134:W134)</f>
        <v>#VALUE!</v>
      </c>
      <c r="AA134" s="12" t="s">
        <v>99</v>
      </c>
      <c r="AC134" s="10" t="s">
        <v>116</v>
      </c>
    </row>
    <row r="135" customFormat="false" ht="12.75" hidden="false" customHeight="false" outlineLevel="0" collapsed="false">
      <c r="A135" s="10" t="n">
        <v>15</v>
      </c>
      <c r="B135" s="10" t="s">
        <v>113</v>
      </c>
      <c r="C135" s="62" t="n">
        <v>36952</v>
      </c>
      <c r="D135" s="12" t="s">
        <v>114</v>
      </c>
      <c r="E135" s="12" t="s">
        <v>89</v>
      </c>
      <c r="F135" s="12" t="s">
        <v>115</v>
      </c>
      <c r="G135" s="10" t="s">
        <v>91</v>
      </c>
      <c r="H135" s="12" t="s">
        <v>98</v>
      </c>
      <c r="I135" s="63" t="n">
        <v>0.475</v>
      </c>
      <c r="J135" s="64" t="n">
        <f aca="false">+I135*L135</f>
        <v>95000</v>
      </c>
      <c r="K135" s="85" t="n">
        <v>37622</v>
      </c>
      <c r="L135" s="13" t="n">
        <v>200000</v>
      </c>
      <c r="M135" s="38" t="s">
        <v>8</v>
      </c>
      <c r="N135" s="86" t="n">
        <v>4</v>
      </c>
      <c r="O135" s="66" t="n">
        <f aca="false">L135*N135</f>
        <v>800000</v>
      </c>
      <c r="P135" s="67" t="n">
        <v>0.015</v>
      </c>
      <c r="Q135" s="68" t="n">
        <f aca="false">P135*L135</f>
        <v>3000</v>
      </c>
      <c r="S135" s="69" t="str">
        <f aca="false">VLOOKUP(K135,Prices,HLOOKUP(F135,Column,2))</f>
        <v/>
      </c>
      <c r="T135" s="69" t="n">
        <f aca="false">IF(S135=0,VLOOKUP(K135,FWD_Prices,HLOOKUP(F135,Column,2)),0)</f>
        <v>0</v>
      </c>
      <c r="V135" s="70" t="e">
        <f aca="false">IF(H135="Swap",S135-N135,IF(H135="Call",MAX(S135-N135,0),IF(H135="Put",MAX(N135-S135,0),"Error on Structure")))*IF(G135="Buy",1,IF(G135="Sell",-1,"Error on Buy/Sell"))*L135*IF(S135=0,0,1)</f>
        <v>#VALUE!</v>
      </c>
      <c r="W135" s="70" t="n">
        <f aca="false">IF(H135="Swap",T135-N135,IF(H135="Call",MAX(T135-N135,0),IF(H135="Put",MAX(N135-T135,0),"Error on Structure")))*IF(G135="Buy",1,IF(G135="Sell",-1,"Error on Buy/Sell"))*L135*IF(T135=0,0,1)</f>
        <v>-0</v>
      </c>
      <c r="X135" s="71" t="e">
        <f aca="false">SUM(V135:W135)</f>
        <v>#VALUE!</v>
      </c>
      <c r="AA135" s="12" t="s">
        <v>99</v>
      </c>
      <c r="AC135" s="10" t="s">
        <v>116</v>
      </c>
    </row>
    <row r="136" customFormat="false" ht="12.75" hidden="false" customHeight="false" outlineLevel="0" collapsed="false">
      <c r="A136" s="10" t="n">
        <v>15</v>
      </c>
      <c r="B136" s="10" t="s">
        <v>113</v>
      </c>
      <c r="C136" s="62" t="n">
        <v>36952</v>
      </c>
      <c r="D136" s="12" t="s">
        <v>114</v>
      </c>
      <c r="E136" s="12" t="s">
        <v>89</v>
      </c>
      <c r="F136" s="12" t="s">
        <v>115</v>
      </c>
      <c r="G136" s="10" t="s">
        <v>91</v>
      </c>
      <c r="H136" s="12" t="s">
        <v>98</v>
      </c>
      <c r="I136" s="63" t="n">
        <v>0.475</v>
      </c>
      <c r="J136" s="64" t="n">
        <f aca="false">+I136*L136</f>
        <v>95000</v>
      </c>
      <c r="K136" s="85" t="n">
        <v>37653</v>
      </c>
      <c r="L136" s="13" t="n">
        <v>200000</v>
      </c>
      <c r="M136" s="38" t="s">
        <v>8</v>
      </c>
      <c r="N136" s="86" t="n">
        <v>4</v>
      </c>
      <c r="O136" s="66" t="n">
        <f aca="false">L136*N136</f>
        <v>800000</v>
      </c>
      <c r="P136" s="67" t="n">
        <v>0.015</v>
      </c>
      <c r="Q136" s="68" t="n">
        <f aca="false">P136*L136</f>
        <v>3000</v>
      </c>
      <c r="S136" s="69" t="str">
        <f aca="false">VLOOKUP(K136,Prices,HLOOKUP(F136,Column,2))</f>
        <v/>
      </c>
      <c r="T136" s="69" t="n">
        <f aca="false">IF(S136=0,VLOOKUP(K136,FWD_Prices,HLOOKUP(F136,Column,2)),0)</f>
        <v>0</v>
      </c>
      <c r="V136" s="70" t="e">
        <f aca="false">IF(H136="Swap",S136-N136,IF(H136="Call",MAX(S136-N136,0),IF(H136="Put",MAX(N136-S136,0),"Error on Structure")))*IF(G136="Buy",1,IF(G136="Sell",-1,"Error on Buy/Sell"))*L136*IF(S136=0,0,1)</f>
        <v>#VALUE!</v>
      </c>
      <c r="W136" s="70" t="n">
        <f aca="false">IF(H136="Swap",T136-N136,IF(H136="Call",MAX(T136-N136,0),IF(H136="Put",MAX(N136-T136,0),"Error on Structure")))*IF(G136="Buy",1,IF(G136="Sell",-1,"Error on Buy/Sell"))*L136*IF(T136=0,0,1)</f>
        <v>-0</v>
      </c>
      <c r="X136" s="71" t="e">
        <f aca="false">SUM(V136:W136)</f>
        <v>#VALUE!</v>
      </c>
      <c r="AA136" s="12" t="s">
        <v>99</v>
      </c>
      <c r="AC136" s="10" t="s">
        <v>116</v>
      </c>
    </row>
    <row r="137" customFormat="false" ht="12.75" hidden="false" customHeight="false" outlineLevel="0" collapsed="false">
      <c r="A137" s="10" t="n">
        <v>15</v>
      </c>
      <c r="B137" s="10" t="s">
        <v>113</v>
      </c>
      <c r="C137" s="62" t="n">
        <v>36952</v>
      </c>
      <c r="D137" s="12" t="s">
        <v>114</v>
      </c>
      <c r="E137" s="12" t="s">
        <v>89</v>
      </c>
      <c r="F137" s="12" t="s">
        <v>115</v>
      </c>
      <c r="G137" s="10" t="s">
        <v>91</v>
      </c>
      <c r="H137" s="12" t="s">
        <v>98</v>
      </c>
      <c r="I137" s="63" t="n">
        <v>0.575</v>
      </c>
      <c r="J137" s="64" t="n">
        <f aca="false">+I137*L137</f>
        <v>115000</v>
      </c>
      <c r="K137" s="85" t="n">
        <v>37681</v>
      </c>
      <c r="L137" s="13" t="n">
        <v>200000</v>
      </c>
      <c r="M137" s="38" t="s">
        <v>8</v>
      </c>
      <c r="N137" s="86" t="n">
        <v>4</v>
      </c>
      <c r="O137" s="66" t="n">
        <f aca="false">L137*N137</f>
        <v>800000</v>
      </c>
      <c r="P137" s="67" t="n">
        <v>0.015</v>
      </c>
      <c r="Q137" s="68" t="n">
        <f aca="false">P137*L137</f>
        <v>3000</v>
      </c>
      <c r="S137" s="69" t="str">
        <f aca="false">VLOOKUP(K137,Prices,HLOOKUP(F137,Column,2))</f>
        <v/>
      </c>
      <c r="T137" s="69" t="n">
        <f aca="false">IF(S137=0,VLOOKUP(K137,FWD_Prices,HLOOKUP(F137,Column,2)),0)</f>
        <v>0</v>
      </c>
      <c r="V137" s="70" t="e">
        <f aca="false">IF(H137="Swap",S137-N137,IF(H137="Call",MAX(S137-N137,0),IF(H137="Put",MAX(N137-S137,0),"Error on Structure")))*IF(G137="Buy",1,IF(G137="Sell",-1,"Error on Buy/Sell"))*L137*IF(S137=0,0,1)</f>
        <v>#VALUE!</v>
      </c>
      <c r="W137" s="70" t="n">
        <f aca="false">IF(H137="Swap",T137-N137,IF(H137="Call",MAX(T137-N137,0),IF(H137="Put",MAX(N137-T137,0),"Error on Structure")))*IF(G137="Buy",1,IF(G137="Sell",-1,"Error on Buy/Sell"))*L137*IF(T137=0,0,1)</f>
        <v>-0</v>
      </c>
      <c r="X137" s="71" t="e">
        <f aca="false">SUM(V137:W137)</f>
        <v>#VALUE!</v>
      </c>
      <c r="AA137" s="12" t="s">
        <v>99</v>
      </c>
      <c r="AC137" s="10" t="s">
        <v>116</v>
      </c>
    </row>
    <row r="138" customFormat="false" ht="12.75" hidden="false" customHeight="false" outlineLevel="0" collapsed="false">
      <c r="A138" s="10" t="n">
        <v>15</v>
      </c>
      <c r="B138" s="10" t="s">
        <v>113</v>
      </c>
      <c r="C138" s="62" t="n">
        <v>36952</v>
      </c>
      <c r="D138" s="12" t="s">
        <v>114</v>
      </c>
      <c r="E138" s="12" t="s">
        <v>89</v>
      </c>
      <c r="F138" s="12" t="s">
        <v>115</v>
      </c>
      <c r="G138" s="10" t="s">
        <v>91</v>
      </c>
      <c r="H138" s="12" t="s">
        <v>98</v>
      </c>
      <c r="I138" s="63" t="n">
        <v>0.575</v>
      </c>
      <c r="J138" s="64" t="n">
        <f aca="false">+I138*L138</f>
        <v>115000</v>
      </c>
      <c r="K138" s="85" t="n">
        <v>37712</v>
      </c>
      <c r="L138" s="13" t="n">
        <v>200000</v>
      </c>
      <c r="M138" s="38" t="s">
        <v>8</v>
      </c>
      <c r="N138" s="86" t="n">
        <v>4</v>
      </c>
      <c r="O138" s="66" t="n">
        <f aca="false">L138*N138</f>
        <v>800000</v>
      </c>
      <c r="P138" s="67" t="n">
        <v>0.015</v>
      </c>
      <c r="Q138" s="68" t="n">
        <f aca="false">P138*L138</f>
        <v>3000</v>
      </c>
      <c r="S138" s="69" t="str">
        <f aca="false">VLOOKUP(K138,Prices,HLOOKUP(F138,Column,2))</f>
        <v/>
      </c>
      <c r="T138" s="69" t="n">
        <f aca="false">IF(S138=0,VLOOKUP(K138,FWD_Prices,HLOOKUP(F138,Column,2)),0)</f>
        <v>0</v>
      </c>
      <c r="V138" s="70" t="e">
        <f aca="false">IF(H138="Swap",S138-N138,IF(H138="Call",MAX(S138-N138,0),IF(H138="Put",MAX(N138-S138,0),"Error on Structure")))*IF(G138="Buy",1,IF(G138="Sell",-1,"Error on Buy/Sell"))*L138*IF(S138=0,0,1)</f>
        <v>#VALUE!</v>
      </c>
      <c r="W138" s="70" t="n">
        <f aca="false">IF(H138="Swap",T138-N138,IF(H138="Call",MAX(T138-N138,0),IF(H138="Put",MAX(N138-T138,0),"Error on Structure")))*IF(G138="Buy",1,IF(G138="Sell",-1,"Error on Buy/Sell"))*L138*IF(T138=0,0,1)</f>
        <v>-0</v>
      </c>
      <c r="X138" s="71" t="e">
        <f aca="false">SUM(V138:W138)</f>
        <v>#VALUE!</v>
      </c>
      <c r="AA138" s="12" t="s">
        <v>99</v>
      </c>
      <c r="AC138" s="10" t="s">
        <v>116</v>
      </c>
    </row>
    <row r="139" customFormat="false" ht="12.75" hidden="false" customHeight="false" outlineLevel="0" collapsed="false">
      <c r="A139" s="10" t="n">
        <v>15</v>
      </c>
      <c r="B139" s="10" t="s">
        <v>113</v>
      </c>
      <c r="C139" s="62" t="n">
        <v>36952</v>
      </c>
      <c r="D139" s="12" t="s">
        <v>114</v>
      </c>
      <c r="E139" s="12" t="s">
        <v>89</v>
      </c>
      <c r="F139" s="12" t="s">
        <v>115</v>
      </c>
      <c r="G139" s="10" t="s">
        <v>91</v>
      </c>
      <c r="H139" s="12" t="s">
        <v>98</v>
      </c>
      <c r="I139" s="63" t="n">
        <v>0.575</v>
      </c>
      <c r="J139" s="64" t="n">
        <f aca="false">+I139*L139</f>
        <v>115000</v>
      </c>
      <c r="K139" s="85" t="n">
        <v>37742</v>
      </c>
      <c r="L139" s="13" t="n">
        <v>200000</v>
      </c>
      <c r="M139" s="38" t="s">
        <v>8</v>
      </c>
      <c r="N139" s="86" t="n">
        <v>4</v>
      </c>
      <c r="O139" s="66" t="n">
        <f aca="false">L139*N139</f>
        <v>800000</v>
      </c>
      <c r="P139" s="67" t="n">
        <v>0.015</v>
      </c>
      <c r="Q139" s="68" t="n">
        <f aca="false">P139*L139</f>
        <v>3000</v>
      </c>
      <c r="S139" s="69" t="str">
        <f aca="false">VLOOKUP(K139,Prices,HLOOKUP(F139,Column,2))</f>
        <v/>
      </c>
      <c r="T139" s="69" t="n">
        <f aca="false">IF(S139=0,VLOOKUP(K139,FWD_Prices,HLOOKUP(F139,Column,2)),0)</f>
        <v>0</v>
      </c>
      <c r="V139" s="70" t="e">
        <f aca="false">IF(H139="Swap",S139-N139,IF(H139="Call",MAX(S139-N139,0),IF(H139="Put",MAX(N139-S139,0),"Error on Structure")))*IF(G139="Buy",1,IF(G139="Sell",-1,"Error on Buy/Sell"))*L139*IF(S139=0,0,1)</f>
        <v>#VALUE!</v>
      </c>
      <c r="W139" s="70" t="n">
        <f aca="false">IF(H139="Swap",T139-N139,IF(H139="Call",MAX(T139-N139,0),IF(H139="Put",MAX(N139-T139,0),"Error on Structure")))*IF(G139="Buy",1,IF(G139="Sell",-1,"Error on Buy/Sell"))*L139*IF(T139=0,0,1)</f>
        <v>-0</v>
      </c>
      <c r="X139" s="71" t="e">
        <f aca="false">SUM(V139:W139)</f>
        <v>#VALUE!</v>
      </c>
      <c r="AA139" s="12" t="s">
        <v>99</v>
      </c>
      <c r="AC139" s="10" t="s">
        <v>116</v>
      </c>
    </row>
    <row r="140" customFormat="false" ht="12.75" hidden="false" customHeight="false" outlineLevel="0" collapsed="false">
      <c r="A140" s="10" t="n">
        <v>15</v>
      </c>
      <c r="B140" s="10" t="s">
        <v>113</v>
      </c>
      <c r="C140" s="62" t="n">
        <v>36952</v>
      </c>
      <c r="D140" s="12" t="s">
        <v>114</v>
      </c>
      <c r="E140" s="12" t="s">
        <v>89</v>
      </c>
      <c r="F140" s="12" t="s">
        <v>115</v>
      </c>
      <c r="G140" s="10" t="s">
        <v>91</v>
      </c>
      <c r="H140" s="12" t="s">
        <v>98</v>
      </c>
      <c r="I140" s="63" t="n">
        <v>0.575</v>
      </c>
      <c r="J140" s="64" t="n">
        <f aca="false">+I140*L140</f>
        <v>115000</v>
      </c>
      <c r="K140" s="85" t="n">
        <v>37773</v>
      </c>
      <c r="L140" s="13" t="n">
        <v>200000</v>
      </c>
      <c r="M140" s="38" t="s">
        <v>8</v>
      </c>
      <c r="N140" s="86" t="n">
        <v>4</v>
      </c>
      <c r="O140" s="66" t="n">
        <f aca="false">L140*N140</f>
        <v>800000</v>
      </c>
      <c r="P140" s="67" t="n">
        <v>0.015</v>
      </c>
      <c r="Q140" s="68" t="n">
        <f aca="false">P140*L140</f>
        <v>3000</v>
      </c>
      <c r="S140" s="69" t="str">
        <f aca="false">VLOOKUP(K140,Prices,HLOOKUP(F140,Column,2))</f>
        <v/>
      </c>
      <c r="T140" s="69" t="n">
        <f aca="false">IF(S140=0,VLOOKUP(K140,FWD_Prices,HLOOKUP(F140,Column,2)),0)</f>
        <v>0</v>
      </c>
      <c r="V140" s="70" t="e">
        <f aca="false">IF(H140="Swap",S140-N140,IF(H140="Call",MAX(S140-N140,0),IF(H140="Put",MAX(N140-S140,0),"Error on Structure")))*IF(G140="Buy",1,IF(G140="Sell",-1,"Error on Buy/Sell"))*L140*IF(S140=0,0,1)</f>
        <v>#VALUE!</v>
      </c>
      <c r="W140" s="70" t="n">
        <f aca="false">IF(H140="Swap",T140-N140,IF(H140="Call",MAX(T140-N140,0),IF(H140="Put",MAX(N140-T140,0),"Error on Structure")))*IF(G140="Buy",1,IF(G140="Sell",-1,"Error on Buy/Sell"))*L140*IF(T140=0,0,1)</f>
        <v>-0</v>
      </c>
      <c r="X140" s="71" t="e">
        <f aca="false">SUM(V140:W140)</f>
        <v>#VALUE!</v>
      </c>
      <c r="AA140" s="12" t="s">
        <v>99</v>
      </c>
      <c r="AC140" s="10" t="s">
        <v>116</v>
      </c>
    </row>
    <row r="141" customFormat="false" ht="12.75" hidden="false" customHeight="false" outlineLevel="0" collapsed="false">
      <c r="A141" s="10" t="n">
        <v>15</v>
      </c>
      <c r="B141" s="10" t="s">
        <v>113</v>
      </c>
      <c r="C141" s="62" t="n">
        <v>36952</v>
      </c>
      <c r="D141" s="12" t="s">
        <v>114</v>
      </c>
      <c r="E141" s="12" t="s">
        <v>89</v>
      </c>
      <c r="F141" s="12" t="s">
        <v>115</v>
      </c>
      <c r="G141" s="10" t="s">
        <v>91</v>
      </c>
      <c r="H141" s="12" t="s">
        <v>98</v>
      </c>
      <c r="I141" s="63" t="n">
        <v>0.575</v>
      </c>
      <c r="J141" s="64" t="n">
        <f aca="false">+I141*L141</f>
        <v>115000</v>
      </c>
      <c r="K141" s="85" t="n">
        <v>37803</v>
      </c>
      <c r="L141" s="13" t="n">
        <v>200000</v>
      </c>
      <c r="M141" s="38" t="s">
        <v>8</v>
      </c>
      <c r="N141" s="86" t="n">
        <v>4</v>
      </c>
      <c r="O141" s="66" t="n">
        <f aca="false">L141*N141</f>
        <v>800000</v>
      </c>
      <c r="P141" s="67" t="n">
        <v>0.015</v>
      </c>
      <c r="Q141" s="68" t="n">
        <f aca="false">P141*L141</f>
        <v>3000</v>
      </c>
      <c r="S141" s="69" t="str">
        <f aca="false">VLOOKUP(K141,Prices,HLOOKUP(F141,Column,2))</f>
        <v/>
      </c>
      <c r="T141" s="69" t="n">
        <f aca="false">IF(S141=0,VLOOKUP(K141,FWD_Prices,HLOOKUP(F141,Column,2)),0)</f>
        <v>0</v>
      </c>
      <c r="V141" s="70" t="e">
        <f aca="false">IF(H141="Swap",S141-N141,IF(H141="Call",MAX(S141-N141,0),IF(H141="Put",MAX(N141-S141,0),"Error on Structure")))*IF(G141="Buy",1,IF(G141="Sell",-1,"Error on Buy/Sell"))*L141*IF(S141=0,0,1)</f>
        <v>#VALUE!</v>
      </c>
      <c r="W141" s="70" t="n">
        <f aca="false">IF(H141="Swap",T141-N141,IF(H141="Call",MAX(T141-N141,0),IF(H141="Put",MAX(N141-T141,0),"Error on Structure")))*IF(G141="Buy",1,IF(G141="Sell",-1,"Error on Buy/Sell"))*L141*IF(T141=0,0,1)</f>
        <v>-0</v>
      </c>
      <c r="X141" s="71" t="e">
        <f aca="false">SUM(V141:W141)</f>
        <v>#VALUE!</v>
      </c>
      <c r="AA141" s="12" t="s">
        <v>99</v>
      </c>
      <c r="AC141" s="10" t="s">
        <v>116</v>
      </c>
    </row>
    <row r="142" customFormat="false" ht="12.75" hidden="false" customHeight="false" outlineLevel="0" collapsed="false">
      <c r="A142" s="10" t="n">
        <v>15</v>
      </c>
      <c r="B142" s="10" t="s">
        <v>113</v>
      </c>
      <c r="C142" s="62" t="n">
        <v>36952</v>
      </c>
      <c r="D142" s="12" t="s">
        <v>114</v>
      </c>
      <c r="E142" s="12" t="s">
        <v>89</v>
      </c>
      <c r="F142" s="12" t="s">
        <v>115</v>
      </c>
      <c r="G142" s="10" t="s">
        <v>91</v>
      </c>
      <c r="H142" s="12" t="s">
        <v>98</v>
      </c>
      <c r="I142" s="63" t="n">
        <v>0.575</v>
      </c>
      <c r="J142" s="64" t="n">
        <f aca="false">+I142*L142</f>
        <v>115000</v>
      </c>
      <c r="K142" s="85" t="n">
        <v>37834</v>
      </c>
      <c r="L142" s="13" t="n">
        <v>200000</v>
      </c>
      <c r="M142" s="38" t="s">
        <v>8</v>
      </c>
      <c r="N142" s="86" t="n">
        <v>4</v>
      </c>
      <c r="O142" s="66" t="n">
        <f aca="false">L142*N142</f>
        <v>800000</v>
      </c>
      <c r="P142" s="67" t="n">
        <v>0.015</v>
      </c>
      <c r="Q142" s="68" t="n">
        <f aca="false">P142*L142</f>
        <v>3000</v>
      </c>
      <c r="S142" s="69" t="str">
        <f aca="false">VLOOKUP(K142,Prices,HLOOKUP(F142,Column,2))</f>
        <v/>
      </c>
      <c r="T142" s="69" t="n">
        <f aca="false">IF(S142=0,VLOOKUP(K142,FWD_Prices,HLOOKUP(F142,Column,2)),0)</f>
        <v>0</v>
      </c>
      <c r="V142" s="70" t="e">
        <f aca="false">IF(H142="Swap",S142-N142,IF(H142="Call",MAX(S142-N142,0),IF(H142="Put",MAX(N142-S142,0),"Error on Structure")))*IF(G142="Buy",1,IF(G142="Sell",-1,"Error on Buy/Sell"))*L142*IF(S142=0,0,1)</f>
        <v>#VALUE!</v>
      </c>
      <c r="W142" s="70" t="n">
        <f aca="false">IF(H142="Swap",T142-N142,IF(H142="Call",MAX(T142-N142,0),IF(H142="Put",MAX(N142-T142,0),"Error on Structure")))*IF(G142="Buy",1,IF(G142="Sell",-1,"Error on Buy/Sell"))*L142*IF(T142=0,0,1)</f>
        <v>-0</v>
      </c>
      <c r="X142" s="71" t="e">
        <f aca="false">SUM(V142:W142)</f>
        <v>#VALUE!</v>
      </c>
      <c r="AA142" s="12" t="s">
        <v>99</v>
      </c>
      <c r="AC142" s="10" t="s">
        <v>116</v>
      </c>
    </row>
    <row r="143" customFormat="false" ht="12.75" hidden="false" customHeight="false" outlineLevel="0" collapsed="false">
      <c r="A143" s="10" t="n">
        <v>15</v>
      </c>
      <c r="B143" s="10" t="s">
        <v>113</v>
      </c>
      <c r="C143" s="62" t="n">
        <v>36952</v>
      </c>
      <c r="D143" s="12" t="s">
        <v>114</v>
      </c>
      <c r="E143" s="12" t="s">
        <v>89</v>
      </c>
      <c r="F143" s="12" t="s">
        <v>115</v>
      </c>
      <c r="G143" s="10" t="s">
        <v>91</v>
      </c>
      <c r="H143" s="12" t="s">
        <v>98</v>
      </c>
      <c r="I143" s="63" t="n">
        <v>0.575</v>
      </c>
      <c r="J143" s="64" t="n">
        <f aca="false">+I143*L143</f>
        <v>115000</v>
      </c>
      <c r="K143" s="85" t="n">
        <v>37865</v>
      </c>
      <c r="L143" s="13" t="n">
        <v>200000</v>
      </c>
      <c r="M143" s="38" t="s">
        <v>8</v>
      </c>
      <c r="N143" s="86" t="n">
        <v>4</v>
      </c>
      <c r="O143" s="66" t="n">
        <f aca="false">L143*N143</f>
        <v>800000</v>
      </c>
      <c r="P143" s="67" t="n">
        <v>0.015</v>
      </c>
      <c r="Q143" s="68" t="n">
        <f aca="false">P143*L143</f>
        <v>3000</v>
      </c>
      <c r="S143" s="69" t="str">
        <f aca="false">VLOOKUP(K143,Prices,HLOOKUP(F143,Column,2))</f>
        <v/>
      </c>
      <c r="T143" s="69" t="n">
        <f aca="false">IF(S143=0,VLOOKUP(K143,FWD_Prices,HLOOKUP(F143,Column,2)),0)</f>
        <v>0</v>
      </c>
      <c r="V143" s="70" t="e">
        <f aca="false">IF(H143="Swap",S143-N143,IF(H143="Call",MAX(S143-N143,0),IF(H143="Put",MAX(N143-S143,0),"Error on Structure")))*IF(G143="Buy",1,IF(G143="Sell",-1,"Error on Buy/Sell"))*L143*IF(S143=0,0,1)</f>
        <v>#VALUE!</v>
      </c>
      <c r="W143" s="70" t="n">
        <f aca="false">IF(H143="Swap",T143-N143,IF(H143="Call",MAX(T143-N143,0),IF(H143="Put",MAX(N143-T143,0),"Error on Structure")))*IF(G143="Buy",1,IF(G143="Sell",-1,"Error on Buy/Sell"))*L143*IF(T143=0,0,1)</f>
        <v>-0</v>
      </c>
      <c r="X143" s="71" t="e">
        <f aca="false">SUM(V143:W143)</f>
        <v>#VALUE!</v>
      </c>
      <c r="AA143" s="12" t="s">
        <v>99</v>
      </c>
      <c r="AC143" s="10" t="s">
        <v>116</v>
      </c>
    </row>
    <row r="144" customFormat="false" ht="12.75" hidden="false" customHeight="false" outlineLevel="0" collapsed="false">
      <c r="A144" s="10" t="n">
        <v>15</v>
      </c>
      <c r="B144" s="10" t="s">
        <v>113</v>
      </c>
      <c r="C144" s="62" t="n">
        <v>36952</v>
      </c>
      <c r="D144" s="12" t="s">
        <v>114</v>
      </c>
      <c r="E144" s="12" t="s">
        <v>89</v>
      </c>
      <c r="F144" s="12" t="s">
        <v>115</v>
      </c>
      <c r="G144" s="10" t="s">
        <v>91</v>
      </c>
      <c r="H144" s="12" t="s">
        <v>98</v>
      </c>
      <c r="I144" s="63" t="n">
        <v>0.575</v>
      </c>
      <c r="J144" s="64" t="n">
        <f aca="false">+I144*L144</f>
        <v>115000</v>
      </c>
      <c r="K144" s="85" t="n">
        <v>37895</v>
      </c>
      <c r="L144" s="13" t="n">
        <v>200000</v>
      </c>
      <c r="M144" s="38" t="s">
        <v>8</v>
      </c>
      <c r="N144" s="86" t="n">
        <v>4</v>
      </c>
      <c r="O144" s="66" t="n">
        <f aca="false">L144*N144</f>
        <v>800000</v>
      </c>
      <c r="P144" s="67" t="n">
        <v>0.015</v>
      </c>
      <c r="Q144" s="68" t="n">
        <f aca="false">P144*L144</f>
        <v>3000</v>
      </c>
      <c r="S144" s="69" t="str">
        <f aca="false">VLOOKUP(K144,Prices,HLOOKUP(F144,Column,2))</f>
        <v/>
      </c>
      <c r="T144" s="69" t="n">
        <f aca="false">IF(S144=0,VLOOKUP(K144,FWD_Prices,HLOOKUP(F144,Column,2)),0)</f>
        <v>0</v>
      </c>
      <c r="V144" s="70" t="e">
        <f aca="false">IF(H144="Swap",S144-N144,IF(H144="Call",MAX(S144-N144,0),IF(H144="Put",MAX(N144-S144,0),"Error on Structure")))*IF(G144="Buy",1,IF(G144="Sell",-1,"Error on Buy/Sell"))*L144*IF(S144=0,0,1)</f>
        <v>#VALUE!</v>
      </c>
      <c r="W144" s="70" t="n">
        <f aca="false">IF(H144="Swap",T144-N144,IF(H144="Call",MAX(T144-N144,0),IF(H144="Put",MAX(N144-T144,0),"Error on Structure")))*IF(G144="Buy",1,IF(G144="Sell",-1,"Error on Buy/Sell"))*L144*IF(T144=0,0,1)</f>
        <v>-0</v>
      </c>
      <c r="X144" s="71" t="e">
        <f aca="false">SUM(V144:W144)</f>
        <v>#VALUE!</v>
      </c>
      <c r="AA144" s="12" t="s">
        <v>99</v>
      </c>
      <c r="AC144" s="10" t="s">
        <v>116</v>
      </c>
    </row>
    <row r="145" customFormat="false" ht="12.75" hidden="false" customHeight="false" outlineLevel="0" collapsed="false">
      <c r="A145" s="10" t="n">
        <v>15</v>
      </c>
      <c r="B145" s="10" t="s">
        <v>113</v>
      </c>
      <c r="C145" s="62" t="n">
        <v>36952</v>
      </c>
      <c r="D145" s="12" t="s">
        <v>114</v>
      </c>
      <c r="E145" s="12" t="s">
        <v>89</v>
      </c>
      <c r="F145" s="12" t="s">
        <v>115</v>
      </c>
      <c r="G145" s="10" t="s">
        <v>91</v>
      </c>
      <c r="H145" s="12" t="s">
        <v>98</v>
      </c>
      <c r="I145" s="63" t="n">
        <v>0.575</v>
      </c>
      <c r="J145" s="64" t="n">
        <f aca="false">+I145*L145</f>
        <v>115000</v>
      </c>
      <c r="K145" s="85" t="n">
        <v>37926</v>
      </c>
      <c r="L145" s="13" t="n">
        <v>200000</v>
      </c>
      <c r="M145" s="38" t="s">
        <v>8</v>
      </c>
      <c r="N145" s="86" t="n">
        <v>4</v>
      </c>
      <c r="O145" s="66" t="n">
        <f aca="false">L145*N145</f>
        <v>800000</v>
      </c>
      <c r="P145" s="67" t="n">
        <v>0.015</v>
      </c>
      <c r="Q145" s="68" t="n">
        <f aca="false">P145*L145</f>
        <v>3000</v>
      </c>
      <c r="S145" s="69" t="str">
        <f aca="false">VLOOKUP(K145,Prices,HLOOKUP(F145,Column,2))</f>
        <v/>
      </c>
      <c r="T145" s="69" t="n">
        <f aca="false">IF(S145=0,VLOOKUP(K145,FWD_Prices,HLOOKUP(F145,Column,2)),0)</f>
        <v>0</v>
      </c>
      <c r="V145" s="70" t="e">
        <f aca="false">IF(H145="Swap",S145-N145,IF(H145="Call",MAX(S145-N145,0),IF(H145="Put",MAX(N145-S145,0),"Error on Structure")))*IF(G145="Buy",1,IF(G145="Sell",-1,"Error on Buy/Sell"))*L145*IF(S145=0,0,1)</f>
        <v>#VALUE!</v>
      </c>
      <c r="W145" s="70" t="n">
        <f aca="false">IF(H145="Swap",T145-N145,IF(H145="Call",MAX(T145-N145,0),IF(H145="Put",MAX(N145-T145,0),"Error on Structure")))*IF(G145="Buy",1,IF(G145="Sell",-1,"Error on Buy/Sell"))*L145*IF(T145=0,0,1)</f>
        <v>-0</v>
      </c>
      <c r="X145" s="71" t="e">
        <f aca="false">SUM(V145:W145)</f>
        <v>#VALUE!</v>
      </c>
      <c r="AA145" s="12" t="s">
        <v>99</v>
      </c>
      <c r="AC145" s="10" t="s">
        <v>116</v>
      </c>
    </row>
    <row r="146" customFormat="false" ht="12.75" hidden="false" customHeight="false" outlineLevel="0" collapsed="false">
      <c r="A146" s="10" t="n">
        <v>15</v>
      </c>
      <c r="B146" s="10" t="s">
        <v>113</v>
      </c>
      <c r="C146" s="62" t="n">
        <v>36952</v>
      </c>
      <c r="D146" s="12" t="s">
        <v>114</v>
      </c>
      <c r="E146" s="12" t="s">
        <v>89</v>
      </c>
      <c r="F146" s="12" t="s">
        <v>115</v>
      </c>
      <c r="G146" s="10" t="s">
        <v>91</v>
      </c>
      <c r="H146" s="12" t="s">
        <v>98</v>
      </c>
      <c r="I146" s="63" t="n">
        <v>0.575</v>
      </c>
      <c r="J146" s="64" t="n">
        <f aca="false">+I146*L146</f>
        <v>115000</v>
      </c>
      <c r="K146" s="85" t="n">
        <v>37956</v>
      </c>
      <c r="L146" s="13" t="n">
        <v>200000</v>
      </c>
      <c r="M146" s="38" t="s">
        <v>8</v>
      </c>
      <c r="N146" s="86" t="n">
        <v>4</v>
      </c>
      <c r="O146" s="66" t="n">
        <f aca="false">L146*N146</f>
        <v>800000</v>
      </c>
      <c r="P146" s="67" t="n">
        <v>0.015</v>
      </c>
      <c r="Q146" s="68" t="n">
        <f aca="false">P146*L146</f>
        <v>3000</v>
      </c>
      <c r="S146" s="69" t="str">
        <f aca="false">VLOOKUP(K146,Prices,HLOOKUP(F146,Column,2))</f>
        <v/>
      </c>
      <c r="T146" s="69" t="n">
        <f aca="false">IF(S146=0,VLOOKUP(K146,FWD_Prices,HLOOKUP(F146,Column,2)),0)</f>
        <v>0</v>
      </c>
      <c r="V146" s="70" t="e">
        <f aca="false">IF(H146="Swap",S146-N146,IF(H146="Call",MAX(S146-N146,0),IF(H146="Put",MAX(N146-S146,0),"Error on Structure")))*IF(G146="Buy",1,IF(G146="Sell",-1,"Error on Buy/Sell"))*L146*IF(S146=0,0,1)</f>
        <v>#VALUE!</v>
      </c>
      <c r="W146" s="70" t="n">
        <f aca="false">IF(H146="Swap",T146-N146,IF(H146="Call",MAX(T146-N146,0),IF(H146="Put",MAX(N146-T146,0),"Error on Structure")))*IF(G146="Buy",1,IF(G146="Sell",-1,"Error on Buy/Sell"))*L146*IF(T146=0,0,1)</f>
        <v>-0</v>
      </c>
      <c r="X146" s="71" t="e">
        <f aca="false">SUM(V146:W146)</f>
        <v>#VALUE!</v>
      </c>
      <c r="AA146" s="12" t="s">
        <v>99</v>
      </c>
      <c r="AC146" s="10" t="s">
        <v>116</v>
      </c>
    </row>
    <row r="148" customFormat="false" ht="12.75" hidden="false" customHeight="false" outlineLevel="0" collapsed="false">
      <c r="A148" s="10" t="n">
        <v>16</v>
      </c>
      <c r="B148" s="10" t="s">
        <v>53</v>
      </c>
      <c r="C148" s="62" t="n">
        <v>36963</v>
      </c>
      <c r="D148" s="12" t="s">
        <v>54</v>
      </c>
      <c r="E148" s="12" t="s">
        <v>89</v>
      </c>
      <c r="F148" s="12" t="s">
        <v>90</v>
      </c>
      <c r="G148" s="10" t="s">
        <v>97</v>
      </c>
      <c r="H148" s="12" t="s">
        <v>101</v>
      </c>
      <c r="I148" s="63" t="n">
        <v>0</v>
      </c>
      <c r="J148" s="64" t="n">
        <f aca="false">+I148*L148</f>
        <v>0</v>
      </c>
      <c r="K148" s="85" t="n">
        <v>36982</v>
      </c>
      <c r="L148" s="13" t="n">
        <v>383000</v>
      </c>
      <c r="M148" s="38" t="s">
        <v>8</v>
      </c>
      <c r="N148" s="86" t="n">
        <v>4</v>
      </c>
      <c r="O148" s="66" t="n">
        <f aca="false">L148*N148</f>
        <v>1532000</v>
      </c>
      <c r="P148" s="67" t="n">
        <v>0.025</v>
      </c>
      <c r="Q148" s="68" t="n">
        <f aca="false">P148*L148</f>
        <v>9575</v>
      </c>
      <c r="S148" s="69" t="str">
        <f aca="false">VLOOKUP(K148,Prices,HLOOKUP(F148,Column,2))</f>
        <v/>
      </c>
      <c r="T148" s="69" t="n">
        <f aca="false">IF(S148=0,VLOOKUP(K148,FWD_Prices,HLOOKUP(F148,Column,2)),0)</f>
        <v>0</v>
      </c>
      <c r="V148" s="70" t="e">
        <f aca="false">IF(H148="Swap",S148-N148,IF(H148="Call",MAX(S148-N148,0),IF(H148="Put",MAX(N148-S148,0),"Error on Structure")))*IF(G148="Buy",1,IF(G148="Sell",-1,"Error on Buy/Sell"))*L148*IF(S148=0,0,1)</f>
        <v>#VALUE!</v>
      </c>
      <c r="W148" s="70" t="n">
        <f aca="false">IF(H148="Swap",T148-N148,IF(H148="Call",MAX(T148-N148,0),IF(H148="Put",MAX(N148-T148,0),"Error on Structure")))*IF(G148="Buy",1,IF(G148="Sell",-1,"Error on Buy/Sell"))*L148*IF(T148=0,0,1)</f>
        <v>-0</v>
      </c>
      <c r="X148" s="71" t="e">
        <f aca="false">SUM(V148:W148)</f>
        <v>#VALUE!</v>
      </c>
      <c r="AA148" s="12" t="s">
        <v>107</v>
      </c>
      <c r="AC148" s="10" t="s">
        <v>94</v>
      </c>
    </row>
    <row r="149" customFormat="false" ht="12.75" hidden="false" customHeight="false" outlineLevel="0" collapsed="false">
      <c r="A149" s="10" t="n">
        <v>16</v>
      </c>
      <c r="B149" s="10" t="s">
        <v>53</v>
      </c>
      <c r="C149" s="62" t="n">
        <v>36963</v>
      </c>
      <c r="D149" s="12" t="s">
        <v>54</v>
      </c>
      <c r="E149" s="12" t="s">
        <v>89</v>
      </c>
      <c r="F149" s="12" t="s">
        <v>90</v>
      </c>
      <c r="G149" s="10" t="s">
        <v>97</v>
      </c>
      <c r="H149" s="12" t="s">
        <v>101</v>
      </c>
      <c r="I149" s="63" t="n">
        <v>0</v>
      </c>
      <c r="J149" s="64" t="n">
        <f aca="false">+I149*L149</f>
        <v>0</v>
      </c>
      <c r="K149" s="85" t="n">
        <v>37012</v>
      </c>
      <c r="L149" s="13" t="n">
        <v>383000</v>
      </c>
      <c r="M149" s="38" t="s">
        <v>8</v>
      </c>
      <c r="N149" s="86" t="n">
        <v>4</v>
      </c>
      <c r="O149" s="66" t="n">
        <f aca="false">L149*N149</f>
        <v>1532000</v>
      </c>
      <c r="P149" s="67" t="n">
        <v>0.025</v>
      </c>
      <c r="Q149" s="68" t="n">
        <f aca="false">P149*L149</f>
        <v>9575</v>
      </c>
      <c r="S149" s="69" t="str">
        <f aca="false">VLOOKUP(K149,Prices,HLOOKUP(F149,Column,2))</f>
        <v/>
      </c>
      <c r="T149" s="69" t="n">
        <f aca="false">IF(S149=0,VLOOKUP(K149,FWD_Prices,HLOOKUP(F149,Column,2)),0)</f>
        <v>0</v>
      </c>
      <c r="V149" s="70" t="e">
        <f aca="false">IF(H149="Swap",S149-N149,IF(H149="Call",MAX(S149-N149,0),IF(H149="Put",MAX(N149-S149,0),"Error on Structure")))*IF(G149="Buy",1,IF(G149="Sell",-1,"Error on Buy/Sell"))*L149*IF(S149=0,0,1)</f>
        <v>#VALUE!</v>
      </c>
      <c r="W149" s="70" t="n">
        <f aca="false">IF(H149="Swap",T149-N149,IF(H149="Call",MAX(T149-N149,0),IF(H149="Put",MAX(N149-T149,0),"Error on Structure")))*IF(G149="Buy",1,IF(G149="Sell",-1,"Error on Buy/Sell"))*L149*IF(T149=0,0,1)</f>
        <v>-0</v>
      </c>
      <c r="X149" s="71" t="e">
        <f aca="false">SUM(V149:W149)</f>
        <v>#VALUE!</v>
      </c>
      <c r="AA149" s="12" t="s">
        <v>107</v>
      </c>
      <c r="AC149" s="10" t="s">
        <v>94</v>
      </c>
    </row>
    <row r="150" customFormat="false" ht="12.75" hidden="false" customHeight="false" outlineLevel="0" collapsed="false">
      <c r="A150" s="10" t="n">
        <v>16</v>
      </c>
      <c r="B150" s="10" t="s">
        <v>53</v>
      </c>
      <c r="C150" s="62" t="n">
        <v>36963</v>
      </c>
      <c r="D150" s="12" t="s">
        <v>54</v>
      </c>
      <c r="E150" s="12" t="s">
        <v>89</v>
      </c>
      <c r="F150" s="12" t="s">
        <v>90</v>
      </c>
      <c r="G150" s="10" t="s">
        <v>97</v>
      </c>
      <c r="H150" s="12" t="s">
        <v>101</v>
      </c>
      <c r="I150" s="63" t="n">
        <v>0</v>
      </c>
      <c r="J150" s="64" t="n">
        <f aca="false">+I150*L150</f>
        <v>0</v>
      </c>
      <c r="K150" s="85" t="n">
        <v>37043</v>
      </c>
      <c r="L150" s="13" t="n">
        <v>383000</v>
      </c>
      <c r="M150" s="38" t="s">
        <v>8</v>
      </c>
      <c r="N150" s="86" t="n">
        <v>4</v>
      </c>
      <c r="O150" s="66" t="n">
        <f aca="false">L150*N150</f>
        <v>1532000</v>
      </c>
      <c r="P150" s="67" t="n">
        <v>0.025</v>
      </c>
      <c r="Q150" s="68" t="n">
        <f aca="false">P150*L150</f>
        <v>9575</v>
      </c>
      <c r="S150" s="69" t="str">
        <f aca="false">VLOOKUP(K150,Prices,HLOOKUP(F150,Column,2))</f>
        <v/>
      </c>
      <c r="T150" s="69" t="n">
        <f aca="false">IF(S150=0,VLOOKUP(K150,FWD_Prices,HLOOKUP(F150,Column,2)),0)</f>
        <v>0</v>
      </c>
      <c r="V150" s="70" t="e">
        <f aca="false">IF(H150="Swap",S150-N150,IF(H150="Call",MAX(S150-N150,0),IF(H150="Put",MAX(N150-S150,0),"Error on Structure")))*IF(G150="Buy",1,IF(G150="Sell",-1,"Error on Buy/Sell"))*L150*IF(S150=0,0,1)</f>
        <v>#VALUE!</v>
      </c>
      <c r="W150" s="70" t="n">
        <f aca="false">IF(H150="Swap",T150-N150,IF(H150="Call",MAX(T150-N150,0),IF(H150="Put",MAX(N150-T150,0),"Error on Structure")))*IF(G150="Buy",1,IF(G150="Sell",-1,"Error on Buy/Sell"))*L150*IF(T150=0,0,1)</f>
        <v>-0</v>
      </c>
      <c r="X150" s="71" t="e">
        <f aca="false">SUM(V150:W150)</f>
        <v>#VALUE!</v>
      </c>
      <c r="AA150" s="12" t="s">
        <v>107</v>
      </c>
      <c r="AC150" s="10" t="s">
        <v>94</v>
      </c>
    </row>
    <row r="151" customFormat="false" ht="12.75" hidden="false" customHeight="false" outlineLevel="0" collapsed="false">
      <c r="A151" s="10" t="n">
        <v>16</v>
      </c>
      <c r="B151" s="10" t="s">
        <v>53</v>
      </c>
      <c r="C151" s="62" t="n">
        <v>36963</v>
      </c>
      <c r="D151" s="12" t="s">
        <v>54</v>
      </c>
      <c r="E151" s="12" t="s">
        <v>89</v>
      </c>
      <c r="F151" s="12" t="s">
        <v>90</v>
      </c>
      <c r="G151" s="10" t="s">
        <v>97</v>
      </c>
      <c r="H151" s="12" t="s">
        <v>101</v>
      </c>
      <c r="I151" s="63" t="n">
        <v>0</v>
      </c>
      <c r="J151" s="64" t="n">
        <f aca="false">+I151*L151</f>
        <v>0</v>
      </c>
      <c r="K151" s="85" t="n">
        <v>37073</v>
      </c>
      <c r="L151" s="13" t="n">
        <v>383000</v>
      </c>
      <c r="M151" s="38" t="s">
        <v>8</v>
      </c>
      <c r="N151" s="86" t="n">
        <v>4</v>
      </c>
      <c r="O151" s="66" t="n">
        <f aca="false">L151*N151</f>
        <v>1532000</v>
      </c>
      <c r="P151" s="67" t="n">
        <v>0.025</v>
      </c>
      <c r="Q151" s="68" t="n">
        <f aca="false">P151*L151</f>
        <v>9575</v>
      </c>
      <c r="S151" s="69" t="str">
        <f aca="false">VLOOKUP(K151,Prices,HLOOKUP(F151,Column,2))</f>
        <v/>
      </c>
      <c r="T151" s="69" t="n">
        <f aca="false">IF(S151=0,VLOOKUP(K151,FWD_Prices,HLOOKUP(F151,Column,2)),0)</f>
        <v>0</v>
      </c>
      <c r="V151" s="70" t="e">
        <f aca="false">IF(H151="Swap",S151-N151,IF(H151="Call",MAX(S151-N151,0),IF(H151="Put",MAX(N151-S151,0),"Error on Structure")))*IF(G151="Buy",1,IF(G151="Sell",-1,"Error on Buy/Sell"))*L151*IF(S151=0,0,1)</f>
        <v>#VALUE!</v>
      </c>
      <c r="W151" s="70" t="n">
        <f aca="false">IF(H151="Swap",T151-N151,IF(H151="Call",MAX(T151-N151,0),IF(H151="Put",MAX(N151-T151,0),"Error on Structure")))*IF(G151="Buy",1,IF(G151="Sell",-1,"Error on Buy/Sell"))*L151*IF(T151=0,0,1)</f>
        <v>-0</v>
      </c>
      <c r="X151" s="71" t="e">
        <f aca="false">SUM(V151:W151)</f>
        <v>#VALUE!</v>
      </c>
      <c r="AA151" s="12" t="s">
        <v>107</v>
      </c>
      <c r="AC151" s="10" t="s">
        <v>94</v>
      </c>
    </row>
    <row r="152" customFormat="false" ht="12.75" hidden="false" customHeight="false" outlineLevel="0" collapsed="false">
      <c r="A152" s="10" t="n">
        <v>16</v>
      </c>
      <c r="B152" s="10" t="s">
        <v>53</v>
      </c>
      <c r="C152" s="62" t="n">
        <v>36963</v>
      </c>
      <c r="D152" s="12" t="s">
        <v>54</v>
      </c>
      <c r="E152" s="12" t="s">
        <v>89</v>
      </c>
      <c r="F152" s="12" t="s">
        <v>90</v>
      </c>
      <c r="G152" s="10" t="s">
        <v>97</v>
      </c>
      <c r="H152" s="12" t="s">
        <v>101</v>
      </c>
      <c r="I152" s="63" t="n">
        <v>0</v>
      </c>
      <c r="J152" s="64" t="n">
        <f aca="false">+I152*L152</f>
        <v>0</v>
      </c>
      <c r="K152" s="85" t="n">
        <v>37104</v>
      </c>
      <c r="L152" s="13" t="n">
        <v>383000</v>
      </c>
      <c r="M152" s="38" t="s">
        <v>8</v>
      </c>
      <c r="N152" s="86" t="n">
        <v>4</v>
      </c>
      <c r="O152" s="66" t="n">
        <f aca="false">L152*N152</f>
        <v>1532000</v>
      </c>
      <c r="P152" s="67" t="n">
        <v>0.025</v>
      </c>
      <c r="Q152" s="68" t="n">
        <f aca="false">P152*L152</f>
        <v>9575</v>
      </c>
      <c r="S152" s="69" t="str">
        <f aca="false">VLOOKUP(K152,Prices,HLOOKUP(F152,Column,2))</f>
        <v/>
      </c>
      <c r="T152" s="69" t="n">
        <f aca="false">IF(S152=0,VLOOKUP(K152,FWD_Prices,HLOOKUP(F152,Column,2)),0)</f>
        <v>0</v>
      </c>
      <c r="V152" s="70" t="e">
        <f aca="false">IF(H152="Swap",S152-N152,IF(H152="Call",MAX(S152-N152,0),IF(H152="Put",MAX(N152-S152,0),"Error on Structure")))*IF(G152="Buy",1,IF(G152="Sell",-1,"Error on Buy/Sell"))*L152*IF(S152=0,0,1)</f>
        <v>#VALUE!</v>
      </c>
      <c r="W152" s="70" t="n">
        <f aca="false">IF(H152="Swap",T152-N152,IF(H152="Call",MAX(T152-N152,0),IF(H152="Put",MAX(N152-T152,0),"Error on Structure")))*IF(G152="Buy",1,IF(G152="Sell",-1,"Error on Buy/Sell"))*L152*IF(T152=0,0,1)</f>
        <v>-0</v>
      </c>
      <c r="X152" s="71" t="e">
        <f aca="false">SUM(V152:W152)</f>
        <v>#VALUE!</v>
      </c>
      <c r="AA152" s="12" t="s">
        <v>107</v>
      </c>
      <c r="AC152" s="10" t="s">
        <v>94</v>
      </c>
    </row>
    <row r="153" customFormat="false" ht="12.75" hidden="false" customHeight="false" outlineLevel="0" collapsed="false">
      <c r="A153" s="10" t="n">
        <v>16</v>
      </c>
      <c r="B153" s="10" t="s">
        <v>53</v>
      </c>
      <c r="C153" s="62" t="n">
        <v>36963</v>
      </c>
      <c r="D153" s="12" t="s">
        <v>54</v>
      </c>
      <c r="E153" s="12" t="s">
        <v>89</v>
      </c>
      <c r="F153" s="12" t="s">
        <v>90</v>
      </c>
      <c r="G153" s="10" t="s">
        <v>97</v>
      </c>
      <c r="H153" s="12" t="s">
        <v>101</v>
      </c>
      <c r="I153" s="63" t="n">
        <v>0</v>
      </c>
      <c r="J153" s="64" t="n">
        <f aca="false">+I153*L153</f>
        <v>0</v>
      </c>
      <c r="K153" s="85" t="n">
        <v>37135</v>
      </c>
      <c r="L153" s="13" t="n">
        <v>383000</v>
      </c>
      <c r="M153" s="38" t="s">
        <v>8</v>
      </c>
      <c r="N153" s="86" t="n">
        <v>4</v>
      </c>
      <c r="O153" s="66" t="n">
        <f aca="false">L153*N153</f>
        <v>1532000</v>
      </c>
      <c r="P153" s="67" t="n">
        <v>0.025</v>
      </c>
      <c r="Q153" s="68" t="n">
        <f aca="false">P153*L153</f>
        <v>9575</v>
      </c>
      <c r="S153" s="69" t="str">
        <f aca="false">VLOOKUP(K153,Prices,HLOOKUP(F153,Column,2))</f>
        <v/>
      </c>
      <c r="T153" s="69" t="n">
        <f aca="false">IF(S153=0,VLOOKUP(K153,FWD_Prices,HLOOKUP(F153,Column,2)),0)</f>
        <v>0</v>
      </c>
      <c r="V153" s="70" t="e">
        <f aca="false">IF(H153="Swap",S153-N153,IF(H153="Call",MAX(S153-N153,0),IF(H153="Put",MAX(N153-S153,0),"Error on Structure")))*IF(G153="Buy",1,IF(G153="Sell",-1,"Error on Buy/Sell"))*L153*IF(S153=0,0,1)</f>
        <v>#VALUE!</v>
      </c>
      <c r="W153" s="70" t="n">
        <f aca="false">IF(H153="Swap",T153-N153,IF(H153="Call",MAX(T153-N153,0),IF(H153="Put",MAX(N153-T153,0),"Error on Structure")))*IF(G153="Buy",1,IF(G153="Sell",-1,"Error on Buy/Sell"))*L153*IF(T153=0,0,1)</f>
        <v>-0</v>
      </c>
      <c r="X153" s="71" t="e">
        <f aca="false">SUM(V153:W153)</f>
        <v>#VALUE!</v>
      </c>
      <c r="AA153" s="12" t="s">
        <v>107</v>
      </c>
      <c r="AC153" s="10" t="s">
        <v>94</v>
      </c>
    </row>
    <row r="154" customFormat="false" ht="12.75" hidden="false" customHeight="false" outlineLevel="0" collapsed="false">
      <c r="A154" s="10" t="n">
        <v>16</v>
      </c>
      <c r="B154" s="10" t="s">
        <v>53</v>
      </c>
      <c r="C154" s="62" t="n">
        <v>36963</v>
      </c>
      <c r="D154" s="12" t="s">
        <v>54</v>
      </c>
      <c r="E154" s="12" t="s">
        <v>89</v>
      </c>
      <c r="F154" s="12" t="s">
        <v>90</v>
      </c>
      <c r="G154" s="10" t="s">
        <v>97</v>
      </c>
      <c r="H154" s="12" t="s">
        <v>101</v>
      </c>
      <c r="I154" s="63" t="n">
        <v>0</v>
      </c>
      <c r="J154" s="64" t="n">
        <f aca="false">+I154*L154</f>
        <v>0</v>
      </c>
      <c r="K154" s="85" t="n">
        <v>37165</v>
      </c>
      <c r="L154" s="13" t="n">
        <v>383000</v>
      </c>
      <c r="M154" s="38" t="s">
        <v>8</v>
      </c>
      <c r="N154" s="86" t="n">
        <v>4</v>
      </c>
      <c r="O154" s="66" t="n">
        <f aca="false">L154*N154</f>
        <v>1532000</v>
      </c>
      <c r="P154" s="67" t="n">
        <v>0.025</v>
      </c>
      <c r="Q154" s="68" t="n">
        <f aca="false">P154*L154</f>
        <v>9575</v>
      </c>
      <c r="S154" s="69" t="str">
        <f aca="false">VLOOKUP(K154,Prices,HLOOKUP(F154,Column,2))</f>
        <v/>
      </c>
      <c r="T154" s="69" t="n">
        <f aca="false">IF(S154=0,VLOOKUP(K154,FWD_Prices,HLOOKUP(F154,Column,2)),0)</f>
        <v>0</v>
      </c>
      <c r="V154" s="70" t="e">
        <f aca="false">IF(H154="Swap",S154-N154,IF(H154="Call",MAX(S154-N154,0),IF(H154="Put",MAX(N154-S154,0),"Error on Structure")))*IF(G154="Buy",1,IF(G154="Sell",-1,"Error on Buy/Sell"))*L154*IF(S154=0,0,1)</f>
        <v>#VALUE!</v>
      </c>
      <c r="W154" s="70" t="n">
        <f aca="false">IF(H154="Swap",T154-N154,IF(H154="Call",MAX(T154-N154,0),IF(H154="Put",MAX(N154-T154,0),"Error on Structure")))*IF(G154="Buy",1,IF(G154="Sell",-1,"Error on Buy/Sell"))*L154*IF(T154=0,0,1)</f>
        <v>-0</v>
      </c>
      <c r="X154" s="71" t="e">
        <f aca="false">SUM(V154:W154)</f>
        <v>#VALUE!</v>
      </c>
      <c r="AA154" s="12" t="s">
        <v>107</v>
      </c>
      <c r="AC154" s="10" t="s">
        <v>94</v>
      </c>
    </row>
    <row r="155" customFormat="false" ht="12.75" hidden="false" customHeight="false" outlineLevel="0" collapsed="false">
      <c r="A155" s="10" t="n">
        <v>16</v>
      </c>
      <c r="B155" s="10" t="s">
        <v>53</v>
      </c>
      <c r="C155" s="62" t="n">
        <v>36963</v>
      </c>
      <c r="D155" s="12" t="s">
        <v>54</v>
      </c>
      <c r="E155" s="12" t="s">
        <v>89</v>
      </c>
      <c r="F155" s="12" t="s">
        <v>90</v>
      </c>
      <c r="G155" s="10" t="s">
        <v>97</v>
      </c>
      <c r="H155" s="12" t="s">
        <v>101</v>
      </c>
      <c r="I155" s="63" t="n">
        <v>0</v>
      </c>
      <c r="J155" s="64" t="n">
        <f aca="false">+I155*L155</f>
        <v>0</v>
      </c>
      <c r="K155" s="85" t="n">
        <v>37196</v>
      </c>
      <c r="L155" s="13" t="n">
        <v>383000</v>
      </c>
      <c r="M155" s="38" t="s">
        <v>8</v>
      </c>
      <c r="N155" s="86" t="n">
        <v>4</v>
      </c>
      <c r="O155" s="66" t="n">
        <f aca="false">L155*N155</f>
        <v>1532000</v>
      </c>
      <c r="P155" s="67" t="n">
        <v>0.025</v>
      </c>
      <c r="Q155" s="68" t="n">
        <f aca="false">P155*L155</f>
        <v>9575</v>
      </c>
      <c r="S155" s="69" t="str">
        <f aca="false">VLOOKUP(K155,Prices,HLOOKUP(F155,Column,2))</f>
        <v/>
      </c>
      <c r="T155" s="69" t="n">
        <f aca="false">IF(S155=0,VLOOKUP(K155,FWD_Prices,HLOOKUP(F155,Column,2)),0)</f>
        <v>0</v>
      </c>
      <c r="V155" s="70" t="e">
        <f aca="false">IF(H155="Swap",S155-N155,IF(H155="Call",MAX(S155-N155,0),IF(H155="Put",MAX(N155-S155,0),"Error on Structure")))*IF(G155="Buy",1,IF(G155="Sell",-1,"Error on Buy/Sell"))*L155*IF(S155=0,0,1)</f>
        <v>#VALUE!</v>
      </c>
      <c r="W155" s="70" t="n">
        <f aca="false">IF(H155="Swap",T155-N155,IF(H155="Call",MAX(T155-N155,0),IF(H155="Put",MAX(N155-T155,0),"Error on Structure")))*IF(G155="Buy",1,IF(G155="Sell",-1,"Error on Buy/Sell"))*L155*IF(T155=0,0,1)</f>
        <v>-0</v>
      </c>
      <c r="X155" s="71" t="e">
        <f aca="false">SUM(V155:W155)</f>
        <v>#VALUE!</v>
      </c>
      <c r="AA155" s="12" t="s">
        <v>107</v>
      </c>
      <c r="AC155" s="10" t="s">
        <v>94</v>
      </c>
    </row>
    <row r="156" customFormat="false" ht="12.75" hidden="false" customHeight="false" outlineLevel="0" collapsed="false">
      <c r="A156" s="10" t="n">
        <v>16</v>
      </c>
      <c r="B156" s="10" t="s">
        <v>53</v>
      </c>
      <c r="C156" s="62" t="n">
        <v>36963</v>
      </c>
      <c r="D156" s="12" t="s">
        <v>54</v>
      </c>
      <c r="E156" s="12" t="s">
        <v>89</v>
      </c>
      <c r="F156" s="12" t="s">
        <v>90</v>
      </c>
      <c r="G156" s="10" t="s">
        <v>97</v>
      </c>
      <c r="H156" s="12" t="s">
        <v>101</v>
      </c>
      <c r="I156" s="63" t="n">
        <v>0</v>
      </c>
      <c r="J156" s="64" t="n">
        <f aca="false">+I156*L156</f>
        <v>0</v>
      </c>
      <c r="K156" s="85" t="n">
        <v>37226</v>
      </c>
      <c r="L156" s="13" t="n">
        <v>383000</v>
      </c>
      <c r="M156" s="38" t="s">
        <v>8</v>
      </c>
      <c r="N156" s="86" t="n">
        <v>4</v>
      </c>
      <c r="O156" s="66" t="n">
        <f aca="false">L156*N156</f>
        <v>1532000</v>
      </c>
      <c r="P156" s="67" t="n">
        <v>0.025</v>
      </c>
      <c r="Q156" s="68" t="n">
        <f aca="false">P156*L156</f>
        <v>9575</v>
      </c>
      <c r="S156" s="69" t="str">
        <f aca="false">VLOOKUP(K156,Prices,HLOOKUP(F156,Column,2))</f>
        <v/>
      </c>
      <c r="T156" s="69" t="n">
        <f aca="false">IF(S156=0,VLOOKUP(K156,FWD_Prices,HLOOKUP(F156,Column,2)),0)</f>
        <v>0</v>
      </c>
      <c r="V156" s="70" t="e">
        <f aca="false">IF(H156="Swap",S156-N156,IF(H156="Call",MAX(S156-N156,0),IF(H156="Put",MAX(N156-S156,0),"Error on Structure")))*IF(G156="Buy",1,IF(G156="Sell",-1,"Error on Buy/Sell"))*L156*IF(S156=0,0,1)</f>
        <v>#VALUE!</v>
      </c>
      <c r="W156" s="70" t="n">
        <f aca="false">IF(H156="Swap",T156-N156,IF(H156="Call",MAX(T156-N156,0),IF(H156="Put",MAX(N156-T156,0),"Error on Structure")))*IF(G156="Buy",1,IF(G156="Sell",-1,"Error on Buy/Sell"))*L156*IF(T156=0,0,1)</f>
        <v>-0</v>
      </c>
      <c r="X156" s="71" t="e">
        <f aca="false">SUM(V156:W156)</f>
        <v>#VALUE!</v>
      </c>
      <c r="AA156" s="12" t="s">
        <v>107</v>
      </c>
      <c r="AC156" s="10" t="s">
        <v>94</v>
      </c>
    </row>
    <row r="157" customFormat="false" ht="12.75" hidden="false" customHeight="false" outlineLevel="0" collapsed="false">
      <c r="A157" s="10" t="n">
        <v>16</v>
      </c>
      <c r="B157" s="10" t="s">
        <v>53</v>
      </c>
      <c r="C157" s="62" t="n">
        <v>36963</v>
      </c>
      <c r="D157" s="12" t="s">
        <v>54</v>
      </c>
      <c r="E157" s="12" t="s">
        <v>89</v>
      </c>
      <c r="F157" s="12" t="s">
        <v>90</v>
      </c>
      <c r="G157" s="10" t="s">
        <v>97</v>
      </c>
      <c r="H157" s="12" t="s">
        <v>101</v>
      </c>
      <c r="I157" s="63" t="n">
        <v>0</v>
      </c>
      <c r="J157" s="64" t="n">
        <f aca="false">+I157*L157</f>
        <v>0</v>
      </c>
      <c r="K157" s="85" t="n">
        <v>37257</v>
      </c>
      <c r="L157" s="13" t="n">
        <v>383000</v>
      </c>
      <c r="M157" s="38" t="s">
        <v>8</v>
      </c>
      <c r="N157" s="86" t="n">
        <v>4</v>
      </c>
      <c r="O157" s="66" t="n">
        <f aca="false">L157*N157</f>
        <v>1532000</v>
      </c>
      <c r="P157" s="67" t="n">
        <v>0.025</v>
      </c>
      <c r="Q157" s="68" t="n">
        <f aca="false">P157*L157</f>
        <v>9575</v>
      </c>
      <c r="S157" s="69" t="str">
        <f aca="false">VLOOKUP(K157,Prices,HLOOKUP(F157,Column,2))</f>
        <v/>
      </c>
      <c r="T157" s="69" t="n">
        <f aca="false">IF(S157=0,VLOOKUP(K157,FWD_Prices,HLOOKUP(F157,Column,2)),0)</f>
        <v>0</v>
      </c>
      <c r="V157" s="70" t="e">
        <f aca="false">IF(H157="Swap",S157-N157,IF(H157="Call",MAX(S157-N157,0),IF(H157="Put",MAX(N157-S157,0),"Error on Structure")))*IF(G157="Buy",1,IF(G157="Sell",-1,"Error on Buy/Sell"))*L157*IF(S157=0,0,1)</f>
        <v>#VALUE!</v>
      </c>
      <c r="W157" s="70" t="n">
        <f aca="false">IF(H157="Swap",T157-N157,IF(H157="Call",MAX(T157-N157,0),IF(H157="Put",MAX(N157-T157,0),"Error on Structure")))*IF(G157="Buy",1,IF(G157="Sell",-1,"Error on Buy/Sell"))*L157*IF(T157=0,0,1)</f>
        <v>-0</v>
      </c>
      <c r="X157" s="71" t="e">
        <f aca="false">SUM(V157:W157)</f>
        <v>#VALUE!</v>
      </c>
      <c r="AA157" s="12" t="s">
        <v>107</v>
      </c>
      <c r="AC157" s="10" t="s">
        <v>94</v>
      </c>
    </row>
    <row r="158" customFormat="false" ht="12.75" hidden="false" customHeight="false" outlineLevel="0" collapsed="false">
      <c r="A158" s="10" t="n">
        <v>16</v>
      </c>
      <c r="B158" s="10" t="s">
        <v>53</v>
      </c>
      <c r="C158" s="62" t="n">
        <v>36963</v>
      </c>
      <c r="D158" s="12" t="s">
        <v>54</v>
      </c>
      <c r="E158" s="12" t="s">
        <v>89</v>
      </c>
      <c r="F158" s="12" t="s">
        <v>90</v>
      </c>
      <c r="G158" s="10" t="s">
        <v>97</v>
      </c>
      <c r="H158" s="12" t="s">
        <v>101</v>
      </c>
      <c r="I158" s="63" t="n">
        <v>0</v>
      </c>
      <c r="J158" s="64" t="n">
        <f aca="false">+I158*L158</f>
        <v>0</v>
      </c>
      <c r="K158" s="85" t="n">
        <v>37288</v>
      </c>
      <c r="L158" s="13" t="n">
        <v>383000</v>
      </c>
      <c r="M158" s="38" t="s">
        <v>8</v>
      </c>
      <c r="N158" s="86" t="n">
        <v>4</v>
      </c>
      <c r="O158" s="66" t="n">
        <f aca="false">L158*N158</f>
        <v>1532000</v>
      </c>
      <c r="P158" s="67" t="n">
        <v>0.025</v>
      </c>
      <c r="Q158" s="68" t="n">
        <f aca="false">P158*L158</f>
        <v>9575</v>
      </c>
      <c r="S158" s="69" t="str">
        <f aca="false">VLOOKUP(K158,Prices,HLOOKUP(F158,Column,2))</f>
        <v/>
      </c>
      <c r="T158" s="69" t="n">
        <f aca="false">IF(S158=0,VLOOKUP(K158,FWD_Prices,HLOOKUP(F158,Column,2)),0)</f>
        <v>0</v>
      </c>
      <c r="V158" s="70" t="e">
        <f aca="false">IF(H158="Swap",S158-N158,IF(H158="Call",MAX(S158-N158,0),IF(H158="Put",MAX(N158-S158,0),"Error on Structure")))*IF(G158="Buy",1,IF(G158="Sell",-1,"Error on Buy/Sell"))*L158*IF(S158=0,0,1)</f>
        <v>#VALUE!</v>
      </c>
      <c r="W158" s="70" t="n">
        <f aca="false">IF(H158="Swap",T158-N158,IF(H158="Call",MAX(T158-N158,0),IF(H158="Put",MAX(N158-T158,0),"Error on Structure")))*IF(G158="Buy",1,IF(G158="Sell",-1,"Error on Buy/Sell"))*L158*IF(T158=0,0,1)</f>
        <v>-0</v>
      </c>
      <c r="X158" s="71" t="e">
        <f aca="false">SUM(V158:W158)</f>
        <v>#VALUE!</v>
      </c>
      <c r="AA158" s="12" t="s">
        <v>107</v>
      </c>
      <c r="AC158" s="10" t="s">
        <v>94</v>
      </c>
    </row>
    <row r="159" customFormat="false" ht="12.75" hidden="false" customHeight="false" outlineLevel="0" collapsed="false">
      <c r="A159" s="10" t="n">
        <v>16</v>
      </c>
      <c r="B159" s="10" t="s">
        <v>53</v>
      </c>
      <c r="C159" s="62" t="n">
        <v>36963</v>
      </c>
      <c r="D159" s="12" t="s">
        <v>54</v>
      </c>
      <c r="E159" s="12" t="s">
        <v>89</v>
      </c>
      <c r="F159" s="12" t="s">
        <v>90</v>
      </c>
      <c r="G159" s="10" t="s">
        <v>97</v>
      </c>
      <c r="H159" s="12" t="s">
        <v>101</v>
      </c>
      <c r="I159" s="63" t="n">
        <v>0</v>
      </c>
      <c r="J159" s="64" t="n">
        <f aca="false">+I159*L159</f>
        <v>0</v>
      </c>
      <c r="K159" s="85" t="n">
        <v>37316</v>
      </c>
      <c r="L159" s="13" t="n">
        <v>383000</v>
      </c>
      <c r="M159" s="38" t="s">
        <v>8</v>
      </c>
      <c r="N159" s="86" t="n">
        <v>4</v>
      </c>
      <c r="O159" s="66" t="n">
        <f aca="false">L159*N159</f>
        <v>1532000</v>
      </c>
      <c r="P159" s="67" t="n">
        <v>0.025</v>
      </c>
      <c r="Q159" s="68" t="n">
        <f aca="false">P159*L159</f>
        <v>9575</v>
      </c>
      <c r="S159" s="69" t="str">
        <f aca="false">VLOOKUP(K159,Prices,HLOOKUP(F159,Column,2))</f>
        <v/>
      </c>
      <c r="T159" s="69" t="n">
        <f aca="false">IF(S159=0,VLOOKUP(K159,FWD_Prices,HLOOKUP(F159,Column,2)),0)</f>
        <v>0</v>
      </c>
      <c r="V159" s="70" t="e">
        <f aca="false">IF(H159="Swap",S159-N159,IF(H159="Call",MAX(S159-N159,0),IF(H159="Put",MAX(N159-S159,0),"Error on Structure")))*IF(G159="Buy",1,IF(G159="Sell",-1,"Error on Buy/Sell"))*L159*IF(S159=0,0,1)</f>
        <v>#VALUE!</v>
      </c>
      <c r="W159" s="70" t="n">
        <f aca="false">IF(H159="Swap",T159-N159,IF(H159="Call",MAX(T159-N159,0),IF(H159="Put",MAX(N159-T159,0),"Error on Structure")))*IF(G159="Buy",1,IF(G159="Sell",-1,"Error on Buy/Sell"))*L159*IF(T159=0,0,1)</f>
        <v>-0</v>
      </c>
      <c r="X159" s="71" t="e">
        <f aca="false">SUM(V159:W159)</f>
        <v>#VALUE!</v>
      </c>
      <c r="AA159" s="12" t="s">
        <v>107</v>
      </c>
      <c r="AC159" s="10" t="s">
        <v>94</v>
      </c>
    </row>
    <row r="160" customFormat="false" ht="12.75" hidden="false" customHeight="false" outlineLevel="0" collapsed="false">
      <c r="A160" s="10" t="n">
        <v>16</v>
      </c>
      <c r="B160" s="10" t="s">
        <v>53</v>
      </c>
      <c r="C160" s="62" t="n">
        <v>36963</v>
      </c>
      <c r="D160" s="12" t="s">
        <v>54</v>
      </c>
      <c r="E160" s="12" t="s">
        <v>89</v>
      </c>
      <c r="F160" s="12" t="s">
        <v>90</v>
      </c>
      <c r="G160" s="10" t="s">
        <v>97</v>
      </c>
      <c r="H160" s="12" t="s">
        <v>101</v>
      </c>
      <c r="I160" s="63" t="n">
        <v>0</v>
      </c>
      <c r="J160" s="64" t="n">
        <f aca="false">+I160*L160</f>
        <v>0</v>
      </c>
      <c r="K160" s="85" t="n">
        <v>37347</v>
      </c>
      <c r="L160" s="13" t="n">
        <v>383000</v>
      </c>
      <c r="M160" s="38" t="s">
        <v>8</v>
      </c>
      <c r="N160" s="86" t="n">
        <v>4</v>
      </c>
      <c r="O160" s="66" t="n">
        <f aca="false">L160*N160</f>
        <v>1532000</v>
      </c>
      <c r="P160" s="67" t="n">
        <v>0.025</v>
      </c>
      <c r="Q160" s="68" t="n">
        <f aca="false">P160*L160</f>
        <v>9575</v>
      </c>
      <c r="S160" s="69" t="str">
        <f aca="false">VLOOKUP(K160,Prices,HLOOKUP(F160,Column,2))</f>
        <v/>
      </c>
      <c r="T160" s="69" t="n">
        <f aca="false">IF(S160=0,VLOOKUP(K160,FWD_Prices,HLOOKUP(F160,Column,2)),0)</f>
        <v>0</v>
      </c>
      <c r="V160" s="70" t="e">
        <f aca="false">IF(H160="Swap",S160-N160,IF(H160="Call",MAX(S160-N160,0),IF(H160="Put",MAX(N160-S160,0),"Error on Structure")))*IF(G160="Buy",1,IF(G160="Sell",-1,"Error on Buy/Sell"))*L160*IF(S160=0,0,1)</f>
        <v>#VALUE!</v>
      </c>
      <c r="W160" s="70" t="n">
        <f aca="false">IF(H160="Swap",T160-N160,IF(H160="Call",MAX(T160-N160,0),IF(H160="Put",MAX(N160-T160,0),"Error on Structure")))*IF(G160="Buy",1,IF(G160="Sell",-1,"Error on Buy/Sell"))*L160*IF(T160=0,0,1)</f>
        <v>-0</v>
      </c>
      <c r="X160" s="71" t="e">
        <f aca="false">SUM(V160:W160)</f>
        <v>#VALUE!</v>
      </c>
      <c r="AA160" s="12" t="s">
        <v>107</v>
      </c>
      <c r="AC160" s="10" t="s">
        <v>94</v>
      </c>
    </row>
    <row r="161" customFormat="false" ht="12.75" hidden="false" customHeight="false" outlineLevel="0" collapsed="false">
      <c r="A161" s="10" t="n">
        <v>16</v>
      </c>
      <c r="B161" s="10" t="s">
        <v>53</v>
      </c>
      <c r="C161" s="62" t="n">
        <v>36963</v>
      </c>
      <c r="D161" s="12" t="s">
        <v>54</v>
      </c>
      <c r="E161" s="12" t="s">
        <v>89</v>
      </c>
      <c r="F161" s="12" t="s">
        <v>90</v>
      </c>
      <c r="G161" s="10" t="s">
        <v>97</v>
      </c>
      <c r="H161" s="12" t="s">
        <v>101</v>
      </c>
      <c r="I161" s="63" t="n">
        <v>0</v>
      </c>
      <c r="J161" s="64" t="n">
        <f aca="false">+I161*L161</f>
        <v>0</v>
      </c>
      <c r="K161" s="85" t="n">
        <v>37377</v>
      </c>
      <c r="L161" s="13" t="n">
        <v>383000</v>
      </c>
      <c r="M161" s="38" t="s">
        <v>8</v>
      </c>
      <c r="N161" s="86" t="n">
        <v>4</v>
      </c>
      <c r="O161" s="66" t="n">
        <f aca="false">L161*N161</f>
        <v>1532000</v>
      </c>
      <c r="P161" s="67" t="n">
        <v>0.025</v>
      </c>
      <c r="Q161" s="68" t="n">
        <f aca="false">P161*L161</f>
        <v>9575</v>
      </c>
      <c r="S161" s="69" t="str">
        <f aca="false">VLOOKUP(K161,Prices,HLOOKUP(F161,Column,2))</f>
        <v/>
      </c>
      <c r="T161" s="69" t="n">
        <f aca="false">IF(S161=0,VLOOKUP(K161,FWD_Prices,HLOOKUP(F161,Column,2)),0)</f>
        <v>0</v>
      </c>
      <c r="V161" s="70" t="e">
        <f aca="false">IF(H161="Swap",S161-N161,IF(H161="Call",MAX(S161-N161,0),IF(H161="Put",MAX(N161-S161,0),"Error on Structure")))*IF(G161="Buy",1,IF(G161="Sell",-1,"Error on Buy/Sell"))*L161*IF(S161=0,0,1)</f>
        <v>#VALUE!</v>
      </c>
      <c r="W161" s="70" t="n">
        <f aca="false">IF(H161="Swap",T161-N161,IF(H161="Call",MAX(T161-N161,0),IF(H161="Put",MAX(N161-T161,0),"Error on Structure")))*IF(G161="Buy",1,IF(G161="Sell",-1,"Error on Buy/Sell"))*L161*IF(T161=0,0,1)</f>
        <v>-0</v>
      </c>
      <c r="X161" s="71" t="e">
        <f aca="false">SUM(V161:W161)</f>
        <v>#VALUE!</v>
      </c>
      <c r="AA161" s="12" t="s">
        <v>107</v>
      </c>
      <c r="AC161" s="10" t="s">
        <v>94</v>
      </c>
    </row>
    <row r="162" customFormat="false" ht="12.75" hidden="false" customHeight="false" outlineLevel="0" collapsed="false">
      <c r="A162" s="10" t="n">
        <v>16</v>
      </c>
      <c r="B162" s="10" t="s">
        <v>53</v>
      </c>
      <c r="C162" s="62" t="n">
        <v>36963</v>
      </c>
      <c r="D162" s="12" t="s">
        <v>54</v>
      </c>
      <c r="E162" s="12" t="s">
        <v>89</v>
      </c>
      <c r="F162" s="12" t="s">
        <v>90</v>
      </c>
      <c r="G162" s="10" t="s">
        <v>97</v>
      </c>
      <c r="H162" s="12" t="s">
        <v>101</v>
      </c>
      <c r="I162" s="63" t="n">
        <v>0</v>
      </c>
      <c r="J162" s="64" t="n">
        <f aca="false">+I162*L162</f>
        <v>0</v>
      </c>
      <c r="K162" s="85" t="n">
        <v>37408</v>
      </c>
      <c r="L162" s="13" t="n">
        <v>383000</v>
      </c>
      <c r="M162" s="38" t="s">
        <v>8</v>
      </c>
      <c r="N162" s="86" t="n">
        <v>4</v>
      </c>
      <c r="O162" s="66" t="n">
        <f aca="false">L162*N162</f>
        <v>1532000</v>
      </c>
      <c r="P162" s="67" t="n">
        <v>0.025</v>
      </c>
      <c r="Q162" s="68" t="n">
        <f aca="false">P162*L162</f>
        <v>9575</v>
      </c>
      <c r="S162" s="69" t="str">
        <f aca="false">VLOOKUP(K162,Prices,HLOOKUP(F162,Column,2))</f>
        <v/>
      </c>
      <c r="T162" s="69" t="n">
        <f aca="false">IF(S162=0,VLOOKUP(K162,FWD_Prices,HLOOKUP(F162,Column,2)),0)</f>
        <v>0</v>
      </c>
      <c r="V162" s="70" t="e">
        <f aca="false">IF(H162="Swap",S162-N162,IF(H162="Call",MAX(S162-N162,0),IF(H162="Put",MAX(N162-S162,0),"Error on Structure")))*IF(G162="Buy",1,IF(G162="Sell",-1,"Error on Buy/Sell"))*L162*IF(S162=0,0,1)</f>
        <v>#VALUE!</v>
      </c>
      <c r="W162" s="70" t="n">
        <f aca="false">IF(H162="Swap",T162-N162,IF(H162="Call",MAX(T162-N162,0),IF(H162="Put",MAX(N162-T162,0),"Error on Structure")))*IF(G162="Buy",1,IF(G162="Sell",-1,"Error on Buy/Sell"))*L162*IF(T162=0,0,1)</f>
        <v>-0</v>
      </c>
      <c r="X162" s="71" t="e">
        <f aca="false">SUM(V162:W162)</f>
        <v>#VALUE!</v>
      </c>
      <c r="AA162" s="12" t="s">
        <v>107</v>
      </c>
      <c r="AC162" s="10" t="s">
        <v>94</v>
      </c>
    </row>
    <row r="163" customFormat="false" ht="12.75" hidden="false" customHeight="false" outlineLevel="0" collapsed="false">
      <c r="A163" s="10" t="n">
        <v>16</v>
      </c>
      <c r="B163" s="10" t="s">
        <v>53</v>
      </c>
      <c r="C163" s="62" t="n">
        <v>36963</v>
      </c>
      <c r="D163" s="12" t="s">
        <v>54</v>
      </c>
      <c r="E163" s="12" t="s">
        <v>89</v>
      </c>
      <c r="F163" s="12" t="s">
        <v>90</v>
      </c>
      <c r="G163" s="10" t="s">
        <v>97</v>
      </c>
      <c r="H163" s="12" t="s">
        <v>101</v>
      </c>
      <c r="I163" s="63" t="n">
        <v>0</v>
      </c>
      <c r="J163" s="64" t="n">
        <f aca="false">+I163*L163</f>
        <v>0</v>
      </c>
      <c r="K163" s="85" t="n">
        <v>37438</v>
      </c>
      <c r="L163" s="13" t="n">
        <v>383000</v>
      </c>
      <c r="M163" s="38" t="s">
        <v>8</v>
      </c>
      <c r="N163" s="86" t="n">
        <v>4</v>
      </c>
      <c r="O163" s="66" t="n">
        <f aca="false">L163*N163</f>
        <v>1532000</v>
      </c>
      <c r="P163" s="67" t="n">
        <v>0.025</v>
      </c>
      <c r="Q163" s="68" t="n">
        <f aca="false">P163*L163</f>
        <v>9575</v>
      </c>
      <c r="S163" s="69" t="str">
        <f aca="false">VLOOKUP(K163,Prices,HLOOKUP(F163,Column,2))</f>
        <v/>
      </c>
      <c r="T163" s="69" t="n">
        <f aca="false">IF(S163=0,VLOOKUP(K163,FWD_Prices,HLOOKUP(F163,Column,2)),0)</f>
        <v>0</v>
      </c>
      <c r="V163" s="70" t="e">
        <f aca="false">IF(H163="Swap",S163-N163,IF(H163="Call",MAX(S163-N163,0),IF(H163="Put",MAX(N163-S163,0),"Error on Structure")))*IF(G163="Buy",1,IF(G163="Sell",-1,"Error on Buy/Sell"))*L163*IF(S163=0,0,1)</f>
        <v>#VALUE!</v>
      </c>
      <c r="W163" s="70" t="n">
        <f aca="false">IF(H163="Swap",T163-N163,IF(H163="Call",MAX(T163-N163,0),IF(H163="Put",MAX(N163-T163,0),"Error on Structure")))*IF(G163="Buy",1,IF(G163="Sell",-1,"Error on Buy/Sell"))*L163*IF(T163=0,0,1)</f>
        <v>-0</v>
      </c>
      <c r="X163" s="71" t="e">
        <f aca="false">SUM(V163:W163)</f>
        <v>#VALUE!</v>
      </c>
      <c r="AA163" s="12" t="s">
        <v>107</v>
      </c>
      <c r="AC163" s="10" t="s">
        <v>94</v>
      </c>
    </row>
    <row r="164" customFormat="false" ht="12.75" hidden="false" customHeight="false" outlineLevel="0" collapsed="false">
      <c r="A164" s="10" t="n">
        <v>16</v>
      </c>
      <c r="B164" s="10" t="s">
        <v>53</v>
      </c>
      <c r="C164" s="62" t="n">
        <v>36963</v>
      </c>
      <c r="D164" s="12" t="s">
        <v>54</v>
      </c>
      <c r="E164" s="12" t="s">
        <v>89</v>
      </c>
      <c r="F164" s="12" t="s">
        <v>90</v>
      </c>
      <c r="G164" s="10" t="s">
        <v>97</v>
      </c>
      <c r="H164" s="12" t="s">
        <v>101</v>
      </c>
      <c r="I164" s="63" t="n">
        <v>0</v>
      </c>
      <c r="J164" s="64" t="n">
        <f aca="false">+I164*L164</f>
        <v>0</v>
      </c>
      <c r="K164" s="85" t="n">
        <v>37469</v>
      </c>
      <c r="L164" s="13" t="n">
        <v>383000</v>
      </c>
      <c r="M164" s="38" t="s">
        <v>8</v>
      </c>
      <c r="N164" s="86" t="n">
        <v>4</v>
      </c>
      <c r="O164" s="66" t="n">
        <f aca="false">L164*N164</f>
        <v>1532000</v>
      </c>
      <c r="P164" s="67" t="n">
        <v>0.025</v>
      </c>
      <c r="Q164" s="68" t="n">
        <f aca="false">P164*L164</f>
        <v>9575</v>
      </c>
      <c r="S164" s="69" t="str">
        <f aca="false">VLOOKUP(K164,Prices,HLOOKUP(F164,Column,2))</f>
        <v/>
      </c>
      <c r="T164" s="69" t="n">
        <f aca="false">IF(S164=0,VLOOKUP(K164,FWD_Prices,HLOOKUP(F164,Column,2)),0)</f>
        <v>0</v>
      </c>
      <c r="V164" s="70" t="e">
        <f aca="false">IF(H164="Swap",S164-N164,IF(H164="Call",MAX(S164-N164,0),IF(H164="Put",MAX(N164-S164,0),"Error on Structure")))*IF(G164="Buy",1,IF(G164="Sell",-1,"Error on Buy/Sell"))*L164*IF(S164=0,0,1)</f>
        <v>#VALUE!</v>
      </c>
      <c r="W164" s="70" t="n">
        <f aca="false">IF(H164="Swap",T164-N164,IF(H164="Call",MAX(T164-N164,0),IF(H164="Put",MAX(N164-T164,0),"Error on Structure")))*IF(G164="Buy",1,IF(G164="Sell",-1,"Error on Buy/Sell"))*L164*IF(T164=0,0,1)</f>
        <v>-0</v>
      </c>
      <c r="X164" s="71" t="e">
        <f aca="false">SUM(V164:W164)</f>
        <v>#VALUE!</v>
      </c>
      <c r="AA164" s="12" t="s">
        <v>107</v>
      </c>
      <c r="AC164" s="10" t="s">
        <v>94</v>
      </c>
    </row>
    <row r="165" customFormat="false" ht="12.75" hidden="false" customHeight="false" outlineLevel="0" collapsed="false">
      <c r="A165" s="10" t="n">
        <v>16</v>
      </c>
      <c r="B165" s="10" t="s">
        <v>53</v>
      </c>
      <c r="C165" s="62" t="n">
        <v>36963</v>
      </c>
      <c r="D165" s="12" t="s">
        <v>54</v>
      </c>
      <c r="E165" s="12" t="s">
        <v>89</v>
      </c>
      <c r="F165" s="12" t="s">
        <v>90</v>
      </c>
      <c r="G165" s="10" t="s">
        <v>97</v>
      </c>
      <c r="H165" s="12" t="s">
        <v>101</v>
      </c>
      <c r="I165" s="63" t="n">
        <v>0</v>
      </c>
      <c r="J165" s="64" t="n">
        <f aca="false">+I165*L165</f>
        <v>0</v>
      </c>
      <c r="K165" s="85" t="n">
        <v>37500</v>
      </c>
      <c r="L165" s="13" t="n">
        <v>383000</v>
      </c>
      <c r="M165" s="38" t="s">
        <v>8</v>
      </c>
      <c r="N165" s="86" t="n">
        <v>4</v>
      </c>
      <c r="O165" s="66" t="n">
        <f aca="false">L165*N165</f>
        <v>1532000</v>
      </c>
      <c r="P165" s="67" t="n">
        <v>0.025</v>
      </c>
      <c r="Q165" s="68" t="n">
        <f aca="false">P165*L165</f>
        <v>9575</v>
      </c>
      <c r="S165" s="69" t="str">
        <f aca="false">VLOOKUP(K165,Prices,HLOOKUP(F165,Column,2))</f>
        <v/>
      </c>
      <c r="T165" s="69" t="n">
        <f aca="false">IF(S165=0,VLOOKUP(K165,FWD_Prices,HLOOKUP(F165,Column,2)),0)</f>
        <v>0</v>
      </c>
      <c r="V165" s="70" t="e">
        <f aca="false">IF(H165="Swap",S165-N165,IF(H165="Call",MAX(S165-N165,0),IF(H165="Put",MAX(N165-S165,0),"Error on Structure")))*IF(G165="Buy",1,IF(G165="Sell",-1,"Error on Buy/Sell"))*L165*IF(S165=0,0,1)</f>
        <v>#VALUE!</v>
      </c>
      <c r="W165" s="70" t="n">
        <f aca="false">IF(H165="Swap",T165-N165,IF(H165="Call",MAX(T165-N165,0),IF(H165="Put",MAX(N165-T165,0),"Error on Structure")))*IF(G165="Buy",1,IF(G165="Sell",-1,"Error on Buy/Sell"))*L165*IF(T165=0,0,1)</f>
        <v>-0</v>
      </c>
      <c r="X165" s="71" t="e">
        <f aca="false">SUM(V165:W165)</f>
        <v>#VALUE!</v>
      </c>
      <c r="AA165" s="12" t="s">
        <v>107</v>
      </c>
      <c r="AC165" s="10" t="s">
        <v>94</v>
      </c>
    </row>
    <row r="166" customFormat="false" ht="12.75" hidden="false" customHeight="false" outlineLevel="0" collapsed="false">
      <c r="A166" s="10" t="n">
        <v>16</v>
      </c>
      <c r="B166" s="10" t="s">
        <v>53</v>
      </c>
      <c r="C166" s="62" t="n">
        <v>36963</v>
      </c>
      <c r="D166" s="12" t="s">
        <v>54</v>
      </c>
      <c r="E166" s="12" t="s">
        <v>89</v>
      </c>
      <c r="F166" s="12" t="s">
        <v>90</v>
      </c>
      <c r="G166" s="10" t="s">
        <v>97</v>
      </c>
      <c r="H166" s="12" t="s">
        <v>101</v>
      </c>
      <c r="I166" s="63" t="n">
        <v>0</v>
      </c>
      <c r="J166" s="64" t="n">
        <f aca="false">+I166*L166</f>
        <v>0</v>
      </c>
      <c r="K166" s="85" t="n">
        <v>37530</v>
      </c>
      <c r="L166" s="13" t="n">
        <v>383000</v>
      </c>
      <c r="M166" s="38" t="s">
        <v>8</v>
      </c>
      <c r="N166" s="86" t="n">
        <v>4</v>
      </c>
      <c r="O166" s="66" t="n">
        <f aca="false">L166*N166</f>
        <v>1532000</v>
      </c>
      <c r="P166" s="67" t="n">
        <v>0.025</v>
      </c>
      <c r="Q166" s="68" t="n">
        <f aca="false">P166*L166</f>
        <v>9575</v>
      </c>
      <c r="S166" s="69" t="str">
        <f aca="false">VLOOKUP(K166,Prices,HLOOKUP(F166,Column,2))</f>
        <v/>
      </c>
      <c r="T166" s="69" t="n">
        <f aca="false">IF(S166=0,VLOOKUP(K166,FWD_Prices,HLOOKUP(F166,Column,2)),0)</f>
        <v>0</v>
      </c>
      <c r="V166" s="70" t="e">
        <f aca="false">IF(H166="Swap",S166-N166,IF(H166="Call",MAX(S166-N166,0),IF(H166="Put",MAX(N166-S166,0),"Error on Structure")))*IF(G166="Buy",1,IF(G166="Sell",-1,"Error on Buy/Sell"))*L166*IF(S166=0,0,1)</f>
        <v>#VALUE!</v>
      </c>
      <c r="W166" s="70" t="n">
        <f aca="false">IF(H166="Swap",T166-N166,IF(H166="Call",MAX(T166-N166,0),IF(H166="Put",MAX(N166-T166,0),"Error on Structure")))*IF(G166="Buy",1,IF(G166="Sell",-1,"Error on Buy/Sell"))*L166*IF(T166=0,0,1)</f>
        <v>-0</v>
      </c>
      <c r="X166" s="71" t="e">
        <f aca="false">SUM(V166:W166)</f>
        <v>#VALUE!</v>
      </c>
      <c r="AA166" s="12" t="s">
        <v>107</v>
      </c>
      <c r="AC166" s="10" t="s">
        <v>94</v>
      </c>
    </row>
    <row r="167" customFormat="false" ht="12.75" hidden="false" customHeight="false" outlineLevel="0" collapsed="false">
      <c r="A167" s="10" t="n">
        <v>16</v>
      </c>
      <c r="B167" s="10" t="s">
        <v>53</v>
      </c>
      <c r="C167" s="62" t="n">
        <v>36963</v>
      </c>
      <c r="D167" s="12" t="s">
        <v>54</v>
      </c>
      <c r="E167" s="12" t="s">
        <v>89</v>
      </c>
      <c r="F167" s="12" t="s">
        <v>90</v>
      </c>
      <c r="G167" s="10" t="s">
        <v>97</v>
      </c>
      <c r="H167" s="12" t="s">
        <v>101</v>
      </c>
      <c r="I167" s="63" t="n">
        <v>0</v>
      </c>
      <c r="J167" s="64" t="n">
        <f aca="false">+I167*L167</f>
        <v>0</v>
      </c>
      <c r="K167" s="85" t="n">
        <v>37561</v>
      </c>
      <c r="L167" s="13" t="n">
        <v>383000</v>
      </c>
      <c r="M167" s="38" t="s">
        <v>8</v>
      </c>
      <c r="N167" s="86" t="n">
        <v>4</v>
      </c>
      <c r="O167" s="66" t="n">
        <f aca="false">L167*N167</f>
        <v>1532000</v>
      </c>
      <c r="P167" s="67" t="n">
        <v>0.025</v>
      </c>
      <c r="Q167" s="68" t="n">
        <f aca="false">P167*L167</f>
        <v>9575</v>
      </c>
      <c r="S167" s="69" t="str">
        <f aca="false">VLOOKUP(K167,Prices,HLOOKUP(F167,Column,2))</f>
        <v/>
      </c>
      <c r="T167" s="69" t="n">
        <f aca="false">IF(S167=0,VLOOKUP(K167,FWD_Prices,HLOOKUP(F167,Column,2)),0)</f>
        <v>0</v>
      </c>
      <c r="V167" s="70" t="e">
        <f aca="false">IF(H167="Swap",S167-N167,IF(H167="Call",MAX(S167-N167,0),IF(H167="Put",MAX(N167-S167,0),"Error on Structure")))*IF(G167="Buy",1,IF(G167="Sell",-1,"Error on Buy/Sell"))*L167*IF(S167=0,0,1)</f>
        <v>#VALUE!</v>
      </c>
      <c r="W167" s="70" t="n">
        <f aca="false">IF(H167="Swap",T167-N167,IF(H167="Call",MAX(T167-N167,0),IF(H167="Put",MAX(N167-T167,0),"Error on Structure")))*IF(G167="Buy",1,IF(G167="Sell",-1,"Error on Buy/Sell"))*L167*IF(T167=0,0,1)</f>
        <v>-0</v>
      </c>
      <c r="X167" s="71" t="e">
        <f aca="false">SUM(V167:W167)</f>
        <v>#VALUE!</v>
      </c>
      <c r="AA167" s="12" t="s">
        <v>107</v>
      </c>
      <c r="AC167" s="10" t="s">
        <v>94</v>
      </c>
    </row>
    <row r="168" customFormat="false" ht="12.75" hidden="false" customHeight="false" outlineLevel="0" collapsed="false">
      <c r="A168" s="10" t="n">
        <v>16</v>
      </c>
      <c r="B168" s="10" t="s">
        <v>53</v>
      </c>
      <c r="C168" s="62" t="n">
        <v>36963</v>
      </c>
      <c r="D168" s="12" t="s">
        <v>54</v>
      </c>
      <c r="E168" s="12" t="s">
        <v>89</v>
      </c>
      <c r="F168" s="12" t="s">
        <v>90</v>
      </c>
      <c r="G168" s="10" t="s">
        <v>97</v>
      </c>
      <c r="H168" s="12" t="s">
        <v>101</v>
      </c>
      <c r="I168" s="63" t="n">
        <v>0</v>
      </c>
      <c r="J168" s="64" t="n">
        <f aca="false">+I168*L168</f>
        <v>0</v>
      </c>
      <c r="K168" s="85" t="n">
        <v>37591</v>
      </c>
      <c r="L168" s="13" t="n">
        <v>383000</v>
      </c>
      <c r="M168" s="38" t="s">
        <v>8</v>
      </c>
      <c r="N168" s="86" t="n">
        <v>4</v>
      </c>
      <c r="O168" s="66" t="n">
        <f aca="false">L168*N168</f>
        <v>1532000</v>
      </c>
      <c r="P168" s="67" t="n">
        <v>0.025</v>
      </c>
      <c r="Q168" s="68" t="n">
        <f aca="false">P168*L168</f>
        <v>9575</v>
      </c>
      <c r="S168" s="69" t="str">
        <f aca="false">VLOOKUP(K168,Prices,HLOOKUP(F168,Column,2))</f>
        <v/>
      </c>
      <c r="T168" s="69" t="n">
        <f aca="false">IF(S168=0,VLOOKUP(K168,FWD_Prices,HLOOKUP(F168,Column,2)),0)</f>
        <v>0</v>
      </c>
      <c r="V168" s="70" t="e">
        <f aca="false">IF(H168="Swap",S168-N168,IF(H168="Call",MAX(S168-N168,0),IF(H168="Put",MAX(N168-S168,0),"Error on Structure")))*IF(G168="Buy",1,IF(G168="Sell",-1,"Error on Buy/Sell"))*L168*IF(S168=0,0,1)</f>
        <v>#VALUE!</v>
      </c>
      <c r="W168" s="70" t="n">
        <f aca="false">IF(H168="Swap",T168-N168,IF(H168="Call",MAX(T168-N168,0),IF(H168="Put",MAX(N168-T168,0),"Error on Structure")))*IF(G168="Buy",1,IF(G168="Sell",-1,"Error on Buy/Sell"))*L168*IF(T168=0,0,1)</f>
        <v>-0</v>
      </c>
      <c r="X168" s="71" t="e">
        <f aca="false">SUM(V168:W168)</f>
        <v>#VALUE!</v>
      </c>
      <c r="AA168" s="12" t="s">
        <v>107</v>
      </c>
      <c r="AC168" s="10" t="s">
        <v>94</v>
      </c>
    </row>
    <row r="169" customFormat="false" ht="12.75" hidden="false" customHeight="false" outlineLevel="0" collapsed="false">
      <c r="A169" s="10" t="n">
        <v>16</v>
      </c>
      <c r="B169" s="10" t="s">
        <v>53</v>
      </c>
      <c r="C169" s="62" t="n">
        <v>36963</v>
      </c>
      <c r="D169" s="12" t="s">
        <v>54</v>
      </c>
      <c r="E169" s="12" t="s">
        <v>89</v>
      </c>
      <c r="F169" s="12" t="s">
        <v>90</v>
      </c>
      <c r="G169" s="10" t="s">
        <v>97</v>
      </c>
      <c r="H169" s="12" t="s">
        <v>101</v>
      </c>
      <c r="I169" s="63" t="n">
        <v>0</v>
      </c>
      <c r="J169" s="64" t="n">
        <f aca="false">+I169*L169</f>
        <v>0</v>
      </c>
      <c r="K169" s="85" t="n">
        <v>37622</v>
      </c>
      <c r="L169" s="13" t="n">
        <v>383000</v>
      </c>
      <c r="M169" s="38" t="s">
        <v>8</v>
      </c>
      <c r="N169" s="86" t="n">
        <v>4</v>
      </c>
      <c r="O169" s="66" t="n">
        <f aca="false">L169*N169</f>
        <v>1532000</v>
      </c>
      <c r="P169" s="67" t="n">
        <v>0.03</v>
      </c>
      <c r="Q169" s="68" t="n">
        <f aca="false">P169*L169</f>
        <v>11490</v>
      </c>
      <c r="S169" s="69" t="str">
        <f aca="false">VLOOKUP(K169,Prices,HLOOKUP(F169,Column,2))</f>
        <v/>
      </c>
      <c r="T169" s="69" t="n">
        <f aca="false">IF(S169=0,VLOOKUP(K169,FWD_Prices,HLOOKUP(F169,Column,2)),0)</f>
        <v>0</v>
      </c>
      <c r="V169" s="70" t="e">
        <f aca="false">IF(H169="Swap",S169-N169,IF(H169="Call",MAX(S169-N169,0),IF(H169="Put",MAX(N169-S169,0),"Error on Structure")))*IF(G169="Buy",1,IF(G169="Sell",-1,"Error on Buy/Sell"))*L169*IF(S169=0,0,1)</f>
        <v>#VALUE!</v>
      </c>
      <c r="W169" s="70" t="n">
        <f aca="false">IF(H169="Swap",T169-N169,IF(H169="Call",MAX(T169-N169,0),IF(H169="Put",MAX(N169-T169,0),"Error on Structure")))*IF(G169="Buy",1,IF(G169="Sell",-1,"Error on Buy/Sell"))*L169*IF(T169=0,0,1)</f>
        <v>-0</v>
      </c>
      <c r="X169" s="71" t="e">
        <f aca="false">SUM(V169:W169)</f>
        <v>#VALUE!</v>
      </c>
      <c r="AA169" s="12" t="s">
        <v>107</v>
      </c>
      <c r="AC169" s="10" t="s">
        <v>94</v>
      </c>
    </row>
    <row r="170" customFormat="false" ht="12.75" hidden="false" customHeight="false" outlineLevel="0" collapsed="false">
      <c r="A170" s="10" t="n">
        <v>16</v>
      </c>
      <c r="B170" s="10" t="s">
        <v>53</v>
      </c>
      <c r="C170" s="62" t="n">
        <v>36963</v>
      </c>
      <c r="D170" s="12" t="s">
        <v>54</v>
      </c>
      <c r="E170" s="12" t="s">
        <v>89</v>
      </c>
      <c r="F170" s="12" t="s">
        <v>90</v>
      </c>
      <c r="G170" s="10" t="s">
        <v>97</v>
      </c>
      <c r="H170" s="12" t="s">
        <v>101</v>
      </c>
      <c r="I170" s="63" t="n">
        <v>0</v>
      </c>
      <c r="J170" s="64" t="n">
        <f aca="false">+I170*L170</f>
        <v>0</v>
      </c>
      <c r="K170" s="85" t="n">
        <v>37653</v>
      </c>
      <c r="L170" s="13" t="n">
        <v>383000</v>
      </c>
      <c r="M170" s="38" t="s">
        <v>8</v>
      </c>
      <c r="N170" s="86" t="n">
        <v>4</v>
      </c>
      <c r="O170" s="66" t="n">
        <f aca="false">L170*N170</f>
        <v>1532000</v>
      </c>
      <c r="P170" s="67" t="n">
        <v>0.03</v>
      </c>
      <c r="Q170" s="68" t="n">
        <f aca="false">P170*L170</f>
        <v>11490</v>
      </c>
      <c r="S170" s="69" t="str">
        <f aca="false">VLOOKUP(K170,Prices,HLOOKUP(F170,Column,2))</f>
        <v/>
      </c>
      <c r="T170" s="69" t="n">
        <f aca="false">IF(S170=0,VLOOKUP(K170,FWD_Prices,HLOOKUP(F170,Column,2)),0)</f>
        <v>0</v>
      </c>
      <c r="V170" s="70" t="e">
        <f aca="false">IF(H170="Swap",S170-N170,IF(H170="Call",MAX(S170-N170,0),IF(H170="Put",MAX(N170-S170,0),"Error on Structure")))*IF(G170="Buy",1,IF(G170="Sell",-1,"Error on Buy/Sell"))*L170*IF(S170=0,0,1)</f>
        <v>#VALUE!</v>
      </c>
      <c r="W170" s="70" t="n">
        <f aca="false">IF(H170="Swap",T170-N170,IF(H170="Call",MAX(T170-N170,0),IF(H170="Put",MAX(N170-T170,0),"Error on Structure")))*IF(G170="Buy",1,IF(G170="Sell",-1,"Error on Buy/Sell"))*L170*IF(T170=0,0,1)</f>
        <v>-0</v>
      </c>
      <c r="X170" s="71" t="e">
        <f aca="false">SUM(V170:W170)</f>
        <v>#VALUE!</v>
      </c>
      <c r="AA170" s="12" t="s">
        <v>107</v>
      </c>
      <c r="AC170" s="10" t="s">
        <v>94</v>
      </c>
    </row>
    <row r="171" customFormat="false" ht="12.75" hidden="false" customHeight="false" outlineLevel="0" collapsed="false">
      <c r="A171" s="10" t="n">
        <v>16</v>
      </c>
      <c r="B171" s="10" t="s">
        <v>53</v>
      </c>
      <c r="C171" s="62" t="n">
        <v>36963</v>
      </c>
      <c r="D171" s="12" t="s">
        <v>54</v>
      </c>
      <c r="E171" s="12" t="s">
        <v>89</v>
      </c>
      <c r="F171" s="12" t="s">
        <v>90</v>
      </c>
      <c r="G171" s="10" t="s">
        <v>97</v>
      </c>
      <c r="H171" s="12" t="s">
        <v>101</v>
      </c>
      <c r="I171" s="63" t="n">
        <v>0</v>
      </c>
      <c r="J171" s="64" t="n">
        <f aca="false">+I171*L171</f>
        <v>0</v>
      </c>
      <c r="K171" s="85" t="n">
        <v>37681</v>
      </c>
      <c r="L171" s="13" t="n">
        <v>383000</v>
      </c>
      <c r="M171" s="38" t="s">
        <v>8</v>
      </c>
      <c r="N171" s="86" t="n">
        <v>4</v>
      </c>
      <c r="O171" s="66" t="n">
        <f aca="false">L171*N171</f>
        <v>1532000</v>
      </c>
      <c r="P171" s="67" t="n">
        <v>0.03</v>
      </c>
      <c r="Q171" s="68" t="n">
        <f aca="false">P171*L171</f>
        <v>11490</v>
      </c>
      <c r="S171" s="69" t="str">
        <f aca="false">VLOOKUP(K171,Prices,HLOOKUP(F171,Column,2))</f>
        <v/>
      </c>
      <c r="T171" s="69" t="n">
        <f aca="false">IF(S171=0,VLOOKUP(K171,FWD_Prices,HLOOKUP(F171,Column,2)),0)</f>
        <v>0</v>
      </c>
      <c r="V171" s="70" t="e">
        <f aca="false">IF(H171="Swap",S171-N171,IF(H171="Call",MAX(S171-N171,0),IF(H171="Put",MAX(N171-S171,0),"Error on Structure")))*IF(G171="Buy",1,IF(G171="Sell",-1,"Error on Buy/Sell"))*L171*IF(S171=0,0,1)</f>
        <v>#VALUE!</v>
      </c>
      <c r="W171" s="70" t="n">
        <f aca="false">IF(H171="Swap",T171-N171,IF(H171="Call",MAX(T171-N171,0),IF(H171="Put",MAX(N171-T171,0),"Error on Structure")))*IF(G171="Buy",1,IF(G171="Sell",-1,"Error on Buy/Sell"))*L171*IF(T171=0,0,1)</f>
        <v>-0</v>
      </c>
      <c r="X171" s="71" t="e">
        <f aca="false">SUM(V171:W171)</f>
        <v>#VALUE!</v>
      </c>
      <c r="AA171" s="12" t="s">
        <v>107</v>
      </c>
      <c r="AC171" s="10" t="s">
        <v>94</v>
      </c>
    </row>
    <row r="172" customFormat="false" ht="12.75" hidden="false" customHeight="false" outlineLevel="0" collapsed="false">
      <c r="A172" s="10" t="n">
        <v>16</v>
      </c>
      <c r="B172" s="10" t="s">
        <v>53</v>
      </c>
      <c r="C172" s="62" t="n">
        <v>36963</v>
      </c>
      <c r="D172" s="12" t="s">
        <v>54</v>
      </c>
      <c r="E172" s="12" t="s">
        <v>89</v>
      </c>
      <c r="F172" s="12" t="s">
        <v>90</v>
      </c>
      <c r="G172" s="10" t="s">
        <v>97</v>
      </c>
      <c r="H172" s="12" t="s">
        <v>101</v>
      </c>
      <c r="I172" s="63" t="n">
        <v>0</v>
      </c>
      <c r="J172" s="64" t="n">
        <f aca="false">+I172*L172</f>
        <v>0</v>
      </c>
      <c r="K172" s="85" t="n">
        <v>37712</v>
      </c>
      <c r="L172" s="13" t="n">
        <v>383000</v>
      </c>
      <c r="M172" s="38" t="s">
        <v>8</v>
      </c>
      <c r="N172" s="86" t="n">
        <v>4</v>
      </c>
      <c r="O172" s="66" t="n">
        <f aca="false">L172*N172</f>
        <v>1532000</v>
      </c>
      <c r="P172" s="67" t="n">
        <v>0.03</v>
      </c>
      <c r="Q172" s="68" t="n">
        <f aca="false">P172*L172</f>
        <v>11490</v>
      </c>
      <c r="S172" s="69" t="str">
        <f aca="false">VLOOKUP(K172,Prices,HLOOKUP(F172,Column,2))</f>
        <v/>
      </c>
      <c r="T172" s="69" t="n">
        <f aca="false">IF(S172=0,VLOOKUP(K172,FWD_Prices,HLOOKUP(F172,Column,2)),0)</f>
        <v>0</v>
      </c>
      <c r="V172" s="70" t="e">
        <f aca="false">IF(H172="Swap",S172-N172,IF(H172="Call",MAX(S172-N172,0),IF(H172="Put",MAX(N172-S172,0),"Error on Structure")))*IF(G172="Buy",1,IF(G172="Sell",-1,"Error on Buy/Sell"))*L172*IF(S172=0,0,1)</f>
        <v>#VALUE!</v>
      </c>
      <c r="W172" s="70" t="n">
        <f aca="false">IF(H172="Swap",T172-N172,IF(H172="Call",MAX(T172-N172,0),IF(H172="Put",MAX(N172-T172,0),"Error on Structure")))*IF(G172="Buy",1,IF(G172="Sell",-1,"Error on Buy/Sell"))*L172*IF(T172=0,0,1)</f>
        <v>-0</v>
      </c>
      <c r="X172" s="71" t="e">
        <f aca="false">SUM(V172:W172)</f>
        <v>#VALUE!</v>
      </c>
      <c r="AA172" s="12" t="s">
        <v>107</v>
      </c>
      <c r="AC172" s="10" t="s">
        <v>94</v>
      </c>
    </row>
    <row r="173" customFormat="false" ht="12.75" hidden="false" customHeight="false" outlineLevel="0" collapsed="false">
      <c r="A173" s="10" t="n">
        <v>16</v>
      </c>
      <c r="B173" s="10" t="s">
        <v>53</v>
      </c>
      <c r="C173" s="62" t="n">
        <v>36963</v>
      </c>
      <c r="D173" s="12" t="s">
        <v>54</v>
      </c>
      <c r="E173" s="12" t="s">
        <v>89</v>
      </c>
      <c r="F173" s="12" t="s">
        <v>90</v>
      </c>
      <c r="G173" s="10" t="s">
        <v>97</v>
      </c>
      <c r="H173" s="12" t="s">
        <v>101</v>
      </c>
      <c r="I173" s="63" t="n">
        <v>0</v>
      </c>
      <c r="J173" s="64" t="n">
        <f aca="false">+I173*L173</f>
        <v>0</v>
      </c>
      <c r="K173" s="85" t="n">
        <v>37742</v>
      </c>
      <c r="L173" s="13" t="n">
        <v>383000</v>
      </c>
      <c r="M173" s="38" t="s">
        <v>8</v>
      </c>
      <c r="N173" s="86" t="n">
        <v>4</v>
      </c>
      <c r="O173" s="66" t="n">
        <f aca="false">L173*N173</f>
        <v>1532000</v>
      </c>
      <c r="P173" s="67" t="n">
        <v>0.03</v>
      </c>
      <c r="Q173" s="68" t="n">
        <f aca="false">P173*L173</f>
        <v>11490</v>
      </c>
      <c r="S173" s="69" t="str">
        <f aca="false">VLOOKUP(K173,Prices,HLOOKUP(F173,Column,2))</f>
        <v/>
      </c>
      <c r="T173" s="69" t="n">
        <f aca="false">IF(S173=0,VLOOKUP(K173,FWD_Prices,HLOOKUP(F173,Column,2)),0)</f>
        <v>0</v>
      </c>
      <c r="V173" s="70" t="e">
        <f aca="false">IF(H173="Swap",S173-N173,IF(H173="Call",MAX(S173-N173,0),IF(H173="Put",MAX(N173-S173,0),"Error on Structure")))*IF(G173="Buy",1,IF(G173="Sell",-1,"Error on Buy/Sell"))*L173*IF(S173=0,0,1)</f>
        <v>#VALUE!</v>
      </c>
      <c r="W173" s="70" t="n">
        <f aca="false">IF(H173="Swap",T173-N173,IF(H173="Call",MAX(T173-N173,0),IF(H173="Put",MAX(N173-T173,0),"Error on Structure")))*IF(G173="Buy",1,IF(G173="Sell",-1,"Error on Buy/Sell"))*L173*IF(T173=0,0,1)</f>
        <v>-0</v>
      </c>
      <c r="X173" s="71" t="e">
        <f aca="false">SUM(V173:W173)</f>
        <v>#VALUE!</v>
      </c>
      <c r="AA173" s="12" t="s">
        <v>107</v>
      </c>
      <c r="AC173" s="10" t="s">
        <v>94</v>
      </c>
    </row>
    <row r="174" customFormat="false" ht="12.75" hidden="false" customHeight="false" outlineLevel="0" collapsed="false">
      <c r="A174" s="10" t="n">
        <v>16</v>
      </c>
      <c r="B174" s="10" t="s">
        <v>53</v>
      </c>
      <c r="C174" s="62" t="n">
        <v>36963</v>
      </c>
      <c r="D174" s="12" t="s">
        <v>54</v>
      </c>
      <c r="E174" s="12" t="s">
        <v>89</v>
      </c>
      <c r="F174" s="12" t="s">
        <v>90</v>
      </c>
      <c r="G174" s="10" t="s">
        <v>97</v>
      </c>
      <c r="H174" s="12" t="s">
        <v>101</v>
      </c>
      <c r="I174" s="63" t="n">
        <v>0</v>
      </c>
      <c r="J174" s="64" t="n">
        <f aca="false">+I174*L174</f>
        <v>0</v>
      </c>
      <c r="K174" s="85" t="n">
        <v>37773</v>
      </c>
      <c r="L174" s="13" t="n">
        <v>383000</v>
      </c>
      <c r="M174" s="38" t="s">
        <v>8</v>
      </c>
      <c r="N174" s="86" t="n">
        <v>4</v>
      </c>
      <c r="O174" s="66" t="n">
        <f aca="false">L174*N174</f>
        <v>1532000</v>
      </c>
      <c r="P174" s="67" t="n">
        <v>0.03</v>
      </c>
      <c r="Q174" s="68" t="n">
        <f aca="false">P174*L174</f>
        <v>11490</v>
      </c>
      <c r="S174" s="69" t="str">
        <f aca="false">VLOOKUP(K174,Prices,HLOOKUP(F174,Column,2))</f>
        <v/>
      </c>
      <c r="T174" s="69" t="n">
        <f aca="false">IF(S174=0,VLOOKUP(K174,FWD_Prices,HLOOKUP(F174,Column,2)),0)</f>
        <v>0</v>
      </c>
      <c r="V174" s="70" t="e">
        <f aca="false">IF(H174="Swap",S174-N174,IF(H174="Call",MAX(S174-N174,0),IF(H174="Put",MAX(N174-S174,0),"Error on Structure")))*IF(G174="Buy",1,IF(G174="Sell",-1,"Error on Buy/Sell"))*L174*IF(S174=0,0,1)</f>
        <v>#VALUE!</v>
      </c>
      <c r="W174" s="70" t="n">
        <f aca="false">IF(H174="Swap",T174-N174,IF(H174="Call",MAX(T174-N174,0),IF(H174="Put",MAX(N174-T174,0),"Error on Structure")))*IF(G174="Buy",1,IF(G174="Sell",-1,"Error on Buy/Sell"))*L174*IF(T174=0,0,1)</f>
        <v>-0</v>
      </c>
      <c r="X174" s="71" t="e">
        <f aca="false">SUM(V174:W174)</f>
        <v>#VALUE!</v>
      </c>
      <c r="AA174" s="12" t="s">
        <v>107</v>
      </c>
      <c r="AC174" s="10" t="s">
        <v>94</v>
      </c>
    </row>
    <row r="175" customFormat="false" ht="12.75" hidden="false" customHeight="false" outlineLevel="0" collapsed="false">
      <c r="A175" s="10" t="n">
        <v>16</v>
      </c>
      <c r="B175" s="10" t="s">
        <v>53</v>
      </c>
      <c r="C175" s="62" t="n">
        <v>36963</v>
      </c>
      <c r="D175" s="12" t="s">
        <v>54</v>
      </c>
      <c r="E175" s="12" t="s">
        <v>89</v>
      </c>
      <c r="F175" s="12" t="s">
        <v>90</v>
      </c>
      <c r="G175" s="10" t="s">
        <v>97</v>
      </c>
      <c r="H175" s="12" t="s">
        <v>101</v>
      </c>
      <c r="I175" s="63" t="n">
        <v>0</v>
      </c>
      <c r="J175" s="64" t="n">
        <f aca="false">+I175*L175</f>
        <v>0</v>
      </c>
      <c r="K175" s="85" t="n">
        <v>37803</v>
      </c>
      <c r="L175" s="13" t="n">
        <v>383000</v>
      </c>
      <c r="M175" s="38" t="s">
        <v>8</v>
      </c>
      <c r="N175" s="86" t="n">
        <v>4</v>
      </c>
      <c r="O175" s="66" t="n">
        <f aca="false">L175*N175</f>
        <v>1532000</v>
      </c>
      <c r="P175" s="67" t="n">
        <v>0.03</v>
      </c>
      <c r="Q175" s="68" t="n">
        <f aca="false">P175*L175</f>
        <v>11490</v>
      </c>
      <c r="S175" s="69" t="str">
        <f aca="false">VLOOKUP(K175,Prices,HLOOKUP(F175,Column,2))</f>
        <v/>
      </c>
      <c r="T175" s="69" t="n">
        <f aca="false">IF(S175=0,VLOOKUP(K175,FWD_Prices,HLOOKUP(F175,Column,2)),0)</f>
        <v>0</v>
      </c>
      <c r="V175" s="70" t="e">
        <f aca="false">IF(H175="Swap",S175-N175,IF(H175="Call",MAX(S175-N175,0),IF(H175="Put",MAX(N175-S175,0),"Error on Structure")))*IF(G175="Buy",1,IF(G175="Sell",-1,"Error on Buy/Sell"))*L175*IF(S175=0,0,1)</f>
        <v>#VALUE!</v>
      </c>
      <c r="W175" s="70" t="n">
        <f aca="false">IF(H175="Swap",T175-N175,IF(H175="Call",MAX(T175-N175,0),IF(H175="Put",MAX(N175-T175,0),"Error on Structure")))*IF(G175="Buy",1,IF(G175="Sell",-1,"Error on Buy/Sell"))*L175*IF(T175=0,0,1)</f>
        <v>-0</v>
      </c>
      <c r="X175" s="71" t="e">
        <f aca="false">SUM(V175:W175)</f>
        <v>#VALUE!</v>
      </c>
      <c r="AA175" s="12" t="s">
        <v>107</v>
      </c>
      <c r="AC175" s="10" t="s">
        <v>94</v>
      </c>
    </row>
    <row r="176" customFormat="false" ht="12.75" hidden="false" customHeight="false" outlineLevel="0" collapsed="false">
      <c r="A176" s="10" t="n">
        <v>16</v>
      </c>
      <c r="B176" s="10" t="s">
        <v>53</v>
      </c>
      <c r="C176" s="62" t="n">
        <v>36963</v>
      </c>
      <c r="D176" s="12" t="s">
        <v>54</v>
      </c>
      <c r="E176" s="12" t="s">
        <v>89</v>
      </c>
      <c r="F176" s="12" t="s">
        <v>90</v>
      </c>
      <c r="G176" s="10" t="s">
        <v>97</v>
      </c>
      <c r="H176" s="12" t="s">
        <v>101</v>
      </c>
      <c r="I176" s="63" t="n">
        <v>0</v>
      </c>
      <c r="J176" s="64" t="n">
        <f aca="false">+I176*L176</f>
        <v>0</v>
      </c>
      <c r="K176" s="85" t="n">
        <v>37834</v>
      </c>
      <c r="L176" s="13" t="n">
        <v>383000</v>
      </c>
      <c r="M176" s="38" t="s">
        <v>8</v>
      </c>
      <c r="N176" s="86" t="n">
        <v>4</v>
      </c>
      <c r="O176" s="66" t="n">
        <f aca="false">L176*N176</f>
        <v>1532000</v>
      </c>
      <c r="P176" s="67" t="n">
        <v>0.03</v>
      </c>
      <c r="Q176" s="68" t="n">
        <f aca="false">P176*L176</f>
        <v>11490</v>
      </c>
      <c r="S176" s="69" t="str">
        <f aca="false">VLOOKUP(K176,Prices,HLOOKUP(F176,Column,2))</f>
        <v/>
      </c>
      <c r="T176" s="69" t="n">
        <f aca="false">IF(S176=0,VLOOKUP(K176,FWD_Prices,HLOOKUP(F176,Column,2)),0)</f>
        <v>0</v>
      </c>
      <c r="V176" s="70" t="e">
        <f aca="false">IF(H176="Swap",S176-N176,IF(H176="Call",MAX(S176-N176,0),IF(H176="Put",MAX(N176-S176,0),"Error on Structure")))*IF(G176="Buy",1,IF(G176="Sell",-1,"Error on Buy/Sell"))*L176*IF(S176=0,0,1)</f>
        <v>#VALUE!</v>
      </c>
      <c r="W176" s="70" t="n">
        <f aca="false">IF(H176="Swap",T176-N176,IF(H176="Call",MAX(T176-N176,0),IF(H176="Put",MAX(N176-T176,0),"Error on Structure")))*IF(G176="Buy",1,IF(G176="Sell",-1,"Error on Buy/Sell"))*L176*IF(T176=0,0,1)</f>
        <v>-0</v>
      </c>
      <c r="X176" s="71" t="e">
        <f aca="false">SUM(V176:W176)</f>
        <v>#VALUE!</v>
      </c>
      <c r="AA176" s="12" t="s">
        <v>107</v>
      </c>
      <c r="AC176" s="10" t="s">
        <v>94</v>
      </c>
    </row>
    <row r="177" customFormat="false" ht="12.75" hidden="false" customHeight="false" outlineLevel="0" collapsed="false">
      <c r="A177" s="10" t="n">
        <v>16</v>
      </c>
      <c r="B177" s="10" t="s">
        <v>53</v>
      </c>
      <c r="C177" s="62" t="n">
        <v>36963</v>
      </c>
      <c r="D177" s="12" t="s">
        <v>54</v>
      </c>
      <c r="E177" s="12" t="s">
        <v>89</v>
      </c>
      <c r="F177" s="12" t="s">
        <v>90</v>
      </c>
      <c r="G177" s="10" t="s">
        <v>97</v>
      </c>
      <c r="H177" s="12" t="s">
        <v>101</v>
      </c>
      <c r="I177" s="63" t="n">
        <v>0</v>
      </c>
      <c r="J177" s="64" t="n">
        <f aca="false">+I177*L177</f>
        <v>0</v>
      </c>
      <c r="K177" s="85" t="n">
        <v>37865</v>
      </c>
      <c r="L177" s="13" t="n">
        <v>383000</v>
      </c>
      <c r="M177" s="38" t="s">
        <v>8</v>
      </c>
      <c r="N177" s="86" t="n">
        <v>4</v>
      </c>
      <c r="O177" s="66" t="n">
        <f aca="false">L177*N177</f>
        <v>1532000</v>
      </c>
      <c r="P177" s="67" t="n">
        <v>0.03</v>
      </c>
      <c r="Q177" s="68" t="n">
        <f aca="false">P177*L177</f>
        <v>11490</v>
      </c>
      <c r="S177" s="69" t="str">
        <f aca="false">VLOOKUP(K177,Prices,HLOOKUP(F177,Column,2))</f>
        <v/>
      </c>
      <c r="T177" s="69" t="n">
        <f aca="false">IF(S177=0,VLOOKUP(K177,FWD_Prices,HLOOKUP(F177,Column,2)),0)</f>
        <v>0</v>
      </c>
      <c r="V177" s="70" t="e">
        <f aca="false">IF(H177="Swap",S177-N177,IF(H177="Call",MAX(S177-N177,0),IF(H177="Put",MAX(N177-S177,0),"Error on Structure")))*IF(G177="Buy",1,IF(G177="Sell",-1,"Error on Buy/Sell"))*L177*IF(S177=0,0,1)</f>
        <v>#VALUE!</v>
      </c>
      <c r="W177" s="70" t="n">
        <f aca="false">IF(H177="Swap",T177-N177,IF(H177="Call",MAX(T177-N177,0),IF(H177="Put",MAX(N177-T177,0),"Error on Structure")))*IF(G177="Buy",1,IF(G177="Sell",-1,"Error on Buy/Sell"))*L177*IF(T177=0,0,1)</f>
        <v>-0</v>
      </c>
      <c r="X177" s="71" t="e">
        <f aca="false">SUM(V177:W177)</f>
        <v>#VALUE!</v>
      </c>
      <c r="AA177" s="12" t="s">
        <v>107</v>
      </c>
      <c r="AC177" s="10" t="s">
        <v>94</v>
      </c>
    </row>
    <row r="178" customFormat="false" ht="12.75" hidden="false" customHeight="false" outlineLevel="0" collapsed="false">
      <c r="A178" s="10" t="n">
        <v>16</v>
      </c>
      <c r="B178" s="10" t="s">
        <v>53</v>
      </c>
      <c r="C178" s="62" t="n">
        <v>36963</v>
      </c>
      <c r="D178" s="12" t="s">
        <v>54</v>
      </c>
      <c r="E178" s="12" t="s">
        <v>89</v>
      </c>
      <c r="F178" s="12" t="s">
        <v>90</v>
      </c>
      <c r="G178" s="10" t="s">
        <v>97</v>
      </c>
      <c r="H178" s="12" t="s">
        <v>101</v>
      </c>
      <c r="I178" s="63" t="n">
        <v>0</v>
      </c>
      <c r="J178" s="64" t="n">
        <f aca="false">+I178*L178</f>
        <v>0</v>
      </c>
      <c r="K178" s="85" t="n">
        <v>37895</v>
      </c>
      <c r="L178" s="13" t="n">
        <v>383000</v>
      </c>
      <c r="M178" s="38" t="s">
        <v>8</v>
      </c>
      <c r="N178" s="86" t="n">
        <v>4</v>
      </c>
      <c r="O178" s="66" t="n">
        <f aca="false">L178*N178</f>
        <v>1532000</v>
      </c>
      <c r="P178" s="67" t="n">
        <v>0.03</v>
      </c>
      <c r="Q178" s="68" t="n">
        <f aca="false">P178*L178</f>
        <v>11490</v>
      </c>
      <c r="S178" s="69" t="str">
        <f aca="false">VLOOKUP(K178,Prices,HLOOKUP(F178,Column,2))</f>
        <v/>
      </c>
      <c r="T178" s="69" t="n">
        <f aca="false">IF(S178=0,VLOOKUP(K178,FWD_Prices,HLOOKUP(F178,Column,2)),0)</f>
        <v>0</v>
      </c>
      <c r="V178" s="70" t="e">
        <f aca="false">IF(H178="Swap",S178-N178,IF(H178="Call",MAX(S178-N178,0),IF(H178="Put",MAX(N178-S178,0),"Error on Structure")))*IF(G178="Buy",1,IF(G178="Sell",-1,"Error on Buy/Sell"))*L178*IF(S178=0,0,1)</f>
        <v>#VALUE!</v>
      </c>
      <c r="W178" s="70" t="n">
        <f aca="false">IF(H178="Swap",T178-N178,IF(H178="Call",MAX(T178-N178,0),IF(H178="Put",MAX(N178-T178,0),"Error on Structure")))*IF(G178="Buy",1,IF(G178="Sell",-1,"Error on Buy/Sell"))*L178*IF(T178=0,0,1)</f>
        <v>-0</v>
      </c>
      <c r="X178" s="71" t="e">
        <f aca="false">SUM(V178:W178)</f>
        <v>#VALUE!</v>
      </c>
      <c r="AA178" s="12" t="s">
        <v>107</v>
      </c>
      <c r="AC178" s="10" t="s">
        <v>94</v>
      </c>
    </row>
    <row r="179" customFormat="false" ht="12.75" hidden="false" customHeight="false" outlineLevel="0" collapsed="false">
      <c r="A179" s="10" t="n">
        <v>16</v>
      </c>
      <c r="B179" s="10" t="s">
        <v>53</v>
      </c>
      <c r="C179" s="62" t="n">
        <v>36963</v>
      </c>
      <c r="D179" s="12" t="s">
        <v>54</v>
      </c>
      <c r="E179" s="12" t="s">
        <v>89</v>
      </c>
      <c r="F179" s="12" t="s">
        <v>90</v>
      </c>
      <c r="G179" s="10" t="s">
        <v>97</v>
      </c>
      <c r="H179" s="12" t="s">
        <v>101</v>
      </c>
      <c r="I179" s="63" t="n">
        <v>0</v>
      </c>
      <c r="J179" s="64" t="n">
        <f aca="false">+I179*L179</f>
        <v>0</v>
      </c>
      <c r="K179" s="85" t="n">
        <v>37926</v>
      </c>
      <c r="L179" s="13" t="n">
        <v>383000</v>
      </c>
      <c r="M179" s="38" t="s">
        <v>8</v>
      </c>
      <c r="N179" s="86" t="n">
        <v>4</v>
      </c>
      <c r="O179" s="66" t="n">
        <f aca="false">L179*N179</f>
        <v>1532000</v>
      </c>
      <c r="P179" s="67" t="n">
        <v>0.03</v>
      </c>
      <c r="Q179" s="68" t="n">
        <f aca="false">P179*L179</f>
        <v>11490</v>
      </c>
      <c r="S179" s="69" t="str">
        <f aca="false">VLOOKUP(K179,Prices,HLOOKUP(F179,Column,2))</f>
        <v/>
      </c>
      <c r="T179" s="69" t="n">
        <f aca="false">IF(S179=0,VLOOKUP(K179,FWD_Prices,HLOOKUP(F179,Column,2)),0)</f>
        <v>0</v>
      </c>
      <c r="V179" s="70" t="e">
        <f aca="false">IF(H179="Swap",S179-N179,IF(H179="Call",MAX(S179-N179,0),IF(H179="Put",MAX(N179-S179,0),"Error on Structure")))*IF(G179="Buy",1,IF(G179="Sell",-1,"Error on Buy/Sell"))*L179*IF(S179=0,0,1)</f>
        <v>#VALUE!</v>
      </c>
      <c r="W179" s="70" t="n">
        <f aca="false">IF(H179="Swap",T179-N179,IF(H179="Call",MAX(T179-N179,0),IF(H179="Put",MAX(N179-T179,0),"Error on Structure")))*IF(G179="Buy",1,IF(G179="Sell",-1,"Error on Buy/Sell"))*L179*IF(T179=0,0,1)</f>
        <v>-0</v>
      </c>
      <c r="X179" s="71" t="e">
        <f aca="false">SUM(V179:W179)</f>
        <v>#VALUE!</v>
      </c>
      <c r="AA179" s="12" t="s">
        <v>107</v>
      </c>
      <c r="AC179" s="10" t="s">
        <v>94</v>
      </c>
    </row>
    <row r="180" customFormat="false" ht="12.75" hidden="false" customHeight="false" outlineLevel="0" collapsed="false">
      <c r="A180" s="10" t="n">
        <v>16</v>
      </c>
      <c r="B180" s="10" t="s">
        <v>53</v>
      </c>
      <c r="C180" s="62" t="n">
        <v>36963</v>
      </c>
      <c r="D180" s="12" t="s">
        <v>54</v>
      </c>
      <c r="E180" s="12" t="s">
        <v>89</v>
      </c>
      <c r="F180" s="12" t="s">
        <v>90</v>
      </c>
      <c r="G180" s="10" t="s">
        <v>97</v>
      </c>
      <c r="H180" s="12" t="s">
        <v>101</v>
      </c>
      <c r="I180" s="63" t="n">
        <v>0</v>
      </c>
      <c r="J180" s="64" t="n">
        <f aca="false">+I180*L180</f>
        <v>0</v>
      </c>
      <c r="K180" s="85" t="n">
        <v>37956</v>
      </c>
      <c r="L180" s="13" t="n">
        <v>383000</v>
      </c>
      <c r="M180" s="38" t="s">
        <v>8</v>
      </c>
      <c r="N180" s="86" t="n">
        <v>4</v>
      </c>
      <c r="O180" s="66" t="n">
        <f aca="false">L180*N180</f>
        <v>1532000</v>
      </c>
      <c r="P180" s="67" t="n">
        <v>0.03</v>
      </c>
      <c r="Q180" s="68" t="n">
        <f aca="false">P180*L180</f>
        <v>11490</v>
      </c>
      <c r="S180" s="69" t="str">
        <f aca="false">VLOOKUP(K180,Prices,HLOOKUP(F180,Column,2))</f>
        <v/>
      </c>
      <c r="T180" s="69" t="n">
        <f aca="false">IF(S180=0,VLOOKUP(K180,FWD_Prices,HLOOKUP(F180,Column,2)),0)</f>
        <v>0</v>
      </c>
      <c r="V180" s="70" t="e">
        <f aca="false">IF(H180="Swap",S180-N180,IF(H180="Call",MAX(S180-N180,0),IF(H180="Put",MAX(N180-S180,0),"Error on Structure")))*IF(G180="Buy",1,IF(G180="Sell",-1,"Error on Buy/Sell"))*L180*IF(S180=0,0,1)</f>
        <v>#VALUE!</v>
      </c>
      <c r="W180" s="70" t="n">
        <f aca="false">IF(H180="Swap",T180-N180,IF(H180="Call",MAX(T180-N180,0),IF(H180="Put",MAX(N180-T180,0),"Error on Structure")))*IF(G180="Buy",1,IF(G180="Sell",-1,"Error on Buy/Sell"))*L180*IF(T180=0,0,1)</f>
        <v>-0</v>
      </c>
      <c r="X180" s="71" t="e">
        <f aca="false">SUM(V180:W180)</f>
        <v>#VALUE!</v>
      </c>
      <c r="AA180" s="12" t="s">
        <v>107</v>
      </c>
      <c r="AC180" s="10" t="s">
        <v>94</v>
      </c>
    </row>
    <row r="181" customFormat="false" ht="12.75" hidden="false" customHeight="false" outlineLevel="0" collapsed="false">
      <c r="A181" s="10" t="n">
        <v>16</v>
      </c>
      <c r="B181" s="10" t="s">
        <v>53</v>
      </c>
      <c r="C181" s="62" t="n">
        <v>36963</v>
      </c>
      <c r="D181" s="12" t="s">
        <v>54</v>
      </c>
      <c r="H181" s="12" t="s">
        <v>117</v>
      </c>
      <c r="I181" s="63" t="n">
        <v>0</v>
      </c>
      <c r="J181" s="64" t="n">
        <f aca="false">+I181*L181</f>
        <v>0</v>
      </c>
      <c r="K181" s="85" t="n">
        <v>36982</v>
      </c>
      <c r="N181" s="86"/>
      <c r="O181" s="66" t="n">
        <f aca="false">L181*N181</f>
        <v>0</v>
      </c>
      <c r="Q181" s="68" t="n">
        <f aca="false">P181*L181</f>
        <v>0</v>
      </c>
      <c r="V181" s="70" t="n">
        <f aca="false">-0.89*383000</f>
        <v>-340870</v>
      </c>
      <c r="W181" s="70"/>
      <c r="X181" s="71" t="n">
        <f aca="false">SUM(V181:W181)</f>
        <v>-340870</v>
      </c>
      <c r="AA181" s="12" t="s">
        <v>107</v>
      </c>
      <c r="AC181" s="10" t="s">
        <v>94</v>
      </c>
    </row>
    <row r="182" customFormat="false" ht="12.75" hidden="false" customHeight="false" outlineLevel="0" collapsed="false">
      <c r="A182" s="10" t="n">
        <v>16</v>
      </c>
      <c r="B182" s="10" t="s">
        <v>53</v>
      </c>
      <c r="C182" s="62" t="n">
        <v>36963</v>
      </c>
      <c r="D182" s="12" t="s">
        <v>54</v>
      </c>
      <c r="H182" s="12" t="s">
        <v>117</v>
      </c>
      <c r="I182" s="63" t="n">
        <v>0</v>
      </c>
      <c r="J182" s="64" t="n">
        <f aca="false">+I182*L182</f>
        <v>0</v>
      </c>
      <c r="K182" s="85" t="n">
        <v>37012</v>
      </c>
      <c r="N182" s="86"/>
      <c r="O182" s="66" t="n">
        <f aca="false">L182*N182</f>
        <v>0</v>
      </c>
      <c r="Q182" s="68" t="n">
        <f aca="false">P182*L182</f>
        <v>0</v>
      </c>
      <c r="V182" s="70" t="n">
        <f aca="false">-0.89*383000</f>
        <v>-340870</v>
      </c>
      <c r="W182" s="70"/>
      <c r="X182" s="71" t="n">
        <f aca="false">SUM(V182:W182)</f>
        <v>-340870</v>
      </c>
      <c r="AA182" s="12" t="s">
        <v>107</v>
      </c>
      <c r="AC182" s="10" t="s">
        <v>94</v>
      </c>
    </row>
    <row r="183" customFormat="false" ht="12.75" hidden="false" customHeight="false" outlineLevel="0" collapsed="false">
      <c r="A183" s="10" t="n">
        <v>16</v>
      </c>
      <c r="B183" s="10" t="s">
        <v>53</v>
      </c>
      <c r="C183" s="62" t="n">
        <v>36963</v>
      </c>
      <c r="D183" s="12" t="s">
        <v>54</v>
      </c>
      <c r="H183" s="12" t="s">
        <v>117</v>
      </c>
      <c r="I183" s="63" t="n">
        <v>0</v>
      </c>
      <c r="J183" s="64" t="n">
        <f aca="false">+I183*L183</f>
        <v>0</v>
      </c>
      <c r="K183" s="85" t="n">
        <v>37043</v>
      </c>
      <c r="N183" s="86"/>
      <c r="O183" s="66" t="n">
        <f aca="false">L183*N183</f>
        <v>0</v>
      </c>
      <c r="Q183" s="68" t="n">
        <f aca="false">P183*L183</f>
        <v>0</v>
      </c>
      <c r="V183" s="70" t="n">
        <f aca="false">-0.89*383000</f>
        <v>-340870</v>
      </c>
      <c r="W183" s="70"/>
      <c r="X183" s="71" t="n">
        <f aca="false">SUM(V183:W183)</f>
        <v>-340870</v>
      </c>
      <c r="AA183" s="12" t="s">
        <v>107</v>
      </c>
      <c r="AC183" s="10" t="s">
        <v>94</v>
      </c>
    </row>
    <row r="184" customFormat="false" ht="12.75" hidden="false" customHeight="false" outlineLevel="0" collapsed="false">
      <c r="A184" s="10" t="n">
        <v>16</v>
      </c>
      <c r="B184" s="10" t="s">
        <v>53</v>
      </c>
      <c r="C184" s="62" t="n">
        <v>36963</v>
      </c>
      <c r="D184" s="12" t="s">
        <v>54</v>
      </c>
      <c r="H184" s="12" t="s">
        <v>117</v>
      </c>
      <c r="I184" s="63" t="n">
        <v>0</v>
      </c>
      <c r="J184" s="64" t="n">
        <f aca="false">+I184*L184</f>
        <v>0</v>
      </c>
      <c r="K184" s="85" t="n">
        <v>37073</v>
      </c>
      <c r="N184" s="86"/>
      <c r="O184" s="66" t="n">
        <f aca="false">L184*N184</f>
        <v>0</v>
      </c>
      <c r="Q184" s="68" t="n">
        <f aca="false">P184*L184</f>
        <v>0</v>
      </c>
      <c r="V184" s="70" t="n">
        <f aca="false">-0.89*383000</f>
        <v>-340870</v>
      </c>
      <c r="W184" s="70"/>
      <c r="X184" s="71" t="n">
        <f aca="false">SUM(V184:W184)</f>
        <v>-340870</v>
      </c>
      <c r="AA184" s="12" t="s">
        <v>107</v>
      </c>
      <c r="AC184" s="10" t="s">
        <v>94</v>
      </c>
    </row>
    <row r="185" customFormat="false" ht="12.75" hidden="false" customHeight="false" outlineLevel="0" collapsed="false">
      <c r="A185" s="10" t="n">
        <v>16</v>
      </c>
      <c r="B185" s="10" t="s">
        <v>53</v>
      </c>
      <c r="C185" s="62" t="n">
        <v>36963</v>
      </c>
      <c r="D185" s="12" t="s">
        <v>54</v>
      </c>
      <c r="H185" s="12" t="s">
        <v>117</v>
      </c>
      <c r="I185" s="63" t="n">
        <v>0</v>
      </c>
      <c r="J185" s="64" t="n">
        <f aca="false">+I185*L185</f>
        <v>0</v>
      </c>
      <c r="K185" s="85" t="n">
        <v>37104</v>
      </c>
      <c r="N185" s="86"/>
      <c r="O185" s="66" t="n">
        <f aca="false">L185*N185</f>
        <v>0</v>
      </c>
      <c r="Q185" s="68" t="n">
        <f aca="false">P185*L185</f>
        <v>0</v>
      </c>
      <c r="V185" s="70" t="n">
        <f aca="false">-0.89*383000</f>
        <v>-340870</v>
      </c>
      <c r="W185" s="70"/>
      <c r="X185" s="71" t="n">
        <f aca="false">SUM(V185:W185)</f>
        <v>-340870</v>
      </c>
      <c r="AA185" s="12" t="s">
        <v>107</v>
      </c>
      <c r="AC185" s="10" t="s">
        <v>94</v>
      </c>
    </row>
    <row r="186" customFormat="false" ht="12.75" hidden="false" customHeight="false" outlineLevel="0" collapsed="false">
      <c r="A186" s="10" t="n">
        <v>16</v>
      </c>
      <c r="B186" s="10" t="s">
        <v>53</v>
      </c>
      <c r="C186" s="62" t="n">
        <v>36963</v>
      </c>
      <c r="D186" s="12" t="s">
        <v>54</v>
      </c>
      <c r="H186" s="12" t="s">
        <v>117</v>
      </c>
      <c r="I186" s="63" t="n">
        <v>0</v>
      </c>
      <c r="J186" s="64" t="n">
        <f aca="false">+I186*L186</f>
        <v>0</v>
      </c>
      <c r="K186" s="85" t="n">
        <v>37135</v>
      </c>
      <c r="N186" s="86"/>
      <c r="O186" s="66" t="n">
        <f aca="false">L186*N186</f>
        <v>0</v>
      </c>
      <c r="Q186" s="68" t="n">
        <f aca="false">P186*L186</f>
        <v>0</v>
      </c>
      <c r="V186" s="70" t="n">
        <f aca="false">-0.89*383000</f>
        <v>-340870</v>
      </c>
      <c r="W186" s="70"/>
      <c r="X186" s="71" t="n">
        <f aca="false">SUM(V186:W186)</f>
        <v>-340870</v>
      </c>
      <c r="AA186" s="12" t="s">
        <v>107</v>
      </c>
      <c r="AC186" s="10" t="s">
        <v>94</v>
      </c>
    </row>
    <row r="187" customFormat="false" ht="12.75" hidden="false" customHeight="false" outlineLevel="0" collapsed="false">
      <c r="A187" s="10" t="n">
        <v>16</v>
      </c>
      <c r="B187" s="10" t="s">
        <v>53</v>
      </c>
      <c r="C187" s="62" t="n">
        <v>36963</v>
      </c>
      <c r="D187" s="12" t="s">
        <v>54</v>
      </c>
      <c r="H187" s="12" t="s">
        <v>117</v>
      </c>
      <c r="I187" s="63" t="n">
        <v>0</v>
      </c>
      <c r="J187" s="64" t="n">
        <f aca="false">+I187*L187</f>
        <v>0</v>
      </c>
      <c r="K187" s="85" t="n">
        <v>37165</v>
      </c>
      <c r="N187" s="86"/>
      <c r="O187" s="66" t="n">
        <f aca="false">L187*N187</f>
        <v>0</v>
      </c>
      <c r="Q187" s="68" t="n">
        <f aca="false">P187*L187</f>
        <v>0</v>
      </c>
      <c r="V187" s="70" t="n">
        <f aca="false">-0.89*383000</f>
        <v>-340870</v>
      </c>
      <c r="W187" s="70"/>
      <c r="X187" s="71" t="n">
        <f aca="false">SUM(V187:W187)</f>
        <v>-340870</v>
      </c>
      <c r="AA187" s="12" t="s">
        <v>107</v>
      </c>
      <c r="AC187" s="10" t="s">
        <v>94</v>
      </c>
    </row>
    <row r="188" customFormat="false" ht="12.75" hidden="false" customHeight="false" outlineLevel="0" collapsed="false">
      <c r="A188" s="10" t="n">
        <v>16</v>
      </c>
      <c r="B188" s="10" t="s">
        <v>53</v>
      </c>
      <c r="C188" s="62" t="n">
        <v>36963</v>
      </c>
      <c r="D188" s="12" t="s">
        <v>54</v>
      </c>
      <c r="H188" s="12" t="s">
        <v>117</v>
      </c>
      <c r="I188" s="63" t="n">
        <v>0</v>
      </c>
      <c r="J188" s="64" t="n">
        <f aca="false">+I188*L188</f>
        <v>0</v>
      </c>
      <c r="K188" s="85" t="n">
        <v>37196</v>
      </c>
      <c r="N188" s="86"/>
      <c r="O188" s="66" t="n">
        <f aca="false">L188*N188</f>
        <v>0</v>
      </c>
      <c r="Q188" s="68" t="n">
        <f aca="false">P188*L188</f>
        <v>0</v>
      </c>
      <c r="V188" s="70" t="n">
        <f aca="false">-0.89*383000</f>
        <v>-340870</v>
      </c>
      <c r="W188" s="70"/>
      <c r="X188" s="71" t="n">
        <f aca="false">SUM(V188:W188)</f>
        <v>-340870</v>
      </c>
      <c r="AA188" s="12" t="s">
        <v>107</v>
      </c>
      <c r="AC188" s="10" t="s">
        <v>94</v>
      </c>
    </row>
    <row r="189" customFormat="false" ht="12.75" hidden="false" customHeight="false" outlineLevel="0" collapsed="false">
      <c r="A189" s="10" t="n">
        <v>16</v>
      </c>
      <c r="B189" s="10" t="s">
        <v>53</v>
      </c>
      <c r="C189" s="62" t="n">
        <v>36963</v>
      </c>
      <c r="D189" s="12" t="s">
        <v>54</v>
      </c>
      <c r="H189" s="12" t="s">
        <v>117</v>
      </c>
      <c r="I189" s="63" t="n">
        <v>0</v>
      </c>
      <c r="J189" s="64" t="n">
        <f aca="false">+I189*L189</f>
        <v>0</v>
      </c>
      <c r="K189" s="85" t="n">
        <v>37226</v>
      </c>
      <c r="N189" s="86"/>
      <c r="O189" s="66" t="n">
        <f aca="false">L189*N189</f>
        <v>0</v>
      </c>
      <c r="Q189" s="68" t="n">
        <f aca="false">P189*L189</f>
        <v>0</v>
      </c>
      <c r="V189" s="70" t="n">
        <f aca="false">-0.89*383000</f>
        <v>-340870</v>
      </c>
      <c r="W189" s="70"/>
      <c r="X189" s="71" t="n">
        <f aca="false">SUM(V189:W189)</f>
        <v>-340870</v>
      </c>
      <c r="AA189" s="12" t="s">
        <v>107</v>
      </c>
      <c r="AC189" s="10" t="s">
        <v>94</v>
      </c>
    </row>
    <row r="190" customFormat="false" ht="12.75" hidden="false" customHeight="false" outlineLevel="0" collapsed="false">
      <c r="A190" s="10" t="n">
        <v>16</v>
      </c>
      <c r="B190" s="10" t="s">
        <v>53</v>
      </c>
      <c r="C190" s="62" t="n">
        <v>36963</v>
      </c>
      <c r="D190" s="12" t="s">
        <v>54</v>
      </c>
      <c r="H190" s="12" t="s">
        <v>117</v>
      </c>
      <c r="I190" s="63" t="n">
        <v>0</v>
      </c>
      <c r="J190" s="64" t="n">
        <f aca="false">+I190*L190</f>
        <v>0</v>
      </c>
      <c r="K190" s="85" t="n">
        <v>37257</v>
      </c>
      <c r="N190" s="86"/>
      <c r="O190" s="66" t="n">
        <f aca="false">L190*N190</f>
        <v>0</v>
      </c>
      <c r="Q190" s="68" t="n">
        <f aca="false">P190*L190</f>
        <v>0</v>
      </c>
      <c r="V190" s="70" t="n">
        <f aca="false">-0.46*383000</f>
        <v>-176180</v>
      </c>
      <c r="W190" s="70"/>
      <c r="X190" s="71" t="n">
        <f aca="false">SUM(V190:W190)</f>
        <v>-176180</v>
      </c>
      <c r="AA190" s="12" t="s">
        <v>107</v>
      </c>
      <c r="AC190" s="10" t="s">
        <v>94</v>
      </c>
    </row>
    <row r="191" customFormat="false" ht="12.75" hidden="false" customHeight="false" outlineLevel="0" collapsed="false">
      <c r="A191" s="10" t="n">
        <v>16</v>
      </c>
      <c r="B191" s="10" t="s">
        <v>53</v>
      </c>
      <c r="C191" s="62" t="n">
        <v>36963</v>
      </c>
      <c r="D191" s="12" t="s">
        <v>54</v>
      </c>
      <c r="H191" s="12" t="s">
        <v>117</v>
      </c>
      <c r="I191" s="63" t="n">
        <v>0</v>
      </c>
      <c r="J191" s="64" t="n">
        <f aca="false">+I191*L191</f>
        <v>0</v>
      </c>
      <c r="K191" s="85" t="n">
        <v>37288</v>
      </c>
      <c r="N191" s="86"/>
      <c r="O191" s="66" t="n">
        <f aca="false">L191*N191</f>
        <v>0</v>
      </c>
      <c r="Q191" s="68" t="n">
        <f aca="false">P191*L191</f>
        <v>0</v>
      </c>
      <c r="V191" s="70" t="n">
        <f aca="false">-0.46*383000</f>
        <v>-176180</v>
      </c>
      <c r="W191" s="70"/>
      <c r="X191" s="71" t="n">
        <f aca="false">SUM(V191:W191)</f>
        <v>-176180</v>
      </c>
      <c r="AA191" s="12" t="s">
        <v>107</v>
      </c>
      <c r="AC191" s="10" t="s">
        <v>94</v>
      </c>
    </row>
    <row r="192" customFormat="false" ht="12.75" hidden="false" customHeight="false" outlineLevel="0" collapsed="false">
      <c r="A192" s="10" t="n">
        <v>16</v>
      </c>
      <c r="B192" s="10" t="s">
        <v>53</v>
      </c>
      <c r="C192" s="62" t="n">
        <v>36963</v>
      </c>
      <c r="D192" s="12" t="s">
        <v>54</v>
      </c>
      <c r="H192" s="12" t="s">
        <v>117</v>
      </c>
      <c r="I192" s="63" t="n">
        <v>0</v>
      </c>
      <c r="J192" s="64" t="n">
        <f aca="false">+I192*L192</f>
        <v>0</v>
      </c>
      <c r="K192" s="85" t="n">
        <v>37316</v>
      </c>
      <c r="N192" s="86"/>
      <c r="O192" s="66" t="n">
        <f aca="false">L192*N192</f>
        <v>0</v>
      </c>
      <c r="Q192" s="68" t="n">
        <f aca="false">P192*L192</f>
        <v>0</v>
      </c>
      <c r="V192" s="70" t="n">
        <f aca="false">-0.46*383000</f>
        <v>-176180</v>
      </c>
      <c r="W192" s="70"/>
      <c r="X192" s="71" t="n">
        <f aca="false">SUM(V192:W192)</f>
        <v>-176180</v>
      </c>
      <c r="AA192" s="12" t="s">
        <v>107</v>
      </c>
      <c r="AC192" s="10" t="s">
        <v>94</v>
      </c>
    </row>
    <row r="193" customFormat="false" ht="12.75" hidden="false" customHeight="false" outlineLevel="0" collapsed="false">
      <c r="A193" s="10" t="n">
        <v>16</v>
      </c>
      <c r="B193" s="10" t="s">
        <v>53</v>
      </c>
      <c r="C193" s="62" t="n">
        <v>36963</v>
      </c>
      <c r="D193" s="12" t="s">
        <v>54</v>
      </c>
      <c r="H193" s="12" t="s">
        <v>117</v>
      </c>
      <c r="I193" s="63" t="n">
        <v>0</v>
      </c>
      <c r="J193" s="64" t="n">
        <f aca="false">+I193*L193</f>
        <v>0</v>
      </c>
      <c r="K193" s="85" t="n">
        <v>37347</v>
      </c>
      <c r="N193" s="86"/>
      <c r="O193" s="66" t="n">
        <f aca="false">L193*N193</f>
        <v>0</v>
      </c>
      <c r="Q193" s="68" t="n">
        <f aca="false">P193*L193</f>
        <v>0</v>
      </c>
      <c r="V193" s="70" t="n">
        <f aca="false">-0.46*383000</f>
        <v>-176180</v>
      </c>
      <c r="W193" s="70"/>
      <c r="X193" s="71" t="n">
        <f aca="false">SUM(V193:W193)</f>
        <v>-176180</v>
      </c>
      <c r="AA193" s="12" t="s">
        <v>107</v>
      </c>
      <c r="AC193" s="10" t="s">
        <v>94</v>
      </c>
    </row>
    <row r="194" customFormat="false" ht="12.75" hidden="false" customHeight="false" outlineLevel="0" collapsed="false">
      <c r="A194" s="10" t="n">
        <v>16</v>
      </c>
      <c r="B194" s="10" t="s">
        <v>53</v>
      </c>
      <c r="C194" s="62" t="n">
        <v>36963</v>
      </c>
      <c r="D194" s="12" t="s">
        <v>54</v>
      </c>
      <c r="H194" s="12" t="s">
        <v>117</v>
      </c>
      <c r="I194" s="63" t="n">
        <v>0</v>
      </c>
      <c r="J194" s="64" t="n">
        <f aca="false">+I194*L194</f>
        <v>0</v>
      </c>
      <c r="K194" s="85" t="n">
        <v>37377</v>
      </c>
      <c r="N194" s="86"/>
      <c r="O194" s="66" t="n">
        <f aca="false">L194*N194</f>
        <v>0</v>
      </c>
      <c r="Q194" s="68" t="n">
        <f aca="false">P194*L194</f>
        <v>0</v>
      </c>
      <c r="V194" s="70" t="n">
        <f aca="false">-0.46*383000</f>
        <v>-176180</v>
      </c>
      <c r="W194" s="70"/>
      <c r="X194" s="71" t="n">
        <f aca="false">SUM(V194:W194)</f>
        <v>-176180</v>
      </c>
      <c r="AA194" s="12" t="s">
        <v>107</v>
      </c>
      <c r="AC194" s="10" t="s">
        <v>94</v>
      </c>
    </row>
    <row r="195" customFormat="false" ht="12.75" hidden="false" customHeight="false" outlineLevel="0" collapsed="false">
      <c r="A195" s="10" t="n">
        <v>16</v>
      </c>
      <c r="B195" s="10" t="s">
        <v>53</v>
      </c>
      <c r="C195" s="62" t="n">
        <v>36963</v>
      </c>
      <c r="D195" s="12" t="s">
        <v>54</v>
      </c>
      <c r="H195" s="12" t="s">
        <v>117</v>
      </c>
      <c r="I195" s="63" t="n">
        <v>0</v>
      </c>
      <c r="J195" s="64" t="n">
        <f aca="false">+I195*L195</f>
        <v>0</v>
      </c>
      <c r="K195" s="85" t="n">
        <v>37408</v>
      </c>
      <c r="N195" s="86"/>
      <c r="O195" s="66" t="n">
        <f aca="false">L195*N195</f>
        <v>0</v>
      </c>
      <c r="Q195" s="68" t="n">
        <f aca="false">P195*L195</f>
        <v>0</v>
      </c>
      <c r="V195" s="70" t="n">
        <f aca="false">-0.46*383000</f>
        <v>-176180</v>
      </c>
      <c r="W195" s="70"/>
      <c r="X195" s="71" t="n">
        <f aca="false">SUM(V195:W195)</f>
        <v>-176180</v>
      </c>
      <c r="AA195" s="12" t="s">
        <v>107</v>
      </c>
      <c r="AC195" s="10" t="s">
        <v>94</v>
      </c>
    </row>
    <row r="196" customFormat="false" ht="12.75" hidden="false" customHeight="false" outlineLevel="0" collapsed="false">
      <c r="A196" s="10" t="n">
        <v>16</v>
      </c>
      <c r="B196" s="10" t="s">
        <v>53</v>
      </c>
      <c r="C196" s="62" t="n">
        <v>36963</v>
      </c>
      <c r="D196" s="12" t="s">
        <v>54</v>
      </c>
      <c r="H196" s="12" t="s">
        <v>117</v>
      </c>
      <c r="I196" s="63" t="n">
        <v>0</v>
      </c>
      <c r="J196" s="64" t="n">
        <f aca="false">+I196*L196</f>
        <v>0</v>
      </c>
      <c r="K196" s="85" t="n">
        <v>37438</v>
      </c>
      <c r="N196" s="86"/>
      <c r="O196" s="66" t="n">
        <f aca="false">L196*N196</f>
        <v>0</v>
      </c>
      <c r="Q196" s="68" t="n">
        <f aca="false">P196*L196</f>
        <v>0</v>
      </c>
      <c r="V196" s="70" t="n">
        <f aca="false">-0.46*383000</f>
        <v>-176180</v>
      </c>
      <c r="W196" s="70"/>
      <c r="X196" s="71" t="n">
        <f aca="false">SUM(V196:W196)</f>
        <v>-176180</v>
      </c>
      <c r="AA196" s="12" t="s">
        <v>107</v>
      </c>
      <c r="AC196" s="10" t="s">
        <v>94</v>
      </c>
    </row>
    <row r="197" customFormat="false" ht="12.75" hidden="false" customHeight="false" outlineLevel="0" collapsed="false">
      <c r="A197" s="10" t="n">
        <v>16</v>
      </c>
      <c r="B197" s="10" t="s">
        <v>53</v>
      </c>
      <c r="C197" s="62" t="n">
        <v>36963</v>
      </c>
      <c r="D197" s="12" t="s">
        <v>54</v>
      </c>
      <c r="H197" s="12" t="s">
        <v>117</v>
      </c>
      <c r="I197" s="63" t="n">
        <v>0</v>
      </c>
      <c r="J197" s="64" t="n">
        <f aca="false">+I197*L197</f>
        <v>0</v>
      </c>
      <c r="K197" s="85" t="n">
        <v>37469</v>
      </c>
      <c r="N197" s="86"/>
      <c r="O197" s="66" t="n">
        <f aca="false">L197*N197</f>
        <v>0</v>
      </c>
      <c r="Q197" s="68" t="n">
        <f aca="false">P197*L197</f>
        <v>0</v>
      </c>
      <c r="V197" s="70" t="n">
        <f aca="false">-0.46*383000</f>
        <v>-176180</v>
      </c>
      <c r="W197" s="70"/>
      <c r="X197" s="71" t="n">
        <f aca="false">SUM(V197:W197)</f>
        <v>-176180</v>
      </c>
      <c r="AA197" s="12" t="s">
        <v>107</v>
      </c>
      <c r="AC197" s="10" t="s">
        <v>94</v>
      </c>
    </row>
    <row r="198" customFormat="false" ht="12.75" hidden="false" customHeight="false" outlineLevel="0" collapsed="false">
      <c r="A198" s="10" t="n">
        <v>16</v>
      </c>
      <c r="B198" s="10" t="s">
        <v>53</v>
      </c>
      <c r="C198" s="62" t="n">
        <v>36963</v>
      </c>
      <c r="D198" s="12" t="s">
        <v>54</v>
      </c>
      <c r="H198" s="12" t="s">
        <v>117</v>
      </c>
      <c r="I198" s="63" t="n">
        <v>0</v>
      </c>
      <c r="J198" s="64" t="n">
        <f aca="false">+I198*L198</f>
        <v>0</v>
      </c>
      <c r="K198" s="85" t="n">
        <v>37500</v>
      </c>
      <c r="N198" s="86"/>
      <c r="O198" s="66" t="n">
        <f aca="false">L198*N198</f>
        <v>0</v>
      </c>
      <c r="Q198" s="68" t="n">
        <f aca="false">P198*L198</f>
        <v>0</v>
      </c>
      <c r="V198" s="70" t="n">
        <f aca="false">-0.46*383000</f>
        <v>-176180</v>
      </c>
      <c r="W198" s="70"/>
      <c r="X198" s="71" t="n">
        <f aca="false">SUM(V198:W198)</f>
        <v>-176180</v>
      </c>
      <c r="AA198" s="12" t="s">
        <v>107</v>
      </c>
      <c r="AC198" s="10" t="s">
        <v>94</v>
      </c>
    </row>
    <row r="199" customFormat="false" ht="12.75" hidden="false" customHeight="false" outlineLevel="0" collapsed="false">
      <c r="A199" s="10" t="n">
        <v>16</v>
      </c>
      <c r="B199" s="10" t="s">
        <v>53</v>
      </c>
      <c r="C199" s="62" t="n">
        <v>36963</v>
      </c>
      <c r="D199" s="12" t="s">
        <v>54</v>
      </c>
      <c r="H199" s="12" t="s">
        <v>117</v>
      </c>
      <c r="I199" s="63" t="n">
        <v>0</v>
      </c>
      <c r="J199" s="64" t="n">
        <f aca="false">+I199*L199</f>
        <v>0</v>
      </c>
      <c r="K199" s="85" t="n">
        <v>37530</v>
      </c>
      <c r="N199" s="86"/>
      <c r="O199" s="66" t="n">
        <f aca="false">L199*N199</f>
        <v>0</v>
      </c>
      <c r="Q199" s="68" t="n">
        <f aca="false">P199*L199</f>
        <v>0</v>
      </c>
      <c r="V199" s="70" t="n">
        <f aca="false">-0.46*383000</f>
        <v>-176180</v>
      </c>
      <c r="W199" s="70"/>
      <c r="X199" s="71" t="n">
        <f aca="false">SUM(V199:W199)</f>
        <v>-176180</v>
      </c>
      <c r="AA199" s="12" t="s">
        <v>107</v>
      </c>
      <c r="AC199" s="10" t="s">
        <v>94</v>
      </c>
    </row>
    <row r="200" customFormat="false" ht="12.75" hidden="false" customHeight="false" outlineLevel="0" collapsed="false">
      <c r="A200" s="10" t="n">
        <v>16</v>
      </c>
      <c r="B200" s="10" t="s">
        <v>53</v>
      </c>
      <c r="C200" s="62" t="n">
        <v>36963</v>
      </c>
      <c r="D200" s="12" t="s">
        <v>54</v>
      </c>
      <c r="H200" s="12" t="s">
        <v>117</v>
      </c>
      <c r="I200" s="63" t="n">
        <v>0</v>
      </c>
      <c r="J200" s="64" t="n">
        <f aca="false">+I200*L200</f>
        <v>0</v>
      </c>
      <c r="K200" s="85" t="n">
        <v>37561</v>
      </c>
      <c r="N200" s="86"/>
      <c r="O200" s="66" t="n">
        <f aca="false">L200*N200</f>
        <v>0</v>
      </c>
      <c r="Q200" s="68" t="n">
        <f aca="false">P200*L200</f>
        <v>0</v>
      </c>
      <c r="V200" s="70" t="n">
        <f aca="false">-0.46*383000</f>
        <v>-176180</v>
      </c>
      <c r="W200" s="70"/>
      <c r="X200" s="71" t="n">
        <f aca="false">SUM(V200:W200)</f>
        <v>-176180</v>
      </c>
      <c r="AA200" s="12" t="s">
        <v>107</v>
      </c>
      <c r="AC200" s="10" t="s">
        <v>94</v>
      </c>
    </row>
    <row r="201" customFormat="false" ht="12.75" hidden="false" customHeight="false" outlineLevel="0" collapsed="false">
      <c r="A201" s="10" t="n">
        <v>16</v>
      </c>
      <c r="B201" s="10" t="s">
        <v>53</v>
      </c>
      <c r="C201" s="62" t="n">
        <v>36963</v>
      </c>
      <c r="D201" s="12" t="s">
        <v>54</v>
      </c>
      <c r="H201" s="12" t="s">
        <v>117</v>
      </c>
      <c r="I201" s="63" t="n">
        <v>0</v>
      </c>
      <c r="J201" s="64" t="n">
        <f aca="false">+I201*L201</f>
        <v>0</v>
      </c>
      <c r="K201" s="85" t="n">
        <v>37591</v>
      </c>
      <c r="N201" s="86"/>
      <c r="O201" s="66" t="n">
        <f aca="false">L201*N201</f>
        <v>0</v>
      </c>
      <c r="Q201" s="68" t="n">
        <f aca="false">P201*L201</f>
        <v>0</v>
      </c>
      <c r="V201" s="70" t="n">
        <f aca="false">-0.46*383000</f>
        <v>-176180</v>
      </c>
      <c r="W201" s="70"/>
      <c r="X201" s="71" t="n">
        <f aca="false">SUM(V201:W201)</f>
        <v>-176180</v>
      </c>
      <c r="AA201" s="12" t="s">
        <v>107</v>
      </c>
      <c r="AC201" s="10" t="s">
        <v>94</v>
      </c>
    </row>
    <row r="202" customFormat="false" ht="12.75" hidden="false" customHeight="false" outlineLevel="0" collapsed="false">
      <c r="A202" s="10" t="n">
        <v>16</v>
      </c>
      <c r="B202" s="10" t="s">
        <v>53</v>
      </c>
      <c r="C202" s="62" t="n">
        <v>36963</v>
      </c>
      <c r="D202" s="12" t="s">
        <v>54</v>
      </c>
      <c r="H202" s="12" t="s">
        <v>117</v>
      </c>
      <c r="I202" s="63" t="n">
        <v>0</v>
      </c>
      <c r="J202" s="64" t="n">
        <f aca="false">+I202*L202</f>
        <v>0</v>
      </c>
      <c r="K202" s="85" t="n">
        <v>37622</v>
      </c>
      <c r="N202" s="86"/>
      <c r="O202" s="66" t="n">
        <f aca="false">L202*N202</f>
        <v>0</v>
      </c>
      <c r="Q202" s="68" t="n">
        <f aca="false">P202*L202</f>
        <v>0</v>
      </c>
      <c r="V202" s="70" t="n">
        <f aca="false">-0.21*383000</f>
        <v>-80430</v>
      </c>
      <c r="W202" s="70"/>
      <c r="X202" s="71" t="n">
        <f aca="false">SUM(V202:W202)</f>
        <v>-80430</v>
      </c>
      <c r="AA202" s="12" t="s">
        <v>107</v>
      </c>
      <c r="AC202" s="10" t="s">
        <v>94</v>
      </c>
    </row>
    <row r="203" customFormat="false" ht="12.75" hidden="false" customHeight="false" outlineLevel="0" collapsed="false">
      <c r="A203" s="10" t="n">
        <v>16</v>
      </c>
      <c r="B203" s="10" t="s">
        <v>53</v>
      </c>
      <c r="C203" s="62" t="n">
        <v>36963</v>
      </c>
      <c r="D203" s="12" t="s">
        <v>54</v>
      </c>
      <c r="H203" s="12" t="s">
        <v>117</v>
      </c>
      <c r="I203" s="63" t="n">
        <v>0</v>
      </c>
      <c r="J203" s="64" t="n">
        <f aca="false">+I203*L203</f>
        <v>0</v>
      </c>
      <c r="K203" s="85" t="n">
        <v>37653</v>
      </c>
      <c r="N203" s="86"/>
      <c r="O203" s="66" t="n">
        <f aca="false">L203*N203</f>
        <v>0</v>
      </c>
      <c r="Q203" s="68" t="n">
        <f aca="false">P203*L203</f>
        <v>0</v>
      </c>
      <c r="V203" s="70" t="n">
        <f aca="false">-0.21*383000</f>
        <v>-80430</v>
      </c>
      <c r="W203" s="70"/>
      <c r="X203" s="71" t="n">
        <f aca="false">SUM(V203:W203)</f>
        <v>-80430</v>
      </c>
      <c r="AA203" s="12" t="s">
        <v>107</v>
      </c>
      <c r="AC203" s="10" t="s">
        <v>94</v>
      </c>
    </row>
    <row r="204" customFormat="false" ht="12.75" hidden="false" customHeight="false" outlineLevel="0" collapsed="false">
      <c r="A204" s="10" t="n">
        <v>16</v>
      </c>
      <c r="B204" s="10" t="s">
        <v>53</v>
      </c>
      <c r="C204" s="62" t="n">
        <v>36963</v>
      </c>
      <c r="D204" s="12" t="s">
        <v>54</v>
      </c>
      <c r="H204" s="12" t="s">
        <v>117</v>
      </c>
      <c r="I204" s="63" t="n">
        <v>0</v>
      </c>
      <c r="J204" s="64" t="n">
        <f aca="false">+I204*L204</f>
        <v>0</v>
      </c>
      <c r="K204" s="85" t="n">
        <v>37681</v>
      </c>
      <c r="N204" s="86"/>
      <c r="O204" s="66" t="n">
        <f aca="false">L204*N204</f>
        <v>0</v>
      </c>
      <c r="Q204" s="68" t="n">
        <f aca="false">P204*L204</f>
        <v>0</v>
      </c>
      <c r="V204" s="70" t="n">
        <f aca="false">-0.21*383000</f>
        <v>-80430</v>
      </c>
      <c r="W204" s="70"/>
      <c r="X204" s="71" t="n">
        <f aca="false">SUM(V204:W204)</f>
        <v>-80430</v>
      </c>
      <c r="AA204" s="12" t="s">
        <v>107</v>
      </c>
      <c r="AC204" s="10" t="s">
        <v>94</v>
      </c>
    </row>
    <row r="205" customFormat="false" ht="12.75" hidden="false" customHeight="false" outlineLevel="0" collapsed="false">
      <c r="A205" s="10" t="n">
        <v>16</v>
      </c>
      <c r="B205" s="10" t="s">
        <v>53</v>
      </c>
      <c r="C205" s="62" t="n">
        <v>36963</v>
      </c>
      <c r="D205" s="12" t="s">
        <v>54</v>
      </c>
      <c r="H205" s="12" t="s">
        <v>117</v>
      </c>
      <c r="I205" s="63" t="n">
        <v>0</v>
      </c>
      <c r="J205" s="64" t="n">
        <f aca="false">+I205*L205</f>
        <v>0</v>
      </c>
      <c r="K205" s="85" t="n">
        <v>37712</v>
      </c>
      <c r="N205" s="86"/>
      <c r="O205" s="66" t="n">
        <f aca="false">L205*N205</f>
        <v>0</v>
      </c>
      <c r="Q205" s="68" t="n">
        <f aca="false">P205*L205</f>
        <v>0</v>
      </c>
      <c r="V205" s="70" t="n">
        <f aca="false">-0.21*383000</f>
        <v>-80430</v>
      </c>
      <c r="W205" s="70"/>
      <c r="X205" s="71" t="n">
        <f aca="false">SUM(V205:W205)</f>
        <v>-80430</v>
      </c>
      <c r="AA205" s="12" t="s">
        <v>107</v>
      </c>
      <c r="AC205" s="10" t="s">
        <v>94</v>
      </c>
    </row>
    <row r="206" customFormat="false" ht="12.75" hidden="false" customHeight="false" outlineLevel="0" collapsed="false">
      <c r="A206" s="10" t="n">
        <v>16</v>
      </c>
      <c r="B206" s="10" t="s">
        <v>53</v>
      </c>
      <c r="C206" s="62" t="n">
        <v>36963</v>
      </c>
      <c r="D206" s="12" t="s">
        <v>54</v>
      </c>
      <c r="H206" s="12" t="s">
        <v>117</v>
      </c>
      <c r="I206" s="63" t="n">
        <v>0</v>
      </c>
      <c r="J206" s="64" t="n">
        <f aca="false">+I206*L206</f>
        <v>0</v>
      </c>
      <c r="K206" s="85" t="n">
        <v>37742</v>
      </c>
      <c r="N206" s="86"/>
      <c r="O206" s="66" t="n">
        <f aca="false">L206*N206</f>
        <v>0</v>
      </c>
      <c r="Q206" s="68" t="n">
        <f aca="false">P206*L206</f>
        <v>0</v>
      </c>
      <c r="V206" s="70" t="n">
        <f aca="false">-0.21*383000</f>
        <v>-80430</v>
      </c>
      <c r="W206" s="70"/>
      <c r="X206" s="71" t="n">
        <f aca="false">SUM(V206:W206)</f>
        <v>-80430</v>
      </c>
      <c r="AA206" s="12" t="s">
        <v>107</v>
      </c>
      <c r="AC206" s="10" t="s">
        <v>94</v>
      </c>
    </row>
    <row r="207" customFormat="false" ht="12.75" hidden="false" customHeight="false" outlineLevel="0" collapsed="false">
      <c r="A207" s="10" t="n">
        <v>16</v>
      </c>
      <c r="B207" s="10" t="s">
        <v>53</v>
      </c>
      <c r="C207" s="62" t="n">
        <v>36963</v>
      </c>
      <c r="D207" s="12" t="s">
        <v>54</v>
      </c>
      <c r="H207" s="12" t="s">
        <v>117</v>
      </c>
      <c r="I207" s="63" t="n">
        <v>0</v>
      </c>
      <c r="J207" s="64" t="n">
        <f aca="false">+I207*L207</f>
        <v>0</v>
      </c>
      <c r="K207" s="85" t="n">
        <v>37773</v>
      </c>
      <c r="N207" s="86"/>
      <c r="O207" s="66" t="n">
        <f aca="false">L207*N207</f>
        <v>0</v>
      </c>
      <c r="Q207" s="68" t="n">
        <f aca="false">P207*L207</f>
        <v>0</v>
      </c>
      <c r="V207" s="70" t="n">
        <f aca="false">-0.21*383000</f>
        <v>-80430</v>
      </c>
      <c r="W207" s="70"/>
      <c r="X207" s="71" t="n">
        <f aca="false">SUM(V207:W207)</f>
        <v>-80430</v>
      </c>
      <c r="AA207" s="12" t="s">
        <v>107</v>
      </c>
      <c r="AC207" s="10" t="s">
        <v>94</v>
      </c>
    </row>
    <row r="208" customFormat="false" ht="12.75" hidden="false" customHeight="false" outlineLevel="0" collapsed="false">
      <c r="A208" s="10" t="n">
        <v>16</v>
      </c>
      <c r="B208" s="10" t="s">
        <v>53</v>
      </c>
      <c r="C208" s="62" t="n">
        <v>36963</v>
      </c>
      <c r="D208" s="12" t="s">
        <v>54</v>
      </c>
      <c r="H208" s="12" t="s">
        <v>117</v>
      </c>
      <c r="I208" s="63" t="n">
        <v>0</v>
      </c>
      <c r="J208" s="64" t="n">
        <f aca="false">+I208*L208</f>
        <v>0</v>
      </c>
      <c r="K208" s="85" t="n">
        <v>37803</v>
      </c>
      <c r="N208" s="86"/>
      <c r="O208" s="66" t="n">
        <f aca="false">L208*N208</f>
        <v>0</v>
      </c>
      <c r="Q208" s="68" t="n">
        <f aca="false">P208*L208</f>
        <v>0</v>
      </c>
      <c r="V208" s="70" t="n">
        <f aca="false">-0.21*383000</f>
        <v>-80430</v>
      </c>
      <c r="W208" s="70"/>
      <c r="X208" s="71" t="n">
        <f aca="false">SUM(V208:W208)</f>
        <v>-80430</v>
      </c>
      <c r="AA208" s="12" t="s">
        <v>107</v>
      </c>
      <c r="AC208" s="10" t="s">
        <v>94</v>
      </c>
    </row>
    <row r="209" customFormat="false" ht="12.75" hidden="false" customHeight="false" outlineLevel="0" collapsed="false">
      <c r="A209" s="10" t="n">
        <v>16</v>
      </c>
      <c r="B209" s="10" t="s">
        <v>53</v>
      </c>
      <c r="C209" s="62" t="n">
        <v>36963</v>
      </c>
      <c r="D209" s="12" t="s">
        <v>54</v>
      </c>
      <c r="H209" s="12" t="s">
        <v>117</v>
      </c>
      <c r="I209" s="63" t="n">
        <v>0</v>
      </c>
      <c r="J209" s="64" t="n">
        <f aca="false">+I209*L209</f>
        <v>0</v>
      </c>
      <c r="K209" s="85" t="n">
        <v>37834</v>
      </c>
      <c r="N209" s="86"/>
      <c r="O209" s="66" t="n">
        <f aca="false">L209*N209</f>
        <v>0</v>
      </c>
      <c r="Q209" s="68" t="n">
        <f aca="false">P209*L209</f>
        <v>0</v>
      </c>
      <c r="V209" s="70" t="n">
        <f aca="false">-0.21*383000</f>
        <v>-80430</v>
      </c>
      <c r="W209" s="70"/>
      <c r="X209" s="71" t="n">
        <f aca="false">SUM(V209:W209)</f>
        <v>-80430</v>
      </c>
      <c r="AA209" s="12" t="s">
        <v>107</v>
      </c>
      <c r="AC209" s="10" t="s">
        <v>94</v>
      </c>
    </row>
    <row r="210" customFormat="false" ht="12.75" hidden="false" customHeight="false" outlineLevel="0" collapsed="false">
      <c r="A210" s="10" t="n">
        <v>16</v>
      </c>
      <c r="B210" s="10" t="s">
        <v>53</v>
      </c>
      <c r="C210" s="62" t="n">
        <v>36963</v>
      </c>
      <c r="D210" s="12" t="s">
        <v>54</v>
      </c>
      <c r="H210" s="12" t="s">
        <v>117</v>
      </c>
      <c r="I210" s="63" t="n">
        <v>0</v>
      </c>
      <c r="J210" s="64" t="n">
        <f aca="false">+I210*L210</f>
        <v>0</v>
      </c>
      <c r="K210" s="85" t="n">
        <v>37865</v>
      </c>
      <c r="N210" s="86"/>
      <c r="O210" s="66" t="n">
        <f aca="false">L210*N210</f>
        <v>0</v>
      </c>
      <c r="Q210" s="68" t="n">
        <f aca="false">P210*L210</f>
        <v>0</v>
      </c>
      <c r="V210" s="70" t="n">
        <f aca="false">-0.21*383000</f>
        <v>-80430</v>
      </c>
      <c r="W210" s="70"/>
      <c r="X210" s="71" t="n">
        <f aca="false">SUM(V210:W210)</f>
        <v>-80430</v>
      </c>
      <c r="AA210" s="12" t="s">
        <v>107</v>
      </c>
      <c r="AC210" s="10" t="s">
        <v>94</v>
      </c>
    </row>
    <row r="211" customFormat="false" ht="12.75" hidden="false" customHeight="false" outlineLevel="0" collapsed="false">
      <c r="A211" s="10" t="n">
        <v>16</v>
      </c>
      <c r="B211" s="10" t="s">
        <v>53</v>
      </c>
      <c r="C211" s="62" t="n">
        <v>36963</v>
      </c>
      <c r="D211" s="12" t="s">
        <v>54</v>
      </c>
      <c r="H211" s="12" t="s">
        <v>117</v>
      </c>
      <c r="I211" s="63" t="n">
        <v>0</v>
      </c>
      <c r="J211" s="64" t="n">
        <f aca="false">+I211*L211</f>
        <v>0</v>
      </c>
      <c r="K211" s="85" t="n">
        <v>37895</v>
      </c>
      <c r="N211" s="86"/>
      <c r="O211" s="66" t="n">
        <f aca="false">L211*N211</f>
        <v>0</v>
      </c>
      <c r="Q211" s="68" t="n">
        <f aca="false">P211*L211</f>
        <v>0</v>
      </c>
      <c r="V211" s="70" t="n">
        <f aca="false">-0.21*383000</f>
        <v>-80430</v>
      </c>
      <c r="W211" s="70"/>
      <c r="X211" s="71" t="n">
        <f aca="false">SUM(V211:W211)</f>
        <v>-80430</v>
      </c>
      <c r="AA211" s="12" t="s">
        <v>107</v>
      </c>
      <c r="AC211" s="10" t="s">
        <v>94</v>
      </c>
    </row>
    <row r="212" customFormat="false" ht="12.75" hidden="false" customHeight="false" outlineLevel="0" collapsed="false">
      <c r="A212" s="10" t="n">
        <v>16</v>
      </c>
      <c r="B212" s="10" t="s">
        <v>53</v>
      </c>
      <c r="C212" s="62" t="n">
        <v>36963</v>
      </c>
      <c r="D212" s="12" t="s">
        <v>54</v>
      </c>
      <c r="H212" s="12" t="s">
        <v>117</v>
      </c>
      <c r="I212" s="63" t="n">
        <v>0</v>
      </c>
      <c r="J212" s="64" t="n">
        <f aca="false">+I212*L212</f>
        <v>0</v>
      </c>
      <c r="K212" s="85" t="n">
        <v>37926</v>
      </c>
      <c r="N212" s="86"/>
      <c r="O212" s="66" t="n">
        <f aca="false">L212*N212</f>
        <v>0</v>
      </c>
      <c r="Q212" s="68" t="n">
        <f aca="false">P212*L212</f>
        <v>0</v>
      </c>
      <c r="V212" s="70" t="n">
        <f aca="false">-0.21*383000</f>
        <v>-80430</v>
      </c>
      <c r="W212" s="70"/>
      <c r="X212" s="71" t="n">
        <f aca="false">SUM(V212:W212)</f>
        <v>-80430</v>
      </c>
      <c r="AA212" s="12" t="s">
        <v>107</v>
      </c>
      <c r="AC212" s="10" t="s">
        <v>94</v>
      </c>
    </row>
    <row r="213" customFormat="false" ht="12.75" hidden="false" customHeight="false" outlineLevel="0" collapsed="false">
      <c r="A213" s="10" t="n">
        <v>16</v>
      </c>
      <c r="B213" s="10" t="s">
        <v>53</v>
      </c>
      <c r="C213" s="62" t="n">
        <v>36963</v>
      </c>
      <c r="D213" s="12" t="s">
        <v>54</v>
      </c>
      <c r="H213" s="12" t="s">
        <v>117</v>
      </c>
      <c r="I213" s="63" t="n">
        <v>0</v>
      </c>
      <c r="J213" s="64" t="n">
        <f aca="false">+I213*L213</f>
        <v>0</v>
      </c>
      <c r="K213" s="85" t="n">
        <v>37956</v>
      </c>
      <c r="N213" s="86"/>
      <c r="O213" s="66" t="n">
        <f aca="false">L213*N213</f>
        <v>0</v>
      </c>
      <c r="Q213" s="68" t="n">
        <f aca="false">P213*L213</f>
        <v>0</v>
      </c>
      <c r="V213" s="70" t="n">
        <f aca="false">-0.21*383000</f>
        <v>-80430</v>
      </c>
      <c r="W213" s="70"/>
      <c r="X213" s="71" t="n">
        <f aca="false">SUM(V213:W213)</f>
        <v>-80430</v>
      </c>
      <c r="AA213" s="12" t="s">
        <v>107</v>
      </c>
      <c r="AC213" s="10" t="s">
        <v>94</v>
      </c>
    </row>
    <row r="215" customFormat="false" ht="12.75" hidden="false" customHeight="false" outlineLevel="0" collapsed="false">
      <c r="A215" s="10" t="n">
        <v>17</v>
      </c>
      <c r="C215" s="62" t="n">
        <v>36973</v>
      </c>
      <c r="D215" s="12" t="s">
        <v>14</v>
      </c>
      <c r="E215" s="12" t="s">
        <v>89</v>
      </c>
      <c r="F215" s="12" t="s">
        <v>90</v>
      </c>
      <c r="G215" s="10" t="s">
        <v>97</v>
      </c>
      <c r="H215" s="12" t="s">
        <v>92</v>
      </c>
      <c r="I215" s="63" t="n">
        <v>0.91</v>
      </c>
      <c r="J215" s="64" t="n">
        <f aca="false">+I215*L215</f>
        <v>54600</v>
      </c>
      <c r="K215" s="85" t="n">
        <v>36982</v>
      </c>
      <c r="L215" s="13" t="n">
        <v>60000</v>
      </c>
      <c r="M215" s="38" t="s">
        <v>8</v>
      </c>
      <c r="N215" s="86" t="n">
        <v>7</v>
      </c>
      <c r="O215" s="66" t="n">
        <f aca="false">L215*N215</f>
        <v>420000</v>
      </c>
      <c r="P215" s="67" t="n">
        <v>0.01</v>
      </c>
      <c r="Q215" s="68" t="n">
        <f aca="false">P215*L215</f>
        <v>600</v>
      </c>
      <c r="S215" s="69" t="str">
        <f aca="false">VLOOKUP(K215,Prices,HLOOKUP(F215,Column,2))</f>
        <v/>
      </c>
      <c r="T215" s="69" t="n">
        <f aca="false">IF(S215=0,VLOOKUP(K215,FWD_Prices,HLOOKUP(F215,Column,2)),0)</f>
        <v>0</v>
      </c>
      <c r="V215" s="70" t="e">
        <f aca="false">IF(H215="Swap",S215-N215,IF(H215="Call",MAX(S215-N215,0),IF(H215="Put",MAX(N215-S215,0),"Error on Structure")))*IF(G215="Buy",1,IF(G215="Sell",-1,"Error on Buy/Sell"))*L215*IF(S215=0,0,1)</f>
        <v>#VALUE!</v>
      </c>
      <c r="W215" s="70" t="n">
        <f aca="false">IF(H215="Swap",T215-N215,IF(H215="Call",MAX(T215-N215,0),IF(H215="Put",MAX(N215-T215,0),"Error on Structure")))*IF(G215="Buy",1,IF(G215="Sell",-1,"Error on Buy/Sell"))*L215*IF(T215=0,0,1)</f>
        <v>0</v>
      </c>
      <c r="X215" s="71" t="e">
        <f aca="false">SUM(V215:W215)</f>
        <v>#VALUE!</v>
      </c>
      <c r="AA215" s="12" t="s">
        <v>93</v>
      </c>
      <c r="AC215" s="10" t="s">
        <v>94</v>
      </c>
      <c r="AD215" s="12" t="s">
        <v>95</v>
      </c>
    </row>
    <row r="216" customFormat="false" ht="12.75" hidden="false" customHeight="false" outlineLevel="0" collapsed="false">
      <c r="A216" s="10" t="n">
        <v>17</v>
      </c>
      <c r="C216" s="62" t="n">
        <v>36973</v>
      </c>
      <c r="D216" s="12" t="s">
        <v>14</v>
      </c>
      <c r="E216" s="12" t="s">
        <v>89</v>
      </c>
      <c r="F216" s="12" t="s">
        <v>90</v>
      </c>
      <c r="G216" s="10" t="s">
        <v>97</v>
      </c>
      <c r="H216" s="12" t="s">
        <v>92</v>
      </c>
      <c r="I216" s="63" t="n">
        <v>0.91</v>
      </c>
      <c r="J216" s="64" t="n">
        <f aca="false">+I216*L216</f>
        <v>54600</v>
      </c>
      <c r="K216" s="85" t="n">
        <v>37012</v>
      </c>
      <c r="L216" s="13" t="n">
        <v>60000</v>
      </c>
      <c r="M216" s="38" t="s">
        <v>8</v>
      </c>
      <c r="N216" s="86" t="n">
        <v>7</v>
      </c>
      <c r="O216" s="66" t="n">
        <f aca="false">L216*N216</f>
        <v>420000</v>
      </c>
      <c r="P216" s="67" t="n">
        <v>0.01</v>
      </c>
      <c r="Q216" s="68" t="n">
        <f aca="false">P216*L216</f>
        <v>600</v>
      </c>
      <c r="S216" s="69" t="str">
        <f aca="false">VLOOKUP(K216,Prices,HLOOKUP(F216,Column,2))</f>
        <v/>
      </c>
      <c r="T216" s="69" t="n">
        <f aca="false">IF(S216=0,VLOOKUP(K216,FWD_Prices,HLOOKUP(F216,Column,2)),0)</f>
        <v>0</v>
      </c>
      <c r="V216" s="70" t="e">
        <f aca="false">IF(H216="Swap",S216-N216,IF(H216="Call",MAX(S216-N216,0),IF(H216="Put",MAX(N216-S216,0),"Error on Structure")))*IF(G216="Buy",1,IF(G216="Sell",-1,"Error on Buy/Sell"))*L216*IF(S216=0,0,1)</f>
        <v>#VALUE!</v>
      </c>
      <c r="W216" s="70" t="n">
        <f aca="false">IF(H216="Swap",T216-N216,IF(H216="Call",MAX(T216-N216,0),IF(H216="Put",MAX(N216-T216,0),"Error on Structure")))*IF(G216="Buy",1,IF(G216="Sell",-1,"Error on Buy/Sell"))*L216*IF(T216=0,0,1)</f>
        <v>0</v>
      </c>
      <c r="X216" s="71" t="e">
        <f aca="false">SUM(V216:W216)</f>
        <v>#VALUE!</v>
      </c>
      <c r="AA216" s="12" t="s">
        <v>93</v>
      </c>
      <c r="AC216" s="10" t="s">
        <v>94</v>
      </c>
      <c r="AD216" s="12" t="s">
        <v>95</v>
      </c>
    </row>
    <row r="217" customFormat="false" ht="12.75" hidden="false" customHeight="false" outlineLevel="0" collapsed="false">
      <c r="A217" s="10" t="n">
        <v>17</v>
      </c>
      <c r="C217" s="62" t="n">
        <v>36973</v>
      </c>
      <c r="D217" s="12" t="s">
        <v>14</v>
      </c>
      <c r="E217" s="12" t="s">
        <v>89</v>
      </c>
      <c r="F217" s="12" t="s">
        <v>90</v>
      </c>
      <c r="G217" s="10" t="s">
        <v>91</v>
      </c>
      <c r="H217" s="12" t="s">
        <v>98</v>
      </c>
      <c r="I217" s="63" t="n">
        <v>0</v>
      </c>
      <c r="J217" s="64" t="n">
        <f aca="false">+I217*L217</f>
        <v>0</v>
      </c>
      <c r="K217" s="85" t="n">
        <v>36982</v>
      </c>
      <c r="L217" s="13" t="n">
        <v>60000</v>
      </c>
      <c r="M217" s="38" t="s">
        <v>8</v>
      </c>
      <c r="N217" s="86" t="n">
        <v>6</v>
      </c>
      <c r="O217" s="66" t="n">
        <f aca="false">L217*N217</f>
        <v>360000</v>
      </c>
      <c r="P217" s="67" t="n">
        <v>0</v>
      </c>
      <c r="Q217" s="68" t="n">
        <f aca="false">P217*L217</f>
        <v>0</v>
      </c>
      <c r="S217" s="69" t="str">
        <f aca="false">VLOOKUP(K217,Prices,HLOOKUP(F217,Column,2))</f>
        <v/>
      </c>
      <c r="T217" s="69" t="n">
        <f aca="false">IF(S217=0,VLOOKUP(K217,FWD_Prices,HLOOKUP(F217,Column,2)),0)</f>
        <v>0</v>
      </c>
      <c r="V217" s="70" t="e">
        <f aca="false">IF(H217="Swap",S217-N217,IF(H217="Call",MAX(S217-N217,0),IF(H217="Put",MAX(N217-S217,0),"Error on Structure")))*IF(G217="Buy",1,IF(G217="Sell",-1,"Error on Buy/Sell"))*L217*IF(S217=0,0,1)</f>
        <v>#VALUE!</v>
      </c>
      <c r="W217" s="70" t="n">
        <f aca="false">IF(H217="Swap",T217-N217,IF(H217="Call",MAX(T217-N217,0),IF(H217="Put",MAX(N217-T217,0),"Error on Structure")))*IF(G217="Buy",1,IF(G217="Sell",-1,"Error on Buy/Sell"))*L217*IF(T217=0,0,1)</f>
        <v>-0</v>
      </c>
      <c r="X217" s="71" t="e">
        <f aca="false">SUM(V217:W217)</f>
        <v>#VALUE!</v>
      </c>
      <c r="AA217" s="12" t="s">
        <v>93</v>
      </c>
      <c r="AC217" s="10" t="s">
        <v>94</v>
      </c>
      <c r="AD217" s="12" t="s">
        <v>95</v>
      </c>
    </row>
    <row r="218" customFormat="false" ht="12.75" hidden="false" customHeight="false" outlineLevel="0" collapsed="false">
      <c r="A218" s="10" t="n">
        <v>17</v>
      </c>
      <c r="C218" s="62" t="n">
        <v>36973</v>
      </c>
      <c r="D218" s="12" t="s">
        <v>14</v>
      </c>
      <c r="E218" s="12" t="s">
        <v>89</v>
      </c>
      <c r="F218" s="12" t="s">
        <v>90</v>
      </c>
      <c r="G218" s="10" t="s">
        <v>91</v>
      </c>
      <c r="H218" s="12" t="s">
        <v>98</v>
      </c>
      <c r="I218" s="63" t="n">
        <v>0</v>
      </c>
      <c r="J218" s="64" t="n">
        <f aca="false">+I218*L218</f>
        <v>0</v>
      </c>
      <c r="K218" s="85" t="n">
        <v>37012</v>
      </c>
      <c r="L218" s="13" t="n">
        <v>60000</v>
      </c>
      <c r="M218" s="38" t="s">
        <v>8</v>
      </c>
      <c r="N218" s="86" t="n">
        <v>6</v>
      </c>
      <c r="O218" s="66" t="n">
        <f aca="false">L218*N218</f>
        <v>360000</v>
      </c>
      <c r="P218" s="67" t="n">
        <v>0</v>
      </c>
      <c r="Q218" s="68" t="n">
        <f aca="false">P218*L218</f>
        <v>0</v>
      </c>
      <c r="S218" s="69" t="str">
        <f aca="false">VLOOKUP(K218,Prices,HLOOKUP(F218,Column,2))</f>
        <v/>
      </c>
      <c r="T218" s="69" t="n">
        <f aca="false">IF(S218=0,VLOOKUP(K218,FWD_Prices,HLOOKUP(F218,Column,2)),0)</f>
        <v>0</v>
      </c>
      <c r="V218" s="70" t="e">
        <f aca="false">IF(H218="Swap",S218-N218,IF(H218="Call",MAX(S218-N218,0),IF(H218="Put",MAX(N218-S218,0),"Error on Structure")))*IF(G218="Buy",1,IF(G218="Sell",-1,"Error on Buy/Sell"))*L218*IF(S218=0,0,1)</f>
        <v>#VALUE!</v>
      </c>
      <c r="W218" s="70" t="n">
        <f aca="false">IF(H218="Swap",T218-N218,IF(H218="Call",MAX(T218-N218,0),IF(H218="Put",MAX(N218-T218,0),"Error on Structure")))*IF(G218="Buy",1,IF(G218="Sell",-1,"Error on Buy/Sell"))*L218*IF(T218=0,0,1)</f>
        <v>-0</v>
      </c>
      <c r="X218" s="71" t="e">
        <f aca="false">SUM(V218:W218)</f>
        <v>#VALUE!</v>
      </c>
      <c r="AA218" s="12" t="s">
        <v>93</v>
      </c>
      <c r="AC218" s="10" t="s">
        <v>94</v>
      </c>
      <c r="AD218" s="12" t="s">
        <v>95</v>
      </c>
    </row>
  </sheetData>
  <autoFilter ref="A1:AD218"/>
  <printOptions headings="false" gridLines="false" gridLinesSet="true" horizontalCentered="false" verticalCentered="false"/>
  <pageMargins left="0.25" right="0.25" top="0.984027777777778" bottom="0.984027777777778" header="0.511811023622047" footer="0.5"/>
  <pageSetup paperSize="5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>&amp;L&amp;D       &amp;T       &amp;A&amp;CPage &amp;P of &amp;N&amp;RO:\TransAcctgptg\2001 Reporting\Originations\&amp;F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66"/>
  <sheetViews>
    <sheetView showFormulas="false" showGridLines="true" showRowColHeaders="true" showZeros="true" rightToLeft="false" tabSelected="false" showOutlineSymbols="true" defaultGridColor="true" view="normal" topLeftCell="A120" colorId="64" zoomScale="100" zoomScaleNormal="100" zoomScalePageLayoutView="100" workbookViewId="0">
      <selection pane="topLeft" activeCell="L65" activeCellId="0" sqref="L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1.42"/>
    <col collapsed="false" customWidth="true" hidden="false" outlineLevel="0" max="3" min="3" style="0" width="2.7"/>
    <col collapsed="false" customWidth="true" hidden="false" outlineLevel="0" max="4" min="4" style="0" width="34.28"/>
    <col collapsed="false" customWidth="true" hidden="false" outlineLevel="0" max="5" min="5" style="0" width="2.84"/>
    <col collapsed="false" customWidth="true" hidden="false" outlineLevel="0" max="6" min="6" style="0" width="10.71"/>
    <col collapsed="false" customWidth="true" hidden="false" outlineLevel="0" max="7" min="7" style="0" width="1.99"/>
    <col collapsed="false" customWidth="true" hidden="false" outlineLevel="0" max="8" min="8" style="0" width="10.99"/>
    <col collapsed="false" customWidth="true" hidden="false" outlineLevel="0" max="9" min="9" style="0" width="2.56"/>
    <col collapsed="false" customWidth="true" hidden="false" outlineLevel="0" max="10" min="10" style="1" width="10.13"/>
    <col collapsed="false" customWidth="true" hidden="false" outlineLevel="0" max="11" min="11" style="0" width="2.42"/>
    <col collapsed="false" customWidth="true" hidden="false" outlineLevel="0" max="12" min="12" style="1" width="12.42"/>
    <col collapsed="false" customWidth="true" hidden="false" outlineLevel="0" max="13" min="13" style="0" width="2.84"/>
    <col collapsed="false" customWidth="true" hidden="false" outlineLevel="0" max="14" min="14" style="0" width="11.7"/>
  </cols>
  <sheetData>
    <row r="1" customFormat="false" ht="12.75" hidden="false" customHeight="false" outlineLevel="0" collapsed="false">
      <c r="B1" s="58" t="s">
        <v>118</v>
      </c>
    </row>
    <row r="2" customFormat="false" ht="12.75" hidden="false" customHeight="false" outlineLevel="0" collapsed="false">
      <c r="B2" s="58" t="str">
        <f aca="true">CELL("FILENAME")</f>
        <v>'file:///mnt/12tb/@roms/datasets/enron/EDRM Enron Email Data Set v2 XML/filtered-attachments/xls/Trading_Margin_2001.xls'#$2000 Summary </v>
      </c>
    </row>
    <row r="4" customFormat="false" ht="12.75" hidden="false" customHeight="false" outlineLevel="0" collapsed="false">
      <c r="B4" s="5"/>
      <c r="C4" s="5"/>
      <c r="D4" s="5"/>
      <c r="E4" s="5"/>
      <c r="F4" s="5" t="s">
        <v>1</v>
      </c>
      <c r="G4" s="5"/>
      <c r="H4" s="5" t="s">
        <v>2</v>
      </c>
      <c r="I4" s="5"/>
      <c r="J4" s="5" t="s">
        <v>3</v>
      </c>
      <c r="K4" s="5"/>
      <c r="L4" s="5"/>
      <c r="M4" s="5"/>
      <c r="N4" s="5"/>
    </row>
    <row r="5" customFormat="false" ht="13.5" hidden="false" customHeight="false" outlineLevel="0" collapsed="false">
      <c r="B5" s="7" t="s">
        <v>6</v>
      </c>
      <c r="C5" s="7"/>
      <c r="D5" s="7" t="s">
        <v>7</v>
      </c>
      <c r="E5" s="7"/>
      <c r="F5" s="7" t="s">
        <v>8</v>
      </c>
      <c r="G5" s="7"/>
      <c r="H5" s="7" t="s">
        <v>9</v>
      </c>
      <c r="I5" s="7"/>
      <c r="J5" s="7" t="s">
        <v>10</v>
      </c>
      <c r="K5" s="7"/>
      <c r="L5" s="7" t="s">
        <v>11</v>
      </c>
      <c r="M5" s="7"/>
      <c r="N5" s="7" t="s">
        <v>12</v>
      </c>
    </row>
    <row r="6" customFormat="false" ht="12.75" hidden="false" customHeight="false" outlineLevel="0" collapsed="false">
      <c r="A6" s="0" t="n">
        <v>1</v>
      </c>
      <c r="B6" s="115" t="n">
        <v>36684</v>
      </c>
      <c r="D6" s="0" t="s">
        <v>34</v>
      </c>
      <c r="F6" s="37" t="n">
        <f aca="false">754162*9</f>
        <v>6787458</v>
      </c>
      <c r="H6" s="116" t="n">
        <f aca="false">2337.9*9</f>
        <v>21041.1</v>
      </c>
      <c r="J6" s="117" t="n">
        <v>20466</v>
      </c>
      <c r="L6" s="57" t="n">
        <f aca="false">J6-H6</f>
        <v>-575.100000000002</v>
      </c>
      <c r="N6" s="0" t="s">
        <v>119</v>
      </c>
    </row>
    <row r="7" customFormat="false" ht="12.75" hidden="false" customHeight="false" outlineLevel="0" collapsed="false">
      <c r="B7" s="118" t="s">
        <v>120</v>
      </c>
      <c r="F7" s="35" t="n">
        <f aca="false">SUM(F6)</f>
        <v>6787458</v>
      </c>
      <c r="G7" s="119"/>
      <c r="H7" s="120" t="n">
        <f aca="false">SUM(H6)</f>
        <v>21041.1</v>
      </c>
      <c r="I7" s="119"/>
      <c r="J7" s="121" t="n">
        <f aca="false">SUM(J6)</f>
        <v>20466</v>
      </c>
      <c r="K7" s="119"/>
      <c r="L7" s="121" t="n">
        <f aca="false">SUM(L6)</f>
        <v>-575.100000000002</v>
      </c>
    </row>
    <row r="8" customFormat="false" ht="12.75" hidden="false" customHeight="false" outlineLevel="0" collapsed="false">
      <c r="F8" s="37"/>
      <c r="H8" s="116"/>
      <c r="J8" s="117"/>
      <c r="L8" s="57"/>
      <c r="M8" s="37"/>
    </row>
    <row r="9" customFormat="false" ht="12.75" hidden="false" customHeight="false" outlineLevel="0" collapsed="false">
      <c r="A9" s="0" t="n">
        <v>2</v>
      </c>
      <c r="B9" s="115" t="n">
        <v>36720</v>
      </c>
      <c r="D9" s="0" t="s">
        <v>121</v>
      </c>
      <c r="F9" s="37" t="n">
        <f aca="false">828140*8</f>
        <v>6625120</v>
      </c>
      <c r="H9" s="116" t="n">
        <f aca="false">14989.33*8</f>
        <v>119914.64</v>
      </c>
      <c r="J9" s="117" t="n">
        <v>115940</v>
      </c>
      <c r="L9" s="57" t="n">
        <f aca="false">J9-H9</f>
        <v>-3974.64</v>
      </c>
      <c r="M9" s="37"/>
      <c r="N9" s="0" t="s">
        <v>122</v>
      </c>
    </row>
    <row r="10" customFormat="false" ht="12.75" hidden="false" customHeight="false" outlineLevel="0" collapsed="false">
      <c r="B10" s="118" t="s">
        <v>123</v>
      </c>
      <c r="F10" s="121" t="n">
        <f aca="false">SUM(F9)</f>
        <v>6625120</v>
      </c>
      <c r="G10" s="122"/>
      <c r="H10" s="121" t="n">
        <f aca="false">SUM(H9)</f>
        <v>119914.64</v>
      </c>
      <c r="I10" s="122"/>
      <c r="J10" s="121" t="n">
        <f aca="false">SUM(J9)</f>
        <v>115940</v>
      </c>
      <c r="K10" s="122"/>
      <c r="L10" s="121" t="n">
        <f aca="false">SUM(L9)</f>
        <v>-3974.64</v>
      </c>
      <c r="M10" s="37"/>
    </row>
    <row r="11" customFormat="false" ht="12.75" hidden="false" customHeight="false" outlineLevel="0" collapsed="false">
      <c r="F11" s="37"/>
      <c r="H11" s="116"/>
      <c r="J11" s="117"/>
      <c r="L11" s="57"/>
      <c r="M11" s="37"/>
    </row>
    <row r="12" customFormat="false" ht="12.75" hidden="false" customHeight="false" outlineLevel="0" collapsed="false">
      <c r="A12" s="0" t="n">
        <v>3</v>
      </c>
      <c r="B12" s="115" t="n">
        <v>36754</v>
      </c>
      <c r="D12" s="0" t="s">
        <v>43</v>
      </c>
      <c r="F12" s="37" t="n">
        <f aca="false">151700*6</f>
        <v>910200</v>
      </c>
      <c r="H12" s="116" t="n">
        <f aca="false">758.5*6</f>
        <v>4551</v>
      </c>
      <c r="J12" s="117" t="n">
        <f aca="false">758.5*6</f>
        <v>4551</v>
      </c>
      <c r="L12" s="57"/>
      <c r="M12" s="37"/>
      <c r="N12" s="0" t="s">
        <v>124</v>
      </c>
    </row>
    <row r="13" customFormat="false" ht="12.75" hidden="false" customHeight="false" outlineLevel="0" collapsed="false">
      <c r="A13" s="0" t="n">
        <v>4</v>
      </c>
      <c r="B13" s="115" t="n">
        <v>36754</v>
      </c>
      <c r="D13" s="0" t="s">
        <v>38</v>
      </c>
      <c r="F13" s="37" t="n">
        <f aca="false">40700*6</f>
        <v>244200</v>
      </c>
      <c r="H13" s="116" t="n">
        <f aca="false">203.5*6</f>
        <v>1221</v>
      </c>
      <c r="J13" s="117" t="n">
        <v>1221</v>
      </c>
      <c r="L13" s="57"/>
      <c r="M13" s="37"/>
      <c r="N13" s="0" t="s">
        <v>124</v>
      </c>
    </row>
    <row r="14" customFormat="false" ht="12.75" hidden="false" customHeight="false" outlineLevel="0" collapsed="false">
      <c r="B14" s="115"/>
      <c r="F14" s="37"/>
      <c r="H14" s="116"/>
      <c r="J14" s="117"/>
      <c r="L14" s="57"/>
      <c r="M14" s="37"/>
    </row>
    <row r="15" customFormat="false" ht="12.75" hidden="false" customHeight="false" outlineLevel="0" collapsed="false">
      <c r="A15" s="0" t="n">
        <v>5</v>
      </c>
      <c r="B15" s="115" t="n">
        <v>36760</v>
      </c>
      <c r="D15" s="0" t="s">
        <v>125</v>
      </c>
      <c r="F15" s="37" t="n">
        <f aca="false">30000*6</f>
        <v>180000</v>
      </c>
      <c r="H15" s="116" t="n">
        <f aca="false">150*6</f>
        <v>900</v>
      </c>
      <c r="J15" s="117" t="n">
        <v>6000</v>
      </c>
      <c r="L15" s="57" t="n">
        <f aca="false">SUM(H15:H19)-J15</f>
        <v>0</v>
      </c>
      <c r="M15" s="37"/>
      <c r="N15" s="0" t="s">
        <v>124</v>
      </c>
    </row>
    <row r="16" customFormat="false" ht="12.75" hidden="false" customHeight="false" outlineLevel="0" collapsed="false">
      <c r="A16" s="0" t="n">
        <v>6</v>
      </c>
      <c r="B16" s="115" t="n">
        <v>36760</v>
      </c>
      <c r="D16" s="0" t="s">
        <v>126</v>
      </c>
      <c r="F16" s="37" t="n">
        <f aca="false">(50000*6)+(30000*3)</f>
        <v>390000</v>
      </c>
      <c r="H16" s="116" t="n">
        <f aca="false">(500*6)+(300*3)</f>
        <v>3900</v>
      </c>
      <c r="J16" s="117" t="s">
        <v>127</v>
      </c>
      <c r="L16" s="57"/>
      <c r="M16" s="37"/>
      <c r="N16" s="0" t="s">
        <v>128</v>
      </c>
    </row>
    <row r="17" customFormat="false" ht="12.75" hidden="false" customHeight="false" outlineLevel="0" collapsed="false">
      <c r="A17" s="0" t="n">
        <v>7</v>
      </c>
      <c r="B17" s="115" t="n">
        <v>36760</v>
      </c>
      <c r="D17" s="0" t="s">
        <v>129</v>
      </c>
      <c r="F17" s="37" t="n">
        <f aca="false">20000*6</f>
        <v>120000</v>
      </c>
      <c r="H17" s="116" t="n">
        <f aca="false">100*6</f>
        <v>600</v>
      </c>
      <c r="J17" s="117" t="s">
        <v>127</v>
      </c>
      <c r="L17" s="57"/>
      <c r="M17" s="37"/>
      <c r="N17" s="0" t="s">
        <v>124</v>
      </c>
    </row>
    <row r="18" customFormat="false" ht="12.75" hidden="false" customHeight="false" outlineLevel="0" collapsed="false">
      <c r="A18" s="0" t="n">
        <v>8</v>
      </c>
      <c r="B18" s="115" t="n">
        <v>36760</v>
      </c>
      <c r="D18" s="0" t="s">
        <v>130</v>
      </c>
      <c r="F18" s="37" t="n">
        <f aca="false">10000*6</f>
        <v>60000</v>
      </c>
      <c r="H18" s="116" t="n">
        <f aca="false">50*6</f>
        <v>300</v>
      </c>
      <c r="J18" s="117" t="s">
        <v>127</v>
      </c>
      <c r="L18" s="57"/>
      <c r="M18" s="37"/>
      <c r="N18" s="0" t="s">
        <v>124</v>
      </c>
    </row>
    <row r="19" customFormat="false" ht="12.75" hidden="false" customHeight="false" outlineLevel="0" collapsed="false">
      <c r="A19" s="0" t="n">
        <v>9</v>
      </c>
      <c r="B19" s="115" t="n">
        <v>36760</v>
      </c>
      <c r="D19" s="0" t="s">
        <v>131</v>
      </c>
      <c r="F19" s="37" t="n">
        <f aca="false">10000*6</f>
        <v>60000</v>
      </c>
      <c r="H19" s="116" t="n">
        <f aca="false">50*6</f>
        <v>300</v>
      </c>
      <c r="J19" s="117" t="s">
        <v>127</v>
      </c>
      <c r="M19" s="37"/>
      <c r="N19" s="0" t="s">
        <v>124</v>
      </c>
    </row>
    <row r="20" customFormat="false" ht="12.75" hidden="false" customHeight="false" outlineLevel="0" collapsed="false">
      <c r="B20" s="115"/>
      <c r="F20" s="37"/>
      <c r="H20" s="116"/>
      <c r="J20" s="117"/>
      <c r="L20" s="57"/>
      <c r="M20" s="37"/>
    </row>
    <row r="21" customFormat="false" ht="12.75" hidden="false" customHeight="false" outlineLevel="0" collapsed="false">
      <c r="A21" s="0" t="n">
        <v>10</v>
      </c>
      <c r="B21" s="115" t="n">
        <v>36761</v>
      </c>
      <c r="D21" s="0" t="s">
        <v>132</v>
      </c>
      <c r="F21" s="37" t="n">
        <f aca="false">10000*6</f>
        <v>60000</v>
      </c>
      <c r="H21" s="116" t="n">
        <f aca="false">50*6</f>
        <v>300</v>
      </c>
      <c r="J21" s="117" t="n">
        <v>300</v>
      </c>
      <c r="L21" s="57" t="n">
        <f aca="false">J21-H21</f>
        <v>0</v>
      </c>
      <c r="M21" s="37"/>
      <c r="N21" s="0" t="s">
        <v>124</v>
      </c>
    </row>
    <row r="22" customFormat="false" ht="12.75" hidden="false" customHeight="false" outlineLevel="0" collapsed="false">
      <c r="A22" s="0" t="n">
        <v>11</v>
      </c>
      <c r="B22" s="115" t="n">
        <v>36761</v>
      </c>
      <c r="D22" s="0" t="s">
        <v>132</v>
      </c>
      <c r="F22" s="37" t="n">
        <f aca="false">10000*6</f>
        <v>60000</v>
      </c>
      <c r="H22" s="116" t="n">
        <f aca="false">50*6</f>
        <v>300</v>
      </c>
      <c r="J22" s="117" t="n">
        <v>300</v>
      </c>
      <c r="L22" s="57" t="n">
        <f aca="false">J22-H22</f>
        <v>0</v>
      </c>
      <c r="M22" s="37"/>
      <c r="N22" s="0" t="s">
        <v>124</v>
      </c>
    </row>
    <row r="23" customFormat="false" ht="12.75" hidden="false" customHeight="false" outlineLevel="0" collapsed="false">
      <c r="A23" s="0" t="n">
        <v>12</v>
      </c>
      <c r="B23" s="115" t="n">
        <v>36761</v>
      </c>
      <c r="D23" s="0" t="s">
        <v>132</v>
      </c>
      <c r="F23" s="37" t="n">
        <f aca="false">10000*6</f>
        <v>60000</v>
      </c>
      <c r="H23" s="116" t="n">
        <f aca="false">50*6</f>
        <v>300</v>
      </c>
      <c r="J23" s="117" t="n">
        <v>300</v>
      </c>
      <c r="L23" s="57" t="n">
        <f aca="false">J23-H23</f>
        <v>0</v>
      </c>
      <c r="M23" s="37"/>
      <c r="N23" s="0" t="s">
        <v>124</v>
      </c>
    </row>
    <row r="24" customFormat="false" ht="12.75" hidden="false" customHeight="false" outlineLevel="0" collapsed="false">
      <c r="B24" s="115"/>
      <c r="F24" s="37"/>
      <c r="H24" s="116"/>
      <c r="J24" s="117"/>
      <c r="L24" s="57"/>
      <c r="M24" s="37"/>
    </row>
    <row r="25" customFormat="false" ht="12.75" hidden="false" customHeight="false" outlineLevel="0" collapsed="false">
      <c r="A25" s="0" t="n">
        <v>13</v>
      </c>
      <c r="B25" s="115" t="n">
        <v>36761</v>
      </c>
      <c r="D25" s="0" t="s">
        <v>133</v>
      </c>
      <c r="F25" s="37" t="n">
        <f aca="false">6000*6</f>
        <v>36000</v>
      </c>
      <c r="H25" s="116" t="n">
        <f aca="false">30*6</f>
        <v>180</v>
      </c>
      <c r="J25" s="117" t="n">
        <v>21222</v>
      </c>
      <c r="L25" s="57" t="n">
        <f aca="false">SUM(H25:H53)*-1+J25</f>
        <v>0</v>
      </c>
      <c r="M25" s="37"/>
      <c r="N25" s="0" t="s">
        <v>124</v>
      </c>
    </row>
    <row r="26" customFormat="false" ht="12.75" hidden="false" customHeight="false" outlineLevel="0" collapsed="false">
      <c r="A26" s="0" t="n">
        <v>14</v>
      </c>
      <c r="B26" s="115" t="n">
        <v>36761</v>
      </c>
      <c r="D26" s="0" t="s">
        <v>134</v>
      </c>
      <c r="F26" s="37" t="n">
        <f aca="false">800*6</f>
        <v>4800</v>
      </c>
      <c r="H26" s="116" t="n">
        <f aca="false">4*6</f>
        <v>24</v>
      </c>
      <c r="J26" s="117" t="s">
        <v>127</v>
      </c>
      <c r="L26" s="57"/>
      <c r="M26" s="37"/>
      <c r="N26" s="0" t="s">
        <v>124</v>
      </c>
    </row>
    <row r="27" customFormat="false" ht="12.75" hidden="false" customHeight="false" outlineLevel="0" collapsed="false">
      <c r="A27" s="0" t="n">
        <v>15</v>
      </c>
      <c r="B27" s="115" t="n">
        <v>36761</v>
      </c>
      <c r="D27" s="0" t="s">
        <v>135</v>
      </c>
      <c r="F27" s="37" t="n">
        <f aca="false">600*6</f>
        <v>3600</v>
      </c>
      <c r="H27" s="116" t="n">
        <f aca="false">3*6</f>
        <v>18</v>
      </c>
      <c r="J27" s="117" t="s">
        <v>127</v>
      </c>
      <c r="L27" s="57"/>
      <c r="M27" s="37"/>
      <c r="N27" s="0" t="s">
        <v>124</v>
      </c>
    </row>
    <row r="28" customFormat="false" ht="12.75" hidden="false" customHeight="false" outlineLevel="0" collapsed="false">
      <c r="A28" s="0" t="n">
        <v>16</v>
      </c>
      <c r="B28" s="115" t="n">
        <v>36761</v>
      </c>
      <c r="D28" s="0" t="s">
        <v>136</v>
      </c>
      <c r="F28" s="37" t="n">
        <f aca="false">20000*6</f>
        <v>120000</v>
      </c>
      <c r="H28" s="116" t="n">
        <v>0</v>
      </c>
      <c r="J28" s="117" t="s">
        <v>127</v>
      </c>
      <c r="L28" s="57"/>
      <c r="M28" s="37"/>
      <c r="N28" s="0" t="s">
        <v>137</v>
      </c>
    </row>
    <row r="29" customFormat="false" ht="12.75" hidden="false" customHeight="false" outlineLevel="0" collapsed="false">
      <c r="A29" s="0" t="n">
        <v>17</v>
      </c>
      <c r="B29" s="115" t="n">
        <v>36762</v>
      </c>
      <c r="D29" s="0" t="s">
        <v>138</v>
      </c>
      <c r="F29" s="37" t="n">
        <f aca="false">250000*12</f>
        <v>3000000</v>
      </c>
      <c r="H29" s="116" t="n">
        <f aca="false">2500*6</f>
        <v>15000</v>
      </c>
      <c r="J29" s="117" t="s">
        <v>127</v>
      </c>
      <c r="L29" s="57"/>
      <c r="M29" s="37"/>
      <c r="N29" s="0" t="s">
        <v>139</v>
      </c>
    </row>
    <row r="30" customFormat="false" ht="12.75" hidden="false" customHeight="false" outlineLevel="0" collapsed="false">
      <c r="A30" s="0" t="n">
        <v>18</v>
      </c>
      <c r="B30" s="115" t="n">
        <v>36762</v>
      </c>
      <c r="D30" s="12" t="s">
        <v>140</v>
      </c>
      <c r="F30" s="37" t="n">
        <f aca="false">6000*6</f>
        <v>36000</v>
      </c>
      <c r="H30" s="116" t="n">
        <f aca="false">30*6</f>
        <v>180</v>
      </c>
      <c r="J30" s="117" t="s">
        <v>127</v>
      </c>
      <c r="L30" s="57"/>
      <c r="M30" s="37"/>
      <c r="N30" s="0" t="s">
        <v>124</v>
      </c>
    </row>
    <row r="31" customFormat="false" ht="12.75" hidden="false" customHeight="false" outlineLevel="0" collapsed="false">
      <c r="A31" s="0" t="n">
        <v>19</v>
      </c>
      <c r="B31" s="115" t="n">
        <v>36762</v>
      </c>
      <c r="D31" s="12" t="s">
        <v>141</v>
      </c>
      <c r="F31" s="37" t="n">
        <f aca="false">6000*6</f>
        <v>36000</v>
      </c>
      <c r="H31" s="116" t="n">
        <f aca="false">30*6</f>
        <v>180</v>
      </c>
      <c r="J31" s="117" t="s">
        <v>127</v>
      </c>
      <c r="L31" s="57"/>
      <c r="M31" s="37"/>
      <c r="N31" s="0" t="s">
        <v>124</v>
      </c>
    </row>
    <row r="32" customFormat="false" ht="12.75" hidden="false" customHeight="false" outlineLevel="0" collapsed="false">
      <c r="A32" s="0" t="n">
        <v>20</v>
      </c>
      <c r="B32" s="115" t="n">
        <v>36762</v>
      </c>
      <c r="D32" s="12" t="s">
        <v>142</v>
      </c>
      <c r="F32" s="37" t="n">
        <f aca="false">14000*6</f>
        <v>84000</v>
      </c>
      <c r="H32" s="116" t="n">
        <f aca="false">70*6</f>
        <v>420</v>
      </c>
      <c r="J32" s="117" t="s">
        <v>127</v>
      </c>
      <c r="L32" s="57"/>
      <c r="M32" s="37"/>
      <c r="N32" s="0" t="s">
        <v>124</v>
      </c>
    </row>
    <row r="33" customFormat="false" ht="12.75" hidden="false" customHeight="false" outlineLevel="0" collapsed="false">
      <c r="A33" s="0" t="n">
        <v>21</v>
      </c>
      <c r="B33" s="115" t="n">
        <v>36762</v>
      </c>
      <c r="D33" s="12" t="s">
        <v>143</v>
      </c>
      <c r="F33" s="37" t="n">
        <f aca="false">6000*6</f>
        <v>36000</v>
      </c>
      <c r="H33" s="116" t="n">
        <f aca="false">30*6</f>
        <v>180</v>
      </c>
      <c r="J33" s="117" t="s">
        <v>127</v>
      </c>
      <c r="L33" s="57"/>
      <c r="M33" s="37"/>
      <c r="N33" s="0" t="s">
        <v>124</v>
      </c>
    </row>
    <row r="34" customFormat="false" ht="12.75" hidden="false" customHeight="false" outlineLevel="0" collapsed="false">
      <c r="A34" s="0" t="n">
        <v>22</v>
      </c>
      <c r="B34" s="115" t="n">
        <v>36762</v>
      </c>
      <c r="D34" s="12" t="s">
        <v>144</v>
      </c>
      <c r="F34" s="37" t="n">
        <f aca="false">14000*6</f>
        <v>84000</v>
      </c>
      <c r="H34" s="116" t="n">
        <f aca="false">70*6</f>
        <v>420</v>
      </c>
      <c r="J34" s="117" t="s">
        <v>127</v>
      </c>
      <c r="L34" s="57"/>
      <c r="M34" s="37"/>
      <c r="N34" s="0" t="s">
        <v>124</v>
      </c>
    </row>
    <row r="35" customFormat="false" ht="12.75" hidden="false" customHeight="false" outlineLevel="0" collapsed="false">
      <c r="A35" s="0" t="n">
        <v>23</v>
      </c>
      <c r="B35" s="115" t="n">
        <v>36762</v>
      </c>
      <c r="D35" s="12" t="s">
        <v>145</v>
      </c>
      <c r="F35" s="37" t="n">
        <f aca="false">4000*6</f>
        <v>24000</v>
      </c>
      <c r="H35" s="116" t="n">
        <f aca="false">20*6</f>
        <v>120</v>
      </c>
      <c r="J35" s="117" t="s">
        <v>127</v>
      </c>
      <c r="L35" s="57"/>
      <c r="M35" s="37"/>
      <c r="N35" s="0" t="s">
        <v>124</v>
      </c>
    </row>
    <row r="36" customFormat="false" ht="12.75" hidden="false" customHeight="false" outlineLevel="0" collapsed="false">
      <c r="A36" s="0" t="n">
        <v>24</v>
      </c>
      <c r="B36" s="115" t="n">
        <v>36762</v>
      </c>
      <c r="D36" s="12" t="s">
        <v>146</v>
      </c>
      <c r="F36" s="37" t="n">
        <f aca="false">10000*6</f>
        <v>60000</v>
      </c>
      <c r="H36" s="116" t="n">
        <f aca="false">50*6</f>
        <v>300</v>
      </c>
      <c r="J36" s="117" t="s">
        <v>127</v>
      </c>
      <c r="L36" s="57"/>
      <c r="M36" s="37"/>
      <c r="N36" s="0" t="s">
        <v>124</v>
      </c>
    </row>
    <row r="37" customFormat="false" ht="12.75" hidden="false" customHeight="false" outlineLevel="0" collapsed="false">
      <c r="A37" s="0" t="n">
        <v>25</v>
      </c>
      <c r="B37" s="115" t="n">
        <v>36762</v>
      </c>
      <c r="D37" s="12" t="s">
        <v>147</v>
      </c>
      <c r="F37" s="37" t="n">
        <f aca="false">7000*6</f>
        <v>42000</v>
      </c>
      <c r="H37" s="116" t="n">
        <f aca="false">35*6</f>
        <v>210</v>
      </c>
      <c r="J37" s="117" t="s">
        <v>127</v>
      </c>
      <c r="L37" s="57"/>
      <c r="M37" s="37"/>
      <c r="N37" s="0" t="s">
        <v>124</v>
      </c>
    </row>
    <row r="38" customFormat="false" ht="12.75" hidden="false" customHeight="false" outlineLevel="0" collapsed="false">
      <c r="A38" s="0" t="n">
        <v>26</v>
      </c>
      <c r="B38" s="115" t="n">
        <v>36762</v>
      </c>
      <c r="D38" s="12" t="s">
        <v>148</v>
      </c>
      <c r="F38" s="37" t="n">
        <f aca="false">6000*6</f>
        <v>36000</v>
      </c>
      <c r="H38" s="116" t="n">
        <f aca="false">30*6</f>
        <v>180</v>
      </c>
      <c r="J38" s="117" t="s">
        <v>127</v>
      </c>
      <c r="L38" s="57"/>
      <c r="M38" s="37"/>
      <c r="N38" s="0" t="s">
        <v>124</v>
      </c>
    </row>
    <row r="39" customFormat="false" ht="12.75" hidden="false" customHeight="false" outlineLevel="0" collapsed="false">
      <c r="A39" s="0" t="n">
        <v>27</v>
      </c>
      <c r="B39" s="115" t="n">
        <v>36762</v>
      </c>
      <c r="D39" s="12" t="s">
        <v>149</v>
      </c>
      <c r="F39" s="37" t="n">
        <f aca="false">13000*6</f>
        <v>78000</v>
      </c>
      <c r="H39" s="116" t="n">
        <f aca="false">65*6</f>
        <v>390</v>
      </c>
      <c r="J39" s="117" t="s">
        <v>127</v>
      </c>
      <c r="L39" s="57"/>
      <c r="M39" s="37"/>
      <c r="N39" s="0" t="s">
        <v>124</v>
      </c>
    </row>
    <row r="40" customFormat="false" ht="12.75" hidden="false" customHeight="false" outlineLevel="0" collapsed="false">
      <c r="A40" s="0" t="n">
        <v>28</v>
      </c>
      <c r="B40" s="115" t="n">
        <v>36762</v>
      </c>
      <c r="D40" s="12" t="s">
        <v>150</v>
      </c>
      <c r="F40" s="37" t="n">
        <f aca="false">16000*6</f>
        <v>96000</v>
      </c>
      <c r="H40" s="116" t="n">
        <f aca="false">80*6</f>
        <v>480</v>
      </c>
      <c r="J40" s="117" t="s">
        <v>127</v>
      </c>
      <c r="L40" s="57"/>
      <c r="M40" s="37"/>
      <c r="N40" s="0" t="s">
        <v>124</v>
      </c>
    </row>
    <row r="41" customFormat="false" ht="12.75" hidden="false" customHeight="false" outlineLevel="0" collapsed="false">
      <c r="A41" s="0" t="n">
        <v>29</v>
      </c>
      <c r="B41" s="115" t="n">
        <v>36762</v>
      </c>
      <c r="D41" s="12" t="s">
        <v>151</v>
      </c>
      <c r="F41" s="37" t="n">
        <f aca="false">6000*6</f>
        <v>36000</v>
      </c>
      <c r="H41" s="116" t="n">
        <f aca="false">30*6</f>
        <v>180</v>
      </c>
      <c r="J41" s="117" t="s">
        <v>127</v>
      </c>
      <c r="L41" s="57"/>
      <c r="M41" s="37"/>
      <c r="N41" s="0" t="s">
        <v>124</v>
      </c>
    </row>
    <row r="42" customFormat="false" ht="12.75" hidden="false" customHeight="false" outlineLevel="0" collapsed="false">
      <c r="A42" s="0" t="n">
        <v>30</v>
      </c>
      <c r="B42" s="115" t="n">
        <v>36762</v>
      </c>
      <c r="D42" s="12" t="s">
        <v>152</v>
      </c>
      <c r="F42" s="37" t="n">
        <f aca="false">1000*6</f>
        <v>6000</v>
      </c>
      <c r="H42" s="116" t="n">
        <f aca="false">5*6</f>
        <v>30</v>
      </c>
      <c r="J42" s="117" t="s">
        <v>127</v>
      </c>
      <c r="L42" s="57"/>
      <c r="M42" s="37"/>
      <c r="N42" s="0" t="s">
        <v>124</v>
      </c>
    </row>
    <row r="43" customFormat="false" ht="12.75" hidden="false" customHeight="false" outlineLevel="0" collapsed="false">
      <c r="A43" s="0" t="n">
        <v>31</v>
      </c>
      <c r="B43" s="115" t="n">
        <v>36762</v>
      </c>
      <c r="D43" s="12" t="s">
        <v>153</v>
      </c>
      <c r="F43" s="37" t="n">
        <f aca="false">10000*6</f>
        <v>60000</v>
      </c>
      <c r="H43" s="116" t="n">
        <f aca="false">50*6</f>
        <v>300</v>
      </c>
      <c r="J43" s="117" t="s">
        <v>127</v>
      </c>
      <c r="L43" s="57"/>
      <c r="M43" s="37"/>
      <c r="N43" s="0" t="s">
        <v>124</v>
      </c>
    </row>
    <row r="44" customFormat="false" ht="12.75" hidden="false" customHeight="false" outlineLevel="0" collapsed="false">
      <c r="A44" s="0" t="n">
        <v>32</v>
      </c>
      <c r="B44" s="115" t="n">
        <v>36762</v>
      </c>
      <c r="D44" s="12" t="s">
        <v>154</v>
      </c>
      <c r="F44" s="37" t="n">
        <f aca="false">3000*6</f>
        <v>18000</v>
      </c>
      <c r="H44" s="116" t="n">
        <f aca="false">15*6</f>
        <v>90</v>
      </c>
      <c r="J44" s="117" t="s">
        <v>127</v>
      </c>
      <c r="L44" s="57"/>
      <c r="M44" s="37"/>
      <c r="N44" s="0" t="s">
        <v>124</v>
      </c>
    </row>
    <row r="45" customFormat="false" ht="12.75" hidden="false" customHeight="false" outlineLevel="0" collapsed="false">
      <c r="A45" s="0" t="n">
        <v>33</v>
      </c>
      <c r="B45" s="115" t="n">
        <v>36762</v>
      </c>
      <c r="D45" s="12" t="s">
        <v>155</v>
      </c>
      <c r="F45" s="37" t="n">
        <f aca="false">6000*6</f>
        <v>36000</v>
      </c>
      <c r="H45" s="116" t="n">
        <f aca="false">30*6</f>
        <v>180</v>
      </c>
      <c r="J45" s="117" t="s">
        <v>127</v>
      </c>
      <c r="L45" s="57"/>
      <c r="M45" s="37"/>
      <c r="N45" s="0" t="s">
        <v>124</v>
      </c>
    </row>
    <row r="46" customFormat="false" ht="12.75" hidden="false" customHeight="false" outlineLevel="0" collapsed="false">
      <c r="A46" s="0" t="n">
        <v>34</v>
      </c>
      <c r="B46" s="115" t="n">
        <v>36762</v>
      </c>
      <c r="D46" s="12" t="s">
        <v>156</v>
      </c>
      <c r="F46" s="37" t="n">
        <f aca="false">8000*6</f>
        <v>48000</v>
      </c>
      <c r="H46" s="116" t="n">
        <f aca="false">40*6</f>
        <v>240</v>
      </c>
      <c r="J46" s="117" t="s">
        <v>127</v>
      </c>
      <c r="L46" s="57"/>
      <c r="M46" s="37"/>
      <c r="N46" s="0" t="s">
        <v>124</v>
      </c>
    </row>
    <row r="47" customFormat="false" ht="12.75" hidden="false" customHeight="false" outlineLevel="0" collapsed="false">
      <c r="A47" s="0" t="n">
        <v>35</v>
      </c>
      <c r="B47" s="115" t="n">
        <v>36762</v>
      </c>
      <c r="D47" s="12" t="s">
        <v>157</v>
      </c>
      <c r="F47" s="37" t="n">
        <f aca="false">2000*6</f>
        <v>12000</v>
      </c>
      <c r="H47" s="116" t="n">
        <f aca="false">10*6</f>
        <v>60</v>
      </c>
      <c r="J47" s="117" t="s">
        <v>127</v>
      </c>
      <c r="L47" s="57"/>
      <c r="M47" s="37"/>
      <c r="N47" s="0" t="s">
        <v>124</v>
      </c>
    </row>
    <row r="48" customFormat="false" ht="12.75" hidden="false" customHeight="false" outlineLevel="0" collapsed="false">
      <c r="A48" s="0" t="n">
        <v>36</v>
      </c>
      <c r="B48" s="115" t="n">
        <v>36762</v>
      </c>
      <c r="D48" s="12" t="s">
        <v>158</v>
      </c>
      <c r="F48" s="37" t="n">
        <f aca="false">4000*6</f>
        <v>24000</v>
      </c>
      <c r="H48" s="116" t="n">
        <f aca="false">20*6</f>
        <v>120</v>
      </c>
      <c r="J48" s="117" t="s">
        <v>127</v>
      </c>
      <c r="L48" s="57"/>
      <c r="M48" s="37"/>
      <c r="N48" s="0" t="s">
        <v>124</v>
      </c>
    </row>
    <row r="49" customFormat="false" ht="12.75" hidden="false" customHeight="false" outlineLevel="0" collapsed="false">
      <c r="A49" s="0" t="n">
        <v>37</v>
      </c>
      <c r="B49" s="115" t="n">
        <v>36762</v>
      </c>
      <c r="D49" s="12" t="s">
        <v>159</v>
      </c>
      <c r="F49" s="37" t="n">
        <f aca="false">4000*6</f>
        <v>24000</v>
      </c>
      <c r="H49" s="116" t="n">
        <f aca="false">20*6</f>
        <v>120</v>
      </c>
      <c r="J49" s="117" t="s">
        <v>127</v>
      </c>
      <c r="L49" s="57"/>
      <c r="M49" s="37"/>
      <c r="N49" s="0" t="s">
        <v>124</v>
      </c>
    </row>
    <row r="50" customFormat="false" ht="12.75" hidden="false" customHeight="false" outlineLevel="0" collapsed="false">
      <c r="A50" s="0" t="n">
        <v>38</v>
      </c>
      <c r="B50" s="115" t="n">
        <v>36762</v>
      </c>
      <c r="D50" s="12" t="s">
        <v>160</v>
      </c>
      <c r="F50" s="37" t="n">
        <f aca="false">38000*6</f>
        <v>228000</v>
      </c>
      <c r="H50" s="116" t="n">
        <f aca="false">190*6</f>
        <v>1140</v>
      </c>
      <c r="J50" s="117" t="s">
        <v>127</v>
      </c>
      <c r="L50" s="57"/>
      <c r="M50" s="37"/>
      <c r="N50" s="0" t="s">
        <v>124</v>
      </c>
    </row>
    <row r="51" customFormat="false" ht="12.75" hidden="false" customHeight="false" outlineLevel="0" collapsed="false">
      <c r="A51" s="0" t="n">
        <v>39</v>
      </c>
      <c r="B51" s="115" t="n">
        <v>36762</v>
      </c>
      <c r="D51" s="12" t="s">
        <v>161</v>
      </c>
      <c r="F51" s="37" t="n">
        <f aca="false">6000*6</f>
        <v>36000</v>
      </c>
      <c r="H51" s="116" t="n">
        <f aca="false">30*6</f>
        <v>180</v>
      </c>
      <c r="J51" s="117" t="s">
        <v>127</v>
      </c>
      <c r="L51" s="57"/>
      <c r="M51" s="37"/>
      <c r="N51" s="0" t="s">
        <v>124</v>
      </c>
    </row>
    <row r="52" customFormat="false" ht="12.75" hidden="false" customHeight="false" outlineLevel="0" collapsed="false">
      <c r="A52" s="0" t="n">
        <v>40</v>
      </c>
      <c r="B52" s="115" t="n">
        <v>36762</v>
      </c>
      <c r="D52" s="12" t="s">
        <v>162</v>
      </c>
      <c r="F52" s="37" t="n">
        <f aca="false">10000*6</f>
        <v>60000</v>
      </c>
      <c r="H52" s="116" t="n">
        <f aca="false">50*6</f>
        <v>300</v>
      </c>
      <c r="J52" s="117" t="s">
        <v>127</v>
      </c>
      <c r="L52" s="57"/>
      <c r="M52" s="37"/>
      <c r="N52" s="0" t="s">
        <v>124</v>
      </c>
    </row>
    <row r="53" customFormat="false" ht="12.75" hidden="false" customHeight="false" outlineLevel="0" collapsed="false">
      <c r="A53" s="0" t="n">
        <v>41</v>
      </c>
      <c r="B53" s="115" t="n">
        <v>36762</v>
      </c>
      <c r="D53" s="12" t="s">
        <v>163</v>
      </c>
      <c r="F53" s="37" t="n">
        <f aca="false">40000*6</f>
        <v>240000</v>
      </c>
      <c r="H53" s="116" t="n">
        <v>0</v>
      </c>
      <c r="J53" s="117" t="s">
        <v>127</v>
      </c>
      <c r="M53" s="37"/>
      <c r="N53" s="0" t="s">
        <v>124</v>
      </c>
    </row>
    <row r="54" customFormat="false" ht="12.75" hidden="false" customHeight="false" outlineLevel="0" collapsed="false">
      <c r="D54" s="58"/>
      <c r="F54" s="37"/>
      <c r="H54" s="116"/>
      <c r="J54" s="117"/>
      <c r="L54" s="57"/>
      <c r="M54" s="37"/>
    </row>
    <row r="55" customFormat="false" ht="12.75" hidden="false" customHeight="false" outlineLevel="0" collapsed="false">
      <c r="A55" s="0" t="n">
        <v>42</v>
      </c>
      <c r="B55" s="115" t="n">
        <v>36763</v>
      </c>
      <c r="D55" s="0" t="s">
        <v>164</v>
      </c>
      <c r="F55" s="37" t="n">
        <f aca="false">45000*6</f>
        <v>270000</v>
      </c>
      <c r="H55" s="116" t="n">
        <f aca="false">450*6</f>
        <v>2700</v>
      </c>
      <c r="J55" s="117" t="n">
        <v>4500</v>
      </c>
      <c r="L55" s="57" t="n">
        <f aca="false">SUM(H55:H56)-J55</f>
        <v>0</v>
      </c>
      <c r="M55" s="37"/>
      <c r="N55" s="0" t="s">
        <v>124</v>
      </c>
    </row>
    <row r="56" customFormat="false" ht="12.75" hidden="false" customHeight="false" outlineLevel="0" collapsed="false">
      <c r="A56" s="0" t="n">
        <v>43</v>
      </c>
      <c r="B56" s="115" t="n">
        <v>36763</v>
      </c>
      <c r="D56" s="0" t="s">
        <v>51</v>
      </c>
      <c r="F56" s="37" t="n">
        <f aca="false">30000*6</f>
        <v>180000</v>
      </c>
      <c r="H56" s="116" t="n">
        <f aca="false">300*6</f>
        <v>1800</v>
      </c>
      <c r="J56" s="117" t="s">
        <v>127</v>
      </c>
      <c r="L56" s="57"/>
      <c r="M56" s="37"/>
      <c r="N56" s="0" t="s">
        <v>165</v>
      </c>
    </row>
    <row r="57" customFormat="false" ht="12.75" hidden="false" customHeight="false" outlineLevel="0" collapsed="false">
      <c r="A57" s="0" t="n">
        <v>44</v>
      </c>
      <c r="B57" s="115" t="n">
        <v>36763</v>
      </c>
      <c r="D57" s="0" t="s">
        <v>166</v>
      </c>
      <c r="F57" s="37" t="n">
        <f aca="false">8000*6</f>
        <v>48000</v>
      </c>
      <c r="H57" s="116" t="n">
        <f aca="false">0</f>
        <v>0</v>
      </c>
      <c r="J57" s="117" t="s">
        <v>127</v>
      </c>
      <c r="L57" s="57"/>
      <c r="M57" s="37"/>
      <c r="N57" s="0" t="s">
        <v>124</v>
      </c>
    </row>
    <row r="58" customFormat="false" ht="12.75" hidden="false" customHeight="false" outlineLevel="0" collapsed="false">
      <c r="A58" s="0" t="n">
        <v>45</v>
      </c>
      <c r="B58" s="115" t="n">
        <v>36763</v>
      </c>
      <c r="D58" s="0" t="s">
        <v>167</v>
      </c>
      <c r="F58" s="37" t="n">
        <f aca="false">1000*6</f>
        <v>6000</v>
      </c>
      <c r="H58" s="116" t="n">
        <v>0</v>
      </c>
      <c r="J58" s="117" t="s">
        <v>127</v>
      </c>
      <c r="L58" s="57"/>
      <c r="M58" s="37"/>
      <c r="N58" s="0" t="s">
        <v>124</v>
      </c>
    </row>
    <row r="59" customFormat="false" ht="12.75" hidden="false" customHeight="false" outlineLevel="0" collapsed="false">
      <c r="A59" s="0" t="n">
        <v>46</v>
      </c>
      <c r="B59" s="115" t="n">
        <v>36763</v>
      </c>
      <c r="D59" s="0" t="s">
        <v>168</v>
      </c>
      <c r="F59" s="37" t="n">
        <f aca="false">1000*6</f>
        <v>6000</v>
      </c>
      <c r="H59" s="116" t="n">
        <v>0</v>
      </c>
      <c r="J59" s="117" t="s">
        <v>127</v>
      </c>
      <c r="L59" s="57"/>
      <c r="M59" s="37"/>
      <c r="N59" s="0" t="s">
        <v>124</v>
      </c>
    </row>
    <row r="60" customFormat="false" ht="12.75" hidden="false" customHeight="false" outlineLevel="0" collapsed="false">
      <c r="A60" s="0" t="n">
        <v>47</v>
      </c>
      <c r="B60" s="115" t="n">
        <v>36763</v>
      </c>
      <c r="D60" s="0" t="s">
        <v>169</v>
      </c>
      <c r="F60" s="37" t="n">
        <f aca="false">142500*6</f>
        <v>855000</v>
      </c>
      <c r="H60" s="116" t="n">
        <v>0</v>
      </c>
      <c r="J60" s="117" t="s">
        <v>127</v>
      </c>
      <c r="L60" s="57"/>
      <c r="M60" s="37"/>
      <c r="N60" s="0" t="s">
        <v>124</v>
      </c>
    </row>
    <row r="61" customFormat="false" ht="12.75" hidden="false" customHeight="false" outlineLevel="0" collapsed="false">
      <c r="A61" s="0" t="n">
        <v>48</v>
      </c>
      <c r="B61" s="115" t="n">
        <v>36763</v>
      </c>
      <c r="D61" s="0" t="s">
        <v>170</v>
      </c>
      <c r="F61" s="37" t="n">
        <f aca="false">47500*6</f>
        <v>285000</v>
      </c>
      <c r="H61" s="116" t="n">
        <v>0</v>
      </c>
      <c r="J61" s="117" t="s">
        <v>127</v>
      </c>
      <c r="L61" s="57"/>
      <c r="M61" s="37"/>
      <c r="N61" s="0" t="s">
        <v>124</v>
      </c>
    </row>
    <row r="62" customFormat="false" ht="12.75" hidden="false" customHeight="false" outlineLevel="0" collapsed="false">
      <c r="B62" s="115"/>
      <c r="F62" s="37"/>
      <c r="H62" s="116"/>
      <c r="J62" s="117"/>
      <c r="L62" s="57"/>
      <c r="M62" s="37"/>
    </row>
    <row r="63" customFormat="false" ht="12.75" hidden="false" customHeight="false" outlineLevel="0" collapsed="false">
      <c r="A63" s="0" t="n">
        <v>49</v>
      </c>
      <c r="B63" s="115" t="n">
        <v>36763</v>
      </c>
      <c r="D63" s="0" t="s">
        <v>136</v>
      </c>
      <c r="F63" s="37" t="n">
        <f aca="false">180000+200000+220000+260000+270000+250000</f>
        <v>1380000</v>
      </c>
      <c r="H63" s="116" t="n">
        <f aca="false">1044+1160+1276+1508+1566+1450</f>
        <v>8004</v>
      </c>
      <c r="J63" s="117" t="n">
        <v>7874</v>
      </c>
      <c r="L63" s="57" t="n">
        <f aca="false">J63-H63</f>
        <v>-130</v>
      </c>
      <c r="M63" s="37"/>
      <c r="N63" s="0" t="s">
        <v>171</v>
      </c>
    </row>
    <row r="64" customFormat="false" ht="12.75" hidden="false" customHeight="false" outlineLevel="0" collapsed="false">
      <c r="A64" s="0" t="n">
        <v>50</v>
      </c>
      <c r="B64" s="115" t="n">
        <v>36763</v>
      </c>
      <c r="D64" s="0" t="s">
        <v>172</v>
      </c>
      <c r="F64" s="37" t="n">
        <f aca="false">20000+20000+20000+20000+40000+30000</f>
        <v>150000</v>
      </c>
      <c r="H64" s="116" t="n">
        <f aca="false">110+110+110+110+220+165</f>
        <v>825</v>
      </c>
      <c r="J64" s="117" t="n">
        <v>811</v>
      </c>
      <c r="L64" s="57" t="n">
        <f aca="false">J64-H64</f>
        <v>-14</v>
      </c>
      <c r="M64" s="37"/>
      <c r="N64" s="0" t="s">
        <v>171</v>
      </c>
    </row>
    <row r="65" customFormat="false" ht="12.75" hidden="false" customHeight="false" outlineLevel="0" collapsed="false">
      <c r="F65" s="37"/>
      <c r="H65" s="116"/>
      <c r="J65" s="117"/>
      <c r="L65" s="57"/>
      <c r="M65" s="37"/>
    </row>
    <row r="66" customFormat="false" ht="12.75" hidden="false" customHeight="false" outlineLevel="0" collapsed="false">
      <c r="A66" s="0" t="n">
        <v>51</v>
      </c>
      <c r="B66" s="115" t="n">
        <v>36766</v>
      </c>
      <c r="D66" s="12" t="s">
        <v>173</v>
      </c>
      <c r="F66" s="37" t="n">
        <f aca="false">130000*6</f>
        <v>780000</v>
      </c>
      <c r="H66" s="116" t="n">
        <f aca="false">650*6</f>
        <v>3900</v>
      </c>
      <c r="J66" s="117" t="n">
        <v>10245</v>
      </c>
      <c r="L66" s="57" t="n">
        <f aca="false">SUM(H66:H68)*-1+J66</f>
        <v>0</v>
      </c>
      <c r="M66" s="37"/>
      <c r="N66" s="0" t="s">
        <v>124</v>
      </c>
    </row>
    <row r="67" customFormat="false" ht="12.75" hidden="false" customHeight="false" outlineLevel="0" collapsed="false">
      <c r="A67" s="0" t="n">
        <v>52</v>
      </c>
      <c r="B67" s="115" t="n">
        <v>36766</v>
      </c>
      <c r="D67" s="0" t="s">
        <v>14</v>
      </c>
      <c r="F67" s="37" t="n">
        <f aca="false">47000*6</f>
        <v>282000</v>
      </c>
      <c r="H67" s="116" t="n">
        <f aca="false">470*6</f>
        <v>2820</v>
      </c>
      <c r="J67" s="117" t="s">
        <v>127</v>
      </c>
      <c r="L67" s="57"/>
      <c r="M67" s="37"/>
      <c r="N67" s="0" t="s">
        <v>124</v>
      </c>
    </row>
    <row r="68" customFormat="false" ht="12.75" hidden="false" customHeight="false" outlineLevel="0" collapsed="false">
      <c r="A68" s="0" t="n">
        <v>53</v>
      </c>
      <c r="B68" s="115" t="n">
        <v>36766</v>
      </c>
      <c r="D68" s="0" t="s">
        <v>14</v>
      </c>
      <c r="F68" s="37" t="n">
        <f aca="false">23500*6</f>
        <v>141000</v>
      </c>
      <c r="H68" s="116" t="n">
        <f aca="false">587.5*6</f>
        <v>3525</v>
      </c>
      <c r="J68" s="117" t="s">
        <v>127</v>
      </c>
      <c r="L68" s="57"/>
      <c r="M68" s="37"/>
      <c r="N68" s="0" t="s">
        <v>165</v>
      </c>
    </row>
    <row r="69" customFormat="false" ht="12.75" hidden="false" customHeight="false" outlineLevel="0" collapsed="false">
      <c r="F69" s="37"/>
      <c r="H69" s="116"/>
      <c r="J69" s="117"/>
      <c r="L69" s="57"/>
      <c r="M69" s="37"/>
    </row>
    <row r="70" customFormat="false" ht="12.75" hidden="false" customHeight="false" outlineLevel="0" collapsed="false">
      <c r="A70" s="0" t="n">
        <v>54</v>
      </c>
      <c r="B70" s="115" t="n">
        <v>36766</v>
      </c>
      <c r="D70" s="0" t="s">
        <v>14</v>
      </c>
      <c r="F70" s="37" t="n">
        <f aca="false">23500*6</f>
        <v>141000</v>
      </c>
      <c r="H70" s="116" t="n">
        <f aca="false">235*6</f>
        <v>1410</v>
      </c>
      <c r="J70" s="117" t="n">
        <v>1390</v>
      </c>
      <c r="L70" s="57" t="n">
        <f aca="false">J70-H70</f>
        <v>-20</v>
      </c>
      <c r="M70" s="37"/>
      <c r="N70" s="0" t="s">
        <v>171</v>
      </c>
    </row>
    <row r="71" customFormat="false" ht="12.75" hidden="false" customHeight="false" outlineLevel="0" collapsed="false">
      <c r="A71" s="0" t="n">
        <v>55</v>
      </c>
      <c r="B71" s="115" t="n">
        <v>36766</v>
      </c>
      <c r="D71" s="0" t="s">
        <v>174</v>
      </c>
      <c r="F71" s="37" t="n">
        <f aca="false">20000*6</f>
        <v>120000</v>
      </c>
      <c r="H71" s="116" t="n">
        <f aca="false">50*6</f>
        <v>300</v>
      </c>
      <c r="J71" s="117" t="n">
        <v>0</v>
      </c>
      <c r="L71" s="57" t="n">
        <f aca="false">J71-H71</f>
        <v>-300</v>
      </c>
      <c r="M71" s="37"/>
      <c r="N71" s="0" t="s">
        <v>175</v>
      </c>
    </row>
    <row r="72" customFormat="false" ht="12.75" hidden="false" customHeight="false" outlineLevel="0" collapsed="false">
      <c r="F72" s="37"/>
      <c r="H72" s="116"/>
      <c r="J72" s="117"/>
      <c r="L72" s="57"/>
      <c r="M72" s="37"/>
    </row>
    <row r="73" customFormat="false" ht="12.75" hidden="false" customHeight="false" outlineLevel="0" collapsed="false">
      <c r="A73" s="0" t="n">
        <v>56</v>
      </c>
      <c r="B73" s="115" t="n">
        <v>36767</v>
      </c>
      <c r="D73" s="12" t="s">
        <v>176</v>
      </c>
      <c r="F73" s="37" t="n">
        <f aca="false">5000*6</f>
        <v>30000</v>
      </c>
      <c r="H73" s="116" t="n">
        <f aca="false">25*6</f>
        <v>150</v>
      </c>
      <c r="J73" s="117" t="n">
        <v>900</v>
      </c>
      <c r="L73" s="57" t="n">
        <f aca="false">SUM(H73:H77)*-1+J73</f>
        <v>0</v>
      </c>
      <c r="M73" s="37"/>
      <c r="N73" s="0" t="s">
        <v>124</v>
      </c>
    </row>
    <row r="74" customFormat="false" ht="12.75" hidden="false" customHeight="false" outlineLevel="0" collapsed="false">
      <c r="A74" s="0" t="n">
        <v>57</v>
      </c>
      <c r="B74" s="115" t="n">
        <v>36767</v>
      </c>
      <c r="D74" s="12" t="s">
        <v>177</v>
      </c>
      <c r="F74" s="37" t="n">
        <f aca="false">5000*6</f>
        <v>30000</v>
      </c>
      <c r="H74" s="116" t="n">
        <f aca="false">25*6</f>
        <v>150</v>
      </c>
      <c r="J74" s="117" t="s">
        <v>127</v>
      </c>
      <c r="L74" s="57"/>
      <c r="M74" s="37"/>
      <c r="N74" s="0" t="s">
        <v>124</v>
      </c>
    </row>
    <row r="75" customFormat="false" ht="12.75" hidden="false" customHeight="false" outlineLevel="0" collapsed="false">
      <c r="A75" s="0" t="n">
        <v>58</v>
      </c>
      <c r="B75" s="115" t="n">
        <v>36767</v>
      </c>
      <c r="D75" s="12" t="s">
        <v>178</v>
      </c>
      <c r="F75" s="37" t="n">
        <f aca="false">700*6</f>
        <v>4200</v>
      </c>
      <c r="H75" s="116" t="n">
        <f aca="false">7*6</f>
        <v>42</v>
      </c>
      <c r="J75" s="117" t="s">
        <v>127</v>
      </c>
      <c r="L75" s="57"/>
      <c r="M75" s="37"/>
      <c r="N75" s="0" t="s">
        <v>124</v>
      </c>
    </row>
    <row r="76" customFormat="false" ht="12.75" hidden="false" customHeight="false" outlineLevel="0" collapsed="false">
      <c r="A76" s="0" t="n">
        <v>59</v>
      </c>
      <c r="B76" s="115" t="n">
        <v>36767</v>
      </c>
      <c r="D76" s="12" t="s">
        <v>179</v>
      </c>
      <c r="F76" s="37" t="n">
        <f aca="false">1300*6</f>
        <v>7800</v>
      </c>
      <c r="H76" s="116" t="n">
        <f aca="false">13*6</f>
        <v>78</v>
      </c>
      <c r="J76" s="117" t="s">
        <v>127</v>
      </c>
      <c r="L76" s="57"/>
      <c r="M76" s="37"/>
      <c r="N76" s="0" t="s">
        <v>124</v>
      </c>
    </row>
    <row r="77" customFormat="false" ht="12.75" hidden="false" customHeight="false" outlineLevel="0" collapsed="false">
      <c r="A77" s="0" t="n">
        <v>60</v>
      </c>
      <c r="B77" s="115" t="n">
        <v>36767</v>
      </c>
      <c r="D77" s="12" t="s">
        <v>180</v>
      </c>
      <c r="F77" s="37" t="n">
        <f aca="false">8000*6</f>
        <v>48000</v>
      </c>
      <c r="H77" s="116" t="n">
        <f aca="false">80*6</f>
        <v>480</v>
      </c>
      <c r="J77" s="117" t="s">
        <v>127</v>
      </c>
      <c r="L77" s="57"/>
      <c r="M77" s="37"/>
      <c r="N77" s="0" t="s">
        <v>124</v>
      </c>
    </row>
    <row r="78" customFormat="false" ht="12.75" hidden="false" customHeight="false" outlineLevel="0" collapsed="false">
      <c r="B78" s="115"/>
      <c r="D78" s="12"/>
      <c r="F78" s="37"/>
      <c r="H78" s="116"/>
      <c r="J78" s="117"/>
      <c r="L78" s="57"/>
      <c r="M78" s="37"/>
    </row>
    <row r="79" customFormat="false" ht="12.75" hidden="false" customHeight="false" outlineLevel="0" collapsed="false">
      <c r="A79" s="0" t="n">
        <v>61</v>
      </c>
      <c r="B79" s="115" t="n">
        <v>36767</v>
      </c>
      <c r="D79" s="0" t="s">
        <v>136</v>
      </c>
      <c r="F79" s="37" t="n">
        <f aca="false">15450+15800+15450+15450+15200+8200+15450+15450+15450</f>
        <v>131900</v>
      </c>
      <c r="H79" s="116" t="n">
        <f aca="false">182.31+186.44+182.31+182.31+179.36+96.76+182.31+182.31+182.31</f>
        <v>1556.42</v>
      </c>
      <c r="J79" s="117" t="n">
        <v>1554</v>
      </c>
      <c r="L79" s="57" t="n">
        <f aca="false">J79-H79</f>
        <v>-2.41999999999985</v>
      </c>
      <c r="M79" s="37"/>
      <c r="N79" s="0" t="s">
        <v>181</v>
      </c>
    </row>
    <row r="80" customFormat="false" ht="12.75" hidden="false" customHeight="false" outlineLevel="0" collapsed="false">
      <c r="A80" s="0" t="n">
        <v>62</v>
      </c>
      <c r="B80" s="115" t="n">
        <v>36767</v>
      </c>
      <c r="D80" s="0" t="s">
        <v>136</v>
      </c>
      <c r="F80" s="37" t="n">
        <f aca="false">15450+15800+15450+15450+15200+8200+15450+15450+15450</f>
        <v>131900</v>
      </c>
      <c r="H80" s="116" t="n">
        <f aca="false">182.31+186.44+182.31+182.31+179.36+96.76+182.31+182.31+182.31</f>
        <v>1556.42</v>
      </c>
      <c r="J80" s="117" t="n">
        <v>1554</v>
      </c>
      <c r="L80" s="57" t="n">
        <f aca="false">J80-H80</f>
        <v>-2.41999999999985</v>
      </c>
      <c r="M80" s="37"/>
      <c r="N80" s="0" t="s">
        <v>181</v>
      </c>
    </row>
    <row r="81" customFormat="false" ht="12.75" hidden="false" customHeight="false" outlineLevel="0" collapsed="false">
      <c r="B81" s="118" t="s">
        <v>182</v>
      </c>
      <c r="F81" s="35" t="n">
        <f aca="false">SUM(F12:F80)</f>
        <v>11776600</v>
      </c>
      <c r="G81" s="119"/>
      <c r="H81" s="35" t="n">
        <f aca="false">SUM(H12:H80)</f>
        <v>63190.84</v>
      </c>
      <c r="I81" s="119"/>
      <c r="J81" s="35" t="n">
        <f aca="false">SUM(J12:J80)</f>
        <v>62722</v>
      </c>
      <c r="K81" s="119"/>
      <c r="L81" s="121" t="n">
        <f aca="false">SUM(L12:L80)</f>
        <v>-468.84</v>
      </c>
      <c r="M81" s="37"/>
    </row>
    <row r="82" customFormat="false" ht="12.75" hidden="false" customHeight="false" outlineLevel="0" collapsed="false">
      <c r="F82" s="37"/>
      <c r="H82" s="116"/>
      <c r="J82" s="117"/>
      <c r="L82" s="57"/>
      <c r="M82" s="37"/>
    </row>
    <row r="83" customFormat="false" ht="12.75" hidden="false" customHeight="false" outlineLevel="0" collapsed="false">
      <c r="A83" s="0" t="n">
        <v>63</v>
      </c>
      <c r="B83" s="115" t="n">
        <v>36790</v>
      </c>
      <c r="D83" s="0" t="s">
        <v>183</v>
      </c>
      <c r="F83" s="37" t="n">
        <f aca="false">165000*60</f>
        <v>9900000</v>
      </c>
      <c r="H83" s="116" t="n">
        <f aca="false">(12375*60)-400000</f>
        <v>342500</v>
      </c>
      <c r="J83" s="117" t="n">
        <v>342500</v>
      </c>
      <c r="L83" s="57" t="n">
        <f aca="false">J83-H83</f>
        <v>0</v>
      </c>
      <c r="M83" s="37"/>
      <c r="N83" s="0" t="s">
        <v>184</v>
      </c>
    </row>
    <row r="84" customFormat="false" ht="12.75" hidden="false" customHeight="false" outlineLevel="0" collapsed="false">
      <c r="A84" s="0" t="n">
        <v>64</v>
      </c>
      <c r="B84" s="115" t="n">
        <v>36795</v>
      </c>
      <c r="D84" s="0" t="s">
        <v>185</v>
      </c>
      <c r="F84" s="37" t="n">
        <f aca="false">11000*12</f>
        <v>132000</v>
      </c>
      <c r="H84" s="116" t="n">
        <f aca="false">165*6</f>
        <v>990</v>
      </c>
      <c r="J84" s="117" t="n">
        <v>0</v>
      </c>
      <c r="L84" s="57" t="n">
        <f aca="false">J84-H84</f>
        <v>-990</v>
      </c>
      <c r="M84" s="37"/>
      <c r="N84" s="0" t="s">
        <v>186</v>
      </c>
    </row>
    <row r="85" customFormat="false" ht="12.75" hidden="false" customHeight="false" outlineLevel="0" collapsed="false">
      <c r="B85" s="115"/>
      <c r="F85" s="37"/>
      <c r="H85" s="116"/>
      <c r="J85" s="117"/>
      <c r="L85" s="57"/>
      <c r="M85" s="37"/>
    </row>
    <row r="86" customFormat="false" ht="12.75" hidden="false" customHeight="false" outlineLevel="0" collapsed="false">
      <c r="A86" s="0" t="n">
        <v>65</v>
      </c>
      <c r="B86" s="115" t="n">
        <v>36796</v>
      </c>
      <c r="D86" s="0" t="s">
        <v>166</v>
      </c>
      <c r="F86" s="37" t="n">
        <f aca="false">139000*4</f>
        <v>556000</v>
      </c>
      <c r="H86" s="116" t="n">
        <f aca="false">1737.5*4</f>
        <v>6950</v>
      </c>
      <c r="J86" s="117" t="n">
        <v>8504</v>
      </c>
      <c r="L86" s="57" t="n">
        <f aca="false">SUM(H86:H88)*-1+J86</f>
        <v>4</v>
      </c>
      <c r="M86" s="37"/>
      <c r="N86" s="0" t="s">
        <v>187</v>
      </c>
    </row>
    <row r="87" customFormat="false" ht="12.75" hidden="false" customHeight="false" outlineLevel="0" collapsed="false">
      <c r="A87" s="0" t="n">
        <v>66</v>
      </c>
      <c r="B87" s="115" t="n">
        <v>36796</v>
      </c>
      <c r="D87" s="0" t="s">
        <v>167</v>
      </c>
      <c r="F87" s="37" t="n">
        <f aca="false">16000*4</f>
        <v>64000</v>
      </c>
      <c r="H87" s="116" t="n">
        <f aca="false">200*4</f>
        <v>800</v>
      </c>
      <c r="J87" s="117" t="s">
        <v>127</v>
      </c>
      <c r="L87" s="57"/>
      <c r="M87" s="37"/>
      <c r="N87" s="0" t="s">
        <v>187</v>
      </c>
    </row>
    <row r="88" customFormat="false" ht="12.75" hidden="false" customHeight="false" outlineLevel="0" collapsed="false">
      <c r="A88" s="0" t="n">
        <v>67</v>
      </c>
      <c r="B88" s="115" t="n">
        <v>36796</v>
      </c>
      <c r="D88" s="0" t="s">
        <v>168</v>
      </c>
      <c r="F88" s="37" t="n">
        <f aca="false">15000*4</f>
        <v>60000</v>
      </c>
      <c r="H88" s="116" t="n">
        <f aca="false">187.5*4</f>
        <v>750</v>
      </c>
      <c r="J88" s="117" t="s">
        <v>127</v>
      </c>
      <c r="L88" s="57"/>
      <c r="M88" s="37"/>
      <c r="N88" s="0" t="s">
        <v>187</v>
      </c>
    </row>
    <row r="89" customFormat="false" ht="12.75" hidden="false" customHeight="false" outlineLevel="0" collapsed="false">
      <c r="F89" s="37"/>
      <c r="H89" s="116"/>
      <c r="J89" s="117"/>
      <c r="L89" s="57"/>
      <c r="M89" s="37"/>
    </row>
    <row r="90" customFormat="false" ht="12.75" hidden="false" customHeight="false" outlineLevel="0" collapsed="false">
      <c r="A90" s="0" t="n">
        <v>68</v>
      </c>
      <c r="B90" s="115" t="n">
        <v>36797</v>
      </c>
      <c r="D90" s="0" t="s">
        <v>188</v>
      </c>
      <c r="F90" s="37" t="n">
        <f aca="false">805151*6</f>
        <v>4830906</v>
      </c>
      <c r="H90" s="116" t="n">
        <f aca="false">52334.82*6</f>
        <v>314008.92</v>
      </c>
      <c r="J90" s="117" t="n">
        <v>276363</v>
      </c>
      <c r="L90" s="57" t="n">
        <f aca="false">J90-H90</f>
        <v>-37645.92</v>
      </c>
      <c r="M90" s="37"/>
      <c r="N90" s="0" t="s">
        <v>189</v>
      </c>
    </row>
    <row r="91" customFormat="false" ht="12.75" hidden="false" customHeight="false" outlineLevel="0" collapsed="false">
      <c r="B91" s="118" t="s">
        <v>190</v>
      </c>
      <c r="F91" s="35" t="n">
        <f aca="false">SUM(F83:F90)</f>
        <v>15542906</v>
      </c>
      <c r="G91" s="119"/>
      <c r="H91" s="35" t="n">
        <f aca="false">SUM(H83:H90)</f>
        <v>665998.92</v>
      </c>
      <c r="I91" s="119"/>
      <c r="J91" s="35" t="n">
        <f aca="false">SUM(J83:J90)</f>
        <v>627367</v>
      </c>
      <c r="K91" s="119"/>
      <c r="L91" s="121" t="n">
        <f aca="false">SUM(L83:L90)</f>
        <v>-38631.92</v>
      </c>
      <c r="M91" s="37"/>
    </row>
    <row r="92" customFormat="false" ht="12.75" hidden="false" customHeight="false" outlineLevel="0" collapsed="false">
      <c r="F92" s="37"/>
      <c r="H92" s="116"/>
      <c r="J92" s="117"/>
      <c r="L92" s="57"/>
      <c r="M92" s="37"/>
    </row>
    <row r="93" customFormat="false" ht="12.75" hidden="false" customHeight="false" outlineLevel="0" collapsed="false">
      <c r="A93" s="0" t="n">
        <v>69</v>
      </c>
      <c r="B93" s="115" t="n">
        <v>36804</v>
      </c>
      <c r="D93" s="0" t="s">
        <v>136</v>
      </c>
      <c r="F93" s="37" t="n">
        <f aca="false">640000+850000+900000+790000+740000</f>
        <v>3920000</v>
      </c>
      <c r="H93" s="116" t="n">
        <f aca="false">-28658.35-109352.66-88536.43+75334.52+208816.53</f>
        <v>57603.61</v>
      </c>
      <c r="J93" s="117" t="n">
        <v>73896</v>
      </c>
      <c r="L93" s="57" t="n">
        <f aca="false">SUM(H93:H94)*-1+J93</f>
        <v>-19.5500000000175</v>
      </c>
      <c r="M93" s="37"/>
      <c r="N93" s="0" t="s">
        <v>191</v>
      </c>
    </row>
    <row r="94" customFormat="false" ht="12.75" hidden="false" customHeight="false" outlineLevel="0" collapsed="false">
      <c r="A94" s="0" t="n">
        <v>70</v>
      </c>
      <c r="B94" s="115" t="n">
        <v>36804</v>
      </c>
      <c r="D94" s="0" t="s">
        <v>172</v>
      </c>
      <c r="F94" s="37" t="n">
        <f aca="false">80000+90000+160000+140000+120000</f>
        <v>590000</v>
      </c>
      <c r="H94" s="116" t="n">
        <f aca="false">-3582.29-11578.52-15739.81+13350.42+33862.14</f>
        <v>16311.94</v>
      </c>
      <c r="J94" s="117" t="s">
        <v>127</v>
      </c>
      <c r="L94" s="57"/>
      <c r="M94" s="37"/>
      <c r="N94" s="0" t="s">
        <v>191</v>
      </c>
    </row>
    <row r="95" customFormat="false" ht="12.75" hidden="false" customHeight="false" outlineLevel="0" collapsed="false">
      <c r="B95" s="115"/>
      <c r="F95" s="37"/>
      <c r="H95" s="116"/>
      <c r="J95" s="117"/>
      <c r="L95" s="57"/>
      <c r="M95" s="37"/>
    </row>
    <row r="96" customFormat="false" ht="12.75" hidden="false" customHeight="false" outlineLevel="0" collapsed="false">
      <c r="A96" s="0" t="n">
        <v>71</v>
      </c>
      <c r="B96" s="115" t="n">
        <v>36804</v>
      </c>
      <c r="D96" s="0" t="s">
        <v>192</v>
      </c>
      <c r="F96" s="37" t="n">
        <f aca="false">60000+100000</f>
        <v>160000</v>
      </c>
      <c r="H96" s="116" t="n">
        <f aca="false">600+1000</f>
        <v>1600</v>
      </c>
      <c r="J96" s="117" t="n">
        <v>1600</v>
      </c>
      <c r="L96" s="57" t="n">
        <f aca="false">J96-H96</f>
        <v>0</v>
      </c>
      <c r="M96" s="37"/>
      <c r="N96" s="0" t="s">
        <v>193</v>
      </c>
    </row>
    <row r="97" customFormat="false" ht="12.75" hidden="false" customHeight="false" outlineLevel="0" collapsed="false">
      <c r="B97" s="115"/>
      <c r="F97" s="37"/>
      <c r="H97" s="116"/>
      <c r="J97" s="117"/>
      <c r="L97" s="57"/>
      <c r="M97" s="37"/>
    </row>
    <row r="98" customFormat="false" ht="12.75" hidden="false" customHeight="false" outlineLevel="0" collapsed="false">
      <c r="A98" s="0" t="n">
        <v>72</v>
      </c>
      <c r="B98" s="115" t="n">
        <v>36804</v>
      </c>
      <c r="D98" s="0" t="s">
        <v>192</v>
      </c>
      <c r="F98" s="37" t="n">
        <f aca="false">60000+60000+100000</f>
        <v>220000</v>
      </c>
      <c r="H98" s="116" t="n">
        <f aca="false">150+150+250</f>
        <v>550</v>
      </c>
      <c r="J98" s="117" t="n">
        <v>950</v>
      </c>
      <c r="L98" s="57" t="n">
        <f aca="false">SUM(H98:H99)*-1+J98</f>
        <v>300</v>
      </c>
      <c r="M98" s="37"/>
      <c r="N98" s="0" t="s">
        <v>194</v>
      </c>
    </row>
    <row r="99" customFormat="false" ht="12.75" hidden="false" customHeight="false" outlineLevel="0" collapsed="false">
      <c r="A99" s="0" t="n">
        <v>73</v>
      </c>
      <c r="B99" s="115" t="n">
        <v>36805</v>
      </c>
      <c r="D99" s="0" t="s">
        <v>192</v>
      </c>
      <c r="F99" s="37" t="n">
        <v>40000</v>
      </c>
      <c r="H99" s="116" t="n">
        <v>100</v>
      </c>
      <c r="J99" s="117" t="s">
        <v>127</v>
      </c>
      <c r="L99" s="57"/>
      <c r="M99" s="37"/>
      <c r="N99" s="0" t="s">
        <v>195</v>
      </c>
    </row>
    <row r="100" customFormat="false" ht="12.75" hidden="false" customHeight="false" outlineLevel="0" collapsed="false">
      <c r="B100" s="115"/>
      <c r="F100" s="37"/>
      <c r="H100" s="116"/>
      <c r="J100" s="117"/>
      <c r="L100" s="57"/>
      <c r="M100" s="37"/>
    </row>
    <row r="101" customFormat="false" ht="12.75" hidden="false" customHeight="false" outlineLevel="0" collapsed="false">
      <c r="A101" s="0" t="n">
        <v>74</v>
      </c>
      <c r="B101" s="115" t="n">
        <v>36811</v>
      </c>
      <c r="D101" s="0" t="s">
        <v>196</v>
      </c>
      <c r="F101" s="37" t="n">
        <f aca="false">28000*5</f>
        <v>140000</v>
      </c>
      <c r="H101" s="116" t="n">
        <f aca="false">490*5</f>
        <v>2450</v>
      </c>
      <c r="J101" s="117" t="n">
        <v>2450</v>
      </c>
      <c r="L101" s="57" t="n">
        <f aca="false">SUM(H101)*-1+J101</f>
        <v>0</v>
      </c>
      <c r="M101" s="37"/>
      <c r="N101" s="0" t="s">
        <v>191</v>
      </c>
    </row>
    <row r="102" customFormat="false" ht="12.75" hidden="false" customHeight="false" outlineLevel="0" collapsed="false">
      <c r="A102" s="0" t="n">
        <v>75</v>
      </c>
      <c r="B102" s="115" t="n">
        <v>36812</v>
      </c>
      <c r="D102" s="0" t="s">
        <v>197</v>
      </c>
      <c r="F102" s="37" t="n">
        <f aca="false">18500*5</f>
        <v>92500</v>
      </c>
      <c r="H102" s="116" t="n">
        <f aca="false">370*5</f>
        <v>1850</v>
      </c>
      <c r="J102" s="117" t="n">
        <v>2775</v>
      </c>
      <c r="L102" s="57" t="n">
        <f aca="false">SUM(H102)*-1+J102</f>
        <v>925</v>
      </c>
      <c r="M102" s="37"/>
      <c r="N102" s="0" t="s">
        <v>191</v>
      </c>
    </row>
    <row r="103" customFormat="false" ht="12.75" hidden="false" customHeight="false" outlineLevel="0" collapsed="false">
      <c r="A103" s="0" t="n">
        <v>76</v>
      </c>
      <c r="B103" s="115" t="n">
        <v>36817</v>
      </c>
      <c r="D103" s="0" t="s">
        <v>136</v>
      </c>
      <c r="F103" s="37" t="n">
        <f aca="false">120000*5</f>
        <v>600000</v>
      </c>
      <c r="H103" s="116" t="n">
        <f aca="false">2400*5</f>
        <v>12000</v>
      </c>
      <c r="J103" s="117" t="n">
        <v>11837</v>
      </c>
      <c r="L103" s="57" t="n">
        <f aca="false">SUM(H103)*-1+J103</f>
        <v>-163</v>
      </c>
      <c r="M103" s="37"/>
      <c r="N103" s="0" t="s">
        <v>191</v>
      </c>
    </row>
    <row r="104" customFormat="false" ht="12.75" hidden="false" customHeight="false" outlineLevel="0" collapsed="false">
      <c r="A104" s="0" t="n">
        <v>77</v>
      </c>
      <c r="B104" s="115" t="n">
        <v>36818</v>
      </c>
      <c r="D104" s="0" t="s">
        <v>198</v>
      </c>
      <c r="F104" s="37" t="n">
        <f aca="false">75850*10</f>
        <v>758500</v>
      </c>
      <c r="H104" s="116" t="n">
        <f aca="false">3034*10</f>
        <v>30340</v>
      </c>
      <c r="J104" s="117" t="n">
        <v>30340</v>
      </c>
      <c r="L104" s="57" t="n">
        <f aca="false">SUM(H104)*-1+J104</f>
        <v>0</v>
      </c>
      <c r="M104" s="37"/>
      <c r="N104" s="0" t="s">
        <v>199</v>
      </c>
    </row>
    <row r="105" customFormat="false" ht="12.75" hidden="false" customHeight="false" outlineLevel="0" collapsed="false">
      <c r="A105" s="0" t="n">
        <v>78</v>
      </c>
      <c r="B105" s="115" t="n">
        <v>36818</v>
      </c>
      <c r="D105" s="0" t="s">
        <v>38</v>
      </c>
      <c r="F105" s="37" t="n">
        <f aca="false">20350*10</f>
        <v>203500</v>
      </c>
      <c r="H105" s="116" t="n">
        <f aca="false">814*10</f>
        <v>8140</v>
      </c>
      <c r="J105" s="117" t="n">
        <v>8140</v>
      </c>
      <c r="L105" s="57" t="n">
        <f aca="false">SUM(H105)*-1+J105</f>
        <v>0</v>
      </c>
      <c r="M105" s="37"/>
      <c r="N105" s="0" t="s">
        <v>199</v>
      </c>
    </row>
    <row r="106" customFormat="false" ht="12.75" hidden="false" customHeight="false" outlineLevel="0" collapsed="false">
      <c r="A106" s="0" t="n">
        <v>79</v>
      </c>
      <c r="B106" s="115" t="n">
        <v>36818</v>
      </c>
      <c r="D106" s="0" t="s">
        <v>34</v>
      </c>
      <c r="F106" s="37" t="n">
        <f aca="false">21081*7</f>
        <v>147567</v>
      </c>
      <c r="H106" s="116" t="n">
        <f aca="false">316.22*7</f>
        <v>2213.54</v>
      </c>
      <c r="J106" s="117" t="n">
        <v>2214</v>
      </c>
      <c r="L106" s="57" t="n">
        <f aca="false">SUM(H106)*-1+J106</f>
        <v>0.460000000000036</v>
      </c>
      <c r="M106" s="37"/>
      <c r="N106" s="0" t="s">
        <v>200</v>
      </c>
    </row>
    <row r="107" customFormat="false" ht="12.75" hidden="false" customHeight="false" outlineLevel="0" collapsed="false">
      <c r="A107" s="0" t="n">
        <v>80</v>
      </c>
      <c r="B107" s="115" t="n">
        <v>36818</v>
      </c>
      <c r="D107" s="0" t="s">
        <v>201</v>
      </c>
      <c r="F107" s="37" t="n">
        <f aca="false">350000+160000+150000</f>
        <v>660000</v>
      </c>
      <c r="H107" s="116" t="n">
        <f aca="false">4375+1600+1500</f>
        <v>7475</v>
      </c>
      <c r="J107" s="117" t="n">
        <v>7435</v>
      </c>
      <c r="L107" s="57" t="n">
        <f aca="false">SUM(H107)*-1+J107</f>
        <v>-40</v>
      </c>
      <c r="M107" s="37"/>
      <c r="N107" s="0" t="s">
        <v>194</v>
      </c>
    </row>
    <row r="108" customFormat="false" ht="12.75" hidden="false" customHeight="false" outlineLevel="0" collapsed="false">
      <c r="A108" s="0" t="n">
        <v>81</v>
      </c>
      <c r="B108" s="115" t="n">
        <v>36818</v>
      </c>
      <c r="D108" s="0" t="s">
        <v>201</v>
      </c>
      <c r="F108" s="37" t="n">
        <f aca="false">200000+200000</f>
        <v>400000</v>
      </c>
      <c r="H108" s="116" t="n">
        <f aca="false">2000+2000</f>
        <v>4000</v>
      </c>
      <c r="J108" s="117" t="n">
        <v>4000</v>
      </c>
      <c r="L108" s="57" t="n">
        <f aca="false">SUM(H108)*-1+J108</f>
        <v>0</v>
      </c>
      <c r="M108" s="37"/>
      <c r="N108" s="0" t="s">
        <v>202</v>
      </c>
    </row>
    <row r="109" customFormat="false" ht="12.75" hidden="false" customHeight="false" outlineLevel="0" collapsed="false">
      <c r="A109" s="0" t="n">
        <v>82</v>
      </c>
      <c r="B109" s="115" t="n">
        <v>36818</v>
      </c>
      <c r="D109" s="0" t="s">
        <v>203</v>
      </c>
      <c r="F109" s="37" t="n">
        <f aca="false">860000+60000+60000</f>
        <v>980000</v>
      </c>
      <c r="H109" s="116" t="n">
        <f aca="false">17200+300+900</f>
        <v>18400</v>
      </c>
      <c r="J109" s="117" t="n">
        <v>18358</v>
      </c>
      <c r="L109" s="57" t="n">
        <f aca="false">SUM(H109)*-1+J109</f>
        <v>-42</v>
      </c>
      <c r="M109" s="37"/>
      <c r="N109" s="0" t="s">
        <v>194</v>
      </c>
    </row>
    <row r="110" customFormat="false" ht="12.75" hidden="false" customHeight="false" outlineLevel="0" collapsed="false">
      <c r="A110" s="0" t="n">
        <v>83</v>
      </c>
      <c r="B110" s="115" t="n">
        <v>36818</v>
      </c>
      <c r="D110" s="0" t="s">
        <v>203</v>
      </c>
      <c r="F110" s="37" t="n">
        <f aca="false">800000+800000</f>
        <v>1600000</v>
      </c>
      <c r="H110" s="116" t="n">
        <f aca="false">12000+16000</f>
        <v>28000</v>
      </c>
      <c r="J110" s="117" t="n">
        <v>28000</v>
      </c>
      <c r="L110" s="57" t="n">
        <f aca="false">SUM(H110)*-1+J110</f>
        <v>0</v>
      </c>
      <c r="M110" s="37"/>
      <c r="N110" s="0" t="s">
        <v>202</v>
      </c>
    </row>
    <row r="111" customFormat="false" ht="12.75" hidden="false" customHeight="false" outlineLevel="0" collapsed="false">
      <c r="A111" s="0" t="n">
        <v>84</v>
      </c>
      <c r="B111" s="115" t="n">
        <v>36818</v>
      </c>
      <c r="D111" s="0" t="s">
        <v>136</v>
      </c>
      <c r="F111" s="37" t="n">
        <f aca="false">10800*5</f>
        <v>54000</v>
      </c>
      <c r="H111" s="116" t="n">
        <f aca="false">54*5</f>
        <v>270</v>
      </c>
      <c r="J111" s="117" t="n">
        <v>270</v>
      </c>
      <c r="L111" s="57" t="n">
        <f aca="false">SUM(H111)*-1+J111</f>
        <v>0</v>
      </c>
      <c r="M111" s="37"/>
      <c r="N111" s="0" t="s">
        <v>191</v>
      </c>
    </row>
    <row r="112" customFormat="false" ht="12.75" hidden="false" customHeight="false" outlineLevel="0" collapsed="false">
      <c r="A112" s="0" t="n">
        <v>85</v>
      </c>
      <c r="B112" s="115" t="n">
        <v>36818</v>
      </c>
      <c r="D112" s="0" t="s">
        <v>136</v>
      </c>
      <c r="F112" s="37" t="n">
        <f aca="false">120000+120000+120000+120000+120000+80000+80000+80000+80000+80000+80000</f>
        <v>1080000</v>
      </c>
      <c r="H112" s="116" t="n">
        <f aca="false">2400+2400+2400+2400+2400+800+800+800+800+800+800</f>
        <v>16800</v>
      </c>
      <c r="J112" s="117" t="n">
        <v>16800</v>
      </c>
      <c r="L112" s="57" t="n">
        <f aca="false">SUM(H112)*-1+J112</f>
        <v>0</v>
      </c>
      <c r="M112" s="37"/>
      <c r="N112" s="0" t="s">
        <v>204</v>
      </c>
    </row>
    <row r="113" customFormat="false" ht="12.75" hidden="false" customHeight="false" outlineLevel="0" collapsed="false">
      <c r="A113" s="0" t="n">
        <v>86</v>
      </c>
      <c r="B113" s="115" t="n">
        <v>36819</v>
      </c>
      <c r="D113" s="0" t="s">
        <v>205</v>
      </c>
      <c r="F113" s="37" t="n">
        <f aca="false">610000+630000+630000</f>
        <v>1870000</v>
      </c>
      <c r="H113" s="116" t="n">
        <f aca="false">4575+28350+6300</f>
        <v>39225</v>
      </c>
      <c r="J113" s="117" t="n">
        <v>39225</v>
      </c>
      <c r="L113" s="57" t="n">
        <f aca="false">SUM(H113)*-1+J113</f>
        <v>0</v>
      </c>
      <c r="M113" s="37"/>
      <c r="N113" s="0" t="s">
        <v>206</v>
      </c>
    </row>
    <row r="114" customFormat="false" ht="12.75" hidden="false" customHeight="false" outlineLevel="0" collapsed="false">
      <c r="A114" s="0" t="n">
        <v>87</v>
      </c>
      <c r="B114" s="115" t="n">
        <v>36819</v>
      </c>
      <c r="D114" s="0" t="s">
        <v>207</v>
      </c>
      <c r="F114" s="37" t="n">
        <f aca="false">30000*3</f>
        <v>90000</v>
      </c>
      <c r="H114" s="116" t="n">
        <f aca="false">225+1350+300</f>
        <v>1875</v>
      </c>
      <c r="J114" s="117" t="n">
        <v>1875</v>
      </c>
      <c r="L114" s="57" t="n">
        <f aca="false">SUM(H114)*-1+J114</f>
        <v>0</v>
      </c>
      <c r="M114" s="37"/>
      <c r="N114" s="0" t="s">
        <v>206</v>
      </c>
    </row>
    <row r="115" customFormat="false" ht="12.75" hidden="false" customHeight="false" outlineLevel="0" collapsed="false">
      <c r="A115" s="0" t="n">
        <v>88</v>
      </c>
      <c r="B115" s="115" t="n">
        <v>36819</v>
      </c>
      <c r="D115" s="0" t="s">
        <v>205</v>
      </c>
      <c r="F115" s="37" t="n">
        <f aca="false">60000*3</f>
        <v>180000</v>
      </c>
      <c r="H115" s="116" t="n">
        <f aca="false">2550+2250+1650</f>
        <v>6450</v>
      </c>
      <c r="J115" s="117" t="n">
        <v>6450</v>
      </c>
      <c r="L115" s="57" t="n">
        <f aca="false">SUM(H115)*-1+J115</f>
        <v>0</v>
      </c>
      <c r="M115" s="37"/>
      <c r="N115" s="0" t="s">
        <v>194</v>
      </c>
    </row>
    <row r="116" customFormat="false" ht="12.75" hidden="false" customHeight="false" outlineLevel="0" collapsed="false">
      <c r="A116" s="0" t="n">
        <v>89</v>
      </c>
      <c r="B116" s="115" t="n">
        <v>36819</v>
      </c>
      <c r="D116" s="0" t="s">
        <v>207</v>
      </c>
      <c r="F116" s="37" t="n">
        <f aca="false">60000*3</f>
        <v>180000</v>
      </c>
      <c r="H116" s="116" t="n">
        <f aca="false">2550+2250+1650</f>
        <v>6450</v>
      </c>
      <c r="J116" s="117" t="n">
        <v>6450</v>
      </c>
      <c r="L116" s="57" t="n">
        <f aca="false">SUM(H116)*-1+J116</f>
        <v>0</v>
      </c>
      <c r="M116" s="37"/>
      <c r="N116" s="0" t="s">
        <v>194</v>
      </c>
    </row>
    <row r="117" customFormat="false" ht="12.75" hidden="false" customHeight="false" outlineLevel="0" collapsed="false">
      <c r="A117" s="0" t="n">
        <v>90</v>
      </c>
      <c r="B117" s="115" t="n">
        <v>36819</v>
      </c>
      <c r="D117" s="0" t="s">
        <v>192</v>
      </c>
      <c r="F117" s="37" t="n">
        <v>40000</v>
      </c>
      <c r="H117" s="116" t="n">
        <v>100</v>
      </c>
      <c r="J117" s="117" t="n">
        <v>100</v>
      </c>
      <c r="L117" s="57" t="n">
        <f aca="false">SUM(H117)*-1+J117</f>
        <v>0</v>
      </c>
      <c r="M117" s="37"/>
      <c r="N117" s="0" t="s">
        <v>208</v>
      </c>
    </row>
    <row r="118" customFormat="false" ht="12.75" hidden="false" customHeight="false" outlineLevel="0" collapsed="false">
      <c r="A118" s="0" t="n">
        <v>91</v>
      </c>
      <c r="B118" s="115" t="n">
        <v>36822</v>
      </c>
      <c r="D118" s="0" t="s">
        <v>136</v>
      </c>
      <c r="F118" s="37" t="n">
        <f aca="false">93700+96600+85300+67900+42500</f>
        <v>386000</v>
      </c>
      <c r="H118" s="116" t="n">
        <f aca="false">2529.9+2608.2+2303.1+1833.3+1147.5</f>
        <v>10422</v>
      </c>
      <c r="J118" s="117" t="n">
        <v>10308</v>
      </c>
      <c r="L118" s="57" t="n">
        <f aca="false">SUM(H118)*-1+J118</f>
        <v>-114</v>
      </c>
      <c r="M118" s="37"/>
      <c r="N118" s="0" t="s">
        <v>191</v>
      </c>
    </row>
    <row r="119" customFormat="false" ht="12.75" hidden="false" customHeight="false" outlineLevel="0" collapsed="false">
      <c r="A119" s="0" t="n">
        <v>92</v>
      </c>
      <c r="B119" s="115" t="n">
        <v>36823</v>
      </c>
      <c r="D119" s="0" t="s">
        <v>192</v>
      </c>
      <c r="F119" s="37" t="n">
        <v>40000</v>
      </c>
      <c r="H119" s="116" t="n">
        <v>700</v>
      </c>
      <c r="J119" s="117" t="n">
        <v>700</v>
      </c>
      <c r="L119" s="57" t="n">
        <f aca="false">SUM(H119)*-1+J119</f>
        <v>0</v>
      </c>
      <c r="M119" s="37"/>
      <c r="N119" s="0" t="s">
        <v>209</v>
      </c>
    </row>
    <row r="120" customFormat="false" ht="12.75" hidden="false" customHeight="false" outlineLevel="0" collapsed="false">
      <c r="A120" s="0" t="n">
        <v>93</v>
      </c>
      <c r="B120" s="115" t="n">
        <v>36824</v>
      </c>
      <c r="D120" s="0" t="s">
        <v>192</v>
      </c>
      <c r="F120" s="37" t="n">
        <v>40000</v>
      </c>
      <c r="H120" s="116" t="n">
        <v>1800</v>
      </c>
      <c r="J120" s="117" t="n">
        <v>1800</v>
      </c>
      <c r="L120" s="57" t="n">
        <f aca="false">SUM(H120)*-1+J120</f>
        <v>0</v>
      </c>
      <c r="M120" s="37"/>
      <c r="N120" s="0" t="s">
        <v>210</v>
      </c>
    </row>
    <row r="121" customFormat="false" ht="12.75" hidden="false" customHeight="false" outlineLevel="0" collapsed="false">
      <c r="A121" s="0" t="n">
        <v>94</v>
      </c>
      <c r="B121" s="115" t="n">
        <v>36825</v>
      </c>
      <c r="D121" s="0" t="s">
        <v>183</v>
      </c>
      <c r="F121" s="37" t="n">
        <f aca="false">165000*16</f>
        <v>2640000</v>
      </c>
      <c r="H121" s="116" t="n">
        <f aca="false">4950*16</f>
        <v>79200</v>
      </c>
      <c r="J121" s="117" t="n">
        <v>79200</v>
      </c>
      <c r="L121" s="57" t="n">
        <f aca="false">SUM(H121)*-1+J121</f>
        <v>0</v>
      </c>
      <c r="M121" s="37"/>
      <c r="N121" s="0" t="s">
        <v>211</v>
      </c>
    </row>
    <row r="122" customFormat="false" ht="12.75" hidden="false" customHeight="false" outlineLevel="0" collapsed="false">
      <c r="A122" s="0" t="n">
        <v>95</v>
      </c>
      <c r="B122" s="115" t="n">
        <v>36829</v>
      </c>
      <c r="D122" s="0" t="s">
        <v>192</v>
      </c>
      <c r="F122" s="37" t="n">
        <f aca="false">60000+60000</f>
        <v>120000</v>
      </c>
      <c r="H122" s="116" t="n">
        <f aca="false">450+300</f>
        <v>750</v>
      </c>
      <c r="J122" s="117" t="n">
        <v>750</v>
      </c>
      <c r="L122" s="57" t="n">
        <f aca="false">SUM(H122)*-1+J122</f>
        <v>0</v>
      </c>
      <c r="M122" s="37"/>
      <c r="N122" s="0" t="s">
        <v>212</v>
      </c>
    </row>
    <row r="123" customFormat="false" ht="12.75" hidden="false" customHeight="false" outlineLevel="0" collapsed="false">
      <c r="B123" s="123" t="s">
        <v>213</v>
      </c>
      <c r="C123" s="124"/>
      <c r="D123" s="124" t="s">
        <v>214</v>
      </c>
      <c r="E123" s="124"/>
      <c r="F123" s="125" t="n">
        <v>0</v>
      </c>
      <c r="G123" s="124"/>
      <c r="H123" s="126" t="n">
        <v>0</v>
      </c>
      <c r="I123" s="124"/>
      <c r="J123" s="127" t="n">
        <v>267</v>
      </c>
      <c r="K123" s="124"/>
      <c r="L123" s="128" t="n">
        <f aca="false">SUM(H123)*-1+J123</f>
        <v>267</v>
      </c>
      <c r="M123" s="125"/>
      <c r="N123" s="129" t="s">
        <v>215</v>
      </c>
      <c r="O123" s="124"/>
      <c r="P123" s="124"/>
    </row>
    <row r="124" customFormat="false" ht="12.75" hidden="false" customHeight="false" outlineLevel="0" collapsed="false">
      <c r="B124" s="123" t="s">
        <v>213</v>
      </c>
      <c r="C124" s="124"/>
      <c r="D124" s="124" t="s">
        <v>192</v>
      </c>
      <c r="E124" s="124"/>
      <c r="F124" s="125" t="n">
        <v>0</v>
      </c>
      <c r="G124" s="124"/>
      <c r="H124" s="126" t="n">
        <v>0</v>
      </c>
      <c r="I124" s="124"/>
      <c r="J124" s="127" t="n">
        <v>1788</v>
      </c>
      <c r="K124" s="124"/>
      <c r="L124" s="128" t="n">
        <f aca="false">SUM(H124)*-1+J124</f>
        <v>1788</v>
      </c>
      <c r="M124" s="125"/>
      <c r="N124" s="129" t="s">
        <v>215</v>
      </c>
      <c r="O124" s="124"/>
      <c r="P124" s="124"/>
    </row>
    <row r="125" customFormat="false" ht="12.75" hidden="false" customHeight="false" outlineLevel="0" collapsed="false">
      <c r="B125" s="123" t="s">
        <v>213</v>
      </c>
      <c r="C125" s="124"/>
      <c r="D125" s="124" t="s">
        <v>26</v>
      </c>
      <c r="E125" s="124"/>
      <c r="F125" s="125" t="n">
        <v>0</v>
      </c>
      <c r="G125" s="124"/>
      <c r="H125" s="126" t="n">
        <v>0</v>
      </c>
      <c r="I125" s="124"/>
      <c r="J125" s="127" t="n">
        <v>19800</v>
      </c>
      <c r="K125" s="124"/>
      <c r="L125" s="128" t="n">
        <f aca="false">SUM(H125)*-1+J125</f>
        <v>19800</v>
      </c>
      <c r="M125" s="125"/>
      <c r="N125" s="129" t="s">
        <v>215</v>
      </c>
      <c r="O125" s="124"/>
      <c r="P125" s="124"/>
    </row>
    <row r="126" customFormat="false" ht="12.75" hidden="false" customHeight="false" outlineLevel="0" collapsed="false">
      <c r="B126" s="130" t="s">
        <v>216</v>
      </c>
      <c r="F126" s="37" t="n">
        <v>0</v>
      </c>
      <c r="H126" s="116" t="n">
        <v>0</v>
      </c>
      <c r="J126" s="117" t="n">
        <v>990</v>
      </c>
      <c r="L126" s="57" t="n">
        <f aca="false">SUM(H126)*-1+J126</f>
        <v>990</v>
      </c>
      <c r="M126" s="37"/>
      <c r="N126" s="131"/>
    </row>
    <row r="127" customFormat="false" ht="12.75" hidden="false" customHeight="false" outlineLevel="0" collapsed="false">
      <c r="B127" s="118" t="s">
        <v>217</v>
      </c>
      <c r="F127" s="35" t="n">
        <f aca="false">SUM(F93:F126)</f>
        <v>17232067</v>
      </c>
      <c r="G127" s="35" t="s">
        <v>2</v>
      </c>
      <c r="H127" s="35" t="n">
        <f aca="false">SUM(H93:H126)</f>
        <v>355076.09</v>
      </c>
      <c r="I127" s="35" t="s">
        <v>2</v>
      </c>
      <c r="J127" s="35" t="n">
        <f aca="false">SUM(J93:J126)</f>
        <v>378768</v>
      </c>
      <c r="K127" s="35" t="s">
        <v>2</v>
      </c>
      <c r="L127" s="35" t="n">
        <f aca="false">SUM(L93:L126)</f>
        <v>23691.91</v>
      </c>
      <c r="M127" s="37"/>
    </row>
    <row r="128" customFormat="false" ht="12.75" hidden="false" customHeight="false" outlineLevel="0" collapsed="false">
      <c r="B128" s="115"/>
      <c r="F128" s="37"/>
      <c r="H128" s="116"/>
      <c r="J128" s="117"/>
      <c r="L128" s="57"/>
      <c r="M128" s="37"/>
    </row>
    <row r="129" customFormat="false" ht="12.75" hidden="false" customHeight="false" outlineLevel="0" collapsed="false">
      <c r="A129" s="0" t="n">
        <v>96</v>
      </c>
      <c r="B129" s="115" t="n">
        <v>36832</v>
      </c>
      <c r="D129" s="0" t="s">
        <v>218</v>
      </c>
      <c r="F129" s="37" t="n">
        <f aca="false">12500*4</f>
        <v>50000</v>
      </c>
      <c r="H129" s="116" t="n">
        <v>0</v>
      </c>
      <c r="J129" s="117"/>
      <c r="L129" s="57"/>
      <c r="M129" s="37"/>
      <c r="N129" s="0" t="s">
        <v>219</v>
      </c>
    </row>
    <row r="130" customFormat="false" ht="12.75" hidden="false" customHeight="false" outlineLevel="0" collapsed="false">
      <c r="A130" s="0" t="n">
        <v>97</v>
      </c>
      <c r="B130" s="115" t="n">
        <v>36833</v>
      </c>
      <c r="D130" s="0" t="s">
        <v>218</v>
      </c>
      <c r="F130" s="37" t="n">
        <f aca="false">47000*4</f>
        <v>188000</v>
      </c>
      <c r="H130" s="116" t="n">
        <f aca="false">117.5*4</f>
        <v>470</v>
      </c>
      <c r="J130" s="117" t="n">
        <v>470</v>
      </c>
      <c r="L130" s="57" t="n">
        <f aca="false">J130-H130</f>
        <v>0</v>
      </c>
      <c r="M130" s="37"/>
      <c r="N130" s="0" t="s">
        <v>219</v>
      </c>
    </row>
    <row r="131" customFormat="false" ht="12.75" hidden="false" customHeight="false" outlineLevel="0" collapsed="false">
      <c r="A131" s="0" t="n">
        <v>98</v>
      </c>
      <c r="B131" s="115" t="n">
        <v>36839</v>
      </c>
      <c r="D131" s="0" t="s">
        <v>34</v>
      </c>
      <c r="F131" s="37" t="n">
        <f aca="false">805151*6</f>
        <v>4830906</v>
      </c>
      <c r="H131" s="116" t="n">
        <f aca="false">16103.02*6</f>
        <v>96618.12</v>
      </c>
      <c r="J131" s="117" t="n">
        <v>96618.12</v>
      </c>
      <c r="L131" s="57" t="n">
        <f aca="false">J131-H131</f>
        <v>0</v>
      </c>
      <c r="M131" s="37"/>
      <c r="N131" s="12" t="s">
        <v>189</v>
      </c>
    </row>
    <row r="132" customFormat="false" ht="12.75" hidden="false" customHeight="false" outlineLevel="0" collapsed="false">
      <c r="A132" s="0" t="n">
        <v>99</v>
      </c>
      <c r="B132" s="115" t="n">
        <v>36843</v>
      </c>
      <c r="D132" s="0" t="s">
        <v>220</v>
      </c>
      <c r="F132" s="37" t="n">
        <v>0</v>
      </c>
      <c r="H132" s="116" t="n">
        <v>0</v>
      </c>
      <c r="I132" s="0" t="s">
        <v>2</v>
      </c>
      <c r="J132" s="117" t="n">
        <v>0</v>
      </c>
      <c r="L132" s="57" t="n">
        <f aca="false">J132-H132</f>
        <v>0</v>
      </c>
      <c r="M132" s="37"/>
      <c r="N132" s="132" t="s">
        <v>221</v>
      </c>
    </row>
    <row r="133" customFormat="false" ht="12.75" hidden="false" customHeight="false" outlineLevel="0" collapsed="false">
      <c r="B133" s="130" t="s">
        <v>222</v>
      </c>
      <c r="F133" s="37" t="n">
        <v>0</v>
      </c>
      <c r="H133" s="116" t="n">
        <v>0</v>
      </c>
      <c r="J133" s="117" t="n">
        <v>37646</v>
      </c>
      <c r="L133" s="57" t="n">
        <f aca="false">J133-H133</f>
        <v>37646</v>
      </c>
      <c r="M133" s="37"/>
      <c r="N133" s="132"/>
    </row>
    <row r="134" customFormat="false" ht="12.75" hidden="false" customHeight="false" outlineLevel="0" collapsed="false">
      <c r="B134" s="118" t="s">
        <v>223</v>
      </c>
      <c r="F134" s="35" t="n">
        <f aca="false">SUM(F129:F133)</f>
        <v>5068906</v>
      </c>
      <c r="G134" s="35" t="s">
        <v>2</v>
      </c>
      <c r="H134" s="35" t="n">
        <f aca="false">SUM(H129:H133)</f>
        <v>97088.12</v>
      </c>
      <c r="I134" s="35" t="s">
        <v>2</v>
      </c>
      <c r="J134" s="35" t="n">
        <f aca="false">SUM(J129:J133)</f>
        <v>134734.12</v>
      </c>
      <c r="K134" s="35" t="s">
        <v>2</v>
      </c>
      <c r="L134" s="121" t="n">
        <f aca="false">SUM(L129:L133)</f>
        <v>37646</v>
      </c>
      <c r="M134" s="37"/>
    </row>
    <row r="135" customFormat="false" ht="12.75" hidden="false" customHeight="false" outlineLevel="0" collapsed="false">
      <c r="B135" s="115"/>
      <c r="F135" s="37"/>
      <c r="H135" s="116"/>
      <c r="J135" s="117"/>
      <c r="L135" s="57"/>
      <c r="M135" s="37"/>
    </row>
    <row r="136" customFormat="false" ht="12.75" hidden="false" customHeight="false" outlineLevel="0" collapsed="false">
      <c r="A136" s="0" t="n">
        <v>100</v>
      </c>
      <c r="B136" s="115" t="n">
        <v>36861</v>
      </c>
      <c r="D136" s="0" t="s">
        <v>220</v>
      </c>
      <c r="F136" s="37" t="n">
        <f aca="false">165000*43</f>
        <v>7095000</v>
      </c>
      <c r="H136" s="116" t="n">
        <f aca="false">4537.5*43</f>
        <v>195112.5</v>
      </c>
      <c r="J136" s="117" t="n">
        <v>190575</v>
      </c>
      <c r="L136" s="57" t="n">
        <f aca="false">J136-H136</f>
        <v>-4537.5</v>
      </c>
      <c r="M136" s="37"/>
      <c r="N136" s="12" t="s">
        <v>27</v>
      </c>
    </row>
    <row r="137" customFormat="false" ht="12.75" hidden="false" customHeight="false" outlineLevel="0" collapsed="false">
      <c r="A137" s="0" t="n">
        <v>101</v>
      </c>
      <c r="B137" s="115" t="n">
        <v>36881</v>
      </c>
      <c r="D137" s="0" t="s">
        <v>136</v>
      </c>
      <c r="F137" s="37" t="n">
        <f aca="false">57200+28800</f>
        <v>86000</v>
      </c>
      <c r="H137" s="116" t="n">
        <f aca="false">1144+576</f>
        <v>1720</v>
      </c>
      <c r="J137" s="117" t="n">
        <v>576</v>
      </c>
      <c r="L137" s="57" t="n">
        <f aca="false">J137-H137</f>
        <v>-1144</v>
      </c>
      <c r="M137" s="37"/>
      <c r="N137" s="12" t="s">
        <v>224</v>
      </c>
    </row>
    <row r="138" customFormat="false" ht="12.75" hidden="false" customHeight="false" outlineLevel="0" collapsed="false">
      <c r="A138" s="0" t="n">
        <v>102</v>
      </c>
      <c r="B138" s="115" t="n">
        <v>36881</v>
      </c>
      <c r="D138" s="0" t="s">
        <v>172</v>
      </c>
      <c r="F138" s="37" t="n">
        <f aca="false">99900+64000+8600</f>
        <v>172500</v>
      </c>
      <c r="H138" s="116" t="n">
        <f aca="false">1998+1280+172</f>
        <v>3450</v>
      </c>
      <c r="J138" s="117" t="n">
        <v>3450</v>
      </c>
      <c r="L138" s="57" t="n">
        <f aca="false">J138-H138</f>
        <v>0</v>
      </c>
      <c r="M138" s="37"/>
      <c r="N138" s="12" t="s">
        <v>225</v>
      </c>
    </row>
    <row r="139" customFormat="false" ht="12.75" hidden="false" customHeight="false" outlineLevel="0" collapsed="false">
      <c r="A139" s="0" t="n">
        <v>103</v>
      </c>
      <c r="B139" s="115" t="n">
        <v>36871</v>
      </c>
      <c r="D139" s="0" t="s">
        <v>226</v>
      </c>
      <c r="F139" s="37" t="n">
        <f aca="false">30000*2</f>
        <v>60000</v>
      </c>
      <c r="H139" s="116" t="n">
        <f aca="false">1200*2</f>
        <v>2400</v>
      </c>
      <c r="J139" s="117" t="n">
        <v>2400</v>
      </c>
      <c r="L139" s="57" t="n">
        <f aca="false">J139-H139</f>
        <v>0</v>
      </c>
      <c r="M139" s="37"/>
      <c r="N139" s="0" t="s">
        <v>227</v>
      </c>
    </row>
    <row r="140" customFormat="false" ht="12.75" hidden="false" customHeight="false" outlineLevel="0" collapsed="false">
      <c r="A140" s="0" t="n">
        <v>104</v>
      </c>
      <c r="B140" s="115" t="n">
        <v>36886</v>
      </c>
      <c r="D140" s="0" t="s">
        <v>228</v>
      </c>
      <c r="F140" s="37" t="n">
        <v>150000</v>
      </c>
      <c r="H140" s="116" t="n">
        <v>3750</v>
      </c>
      <c r="J140" s="117" t="n">
        <v>3750</v>
      </c>
      <c r="L140" s="57" t="n">
        <f aca="false">J140-H140</f>
        <v>0</v>
      </c>
      <c r="M140" s="37"/>
      <c r="N140" s="0" t="s">
        <v>229</v>
      </c>
    </row>
    <row r="141" customFormat="false" ht="12.75" hidden="false" customHeight="false" outlineLevel="0" collapsed="false">
      <c r="A141" s="0" t="n">
        <v>105</v>
      </c>
      <c r="B141" s="115" t="n">
        <v>36886</v>
      </c>
      <c r="D141" s="0" t="s">
        <v>207</v>
      </c>
      <c r="F141" s="37" t="n">
        <v>60000</v>
      </c>
      <c r="H141" s="116" t="n">
        <v>1500</v>
      </c>
      <c r="J141" s="117" t="n">
        <v>1500</v>
      </c>
      <c r="L141" s="57" t="n">
        <f aca="false">J141-H141</f>
        <v>0</v>
      </c>
      <c r="M141" s="37"/>
      <c r="N141" s="0" t="s">
        <v>229</v>
      </c>
    </row>
    <row r="142" customFormat="false" ht="12.75" hidden="false" customHeight="false" outlineLevel="0" collapsed="false">
      <c r="A142" s="0" t="n">
        <v>106</v>
      </c>
      <c r="B142" s="115" t="n">
        <v>36886</v>
      </c>
      <c r="D142" s="0" t="s">
        <v>205</v>
      </c>
      <c r="F142" s="37" t="n">
        <v>60000</v>
      </c>
      <c r="H142" s="116" t="n">
        <v>1500</v>
      </c>
      <c r="J142" s="117" t="n">
        <v>1500</v>
      </c>
      <c r="L142" s="57" t="n">
        <f aca="false">J142-H142</f>
        <v>0</v>
      </c>
      <c r="M142" s="37"/>
      <c r="N142" s="0" t="s">
        <v>229</v>
      </c>
    </row>
    <row r="143" customFormat="false" ht="12.75" hidden="false" customHeight="false" outlineLevel="0" collapsed="false">
      <c r="B143" s="115"/>
      <c r="F143" s="37"/>
      <c r="H143" s="116"/>
      <c r="J143" s="117"/>
      <c r="L143" s="57"/>
      <c r="M143" s="37"/>
    </row>
    <row r="144" customFormat="false" ht="12.75" hidden="false" customHeight="false" outlineLevel="0" collapsed="false">
      <c r="A144" s="0" t="n">
        <v>107</v>
      </c>
      <c r="B144" s="115" t="n">
        <v>36886</v>
      </c>
      <c r="D144" s="0" t="s">
        <v>228</v>
      </c>
      <c r="F144" s="37" t="n">
        <v>200000</v>
      </c>
      <c r="H144" s="116" t="n">
        <v>6000</v>
      </c>
      <c r="J144" s="117" t="n">
        <v>41800</v>
      </c>
      <c r="L144" s="57" t="n">
        <f aca="false">SUM(H144:H148)*-1+J144</f>
        <v>0</v>
      </c>
      <c r="M144" s="37"/>
      <c r="N144" s="12" t="s">
        <v>230</v>
      </c>
    </row>
    <row r="145" customFormat="false" ht="12.75" hidden="false" customHeight="false" outlineLevel="0" collapsed="false">
      <c r="A145" s="0" t="n">
        <v>108</v>
      </c>
      <c r="B145" s="115" t="n">
        <v>36886</v>
      </c>
      <c r="D145" s="0" t="s">
        <v>207</v>
      </c>
      <c r="F145" s="37" t="n">
        <v>30000</v>
      </c>
      <c r="H145" s="116" t="n">
        <v>900</v>
      </c>
      <c r="J145" s="117" t="s">
        <v>127</v>
      </c>
      <c r="L145" s="57"/>
      <c r="M145" s="37"/>
      <c r="N145" s="12" t="s">
        <v>230</v>
      </c>
    </row>
    <row r="146" customFormat="false" ht="12.75" hidden="false" customHeight="false" outlineLevel="0" collapsed="false">
      <c r="A146" s="0" t="n">
        <v>109</v>
      </c>
      <c r="B146" s="115" t="n">
        <v>36886</v>
      </c>
      <c r="D146" s="0" t="s">
        <v>205</v>
      </c>
      <c r="F146" s="37" t="n">
        <v>630000</v>
      </c>
      <c r="H146" s="116" t="n">
        <v>18900</v>
      </c>
      <c r="J146" s="117" t="s">
        <v>127</v>
      </c>
      <c r="L146" s="57"/>
      <c r="M146" s="37"/>
      <c r="N146" s="12" t="s">
        <v>230</v>
      </c>
    </row>
    <row r="147" customFormat="false" ht="12.75" hidden="false" customHeight="false" outlineLevel="0" collapsed="false">
      <c r="A147" s="0" t="n">
        <v>110</v>
      </c>
      <c r="B147" s="115" t="n">
        <v>36886</v>
      </c>
      <c r="D147" s="0" t="s">
        <v>231</v>
      </c>
      <c r="F147" s="37" t="n">
        <v>500000</v>
      </c>
      <c r="H147" s="116" t="n">
        <v>10000</v>
      </c>
      <c r="J147" s="117" t="s">
        <v>127</v>
      </c>
      <c r="L147" s="57"/>
      <c r="M147" s="37"/>
      <c r="N147" s="12" t="s">
        <v>230</v>
      </c>
    </row>
    <row r="148" customFormat="false" ht="12.75" hidden="false" customHeight="false" outlineLevel="0" collapsed="false">
      <c r="A148" s="0" t="n">
        <v>111</v>
      </c>
      <c r="B148" s="115" t="n">
        <v>36886</v>
      </c>
      <c r="D148" s="0" t="s">
        <v>231</v>
      </c>
      <c r="F148" s="37" t="n">
        <v>300000</v>
      </c>
      <c r="H148" s="116" t="n">
        <v>6000</v>
      </c>
      <c r="J148" s="117" t="s">
        <v>127</v>
      </c>
      <c r="L148" s="57"/>
      <c r="M148" s="37"/>
      <c r="N148" s="12" t="s">
        <v>230</v>
      </c>
    </row>
    <row r="149" customFormat="false" ht="12.75" hidden="false" customHeight="false" outlineLevel="0" collapsed="false">
      <c r="A149" s="0" t="s">
        <v>2</v>
      </c>
      <c r="B149" s="115"/>
      <c r="F149" s="37"/>
      <c r="H149" s="116"/>
      <c r="J149" s="117"/>
      <c r="L149" s="57"/>
      <c r="M149" s="37"/>
    </row>
    <row r="150" customFormat="false" ht="12.75" hidden="false" customHeight="false" outlineLevel="0" collapsed="false">
      <c r="A150" s="0" t="n">
        <v>112</v>
      </c>
      <c r="B150" s="115" t="n">
        <v>36886</v>
      </c>
      <c r="D150" s="0" t="s">
        <v>231</v>
      </c>
      <c r="F150" s="37" t="n">
        <v>60000</v>
      </c>
      <c r="H150" s="116" t="n">
        <v>900</v>
      </c>
      <c r="J150" s="117" t="n">
        <v>900</v>
      </c>
      <c r="L150" s="57" t="n">
        <f aca="false">J150-H150</f>
        <v>0</v>
      </c>
      <c r="M150" s="37"/>
    </row>
    <row r="151" customFormat="false" ht="12.75" hidden="false" customHeight="false" outlineLevel="0" collapsed="false">
      <c r="B151" s="115"/>
      <c r="F151" s="37"/>
      <c r="H151" s="116"/>
      <c r="J151" s="117"/>
      <c r="L151" s="57"/>
      <c r="M151" s="37"/>
    </row>
    <row r="152" customFormat="false" ht="12.75" hidden="false" customHeight="false" outlineLevel="0" collapsed="false">
      <c r="P152" s="124"/>
    </row>
    <row r="153" customFormat="false" ht="12.75" hidden="false" customHeight="false" outlineLevel="0" collapsed="false">
      <c r="B153" s="118" t="s">
        <v>232</v>
      </c>
      <c r="F153" s="35" t="n">
        <f aca="false">SUM(F136:F151)</f>
        <v>9403500</v>
      </c>
      <c r="G153" s="35" t="s">
        <v>2</v>
      </c>
      <c r="H153" s="35" t="n">
        <f aca="false">SUM(H136:H151)</f>
        <v>252132.5</v>
      </c>
      <c r="I153" s="35" t="s">
        <v>2</v>
      </c>
      <c r="J153" s="35" t="n">
        <f aca="false">SUM(J136:J151)</f>
        <v>246451</v>
      </c>
      <c r="K153" s="35" t="s">
        <v>2</v>
      </c>
      <c r="L153" s="121" t="n">
        <f aca="false">SUM(L136:L151)</f>
        <v>-5681.5</v>
      </c>
      <c r="M153" s="37"/>
    </row>
    <row r="154" customFormat="false" ht="12.75" hidden="false" customHeight="false" outlineLevel="0" collapsed="false">
      <c r="B154" s="115"/>
      <c r="F154" s="37"/>
      <c r="H154" s="116"/>
      <c r="J154" s="117"/>
      <c r="L154" s="57"/>
      <c r="M154" s="37"/>
    </row>
    <row r="155" customFormat="false" ht="13.5" hidden="false" customHeight="false" outlineLevel="0" collapsed="false">
      <c r="B155" s="118" t="s">
        <v>233</v>
      </c>
      <c r="C155" s="58"/>
      <c r="D155" s="58"/>
      <c r="E155" s="58"/>
      <c r="F155" s="59" t="n">
        <f aca="false">F7+F10+F81+F91+F127+F134+F153</f>
        <v>72436557</v>
      </c>
      <c r="G155" s="59" t="s">
        <v>2</v>
      </c>
      <c r="H155" s="59" t="n">
        <f aca="false">H7+H10+H81+H91+H127+H134+H153</f>
        <v>1574442.21</v>
      </c>
      <c r="I155" s="59" t="s">
        <v>2</v>
      </c>
      <c r="J155" s="59" t="n">
        <f aca="false">J7+J10+J81+J91+J127+J134+J153</f>
        <v>1586448.12</v>
      </c>
      <c r="K155" s="59" t="s">
        <v>2</v>
      </c>
      <c r="L155" s="59" t="n">
        <f aca="false">L7+L10+L81+L91+L127+L134+L153</f>
        <v>12005.91</v>
      </c>
      <c r="M155" s="0" t="s">
        <v>2</v>
      </c>
    </row>
    <row r="156" customFormat="false" ht="13.5" hidden="false" customHeight="false" outlineLevel="0" collapsed="false">
      <c r="B156" s="115"/>
      <c r="F156" s="37"/>
      <c r="H156" s="116"/>
      <c r="J156" s="117"/>
      <c r="L156" s="57"/>
      <c r="M156" s="37"/>
    </row>
    <row r="157" customFormat="false" ht="12.75" hidden="false" customHeight="false" outlineLevel="0" collapsed="false">
      <c r="B157" s="115"/>
      <c r="F157" s="37"/>
      <c r="H157" s="116"/>
      <c r="J157" s="117"/>
      <c r="L157" s="57"/>
      <c r="M157" s="37"/>
    </row>
    <row r="158" customFormat="false" ht="12.75" hidden="false" customHeight="false" outlineLevel="0" collapsed="false">
      <c r="B158" s="115"/>
      <c r="F158" s="37"/>
      <c r="H158" s="116"/>
      <c r="J158" s="117"/>
      <c r="L158" s="57"/>
      <c r="M158" s="37"/>
    </row>
    <row r="159" customFormat="false" ht="12.75" hidden="false" customHeight="false" outlineLevel="0" collapsed="false">
      <c r="B159" s="115"/>
      <c r="F159" s="37"/>
      <c r="H159" s="116"/>
      <c r="J159" s="117"/>
      <c r="L159" s="57"/>
      <c r="M159" s="37"/>
    </row>
    <row r="160" customFormat="false" ht="12.75" hidden="false" customHeight="false" outlineLevel="0" collapsed="false">
      <c r="B160" s="115"/>
      <c r="F160" s="37"/>
      <c r="H160" s="116"/>
      <c r="J160" s="117"/>
      <c r="L160" s="57"/>
      <c r="M160" s="37"/>
    </row>
    <row r="161" customFormat="false" ht="12.75" hidden="false" customHeight="false" outlineLevel="0" collapsed="false">
      <c r="B161" s="115"/>
      <c r="F161" s="37"/>
      <c r="H161" s="116"/>
      <c r="J161" s="117"/>
      <c r="L161" s="57"/>
      <c r="M161" s="37"/>
    </row>
    <row r="162" customFormat="false" ht="12.75" hidden="false" customHeight="false" outlineLevel="0" collapsed="false">
      <c r="B162" s="115"/>
      <c r="F162" s="37"/>
      <c r="H162" s="116"/>
      <c r="J162" s="117"/>
      <c r="L162" s="57"/>
      <c r="M162" s="37"/>
    </row>
    <row r="163" customFormat="false" ht="12.75" hidden="false" customHeight="false" outlineLevel="0" collapsed="false">
      <c r="B163" s="115"/>
      <c r="F163" s="37"/>
      <c r="H163" s="116"/>
      <c r="J163" s="117"/>
      <c r="L163" s="57"/>
      <c r="M163" s="37"/>
    </row>
    <row r="164" customFormat="false" ht="12.75" hidden="false" customHeight="false" outlineLevel="0" collapsed="false">
      <c r="B164" s="115"/>
      <c r="F164" s="37"/>
      <c r="H164" s="116"/>
      <c r="J164" s="117"/>
      <c r="L164" s="57"/>
      <c r="M164" s="37"/>
    </row>
    <row r="165" customFormat="false" ht="12.75" hidden="false" customHeight="false" outlineLevel="0" collapsed="false">
      <c r="B165" s="115"/>
      <c r="F165" s="37"/>
      <c r="H165" s="116"/>
      <c r="J165" s="117"/>
      <c r="L165" s="57"/>
      <c r="M165" s="37"/>
    </row>
    <row r="166" customFormat="false" ht="12.75" hidden="false" customHeight="false" outlineLevel="0" collapsed="false">
      <c r="B166" s="115"/>
      <c r="F166" s="37"/>
      <c r="H166" s="116"/>
      <c r="J166" s="117"/>
      <c r="L166" s="57"/>
      <c r="M166" s="37"/>
    </row>
    <row r="167" customFormat="false" ht="12.75" hidden="false" customHeight="false" outlineLevel="0" collapsed="false">
      <c r="B167" s="115"/>
      <c r="F167" s="37"/>
      <c r="H167" s="116"/>
      <c r="J167" s="117"/>
      <c r="L167" s="57"/>
      <c r="M167" s="37"/>
    </row>
    <row r="168" customFormat="false" ht="12.75" hidden="false" customHeight="false" outlineLevel="0" collapsed="false">
      <c r="B168" s="115"/>
      <c r="F168" s="37"/>
      <c r="H168" s="116"/>
      <c r="J168" s="117"/>
      <c r="L168" s="57"/>
      <c r="M168" s="37"/>
    </row>
    <row r="169" customFormat="false" ht="12.75" hidden="false" customHeight="false" outlineLevel="0" collapsed="false">
      <c r="B169" s="115"/>
      <c r="F169" s="37"/>
      <c r="H169" s="116"/>
      <c r="J169" s="117"/>
      <c r="L169" s="57"/>
      <c r="M169" s="37"/>
    </row>
    <row r="170" customFormat="false" ht="12.75" hidden="false" customHeight="false" outlineLevel="0" collapsed="false">
      <c r="B170" s="115"/>
      <c r="F170" s="37"/>
      <c r="H170" s="116"/>
      <c r="J170" s="117"/>
      <c r="L170" s="57"/>
      <c r="M170" s="37"/>
    </row>
    <row r="171" customFormat="false" ht="12.75" hidden="false" customHeight="false" outlineLevel="0" collapsed="false">
      <c r="B171" s="115"/>
      <c r="F171" s="37"/>
      <c r="H171" s="116"/>
      <c r="J171" s="117"/>
      <c r="L171" s="57"/>
      <c r="M171" s="37"/>
    </row>
    <row r="172" customFormat="false" ht="12.75" hidden="false" customHeight="false" outlineLevel="0" collapsed="false">
      <c r="B172" s="115"/>
      <c r="F172" s="37"/>
      <c r="H172" s="116"/>
      <c r="J172" s="117"/>
      <c r="L172" s="57"/>
      <c r="M172" s="37"/>
    </row>
    <row r="173" customFormat="false" ht="12.75" hidden="false" customHeight="false" outlineLevel="0" collapsed="false">
      <c r="B173" s="115"/>
      <c r="F173" s="37"/>
      <c r="H173" s="116"/>
      <c r="J173" s="117"/>
      <c r="L173" s="57"/>
      <c r="M173" s="37"/>
    </row>
    <row r="174" customFormat="false" ht="12.75" hidden="false" customHeight="false" outlineLevel="0" collapsed="false">
      <c r="B174" s="115"/>
      <c r="F174" s="37"/>
      <c r="H174" s="116"/>
      <c r="J174" s="117"/>
      <c r="L174" s="57"/>
      <c r="M174" s="37"/>
    </row>
    <row r="175" customFormat="false" ht="12.75" hidden="false" customHeight="false" outlineLevel="0" collapsed="false">
      <c r="B175" s="115"/>
      <c r="F175" s="37"/>
      <c r="H175" s="116"/>
      <c r="J175" s="117"/>
      <c r="L175" s="57"/>
      <c r="M175" s="37"/>
    </row>
    <row r="176" customFormat="false" ht="12.75" hidden="false" customHeight="false" outlineLevel="0" collapsed="false">
      <c r="B176" s="115"/>
      <c r="F176" s="37"/>
      <c r="H176" s="116"/>
      <c r="J176" s="117"/>
      <c r="L176" s="57"/>
      <c r="M176" s="37"/>
    </row>
    <row r="177" customFormat="false" ht="12.75" hidden="false" customHeight="false" outlineLevel="0" collapsed="false">
      <c r="B177" s="115"/>
      <c r="F177" s="37"/>
      <c r="H177" s="116"/>
      <c r="J177" s="117"/>
      <c r="L177" s="57"/>
      <c r="M177" s="37"/>
    </row>
    <row r="178" customFormat="false" ht="12.75" hidden="false" customHeight="false" outlineLevel="0" collapsed="false">
      <c r="B178" s="115"/>
      <c r="F178" s="37"/>
      <c r="H178" s="116"/>
      <c r="J178" s="117"/>
      <c r="L178" s="57"/>
      <c r="M178" s="37"/>
    </row>
    <row r="179" customFormat="false" ht="12.75" hidden="false" customHeight="false" outlineLevel="0" collapsed="false">
      <c r="B179" s="115"/>
      <c r="F179" s="37"/>
      <c r="H179" s="116"/>
      <c r="J179" s="117"/>
      <c r="L179" s="57"/>
      <c r="M179" s="37"/>
    </row>
    <row r="180" customFormat="false" ht="12.75" hidden="false" customHeight="false" outlineLevel="0" collapsed="false">
      <c r="B180" s="115"/>
      <c r="F180" s="37"/>
      <c r="H180" s="116"/>
      <c r="J180" s="117"/>
      <c r="L180" s="57"/>
      <c r="M180" s="37"/>
    </row>
    <row r="181" customFormat="false" ht="12.75" hidden="false" customHeight="false" outlineLevel="0" collapsed="false">
      <c r="B181" s="115"/>
      <c r="F181" s="37"/>
      <c r="H181" s="116"/>
      <c r="J181" s="117"/>
      <c r="L181" s="57"/>
      <c r="M181" s="37"/>
    </row>
    <row r="182" customFormat="false" ht="12.75" hidden="false" customHeight="false" outlineLevel="0" collapsed="false">
      <c r="B182" s="115"/>
      <c r="F182" s="37"/>
      <c r="H182" s="116"/>
      <c r="J182" s="117"/>
      <c r="L182" s="57"/>
      <c r="M182" s="37"/>
    </row>
    <row r="183" customFormat="false" ht="12.75" hidden="false" customHeight="false" outlineLevel="0" collapsed="false">
      <c r="B183" s="115"/>
      <c r="F183" s="37"/>
      <c r="H183" s="116"/>
      <c r="J183" s="117"/>
      <c r="L183" s="57"/>
      <c r="M183" s="37"/>
    </row>
    <row r="184" customFormat="false" ht="12.75" hidden="false" customHeight="false" outlineLevel="0" collapsed="false">
      <c r="B184" s="115"/>
      <c r="F184" s="37"/>
      <c r="H184" s="116"/>
      <c r="J184" s="117"/>
      <c r="L184" s="57"/>
      <c r="M184" s="37"/>
    </row>
    <row r="185" customFormat="false" ht="12.75" hidden="false" customHeight="false" outlineLevel="0" collapsed="false">
      <c r="B185" s="115"/>
      <c r="F185" s="37"/>
      <c r="H185" s="116"/>
      <c r="J185" s="117"/>
      <c r="L185" s="57"/>
      <c r="M185" s="37"/>
    </row>
    <row r="186" customFormat="false" ht="12.75" hidden="false" customHeight="false" outlineLevel="0" collapsed="false">
      <c r="B186" s="115"/>
      <c r="F186" s="37"/>
      <c r="H186" s="116"/>
      <c r="J186" s="117"/>
      <c r="L186" s="57"/>
      <c r="M186" s="37"/>
    </row>
    <row r="187" customFormat="false" ht="12.75" hidden="false" customHeight="false" outlineLevel="0" collapsed="false">
      <c r="B187" s="115"/>
      <c r="F187" s="37"/>
      <c r="H187" s="116"/>
      <c r="J187" s="117"/>
      <c r="L187" s="57"/>
      <c r="M187" s="37"/>
    </row>
    <row r="188" customFormat="false" ht="12.75" hidden="false" customHeight="false" outlineLevel="0" collapsed="false">
      <c r="B188" s="115"/>
      <c r="F188" s="37"/>
      <c r="H188" s="116"/>
      <c r="J188" s="117"/>
      <c r="L188" s="57"/>
      <c r="M188" s="37"/>
    </row>
    <row r="189" customFormat="false" ht="12.75" hidden="false" customHeight="false" outlineLevel="0" collapsed="false">
      <c r="B189" s="115"/>
      <c r="F189" s="37"/>
      <c r="H189" s="116"/>
      <c r="J189" s="117"/>
      <c r="L189" s="57"/>
      <c r="M189" s="37"/>
    </row>
    <row r="190" customFormat="false" ht="12.75" hidden="false" customHeight="false" outlineLevel="0" collapsed="false">
      <c r="B190" s="115"/>
      <c r="F190" s="37"/>
      <c r="H190" s="116"/>
      <c r="J190" s="117"/>
      <c r="L190" s="57"/>
      <c r="M190" s="37"/>
    </row>
    <row r="191" customFormat="false" ht="12.75" hidden="false" customHeight="false" outlineLevel="0" collapsed="false">
      <c r="B191" s="115"/>
      <c r="F191" s="37"/>
      <c r="H191" s="116"/>
      <c r="J191" s="117"/>
      <c r="L191" s="57"/>
      <c r="M191" s="37"/>
    </row>
    <row r="192" customFormat="false" ht="12.75" hidden="false" customHeight="false" outlineLevel="0" collapsed="false">
      <c r="B192" s="115"/>
      <c r="F192" s="37"/>
      <c r="H192" s="116"/>
      <c r="J192" s="117"/>
      <c r="L192" s="57"/>
      <c r="M192" s="37"/>
    </row>
    <row r="193" customFormat="false" ht="12.75" hidden="false" customHeight="false" outlineLevel="0" collapsed="false">
      <c r="B193" s="115"/>
      <c r="F193" s="37"/>
      <c r="H193" s="116"/>
      <c r="J193" s="117"/>
      <c r="L193" s="57"/>
      <c r="M193" s="37"/>
    </row>
    <row r="194" customFormat="false" ht="12.75" hidden="false" customHeight="false" outlineLevel="0" collapsed="false">
      <c r="B194" s="115"/>
      <c r="F194" s="37"/>
      <c r="H194" s="116"/>
      <c r="J194" s="117"/>
      <c r="L194" s="57"/>
      <c r="M194" s="37"/>
    </row>
    <row r="195" customFormat="false" ht="12.75" hidden="false" customHeight="false" outlineLevel="0" collapsed="false">
      <c r="B195" s="115"/>
      <c r="F195" s="37"/>
      <c r="H195" s="116"/>
      <c r="J195" s="117"/>
      <c r="L195" s="57"/>
      <c r="M195" s="37"/>
    </row>
    <row r="196" customFormat="false" ht="12.75" hidden="false" customHeight="false" outlineLevel="0" collapsed="false">
      <c r="B196" s="115"/>
      <c r="F196" s="37"/>
      <c r="H196" s="116"/>
      <c r="J196" s="117"/>
      <c r="L196" s="57"/>
      <c r="M196" s="37"/>
    </row>
    <row r="197" customFormat="false" ht="12.75" hidden="false" customHeight="false" outlineLevel="0" collapsed="false">
      <c r="B197" s="115"/>
      <c r="F197" s="37"/>
      <c r="H197" s="116"/>
      <c r="J197" s="117"/>
      <c r="L197" s="57"/>
      <c r="M197" s="37"/>
    </row>
    <row r="198" customFormat="false" ht="12.75" hidden="false" customHeight="false" outlineLevel="0" collapsed="false">
      <c r="B198" s="115"/>
      <c r="F198" s="37"/>
      <c r="H198" s="116"/>
      <c r="J198" s="117"/>
      <c r="L198" s="57"/>
      <c r="M198" s="37"/>
    </row>
    <row r="199" customFormat="false" ht="12.75" hidden="false" customHeight="false" outlineLevel="0" collapsed="false">
      <c r="B199" s="115"/>
      <c r="F199" s="37"/>
      <c r="H199" s="116"/>
      <c r="J199" s="117"/>
      <c r="L199" s="57"/>
      <c r="M199" s="37"/>
    </row>
    <row r="200" customFormat="false" ht="12.75" hidden="false" customHeight="false" outlineLevel="0" collapsed="false">
      <c r="B200" s="115"/>
      <c r="F200" s="37"/>
      <c r="H200" s="116"/>
      <c r="J200" s="117"/>
      <c r="L200" s="57"/>
      <c r="M200" s="37"/>
    </row>
    <row r="201" customFormat="false" ht="12.75" hidden="false" customHeight="false" outlineLevel="0" collapsed="false">
      <c r="B201" s="115"/>
      <c r="F201" s="37"/>
      <c r="H201" s="116"/>
      <c r="J201" s="117"/>
      <c r="L201" s="57"/>
      <c r="M201" s="37"/>
    </row>
    <row r="202" customFormat="false" ht="12.75" hidden="false" customHeight="false" outlineLevel="0" collapsed="false">
      <c r="B202" s="115"/>
      <c r="F202" s="37"/>
      <c r="H202" s="116"/>
      <c r="J202" s="117"/>
      <c r="L202" s="57"/>
      <c r="M202" s="37"/>
    </row>
    <row r="203" customFormat="false" ht="12.75" hidden="false" customHeight="false" outlineLevel="0" collapsed="false">
      <c r="B203" s="115"/>
      <c r="F203" s="37"/>
      <c r="H203" s="116"/>
      <c r="J203" s="117"/>
      <c r="L203" s="57"/>
      <c r="M203" s="37"/>
    </row>
    <row r="204" customFormat="false" ht="12.75" hidden="false" customHeight="false" outlineLevel="0" collapsed="false">
      <c r="B204" s="115"/>
      <c r="F204" s="37"/>
      <c r="H204" s="116"/>
      <c r="J204" s="117"/>
      <c r="L204" s="57"/>
      <c r="M204" s="37"/>
    </row>
    <row r="205" customFormat="false" ht="12.75" hidden="false" customHeight="false" outlineLevel="0" collapsed="false">
      <c r="B205" s="115"/>
      <c r="F205" s="37"/>
      <c r="H205" s="116"/>
      <c r="J205" s="117"/>
      <c r="L205" s="57"/>
      <c r="M205" s="37"/>
    </row>
    <row r="206" customFormat="false" ht="12.75" hidden="false" customHeight="false" outlineLevel="0" collapsed="false">
      <c r="B206" s="115"/>
      <c r="F206" s="37"/>
      <c r="H206" s="116"/>
      <c r="J206" s="117"/>
      <c r="L206" s="57"/>
      <c r="M206" s="37"/>
    </row>
    <row r="207" customFormat="false" ht="12.75" hidden="false" customHeight="false" outlineLevel="0" collapsed="false">
      <c r="B207" s="115"/>
      <c r="F207" s="37"/>
      <c r="H207" s="116"/>
      <c r="J207" s="117"/>
      <c r="L207" s="57"/>
      <c r="M207" s="37"/>
    </row>
    <row r="208" customFormat="false" ht="12.75" hidden="false" customHeight="false" outlineLevel="0" collapsed="false">
      <c r="B208" s="115"/>
      <c r="F208" s="37"/>
      <c r="H208" s="116"/>
      <c r="J208" s="117"/>
      <c r="L208" s="57"/>
      <c r="M208" s="37"/>
    </row>
    <row r="209" customFormat="false" ht="12.75" hidden="false" customHeight="false" outlineLevel="0" collapsed="false">
      <c r="B209" s="115"/>
      <c r="F209" s="37"/>
      <c r="H209" s="116"/>
      <c r="J209" s="117"/>
      <c r="L209" s="57"/>
      <c r="M209" s="37"/>
    </row>
    <row r="210" customFormat="false" ht="12.75" hidden="false" customHeight="false" outlineLevel="0" collapsed="false">
      <c r="B210" s="115"/>
      <c r="F210" s="37"/>
      <c r="H210" s="116"/>
      <c r="J210" s="117"/>
      <c r="L210" s="57"/>
      <c r="M210" s="37"/>
    </row>
    <row r="211" customFormat="false" ht="12.75" hidden="false" customHeight="false" outlineLevel="0" collapsed="false">
      <c r="B211" s="115"/>
      <c r="F211" s="37"/>
      <c r="H211" s="116"/>
      <c r="J211" s="117"/>
      <c r="L211" s="57"/>
      <c r="M211" s="37"/>
    </row>
    <row r="212" customFormat="false" ht="12.75" hidden="false" customHeight="false" outlineLevel="0" collapsed="false">
      <c r="B212" s="115"/>
      <c r="F212" s="37"/>
      <c r="H212" s="116"/>
      <c r="J212" s="117"/>
      <c r="L212" s="57"/>
      <c r="M212" s="37"/>
    </row>
    <row r="213" customFormat="false" ht="12.75" hidden="false" customHeight="false" outlineLevel="0" collapsed="false">
      <c r="B213" s="115"/>
      <c r="F213" s="37"/>
      <c r="H213" s="116"/>
      <c r="J213" s="117"/>
      <c r="L213" s="57"/>
      <c r="M213" s="37"/>
    </row>
    <row r="214" customFormat="false" ht="12.75" hidden="false" customHeight="false" outlineLevel="0" collapsed="false">
      <c r="B214" s="115"/>
      <c r="F214" s="37"/>
      <c r="H214" s="116"/>
      <c r="J214" s="117"/>
      <c r="L214" s="57"/>
      <c r="M214" s="37"/>
    </row>
    <row r="215" customFormat="false" ht="12.75" hidden="false" customHeight="false" outlineLevel="0" collapsed="false">
      <c r="B215" s="115"/>
      <c r="F215" s="37"/>
      <c r="H215" s="116"/>
      <c r="J215" s="117"/>
      <c r="L215" s="57"/>
      <c r="M215" s="37"/>
    </row>
    <row r="216" customFormat="false" ht="12.75" hidden="false" customHeight="false" outlineLevel="0" collapsed="false">
      <c r="B216" s="115"/>
      <c r="F216" s="37"/>
      <c r="H216" s="116"/>
      <c r="J216" s="117"/>
      <c r="L216" s="57"/>
      <c r="M216" s="37"/>
    </row>
    <row r="217" customFormat="false" ht="12.75" hidden="false" customHeight="false" outlineLevel="0" collapsed="false">
      <c r="B217" s="115"/>
      <c r="F217" s="37"/>
      <c r="H217" s="116"/>
      <c r="J217" s="117"/>
      <c r="L217" s="57"/>
      <c r="M217" s="37"/>
    </row>
    <row r="218" customFormat="false" ht="12.75" hidden="false" customHeight="false" outlineLevel="0" collapsed="false">
      <c r="B218" s="115"/>
      <c r="F218" s="37"/>
      <c r="H218" s="116"/>
      <c r="J218" s="117"/>
      <c r="L218" s="57"/>
      <c r="M218" s="37"/>
    </row>
    <row r="219" customFormat="false" ht="12.75" hidden="false" customHeight="false" outlineLevel="0" collapsed="false">
      <c r="B219" s="115"/>
      <c r="F219" s="37"/>
      <c r="H219" s="116"/>
      <c r="J219" s="117"/>
      <c r="L219" s="57"/>
      <c r="M219" s="37"/>
    </row>
    <row r="220" customFormat="false" ht="12.75" hidden="false" customHeight="false" outlineLevel="0" collapsed="false">
      <c r="B220" s="115"/>
      <c r="F220" s="37"/>
      <c r="H220" s="116"/>
      <c r="J220" s="117"/>
      <c r="L220" s="57"/>
      <c r="M220" s="37"/>
    </row>
    <row r="221" customFormat="false" ht="12.75" hidden="false" customHeight="false" outlineLevel="0" collapsed="false">
      <c r="B221" s="115"/>
      <c r="F221" s="37"/>
      <c r="H221" s="116"/>
      <c r="J221" s="117"/>
      <c r="L221" s="57"/>
      <c r="M221" s="37"/>
    </row>
    <row r="222" customFormat="false" ht="12.75" hidden="false" customHeight="false" outlineLevel="0" collapsed="false">
      <c r="B222" s="115"/>
      <c r="F222" s="37"/>
      <c r="H222" s="116"/>
      <c r="J222" s="117"/>
      <c r="L222" s="57"/>
      <c r="M222" s="37"/>
    </row>
    <row r="223" customFormat="false" ht="12.75" hidden="false" customHeight="false" outlineLevel="0" collapsed="false">
      <c r="B223" s="115"/>
      <c r="F223" s="37"/>
      <c r="H223" s="116"/>
      <c r="J223" s="117"/>
      <c r="L223" s="57"/>
      <c r="M223" s="37"/>
    </row>
    <row r="224" customFormat="false" ht="12.75" hidden="false" customHeight="false" outlineLevel="0" collapsed="false">
      <c r="B224" s="115"/>
      <c r="F224" s="37"/>
      <c r="H224" s="116"/>
      <c r="J224" s="117"/>
      <c r="L224" s="57"/>
      <c r="M224" s="37"/>
    </row>
    <row r="225" customFormat="false" ht="12.75" hidden="false" customHeight="false" outlineLevel="0" collapsed="false">
      <c r="B225" s="115"/>
      <c r="F225" s="37"/>
      <c r="H225" s="116"/>
      <c r="J225" s="117"/>
      <c r="L225" s="57"/>
      <c r="M225" s="37"/>
    </row>
    <row r="226" customFormat="false" ht="12.75" hidden="false" customHeight="false" outlineLevel="0" collapsed="false">
      <c r="B226" s="115"/>
      <c r="F226" s="37"/>
      <c r="H226" s="116"/>
      <c r="J226" s="117"/>
      <c r="L226" s="57"/>
      <c r="M226" s="37"/>
    </row>
    <row r="227" customFormat="false" ht="12.75" hidden="false" customHeight="false" outlineLevel="0" collapsed="false">
      <c r="B227" s="115"/>
      <c r="F227" s="37"/>
      <c r="H227" s="116"/>
      <c r="J227" s="117"/>
      <c r="L227" s="57"/>
      <c r="M227" s="37"/>
    </row>
    <row r="228" customFormat="false" ht="12.75" hidden="false" customHeight="false" outlineLevel="0" collapsed="false">
      <c r="B228" s="115"/>
      <c r="F228" s="37"/>
      <c r="H228" s="116"/>
      <c r="J228" s="117"/>
      <c r="L228" s="57"/>
      <c r="M228" s="37"/>
    </row>
    <row r="229" customFormat="false" ht="12.75" hidden="false" customHeight="false" outlineLevel="0" collapsed="false">
      <c r="B229" s="115"/>
      <c r="F229" s="37"/>
      <c r="H229" s="116"/>
      <c r="J229" s="117"/>
      <c r="L229" s="57"/>
      <c r="M229" s="37"/>
    </row>
    <row r="230" customFormat="false" ht="12.75" hidden="false" customHeight="false" outlineLevel="0" collapsed="false">
      <c r="B230" s="115"/>
      <c r="F230" s="37"/>
      <c r="H230" s="116"/>
      <c r="J230" s="117"/>
      <c r="L230" s="57"/>
      <c r="M230" s="37"/>
    </row>
    <row r="231" customFormat="false" ht="12.75" hidden="false" customHeight="false" outlineLevel="0" collapsed="false">
      <c r="B231" s="115"/>
      <c r="F231" s="37"/>
      <c r="H231" s="116"/>
      <c r="J231" s="117"/>
      <c r="L231" s="57"/>
      <c r="M231" s="37"/>
    </row>
    <row r="232" customFormat="false" ht="12.75" hidden="false" customHeight="false" outlineLevel="0" collapsed="false">
      <c r="B232" s="115"/>
      <c r="F232" s="37"/>
      <c r="H232" s="116"/>
      <c r="J232" s="117"/>
      <c r="L232" s="57"/>
      <c r="M232" s="37"/>
    </row>
    <row r="233" customFormat="false" ht="12.75" hidden="false" customHeight="false" outlineLevel="0" collapsed="false">
      <c r="B233" s="115"/>
      <c r="F233" s="37"/>
      <c r="H233" s="116"/>
      <c r="J233" s="117"/>
      <c r="L233" s="57"/>
      <c r="M233" s="37"/>
    </row>
    <row r="234" customFormat="false" ht="12.75" hidden="false" customHeight="false" outlineLevel="0" collapsed="false">
      <c r="B234" s="115"/>
      <c r="F234" s="37"/>
      <c r="H234" s="116"/>
      <c r="J234" s="117"/>
      <c r="L234" s="57"/>
      <c r="M234" s="37"/>
    </row>
    <row r="235" customFormat="false" ht="12.75" hidden="false" customHeight="false" outlineLevel="0" collapsed="false">
      <c r="B235" s="115"/>
      <c r="F235" s="37"/>
      <c r="H235" s="116"/>
      <c r="J235" s="117"/>
      <c r="L235" s="57"/>
      <c r="M235" s="37"/>
    </row>
    <row r="236" customFormat="false" ht="12.75" hidden="false" customHeight="false" outlineLevel="0" collapsed="false">
      <c r="B236" s="115"/>
      <c r="F236" s="37"/>
      <c r="H236" s="116"/>
      <c r="J236" s="117"/>
      <c r="L236" s="57"/>
      <c r="M236" s="37"/>
    </row>
    <row r="237" customFormat="false" ht="12.75" hidden="false" customHeight="false" outlineLevel="0" collapsed="false">
      <c r="B237" s="115"/>
      <c r="F237" s="37"/>
      <c r="H237" s="116"/>
      <c r="J237" s="117"/>
      <c r="L237" s="57"/>
      <c r="M237" s="37"/>
    </row>
    <row r="238" customFormat="false" ht="12.75" hidden="false" customHeight="false" outlineLevel="0" collapsed="false">
      <c r="B238" s="115"/>
      <c r="F238" s="37"/>
      <c r="H238" s="116"/>
      <c r="J238" s="117"/>
      <c r="L238" s="57"/>
      <c r="M238" s="37"/>
    </row>
    <row r="239" customFormat="false" ht="12.75" hidden="false" customHeight="false" outlineLevel="0" collapsed="false">
      <c r="B239" s="115"/>
      <c r="F239" s="37"/>
      <c r="H239" s="116"/>
      <c r="J239" s="117"/>
      <c r="L239" s="57"/>
      <c r="M239" s="37"/>
    </row>
    <row r="240" customFormat="false" ht="12.75" hidden="false" customHeight="false" outlineLevel="0" collapsed="false">
      <c r="B240" s="115"/>
      <c r="F240" s="37"/>
      <c r="H240" s="116"/>
      <c r="J240" s="117"/>
      <c r="L240" s="57"/>
      <c r="M240" s="37"/>
    </row>
    <row r="241" customFormat="false" ht="12.75" hidden="false" customHeight="false" outlineLevel="0" collapsed="false">
      <c r="B241" s="115"/>
      <c r="F241" s="37"/>
      <c r="H241" s="116"/>
      <c r="J241" s="117"/>
      <c r="L241" s="57"/>
      <c r="M241" s="37"/>
    </row>
    <row r="242" customFormat="false" ht="12.75" hidden="false" customHeight="false" outlineLevel="0" collapsed="false">
      <c r="B242" s="115"/>
      <c r="F242" s="37"/>
      <c r="H242" s="116"/>
      <c r="J242" s="117"/>
      <c r="L242" s="57"/>
      <c r="M242" s="37"/>
    </row>
    <row r="243" customFormat="false" ht="12.75" hidden="false" customHeight="false" outlineLevel="0" collapsed="false">
      <c r="B243" s="115"/>
      <c r="F243" s="37"/>
      <c r="H243" s="116"/>
      <c r="J243" s="117"/>
      <c r="L243" s="57"/>
      <c r="M243" s="37"/>
    </row>
    <row r="244" customFormat="false" ht="12.75" hidden="false" customHeight="false" outlineLevel="0" collapsed="false">
      <c r="B244" s="115"/>
      <c r="F244" s="37"/>
      <c r="H244" s="116"/>
      <c r="J244" s="117"/>
      <c r="L244" s="57"/>
      <c r="M244" s="37"/>
    </row>
    <row r="245" customFormat="false" ht="12.75" hidden="false" customHeight="false" outlineLevel="0" collapsed="false">
      <c r="B245" s="115"/>
      <c r="F245" s="37"/>
      <c r="H245" s="116"/>
      <c r="J245" s="117"/>
      <c r="L245" s="57"/>
      <c r="M245" s="37"/>
    </row>
    <row r="246" customFormat="false" ht="12.75" hidden="false" customHeight="false" outlineLevel="0" collapsed="false">
      <c r="B246" s="115"/>
      <c r="F246" s="37"/>
      <c r="H246" s="116"/>
      <c r="J246" s="117"/>
      <c r="L246" s="57"/>
      <c r="M246" s="37"/>
    </row>
    <row r="247" customFormat="false" ht="12.75" hidden="false" customHeight="false" outlineLevel="0" collapsed="false">
      <c r="B247" s="115"/>
      <c r="F247" s="37"/>
      <c r="H247" s="116"/>
      <c r="J247" s="117"/>
      <c r="L247" s="57"/>
      <c r="M247" s="37"/>
    </row>
    <row r="248" customFormat="false" ht="12.75" hidden="false" customHeight="false" outlineLevel="0" collapsed="false">
      <c r="B248" s="115"/>
      <c r="F248" s="37"/>
      <c r="H248" s="116"/>
      <c r="J248" s="117"/>
      <c r="L248" s="57"/>
      <c r="M248" s="37"/>
    </row>
    <row r="249" customFormat="false" ht="12.75" hidden="false" customHeight="false" outlineLevel="0" collapsed="false">
      <c r="B249" s="115"/>
      <c r="F249" s="37"/>
      <c r="H249" s="116"/>
      <c r="J249" s="117"/>
      <c r="L249" s="57"/>
      <c r="M249" s="37"/>
    </row>
    <row r="250" customFormat="false" ht="12.75" hidden="false" customHeight="false" outlineLevel="0" collapsed="false">
      <c r="B250" s="115"/>
      <c r="F250" s="37"/>
      <c r="H250" s="116"/>
      <c r="J250" s="117"/>
      <c r="L250" s="57"/>
      <c r="M250" s="37"/>
    </row>
    <row r="251" customFormat="false" ht="12.75" hidden="false" customHeight="false" outlineLevel="0" collapsed="false">
      <c r="B251" s="115"/>
      <c r="F251" s="37"/>
      <c r="H251" s="116"/>
      <c r="J251" s="117"/>
      <c r="L251" s="57"/>
      <c r="M251" s="37"/>
    </row>
    <row r="252" customFormat="false" ht="12.75" hidden="false" customHeight="false" outlineLevel="0" collapsed="false">
      <c r="B252" s="115"/>
      <c r="F252" s="37"/>
      <c r="H252" s="116"/>
      <c r="J252" s="117"/>
      <c r="L252" s="57"/>
      <c r="M252" s="37"/>
    </row>
    <row r="253" customFormat="false" ht="12.75" hidden="false" customHeight="false" outlineLevel="0" collapsed="false">
      <c r="B253" s="115"/>
      <c r="F253" s="37"/>
      <c r="H253" s="116"/>
      <c r="J253" s="117"/>
      <c r="L253" s="57"/>
      <c r="M253" s="37"/>
    </row>
    <row r="254" customFormat="false" ht="12.75" hidden="false" customHeight="false" outlineLevel="0" collapsed="false">
      <c r="B254" s="115"/>
      <c r="F254" s="37"/>
      <c r="H254" s="116"/>
      <c r="J254" s="117"/>
      <c r="L254" s="57"/>
      <c r="M254" s="37"/>
    </row>
    <row r="255" customFormat="false" ht="12.75" hidden="false" customHeight="false" outlineLevel="0" collapsed="false">
      <c r="B255" s="115"/>
      <c r="F255" s="37"/>
      <c r="H255" s="116"/>
      <c r="J255" s="117"/>
      <c r="L255" s="57"/>
      <c r="M255" s="37"/>
    </row>
    <row r="256" customFormat="false" ht="12.75" hidden="false" customHeight="false" outlineLevel="0" collapsed="false">
      <c r="B256" s="115"/>
      <c r="F256" s="37"/>
      <c r="H256" s="116"/>
      <c r="J256" s="117"/>
      <c r="L256" s="57"/>
      <c r="M256" s="37"/>
    </row>
    <row r="257" customFormat="false" ht="12.75" hidden="false" customHeight="false" outlineLevel="0" collapsed="false">
      <c r="B257" s="115"/>
      <c r="F257" s="37"/>
      <c r="H257" s="116"/>
      <c r="J257" s="117"/>
      <c r="L257" s="57"/>
      <c r="M257" s="37"/>
    </row>
    <row r="258" customFormat="false" ht="12.75" hidden="false" customHeight="false" outlineLevel="0" collapsed="false">
      <c r="B258" s="115"/>
      <c r="F258" s="37"/>
      <c r="H258" s="116"/>
      <c r="J258" s="117"/>
      <c r="L258" s="57"/>
      <c r="M258" s="37"/>
    </row>
    <row r="259" customFormat="false" ht="12.75" hidden="false" customHeight="false" outlineLevel="0" collapsed="false">
      <c r="B259" s="115"/>
      <c r="F259" s="37"/>
      <c r="H259" s="116"/>
      <c r="J259" s="117"/>
      <c r="L259" s="57"/>
      <c r="M259" s="37"/>
    </row>
    <row r="260" customFormat="false" ht="12.75" hidden="false" customHeight="false" outlineLevel="0" collapsed="false">
      <c r="B260" s="115"/>
      <c r="F260" s="37"/>
      <c r="H260" s="116"/>
      <c r="J260" s="117"/>
      <c r="L260" s="57"/>
      <c r="M260" s="37"/>
    </row>
    <row r="261" customFormat="false" ht="12.75" hidden="false" customHeight="false" outlineLevel="0" collapsed="false">
      <c r="B261" s="115"/>
      <c r="F261" s="37"/>
      <c r="H261" s="116"/>
      <c r="J261" s="117"/>
      <c r="L261" s="57"/>
      <c r="M261" s="37"/>
    </row>
    <row r="262" customFormat="false" ht="12.75" hidden="false" customHeight="false" outlineLevel="0" collapsed="false">
      <c r="B262" s="115"/>
      <c r="F262" s="37"/>
      <c r="H262" s="116"/>
      <c r="J262" s="117"/>
      <c r="L262" s="57"/>
      <c r="M262" s="37"/>
    </row>
    <row r="263" customFormat="false" ht="12.75" hidden="false" customHeight="false" outlineLevel="0" collapsed="false">
      <c r="B263" s="115"/>
      <c r="F263" s="37"/>
      <c r="H263" s="116"/>
      <c r="J263" s="117"/>
      <c r="L263" s="57"/>
      <c r="M263" s="37"/>
    </row>
    <row r="264" customFormat="false" ht="12.75" hidden="false" customHeight="false" outlineLevel="0" collapsed="false">
      <c r="B264" s="115"/>
      <c r="F264" s="37"/>
      <c r="H264" s="116"/>
      <c r="J264" s="117"/>
      <c r="L264" s="57"/>
      <c r="M264" s="37"/>
    </row>
    <row r="265" customFormat="false" ht="12.75" hidden="false" customHeight="false" outlineLevel="0" collapsed="false">
      <c r="B265" s="115"/>
      <c r="F265" s="37"/>
      <c r="H265" s="116"/>
      <c r="J265" s="117"/>
      <c r="L265" s="57"/>
      <c r="M265" s="37"/>
    </row>
    <row r="266" customFormat="false" ht="12.75" hidden="false" customHeight="false" outlineLevel="0" collapsed="false">
      <c r="B266" s="115"/>
      <c r="F266" s="37"/>
      <c r="H266" s="116"/>
      <c r="J266" s="117"/>
      <c r="L266" s="57"/>
      <c r="M266" s="37"/>
    </row>
    <row r="267" customFormat="false" ht="12.75" hidden="false" customHeight="false" outlineLevel="0" collapsed="false">
      <c r="B267" s="115"/>
      <c r="F267" s="37"/>
      <c r="H267" s="116"/>
      <c r="J267" s="117"/>
      <c r="L267" s="57"/>
      <c r="M267" s="37"/>
    </row>
    <row r="268" customFormat="false" ht="12.75" hidden="false" customHeight="false" outlineLevel="0" collapsed="false">
      <c r="B268" s="115"/>
      <c r="F268" s="37"/>
      <c r="H268" s="116"/>
      <c r="J268" s="117"/>
      <c r="L268" s="57"/>
      <c r="M268" s="37"/>
    </row>
    <row r="269" customFormat="false" ht="12.75" hidden="false" customHeight="false" outlineLevel="0" collapsed="false">
      <c r="B269" s="115"/>
      <c r="F269" s="37"/>
      <c r="H269" s="116"/>
      <c r="J269" s="117"/>
      <c r="L269" s="57"/>
      <c r="M269" s="37"/>
    </row>
    <row r="270" customFormat="false" ht="12.75" hidden="false" customHeight="false" outlineLevel="0" collapsed="false">
      <c r="B270" s="115"/>
      <c r="F270" s="37"/>
      <c r="H270" s="116"/>
      <c r="J270" s="117"/>
      <c r="L270" s="57"/>
      <c r="M270" s="37"/>
    </row>
    <row r="271" customFormat="false" ht="12.75" hidden="false" customHeight="false" outlineLevel="0" collapsed="false">
      <c r="B271" s="115"/>
      <c r="F271" s="37"/>
      <c r="H271" s="116"/>
      <c r="J271" s="117"/>
      <c r="L271" s="57"/>
      <c r="M271" s="37"/>
    </row>
    <row r="272" customFormat="false" ht="12.75" hidden="false" customHeight="false" outlineLevel="0" collapsed="false">
      <c r="B272" s="115"/>
      <c r="F272" s="37"/>
      <c r="H272" s="116"/>
      <c r="J272" s="117"/>
      <c r="L272" s="57"/>
      <c r="M272" s="37"/>
    </row>
    <row r="273" customFormat="false" ht="12.75" hidden="false" customHeight="false" outlineLevel="0" collapsed="false">
      <c r="B273" s="115"/>
      <c r="F273" s="37"/>
      <c r="H273" s="116"/>
      <c r="J273" s="117"/>
      <c r="L273" s="57"/>
      <c r="M273" s="37"/>
    </row>
    <row r="274" customFormat="false" ht="12.75" hidden="false" customHeight="false" outlineLevel="0" collapsed="false">
      <c r="B274" s="115"/>
      <c r="F274" s="37"/>
      <c r="H274" s="116"/>
      <c r="J274" s="117"/>
      <c r="L274" s="57"/>
      <c r="M274" s="37"/>
    </row>
    <row r="275" customFormat="false" ht="12.75" hidden="false" customHeight="false" outlineLevel="0" collapsed="false">
      <c r="B275" s="115"/>
      <c r="F275" s="37"/>
      <c r="H275" s="116"/>
      <c r="J275" s="117"/>
      <c r="L275" s="57"/>
      <c r="M275" s="37"/>
    </row>
    <row r="276" customFormat="false" ht="12.75" hidden="false" customHeight="false" outlineLevel="0" collapsed="false">
      <c r="B276" s="115"/>
      <c r="F276" s="37"/>
      <c r="H276" s="116"/>
      <c r="J276" s="117"/>
      <c r="L276" s="57"/>
      <c r="M276" s="37"/>
    </row>
    <row r="277" customFormat="false" ht="12.75" hidden="false" customHeight="false" outlineLevel="0" collapsed="false">
      <c r="B277" s="115"/>
      <c r="F277" s="37"/>
      <c r="H277" s="116"/>
      <c r="J277" s="117"/>
      <c r="L277" s="57"/>
      <c r="M277" s="37"/>
    </row>
    <row r="278" customFormat="false" ht="12.75" hidden="false" customHeight="false" outlineLevel="0" collapsed="false">
      <c r="B278" s="115"/>
      <c r="F278" s="37"/>
      <c r="H278" s="116"/>
      <c r="J278" s="117"/>
      <c r="L278" s="57"/>
      <c r="M278" s="37"/>
    </row>
    <row r="279" customFormat="false" ht="12.75" hidden="false" customHeight="false" outlineLevel="0" collapsed="false">
      <c r="B279" s="115"/>
      <c r="F279" s="37"/>
      <c r="H279" s="116"/>
      <c r="J279" s="117"/>
      <c r="L279" s="57"/>
      <c r="M279" s="37"/>
    </row>
    <row r="280" customFormat="false" ht="12.75" hidden="false" customHeight="false" outlineLevel="0" collapsed="false">
      <c r="B280" s="115"/>
      <c r="F280" s="37"/>
      <c r="H280" s="116"/>
      <c r="J280" s="117"/>
      <c r="L280" s="57"/>
      <c r="M280" s="37"/>
    </row>
    <row r="281" customFormat="false" ht="12.75" hidden="false" customHeight="false" outlineLevel="0" collapsed="false">
      <c r="B281" s="115"/>
      <c r="F281" s="37"/>
      <c r="H281" s="116"/>
      <c r="J281" s="117"/>
      <c r="L281" s="57"/>
      <c r="M281" s="37"/>
    </row>
    <row r="282" customFormat="false" ht="12.75" hidden="false" customHeight="false" outlineLevel="0" collapsed="false">
      <c r="B282" s="115"/>
      <c r="F282" s="37"/>
      <c r="H282" s="116"/>
      <c r="J282" s="117"/>
      <c r="L282" s="57"/>
      <c r="M282" s="37"/>
    </row>
    <row r="283" customFormat="false" ht="12.75" hidden="false" customHeight="false" outlineLevel="0" collapsed="false">
      <c r="B283" s="115"/>
      <c r="F283" s="37"/>
      <c r="H283" s="116"/>
      <c r="J283" s="117"/>
      <c r="L283" s="57"/>
      <c r="M283" s="37"/>
    </row>
    <row r="284" customFormat="false" ht="12.75" hidden="false" customHeight="false" outlineLevel="0" collapsed="false">
      <c r="B284" s="115"/>
      <c r="F284" s="37"/>
      <c r="H284" s="116"/>
      <c r="J284" s="117"/>
      <c r="L284" s="57"/>
      <c r="M284" s="37"/>
    </row>
    <row r="285" customFormat="false" ht="12.75" hidden="false" customHeight="false" outlineLevel="0" collapsed="false">
      <c r="B285" s="115"/>
      <c r="F285" s="37"/>
      <c r="H285" s="116"/>
      <c r="J285" s="117"/>
      <c r="L285" s="57"/>
      <c r="M285" s="37"/>
    </row>
    <row r="286" customFormat="false" ht="12.75" hidden="false" customHeight="false" outlineLevel="0" collapsed="false">
      <c r="B286" s="115"/>
      <c r="F286" s="37"/>
      <c r="H286" s="116"/>
      <c r="J286" s="117"/>
      <c r="L286" s="57"/>
      <c r="M286" s="37"/>
    </row>
    <row r="287" customFormat="false" ht="12.75" hidden="false" customHeight="false" outlineLevel="0" collapsed="false">
      <c r="B287" s="115"/>
      <c r="F287" s="37"/>
      <c r="H287" s="116"/>
      <c r="J287" s="117"/>
      <c r="L287" s="57"/>
      <c r="M287" s="37"/>
    </row>
    <row r="288" customFormat="false" ht="12.75" hidden="false" customHeight="false" outlineLevel="0" collapsed="false">
      <c r="B288" s="115"/>
      <c r="F288" s="37"/>
      <c r="H288" s="116"/>
      <c r="J288" s="117"/>
      <c r="L288" s="57"/>
      <c r="M288" s="37"/>
    </row>
    <row r="289" customFormat="false" ht="12.75" hidden="false" customHeight="false" outlineLevel="0" collapsed="false">
      <c r="B289" s="115"/>
      <c r="F289" s="37"/>
      <c r="H289" s="116"/>
      <c r="J289" s="117"/>
      <c r="L289" s="57"/>
      <c r="M289" s="37"/>
    </row>
    <row r="290" customFormat="false" ht="12.75" hidden="false" customHeight="false" outlineLevel="0" collapsed="false">
      <c r="B290" s="115"/>
      <c r="F290" s="37"/>
      <c r="H290" s="116"/>
      <c r="J290" s="117"/>
      <c r="L290" s="57"/>
      <c r="M290" s="37"/>
    </row>
    <row r="291" customFormat="false" ht="12.75" hidden="false" customHeight="false" outlineLevel="0" collapsed="false">
      <c r="B291" s="115"/>
      <c r="F291" s="37"/>
      <c r="H291" s="116"/>
      <c r="J291" s="117"/>
      <c r="L291" s="57"/>
      <c r="M291" s="37"/>
    </row>
    <row r="292" customFormat="false" ht="12.75" hidden="false" customHeight="false" outlineLevel="0" collapsed="false">
      <c r="B292" s="115"/>
      <c r="F292" s="37"/>
      <c r="H292" s="116"/>
      <c r="J292" s="117"/>
      <c r="L292" s="57"/>
      <c r="M292" s="37"/>
    </row>
    <row r="293" customFormat="false" ht="12.75" hidden="false" customHeight="false" outlineLevel="0" collapsed="false">
      <c r="B293" s="115"/>
      <c r="F293" s="37"/>
      <c r="H293" s="116"/>
      <c r="J293" s="117"/>
      <c r="L293" s="57"/>
      <c r="M293" s="37"/>
    </row>
    <row r="294" customFormat="false" ht="12.75" hidden="false" customHeight="false" outlineLevel="0" collapsed="false">
      <c r="B294" s="115"/>
      <c r="F294" s="37"/>
      <c r="H294" s="116"/>
      <c r="J294" s="117"/>
      <c r="L294" s="57"/>
      <c r="M294" s="37"/>
    </row>
    <row r="295" customFormat="false" ht="12.75" hidden="false" customHeight="false" outlineLevel="0" collapsed="false">
      <c r="B295" s="115"/>
      <c r="F295" s="37"/>
      <c r="H295" s="116"/>
      <c r="J295" s="117"/>
      <c r="L295" s="57"/>
      <c r="M295" s="37"/>
    </row>
    <row r="296" customFormat="false" ht="12.75" hidden="false" customHeight="false" outlineLevel="0" collapsed="false">
      <c r="B296" s="115"/>
      <c r="F296" s="37"/>
      <c r="H296" s="116"/>
      <c r="J296" s="117"/>
      <c r="L296" s="57"/>
      <c r="M296" s="37"/>
    </row>
    <row r="297" customFormat="false" ht="12.75" hidden="false" customHeight="false" outlineLevel="0" collapsed="false">
      <c r="B297" s="115"/>
      <c r="F297" s="37"/>
      <c r="H297" s="116"/>
      <c r="J297" s="117"/>
      <c r="L297" s="57"/>
      <c r="M297" s="37"/>
    </row>
    <row r="298" customFormat="false" ht="12.75" hidden="false" customHeight="false" outlineLevel="0" collapsed="false">
      <c r="B298" s="115"/>
      <c r="F298" s="37"/>
      <c r="H298" s="116"/>
      <c r="J298" s="117"/>
      <c r="L298" s="57"/>
      <c r="M298" s="37"/>
    </row>
    <row r="299" customFormat="false" ht="12.75" hidden="false" customHeight="false" outlineLevel="0" collapsed="false">
      <c r="B299" s="115"/>
      <c r="F299" s="37"/>
      <c r="H299" s="116"/>
      <c r="J299" s="117"/>
      <c r="L299" s="57"/>
      <c r="M299" s="37"/>
    </row>
    <row r="300" customFormat="false" ht="12.75" hidden="false" customHeight="false" outlineLevel="0" collapsed="false">
      <c r="B300" s="115"/>
      <c r="F300" s="37"/>
      <c r="H300" s="116"/>
      <c r="J300" s="117"/>
      <c r="L300" s="57"/>
      <c r="M300" s="37"/>
    </row>
    <row r="301" customFormat="false" ht="12.75" hidden="false" customHeight="false" outlineLevel="0" collapsed="false">
      <c r="B301" s="115"/>
      <c r="F301" s="37"/>
      <c r="H301" s="116"/>
      <c r="J301" s="117"/>
      <c r="L301" s="57"/>
      <c r="M301" s="37"/>
    </row>
    <row r="302" customFormat="false" ht="12.75" hidden="false" customHeight="false" outlineLevel="0" collapsed="false">
      <c r="B302" s="115"/>
      <c r="F302" s="37"/>
      <c r="H302" s="116"/>
      <c r="J302" s="117"/>
      <c r="L302" s="57"/>
      <c r="M302" s="37"/>
    </row>
    <row r="303" customFormat="false" ht="12.75" hidden="false" customHeight="false" outlineLevel="0" collapsed="false">
      <c r="B303" s="115"/>
      <c r="F303" s="37"/>
      <c r="H303" s="116"/>
      <c r="J303" s="117"/>
      <c r="L303" s="57"/>
      <c r="M303" s="37"/>
    </row>
    <row r="304" customFormat="false" ht="12.75" hidden="false" customHeight="false" outlineLevel="0" collapsed="false">
      <c r="B304" s="115"/>
      <c r="F304" s="37"/>
      <c r="H304" s="116"/>
      <c r="J304" s="117"/>
      <c r="L304" s="57"/>
      <c r="M304" s="37"/>
    </row>
    <row r="305" customFormat="false" ht="12.75" hidden="false" customHeight="false" outlineLevel="0" collapsed="false">
      <c r="B305" s="115"/>
      <c r="F305" s="37"/>
      <c r="H305" s="116"/>
      <c r="J305" s="117"/>
      <c r="L305" s="57"/>
      <c r="M305" s="37"/>
    </row>
    <row r="306" customFormat="false" ht="12.75" hidden="false" customHeight="false" outlineLevel="0" collapsed="false">
      <c r="B306" s="115"/>
      <c r="F306" s="37"/>
      <c r="H306" s="116"/>
      <c r="J306" s="117"/>
      <c r="L306" s="57"/>
      <c r="M306" s="37"/>
    </row>
    <row r="307" customFormat="false" ht="12.75" hidden="false" customHeight="false" outlineLevel="0" collapsed="false">
      <c r="B307" s="115"/>
      <c r="F307" s="37"/>
      <c r="H307" s="116"/>
      <c r="J307" s="117"/>
      <c r="L307" s="57"/>
      <c r="M307" s="37"/>
    </row>
    <row r="308" customFormat="false" ht="12.75" hidden="false" customHeight="false" outlineLevel="0" collapsed="false">
      <c r="B308" s="115"/>
      <c r="F308" s="37"/>
      <c r="H308" s="116"/>
      <c r="J308" s="117"/>
      <c r="L308" s="57"/>
      <c r="M308" s="37"/>
    </row>
    <row r="309" customFormat="false" ht="12.75" hidden="false" customHeight="false" outlineLevel="0" collapsed="false">
      <c r="B309" s="115"/>
      <c r="F309" s="37"/>
      <c r="H309" s="116"/>
      <c r="J309" s="117"/>
      <c r="L309" s="57"/>
      <c r="M309" s="37"/>
    </row>
    <row r="310" customFormat="false" ht="12.75" hidden="false" customHeight="false" outlineLevel="0" collapsed="false">
      <c r="B310" s="115"/>
      <c r="F310" s="37"/>
      <c r="H310" s="116"/>
      <c r="J310" s="117"/>
      <c r="L310" s="57"/>
      <c r="M310" s="37"/>
    </row>
    <row r="311" customFormat="false" ht="12.75" hidden="false" customHeight="false" outlineLevel="0" collapsed="false">
      <c r="B311" s="115"/>
      <c r="F311" s="37"/>
      <c r="H311" s="116"/>
      <c r="J311" s="117"/>
      <c r="L311" s="57"/>
      <c r="M311" s="37"/>
    </row>
    <row r="312" customFormat="false" ht="12.75" hidden="false" customHeight="false" outlineLevel="0" collapsed="false">
      <c r="B312" s="115"/>
      <c r="F312" s="37"/>
      <c r="H312" s="116"/>
      <c r="J312" s="117"/>
      <c r="L312" s="57"/>
      <c r="M312" s="37"/>
    </row>
    <row r="313" customFormat="false" ht="12.75" hidden="false" customHeight="false" outlineLevel="0" collapsed="false">
      <c r="B313" s="115"/>
      <c r="F313" s="37"/>
      <c r="H313" s="116"/>
      <c r="J313" s="117"/>
      <c r="L313" s="57"/>
      <c r="M313" s="37"/>
    </row>
    <row r="314" customFormat="false" ht="12.75" hidden="false" customHeight="false" outlineLevel="0" collapsed="false">
      <c r="B314" s="115"/>
      <c r="F314" s="37"/>
      <c r="H314" s="116"/>
      <c r="J314" s="117"/>
      <c r="L314" s="57"/>
      <c r="M314" s="37"/>
    </row>
    <row r="315" customFormat="false" ht="12.75" hidden="false" customHeight="false" outlineLevel="0" collapsed="false">
      <c r="B315" s="115"/>
      <c r="F315" s="37"/>
      <c r="H315" s="116"/>
      <c r="J315" s="117"/>
      <c r="L315" s="57"/>
      <c r="M315" s="37"/>
    </row>
    <row r="316" customFormat="false" ht="12.75" hidden="false" customHeight="false" outlineLevel="0" collapsed="false">
      <c r="B316" s="115"/>
      <c r="F316" s="37"/>
      <c r="H316" s="116"/>
      <c r="J316" s="117"/>
      <c r="L316" s="57"/>
      <c r="M316" s="37"/>
    </row>
    <row r="317" customFormat="false" ht="12.75" hidden="false" customHeight="false" outlineLevel="0" collapsed="false">
      <c r="B317" s="115"/>
      <c r="F317" s="37"/>
      <c r="H317" s="116"/>
      <c r="J317" s="117"/>
      <c r="L317" s="57"/>
      <c r="M317" s="37"/>
    </row>
    <row r="318" customFormat="false" ht="12.75" hidden="false" customHeight="false" outlineLevel="0" collapsed="false">
      <c r="B318" s="115"/>
      <c r="F318" s="37"/>
      <c r="H318" s="116"/>
      <c r="J318" s="117"/>
      <c r="L318" s="57"/>
      <c r="M318" s="37"/>
    </row>
    <row r="319" customFormat="false" ht="12.75" hidden="false" customHeight="false" outlineLevel="0" collapsed="false">
      <c r="B319" s="115"/>
      <c r="F319" s="37"/>
      <c r="H319" s="116"/>
      <c r="J319" s="117"/>
      <c r="L319" s="57"/>
      <c r="M319" s="37"/>
    </row>
    <row r="320" customFormat="false" ht="12.75" hidden="false" customHeight="false" outlineLevel="0" collapsed="false">
      <c r="B320" s="115"/>
      <c r="F320" s="37"/>
      <c r="H320" s="116"/>
      <c r="J320" s="117"/>
      <c r="L320" s="57"/>
      <c r="M320" s="37"/>
    </row>
    <row r="321" customFormat="false" ht="12.75" hidden="false" customHeight="false" outlineLevel="0" collapsed="false">
      <c r="B321" s="115"/>
      <c r="F321" s="37"/>
      <c r="H321" s="116"/>
      <c r="J321" s="117"/>
      <c r="L321" s="57"/>
      <c r="M321" s="37"/>
    </row>
    <row r="322" customFormat="false" ht="12.75" hidden="false" customHeight="false" outlineLevel="0" collapsed="false">
      <c r="B322" s="115"/>
      <c r="F322" s="37"/>
      <c r="H322" s="116"/>
      <c r="J322" s="117"/>
      <c r="L322" s="57"/>
      <c r="M322" s="37"/>
    </row>
    <row r="323" customFormat="false" ht="12.75" hidden="false" customHeight="false" outlineLevel="0" collapsed="false">
      <c r="B323" s="115"/>
      <c r="F323" s="37"/>
      <c r="H323" s="116"/>
      <c r="J323" s="117"/>
      <c r="L323" s="57"/>
      <c r="M323" s="37"/>
    </row>
    <row r="324" customFormat="false" ht="12.75" hidden="false" customHeight="false" outlineLevel="0" collapsed="false">
      <c r="B324" s="115"/>
      <c r="F324" s="37"/>
      <c r="H324" s="116"/>
      <c r="J324" s="117"/>
      <c r="L324" s="57"/>
      <c r="M324" s="37"/>
    </row>
    <row r="325" customFormat="false" ht="12.75" hidden="false" customHeight="false" outlineLevel="0" collapsed="false">
      <c r="B325" s="115"/>
      <c r="F325" s="37"/>
      <c r="H325" s="116"/>
      <c r="J325" s="117"/>
      <c r="L325" s="57"/>
      <c r="M325" s="37"/>
    </row>
    <row r="326" customFormat="false" ht="12.75" hidden="false" customHeight="false" outlineLevel="0" collapsed="false">
      <c r="B326" s="115"/>
      <c r="F326" s="37"/>
      <c r="H326" s="116"/>
      <c r="J326" s="117"/>
      <c r="L326" s="57"/>
      <c r="M326" s="37"/>
    </row>
    <row r="327" customFormat="false" ht="12.75" hidden="false" customHeight="false" outlineLevel="0" collapsed="false">
      <c r="B327" s="115"/>
      <c r="F327" s="37"/>
      <c r="H327" s="116"/>
      <c r="J327" s="117"/>
      <c r="L327" s="57"/>
      <c r="M327" s="37"/>
    </row>
    <row r="328" customFormat="false" ht="12.75" hidden="false" customHeight="false" outlineLevel="0" collapsed="false">
      <c r="B328" s="115"/>
      <c r="F328" s="37"/>
      <c r="H328" s="116"/>
      <c r="J328" s="117"/>
      <c r="L328" s="57"/>
      <c r="M328" s="37"/>
    </row>
    <row r="329" customFormat="false" ht="12.75" hidden="false" customHeight="false" outlineLevel="0" collapsed="false">
      <c r="B329" s="115"/>
      <c r="F329" s="37"/>
      <c r="H329" s="116"/>
      <c r="J329" s="117"/>
      <c r="L329" s="57"/>
      <c r="M329" s="37"/>
    </row>
    <row r="330" customFormat="false" ht="12.75" hidden="false" customHeight="false" outlineLevel="0" collapsed="false">
      <c r="B330" s="115"/>
      <c r="F330" s="37"/>
      <c r="H330" s="116"/>
      <c r="J330" s="117"/>
      <c r="L330" s="57"/>
      <c r="M330" s="37"/>
    </row>
    <row r="331" customFormat="false" ht="12.75" hidden="false" customHeight="false" outlineLevel="0" collapsed="false">
      <c r="B331" s="115"/>
      <c r="F331" s="37"/>
      <c r="H331" s="116"/>
      <c r="J331" s="117"/>
      <c r="L331" s="57"/>
      <c r="M331" s="37"/>
    </row>
    <row r="332" customFormat="false" ht="12.75" hidden="false" customHeight="false" outlineLevel="0" collapsed="false">
      <c r="B332" s="115"/>
      <c r="F332" s="37"/>
      <c r="H332" s="116"/>
      <c r="J332" s="117"/>
      <c r="L332" s="57"/>
      <c r="M332" s="37"/>
    </row>
    <row r="333" customFormat="false" ht="12.75" hidden="false" customHeight="false" outlineLevel="0" collapsed="false">
      <c r="B333" s="115"/>
      <c r="F333" s="37"/>
      <c r="H333" s="116"/>
      <c r="J333" s="117"/>
      <c r="L333" s="57"/>
      <c r="M333" s="37"/>
    </row>
    <row r="334" customFormat="false" ht="12.75" hidden="false" customHeight="false" outlineLevel="0" collapsed="false">
      <c r="B334" s="115"/>
      <c r="F334" s="37"/>
      <c r="H334" s="116"/>
      <c r="J334" s="117"/>
      <c r="L334" s="57"/>
      <c r="M334" s="37"/>
    </row>
    <row r="335" customFormat="false" ht="12.75" hidden="false" customHeight="false" outlineLevel="0" collapsed="false">
      <c r="B335" s="115"/>
      <c r="F335" s="37"/>
      <c r="H335" s="116"/>
      <c r="J335" s="117"/>
      <c r="L335" s="57"/>
      <c r="M335" s="37"/>
    </row>
    <row r="336" customFormat="false" ht="12.75" hidden="false" customHeight="false" outlineLevel="0" collapsed="false">
      <c r="B336" s="115"/>
      <c r="F336" s="37"/>
      <c r="H336" s="116"/>
      <c r="J336" s="117"/>
      <c r="L336" s="57"/>
      <c r="M336" s="37"/>
    </row>
    <row r="337" customFormat="false" ht="12.75" hidden="false" customHeight="false" outlineLevel="0" collapsed="false">
      <c r="B337" s="115"/>
      <c r="F337" s="37"/>
      <c r="H337" s="116"/>
      <c r="J337" s="117"/>
      <c r="L337" s="57"/>
      <c r="M337" s="37"/>
    </row>
    <row r="338" customFormat="false" ht="12.75" hidden="false" customHeight="false" outlineLevel="0" collapsed="false">
      <c r="B338" s="115"/>
      <c r="F338" s="37"/>
      <c r="H338" s="116"/>
      <c r="J338" s="117"/>
      <c r="L338" s="57"/>
      <c r="M338" s="37"/>
    </row>
    <row r="339" customFormat="false" ht="12.75" hidden="false" customHeight="false" outlineLevel="0" collapsed="false">
      <c r="B339" s="115"/>
      <c r="F339" s="37"/>
      <c r="H339" s="116"/>
      <c r="J339" s="117"/>
      <c r="L339" s="57"/>
      <c r="M339" s="37"/>
    </row>
    <row r="340" customFormat="false" ht="12.75" hidden="false" customHeight="false" outlineLevel="0" collapsed="false">
      <c r="B340" s="115"/>
      <c r="F340" s="37"/>
      <c r="H340" s="116"/>
      <c r="J340" s="117"/>
      <c r="L340" s="57"/>
      <c r="M340" s="37"/>
    </row>
    <row r="341" customFormat="false" ht="12.75" hidden="false" customHeight="false" outlineLevel="0" collapsed="false">
      <c r="B341" s="115"/>
      <c r="F341" s="37"/>
      <c r="H341" s="116"/>
      <c r="J341" s="117"/>
      <c r="L341" s="57"/>
      <c r="M341" s="37"/>
    </row>
    <row r="342" customFormat="false" ht="12.75" hidden="false" customHeight="false" outlineLevel="0" collapsed="false">
      <c r="B342" s="115"/>
    </row>
    <row r="343" customFormat="false" ht="12.75" hidden="false" customHeight="false" outlineLevel="0" collapsed="false">
      <c r="B343" s="115"/>
    </row>
    <row r="344" customFormat="false" ht="12.75" hidden="false" customHeight="false" outlineLevel="0" collapsed="false">
      <c r="B344" s="115"/>
    </row>
    <row r="345" customFormat="false" ht="12.75" hidden="false" customHeight="false" outlineLevel="0" collapsed="false">
      <c r="B345" s="115"/>
    </row>
    <row r="346" customFormat="false" ht="12.75" hidden="false" customHeight="false" outlineLevel="0" collapsed="false">
      <c r="B346" s="115"/>
    </row>
    <row r="347" customFormat="false" ht="12.75" hidden="false" customHeight="false" outlineLevel="0" collapsed="false">
      <c r="B347" s="115"/>
    </row>
    <row r="348" customFormat="false" ht="12.75" hidden="false" customHeight="false" outlineLevel="0" collapsed="false">
      <c r="B348" s="115"/>
    </row>
    <row r="349" customFormat="false" ht="12.75" hidden="false" customHeight="false" outlineLevel="0" collapsed="false">
      <c r="B349" s="115"/>
    </row>
    <row r="350" customFormat="false" ht="12.75" hidden="false" customHeight="false" outlineLevel="0" collapsed="false">
      <c r="B350" s="115"/>
    </row>
    <row r="351" customFormat="false" ht="12.75" hidden="false" customHeight="false" outlineLevel="0" collapsed="false">
      <c r="B351" s="115"/>
    </row>
    <row r="352" customFormat="false" ht="12.75" hidden="false" customHeight="false" outlineLevel="0" collapsed="false">
      <c r="B352" s="115"/>
    </row>
    <row r="353" customFormat="false" ht="12.75" hidden="false" customHeight="false" outlineLevel="0" collapsed="false">
      <c r="B353" s="115"/>
    </row>
    <row r="354" customFormat="false" ht="12.75" hidden="false" customHeight="false" outlineLevel="0" collapsed="false">
      <c r="B354" s="115"/>
    </row>
    <row r="355" customFormat="false" ht="12.75" hidden="false" customHeight="false" outlineLevel="0" collapsed="false">
      <c r="B355" s="115"/>
    </row>
    <row r="356" customFormat="false" ht="12.75" hidden="false" customHeight="false" outlineLevel="0" collapsed="false">
      <c r="B356" s="115"/>
    </row>
    <row r="357" customFormat="false" ht="12.75" hidden="false" customHeight="false" outlineLevel="0" collapsed="false">
      <c r="B357" s="115"/>
    </row>
    <row r="358" customFormat="false" ht="12.75" hidden="false" customHeight="false" outlineLevel="0" collapsed="false">
      <c r="B358" s="115"/>
    </row>
    <row r="359" customFormat="false" ht="12.75" hidden="false" customHeight="false" outlineLevel="0" collapsed="false">
      <c r="B359" s="115"/>
    </row>
    <row r="360" customFormat="false" ht="12.75" hidden="false" customHeight="false" outlineLevel="0" collapsed="false">
      <c r="B360" s="115"/>
    </row>
    <row r="361" customFormat="false" ht="12.75" hidden="false" customHeight="false" outlineLevel="0" collapsed="false">
      <c r="B361" s="115"/>
    </row>
    <row r="362" customFormat="false" ht="12.75" hidden="false" customHeight="false" outlineLevel="0" collapsed="false">
      <c r="B362" s="115"/>
    </row>
    <row r="363" customFormat="false" ht="12.75" hidden="false" customHeight="false" outlineLevel="0" collapsed="false">
      <c r="B363" s="115"/>
    </row>
    <row r="364" customFormat="false" ht="12.75" hidden="false" customHeight="false" outlineLevel="0" collapsed="false">
      <c r="B364" s="115"/>
    </row>
    <row r="365" customFormat="false" ht="12.75" hidden="false" customHeight="false" outlineLevel="0" collapsed="false">
      <c r="B365" s="115"/>
    </row>
    <row r="366" customFormat="false" ht="12.75" hidden="false" customHeight="false" outlineLevel="0" collapsed="false">
      <c r="B366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5"/>
  <sheetViews>
    <sheetView showFormulas="false" showGridLines="false" showRowColHeaders="true" showZeros="true" rightToLeft="false" tabSelected="false" showOutlineSymbols="true" defaultGridColor="true" view="normal" topLeftCell="E1" colorId="64" zoomScale="75" zoomScaleNormal="75" zoomScalePageLayoutView="100" workbookViewId="0">
      <pane xSplit="0" ySplit="4" topLeftCell="BM766" activePane="bottomLeft" state="frozen"/>
      <selection pane="topLeft" activeCell="E1" activeCellId="0" sqref="E1"/>
      <selection pane="bottomLeft" activeCell="G786" activeCellId="0" sqref="G786"/>
    </sheetView>
  </sheetViews>
  <sheetFormatPr defaultColWidth="11.70703125" defaultRowHeight="12.75" customHeight="true" zeroHeight="false" outlineLevelRow="1" outlineLevelCol="1"/>
  <cols>
    <col collapsed="false" customWidth="true" hidden="false" outlineLevel="0" max="1" min="1" style="10" width="9.14"/>
    <col collapsed="false" customWidth="true" hidden="false" outlineLevel="0" max="2" min="2" style="10" width="20.13"/>
    <col collapsed="false" customWidth="true" hidden="false" outlineLevel="0" max="3" min="3" style="62" width="12.28"/>
    <col collapsed="false" customWidth="true" hidden="false" outlineLevel="0" max="4" min="4" style="12" width="26.42"/>
    <col collapsed="false" customWidth="true" hidden="false" outlineLevel="1" max="5" min="5" style="12" width="14.7"/>
    <col collapsed="false" customWidth="true" hidden="false" outlineLevel="0" max="6" min="6" style="12" width="14.28"/>
    <col collapsed="false" customWidth="true" hidden="false" outlineLevel="0" max="7" min="7" style="12" width="15.56"/>
    <col collapsed="false" customWidth="true" hidden="false" outlineLevel="1" max="8" min="8" style="63" width="15.56"/>
    <col collapsed="false" customWidth="true" hidden="false" outlineLevel="1" max="9" min="9" style="14" width="15.56"/>
    <col collapsed="false" customWidth="true" hidden="false" outlineLevel="0" max="10" min="10" style="65" width="9.28"/>
    <col collapsed="false" customWidth="true" hidden="false" outlineLevel="0" max="11" min="11" style="13" width="14.7"/>
    <col collapsed="false" customWidth="true" hidden="false" outlineLevel="1" max="12" min="12" style="38" width="7.99"/>
    <col collapsed="false" customWidth="true" hidden="false" outlineLevel="0" max="13" min="13" style="63" width="11.85"/>
    <col collapsed="false" customWidth="true" hidden="false" outlineLevel="1" max="14" min="14" style="133" width="11.85"/>
    <col collapsed="false" customWidth="true" hidden="false" outlineLevel="1" max="15" min="15" style="134" width="15.85"/>
    <col collapsed="false" customWidth="true" hidden="false" outlineLevel="0" max="16" min="16" style="12" width="9.28"/>
    <col collapsed="false" customWidth="false" hidden="false" outlineLevel="1" max="17" min="17" style="135" width="11.7"/>
    <col collapsed="false" customWidth="false" hidden="false" outlineLevel="1" max="18" min="18" style="136" width="11.7"/>
    <col collapsed="false" customWidth="false" hidden="false" outlineLevel="1" max="19" min="19" style="12" width="11.7"/>
    <col collapsed="false" customWidth="true" hidden="false" outlineLevel="1" max="20" min="20" style="134" width="13.28"/>
    <col collapsed="false" customWidth="true" hidden="false" outlineLevel="1" max="21" min="21" style="137" width="16.13"/>
    <col collapsed="false" customWidth="false" hidden="false" outlineLevel="1" max="22" min="22" style="137" width="11.7"/>
    <col collapsed="false" customWidth="false" hidden="false" outlineLevel="1" max="26" min="23" style="12" width="11.7"/>
    <col collapsed="false" customWidth="false" hidden="false" outlineLevel="1" max="27" min="27" style="10" width="11.7"/>
    <col collapsed="false" customWidth="true" hidden="false" outlineLevel="0" max="28" min="28" style="12" width="14.99"/>
    <col collapsed="false" customWidth="false" hidden="false" outlineLevel="0" max="257" min="29" style="12" width="11.7"/>
  </cols>
  <sheetData>
    <row r="1" customFormat="false" ht="32.25" hidden="false" customHeight="false" outlineLevel="0" collapsed="false">
      <c r="A1" s="72" t="s">
        <v>4</v>
      </c>
      <c r="B1" s="72" t="s">
        <v>5</v>
      </c>
      <c r="C1" s="73" t="s">
        <v>6</v>
      </c>
      <c r="D1" s="72" t="s">
        <v>63</v>
      </c>
      <c r="E1" s="72" t="s">
        <v>64</v>
      </c>
      <c r="F1" s="72" t="s">
        <v>65</v>
      </c>
      <c r="G1" s="72" t="s">
        <v>67</v>
      </c>
      <c r="H1" s="74" t="s">
        <v>68</v>
      </c>
      <c r="I1" s="138" t="s">
        <v>69</v>
      </c>
      <c r="J1" s="76" t="s">
        <v>70</v>
      </c>
      <c r="K1" s="77" t="s">
        <v>1</v>
      </c>
      <c r="L1" s="78" t="s">
        <v>71</v>
      </c>
      <c r="M1" s="74" t="s">
        <v>72</v>
      </c>
      <c r="N1" s="139" t="s">
        <v>73</v>
      </c>
      <c r="O1" s="138" t="s">
        <v>9</v>
      </c>
      <c r="P1" s="72"/>
      <c r="Q1" s="140" t="s">
        <v>76</v>
      </c>
      <c r="R1" s="74" t="s">
        <v>77</v>
      </c>
      <c r="S1" s="72"/>
      <c r="T1" s="138" t="s">
        <v>78</v>
      </c>
      <c r="U1" s="141" t="s">
        <v>79</v>
      </c>
      <c r="V1" s="141" t="s">
        <v>80</v>
      </c>
      <c r="W1" s="72"/>
      <c r="X1" s="72"/>
      <c r="Y1" s="72" t="s">
        <v>81</v>
      </c>
      <c r="Z1" s="72" t="s">
        <v>82</v>
      </c>
      <c r="AA1" s="72" t="s">
        <v>83</v>
      </c>
      <c r="AB1" s="72" t="s">
        <v>84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</row>
    <row r="2" customFormat="false" ht="12.75" hidden="false" customHeight="false" outlineLevel="0" collapsed="false">
      <c r="J2" s="85"/>
      <c r="M2" s="86"/>
    </row>
    <row r="3" customFormat="false" ht="15.75" hidden="false" customHeight="false" outlineLevel="0" collapsed="false">
      <c r="A3" s="87" t="s">
        <v>85</v>
      </c>
      <c r="B3" s="87"/>
      <c r="C3" s="88"/>
      <c r="D3" s="89"/>
      <c r="E3" s="89"/>
      <c r="F3" s="89"/>
      <c r="G3" s="89"/>
      <c r="H3" s="90"/>
      <c r="I3" s="142"/>
      <c r="J3" s="92"/>
      <c r="K3" s="93" t="n">
        <f aca="false">SUM(K6:K10007)/1000000</f>
        <v>72.436557</v>
      </c>
      <c r="L3" s="94" t="s">
        <v>86</v>
      </c>
      <c r="M3" s="90"/>
      <c r="N3" s="143" t="n">
        <f aca="false">SUM(N6:N10007)/1000</f>
        <v>259128.141485</v>
      </c>
      <c r="O3" s="144" t="n">
        <f aca="false">SUM(O6:O10007)</f>
        <v>1574442.18584397</v>
      </c>
      <c r="P3" s="89"/>
      <c r="Q3" s="145"/>
      <c r="R3" s="146"/>
      <c r="S3" s="89"/>
      <c r="T3" s="147"/>
      <c r="U3" s="148"/>
      <c r="V3" s="148"/>
      <c r="W3" s="89"/>
      <c r="X3" s="89"/>
      <c r="Y3" s="89"/>
      <c r="Z3" s="89"/>
      <c r="AA3" s="87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customFormat="false" ht="12.75" hidden="false" customHeight="false" outlineLevel="0" collapsed="false">
      <c r="J4" s="85"/>
      <c r="M4" s="86"/>
      <c r="N4" s="133" t="s">
        <v>87</v>
      </c>
      <c r="O4" s="14" t="s">
        <v>88</v>
      </c>
    </row>
    <row r="5" customFormat="false" ht="15.75" hidden="false" customHeight="false" outlineLevel="0" collapsed="false">
      <c r="A5" s="102"/>
      <c r="B5" s="102"/>
      <c r="C5" s="103"/>
      <c r="D5" s="102"/>
      <c r="E5" s="102"/>
      <c r="F5" s="102"/>
      <c r="G5" s="102"/>
      <c r="H5" s="104"/>
      <c r="I5" s="149"/>
      <c r="J5" s="106"/>
      <c r="K5" s="107"/>
      <c r="L5" s="108"/>
      <c r="M5" s="104"/>
      <c r="N5" s="150"/>
      <c r="O5" s="149"/>
      <c r="P5" s="102"/>
      <c r="Q5" s="151"/>
      <c r="R5" s="104"/>
      <c r="S5" s="102"/>
      <c r="T5" s="149"/>
      <c r="U5" s="152"/>
      <c r="V5" s="15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</row>
    <row r="6" customFormat="false" ht="12.75" hidden="false" customHeight="false" outlineLevel="0" collapsed="false">
      <c r="A6" s="10" t="n">
        <v>1</v>
      </c>
      <c r="B6" s="10" t="s">
        <v>234</v>
      </c>
      <c r="C6" s="62" t="n">
        <v>36684</v>
      </c>
      <c r="D6" s="12" t="s">
        <v>34</v>
      </c>
      <c r="E6" s="12" t="s">
        <v>89</v>
      </c>
      <c r="F6" s="12" t="s">
        <v>235</v>
      </c>
      <c r="G6" s="12" t="s">
        <v>236</v>
      </c>
      <c r="H6" s="63" t="n">
        <v>0</v>
      </c>
      <c r="I6" s="14" t="n">
        <f aca="false">+H6*K6</f>
        <v>0</v>
      </c>
      <c r="J6" s="85" t="n">
        <v>36708</v>
      </c>
      <c r="K6" s="13" t="n">
        <v>754162</v>
      </c>
      <c r="L6" s="38" t="s">
        <v>8</v>
      </c>
      <c r="M6" s="86" t="n">
        <v>4.06</v>
      </c>
      <c r="N6" s="133" t="n">
        <f aca="false">K6*M6</f>
        <v>3061897.72</v>
      </c>
      <c r="O6" s="134" t="n">
        <f aca="false">0.0031*K6</f>
        <v>2337.9022</v>
      </c>
      <c r="Q6" s="135" t="n">
        <v>4.215</v>
      </c>
      <c r="T6" s="134" t="n">
        <f aca="false">(M6-Q6)*K6</f>
        <v>-116895.11</v>
      </c>
      <c r="V6" s="137" t="n">
        <f aca="false">SUM(T6:U6)</f>
        <v>-116895.11</v>
      </c>
      <c r="Y6" s="12" t="s">
        <v>107</v>
      </c>
      <c r="AA6" s="10" t="s">
        <v>94</v>
      </c>
      <c r="AB6" s="12" t="s">
        <v>95</v>
      </c>
    </row>
    <row r="7" customFormat="false" ht="12.75" hidden="false" customHeight="false" outlineLevel="0" collapsed="false">
      <c r="A7" s="10" t="n">
        <v>1</v>
      </c>
      <c r="B7" s="10" t="s">
        <v>234</v>
      </c>
      <c r="C7" s="62" t="n">
        <v>36684</v>
      </c>
      <c r="D7" s="12" t="s">
        <v>34</v>
      </c>
      <c r="E7" s="12" t="s">
        <v>89</v>
      </c>
      <c r="F7" s="12" t="s">
        <v>235</v>
      </c>
      <c r="G7" s="12" t="s">
        <v>236</v>
      </c>
      <c r="H7" s="63" t="n">
        <v>0</v>
      </c>
      <c r="I7" s="14" t="n">
        <f aca="false">+H7*K7</f>
        <v>0</v>
      </c>
      <c r="J7" s="85" t="n">
        <v>36739</v>
      </c>
      <c r="K7" s="13" t="n">
        <v>754162</v>
      </c>
      <c r="L7" s="38" t="s">
        <v>8</v>
      </c>
      <c r="M7" s="86" t="n">
        <v>4.06</v>
      </c>
      <c r="N7" s="133" t="n">
        <f aca="false">K7*M7</f>
        <v>3061897.72</v>
      </c>
      <c r="O7" s="134" t="n">
        <f aca="false">0.0031*K7</f>
        <v>2337.9022</v>
      </c>
      <c r="Q7" s="135" t="n">
        <v>3.705</v>
      </c>
      <c r="T7" s="134" t="n">
        <f aca="false">(M7-Q7)*K7</f>
        <v>267727.51</v>
      </c>
      <c r="V7" s="137" t="n">
        <f aca="false">SUM(T7:U7)</f>
        <v>267727.51</v>
      </c>
      <c r="AA7" s="10" t="s">
        <v>94</v>
      </c>
      <c r="AB7" s="12" t="s">
        <v>95</v>
      </c>
    </row>
    <row r="8" customFormat="false" ht="12.75" hidden="false" customHeight="false" outlineLevel="0" collapsed="false">
      <c r="A8" s="10" t="n">
        <v>1</v>
      </c>
      <c r="B8" s="10" t="s">
        <v>234</v>
      </c>
      <c r="C8" s="62" t="n">
        <v>36684</v>
      </c>
      <c r="D8" s="12" t="s">
        <v>34</v>
      </c>
      <c r="E8" s="12" t="s">
        <v>89</v>
      </c>
      <c r="F8" s="12" t="s">
        <v>235</v>
      </c>
      <c r="G8" s="12" t="s">
        <v>236</v>
      </c>
      <c r="H8" s="63" t="n">
        <v>0</v>
      </c>
      <c r="I8" s="14" t="n">
        <f aca="false">+H8*K8</f>
        <v>0</v>
      </c>
      <c r="J8" s="85" t="n">
        <v>36770</v>
      </c>
      <c r="K8" s="13" t="n">
        <v>754162</v>
      </c>
      <c r="L8" s="38" t="s">
        <v>8</v>
      </c>
      <c r="M8" s="86" t="n">
        <v>4.06</v>
      </c>
      <c r="N8" s="133" t="n">
        <f aca="false">K8*M8</f>
        <v>3061897.72</v>
      </c>
      <c r="O8" s="134" t="n">
        <f aca="false">0.0031*K8</f>
        <v>2337.9022</v>
      </c>
      <c r="Q8" s="135" t="n">
        <v>4.45</v>
      </c>
      <c r="T8" s="134" t="n">
        <f aca="false">(M8-Q8)*K8</f>
        <v>-294123.18</v>
      </c>
      <c r="V8" s="137" t="n">
        <f aca="false">SUM(T8:U8)</f>
        <v>-294123.18</v>
      </c>
      <c r="AA8" s="10" t="s">
        <v>94</v>
      </c>
      <c r="AB8" s="12" t="s">
        <v>95</v>
      </c>
    </row>
    <row r="9" customFormat="false" ht="12.75" hidden="false" customHeight="false" outlineLevel="0" collapsed="false">
      <c r="A9" s="10" t="n">
        <v>1</v>
      </c>
      <c r="B9" s="10" t="s">
        <v>234</v>
      </c>
      <c r="C9" s="62" t="n">
        <v>36684</v>
      </c>
      <c r="D9" s="12" t="s">
        <v>34</v>
      </c>
      <c r="E9" s="12" t="s">
        <v>89</v>
      </c>
      <c r="F9" s="12" t="s">
        <v>235</v>
      </c>
      <c r="G9" s="12" t="s">
        <v>236</v>
      </c>
      <c r="H9" s="63" t="n">
        <v>0</v>
      </c>
      <c r="I9" s="14" t="n">
        <f aca="false">+H9*K9</f>
        <v>0</v>
      </c>
      <c r="J9" s="85" t="n">
        <v>36800</v>
      </c>
      <c r="K9" s="13" t="n">
        <v>754162</v>
      </c>
      <c r="L9" s="38" t="s">
        <v>8</v>
      </c>
      <c r="M9" s="86" t="n">
        <v>4.06</v>
      </c>
      <c r="N9" s="133" t="n">
        <f aca="false">K9*M9</f>
        <v>3061897.72</v>
      </c>
      <c r="O9" s="134" t="n">
        <f aca="false">0.0031*K9</f>
        <v>2337.9022</v>
      </c>
      <c r="Q9" s="135" t="n">
        <v>5.105</v>
      </c>
      <c r="T9" s="134" t="n">
        <f aca="false">(M9-Q9)*K9</f>
        <v>-788099.290000001</v>
      </c>
      <c r="V9" s="137" t="n">
        <f aca="false">SUM(T9:U9)</f>
        <v>-788099.290000001</v>
      </c>
      <c r="AA9" s="10" t="s">
        <v>94</v>
      </c>
      <c r="AB9" s="12" t="s">
        <v>95</v>
      </c>
    </row>
    <row r="10" customFormat="false" ht="12.75" hidden="false" customHeight="false" outlineLevel="0" collapsed="false">
      <c r="A10" s="10" t="n">
        <v>1</v>
      </c>
      <c r="B10" s="10" t="s">
        <v>234</v>
      </c>
      <c r="C10" s="62" t="n">
        <v>36684</v>
      </c>
      <c r="D10" s="12" t="s">
        <v>34</v>
      </c>
      <c r="E10" s="12" t="s">
        <v>89</v>
      </c>
      <c r="F10" s="12" t="s">
        <v>235</v>
      </c>
      <c r="G10" s="12" t="s">
        <v>236</v>
      </c>
      <c r="H10" s="63" t="n">
        <v>0</v>
      </c>
      <c r="I10" s="14" t="n">
        <f aca="false">+H10*K10</f>
        <v>0</v>
      </c>
      <c r="J10" s="85" t="n">
        <v>36831</v>
      </c>
      <c r="K10" s="13" t="n">
        <v>754162</v>
      </c>
      <c r="L10" s="38" t="s">
        <v>8</v>
      </c>
      <c r="M10" s="86" t="n">
        <v>4.06</v>
      </c>
      <c r="N10" s="133" t="n">
        <f aca="false">K10*M10</f>
        <v>3061897.72</v>
      </c>
      <c r="O10" s="134" t="n">
        <f aca="false">0.0031*K10</f>
        <v>2337.9022</v>
      </c>
      <c r="Q10" s="135" t="n">
        <v>4.31</v>
      </c>
      <c r="T10" s="134" t="n">
        <f aca="false">(M10-Q10)*K10</f>
        <v>-188540.5</v>
      </c>
      <c r="V10" s="137" t="n">
        <f aca="false">SUM(T10:U10)</f>
        <v>-188540.5</v>
      </c>
      <c r="AA10" s="10" t="s">
        <v>94</v>
      </c>
      <c r="AB10" s="12" t="s">
        <v>95</v>
      </c>
    </row>
    <row r="11" customFormat="false" ht="12.75" hidden="false" customHeight="false" outlineLevel="0" collapsed="false">
      <c r="A11" s="10" t="n">
        <v>1</v>
      </c>
      <c r="B11" s="10" t="s">
        <v>234</v>
      </c>
      <c r="C11" s="62" t="n">
        <v>36684</v>
      </c>
      <c r="D11" s="12" t="s">
        <v>34</v>
      </c>
      <c r="E11" s="12" t="s">
        <v>89</v>
      </c>
      <c r="F11" s="12" t="s">
        <v>235</v>
      </c>
      <c r="G11" s="12" t="s">
        <v>236</v>
      </c>
      <c r="H11" s="63" t="n">
        <v>0</v>
      </c>
      <c r="I11" s="14" t="n">
        <f aca="false">+H11*K11</f>
        <v>0</v>
      </c>
      <c r="J11" s="85" t="n">
        <v>36861</v>
      </c>
      <c r="K11" s="13" t="n">
        <v>754162</v>
      </c>
      <c r="L11" s="38" t="s">
        <v>8</v>
      </c>
      <c r="M11" s="86" t="n">
        <v>4.06</v>
      </c>
      <c r="N11" s="133" t="n">
        <f aca="false">K11*M11</f>
        <v>3061897.72</v>
      </c>
      <c r="O11" s="134" t="n">
        <f aca="false">0.0031*K11</f>
        <v>2337.9022</v>
      </c>
      <c r="Q11" s="135" t="n">
        <v>6</v>
      </c>
      <c r="T11" s="134" t="n">
        <f aca="false">(M11-Q11)*K11</f>
        <v>-1463074.28</v>
      </c>
      <c r="V11" s="137" t="n">
        <f aca="false">SUM(T11:U11)</f>
        <v>-1463074.28</v>
      </c>
      <c r="AA11" s="10" t="s">
        <v>94</v>
      </c>
      <c r="AB11" s="12" t="s">
        <v>95</v>
      </c>
    </row>
    <row r="12" customFormat="false" ht="12.75" hidden="false" customHeight="false" outlineLevel="0" collapsed="false">
      <c r="A12" s="10" t="n">
        <v>1</v>
      </c>
      <c r="B12" s="10" t="s">
        <v>234</v>
      </c>
      <c r="C12" s="62" t="n">
        <v>36684</v>
      </c>
      <c r="D12" s="12" t="s">
        <v>34</v>
      </c>
      <c r="E12" s="12" t="s">
        <v>89</v>
      </c>
      <c r="F12" s="12" t="s">
        <v>235</v>
      </c>
      <c r="G12" s="12" t="s">
        <v>236</v>
      </c>
      <c r="H12" s="63" t="n">
        <v>0</v>
      </c>
      <c r="I12" s="14" t="n">
        <f aca="false">+H12*K12</f>
        <v>0</v>
      </c>
      <c r="J12" s="85" t="n">
        <v>36892</v>
      </c>
      <c r="K12" s="13" t="n">
        <v>754162</v>
      </c>
      <c r="L12" s="38" t="s">
        <v>8</v>
      </c>
      <c r="M12" s="86" t="n">
        <v>4.06</v>
      </c>
      <c r="N12" s="133" t="n">
        <f aca="false">K12*M12</f>
        <v>3061897.72</v>
      </c>
      <c r="O12" s="134" t="n">
        <f aca="false">0.0031*K12</f>
        <v>2337.9022</v>
      </c>
      <c r="Q12" s="135" t="n">
        <v>9.565</v>
      </c>
      <c r="T12" s="134" t="n">
        <f aca="false">(M12-Q12)*K12</f>
        <v>-4151661.81</v>
      </c>
      <c r="V12" s="137" t="n">
        <f aca="false">SUM(T12:U12)</f>
        <v>-4151661.81</v>
      </c>
      <c r="AA12" s="10" t="s">
        <v>94</v>
      </c>
      <c r="AB12" s="12" t="s">
        <v>95</v>
      </c>
    </row>
    <row r="13" customFormat="false" ht="12.75" hidden="false" customHeight="false" outlineLevel="0" collapsed="false">
      <c r="A13" s="10" t="n">
        <v>1</v>
      </c>
      <c r="B13" s="10" t="s">
        <v>234</v>
      </c>
      <c r="C13" s="62" t="n">
        <v>36684</v>
      </c>
      <c r="D13" s="12" t="s">
        <v>34</v>
      </c>
      <c r="E13" s="12" t="s">
        <v>89</v>
      </c>
      <c r="F13" s="12" t="s">
        <v>235</v>
      </c>
      <c r="G13" s="12" t="s">
        <v>236</v>
      </c>
      <c r="H13" s="63" t="n">
        <v>0</v>
      </c>
      <c r="I13" s="14" t="n">
        <f aca="false">+H13*K13</f>
        <v>0</v>
      </c>
      <c r="J13" s="85" t="n">
        <v>36923</v>
      </c>
      <c r="K13" s="13" t="n">
        <v>754162</v>
      </c>
      <c r="L13" s="38" t="s">
        <v>8</v>
      </c>
      <c r="M13" s="86" t="n">
        <v>4.06</v>
      </c>
      <c r="N13" s="133" t="n">
        <f aca="false">K13*M13</f>
        <v>3061897.72</v>
      </c>
      <c r="O13" s="134" t="n">
        <f aca="false">0.0031*K13</f>
        <v>2337.9022</v>
      </c>
      <c r="R13" s="136" t="n">
        <v>7.2</v>
      </c>
      <c r="U13" s="137" t="n">
        <f aca="false">(M13-R13)*K13</f>
        <v>-2368068.68</v>
      </c>
      <c r="V13" s="137" t="n">
        <f aca="false">SUM(T13:U13)</f>
        <v>-2368068.68</v>
      </c>
      <c r="AA13" s="10" t="s">
        <v>94</v>
      </c>
      <c r="AB13" s="12" t="s">
        <v>95</v>
      </c>
    </row>
    <row r="14" customFormat="false" ht="12.75" hidden="false" customHeight="false" outlineLevel="0" collapsed="false">
      <c r="A14" s="10" t="n">
        <v>1</v>
      </c>
      <c r="B14" s="10" t="s">
        <v>234</v>
      </c>
      <c r="C14" s="62" t="n">
        <v>36684</v>
      </c>
      <c r="D14" s="12" t="s">
        <v>34</v>
      </c>
      <c r="E14" s="12" t="s">
        <v>89</v>
      </c>
      <c r="F14" s="12" t="s">
        <v>235</v>
      </c>
      <c r="G14" s="12" t="s">
        <v>236</v>
      </c>
      <c r="H14" s="63" t="n">
        <v>0</v>
      </c>
      <c r="I14" s="14" t="n">
        <f aca="false">+H14*K14</f>
        <v>0</v>
      </c>
      <c r="J14" s="85" t="n">
        <v>36951</v>
      </c>
      <c r="K14" s="13" t="n">
        <v>754162</v>
      </c>
      <c r="L14" s="38" t="s">
        <v>8</v>
      </c>
      <c r="M14" s="86" t="n">
        <v>4.06</v>
      </c>
      <c r="N14" s="133" t="n">
        <f aca="false">K14*M14</f>
        <v>3061897.72</v>
      </c>
      <c r="O14" s="134" t="n">
        <f aca="false">0.0031*K14</f>
        <v>2337.9022</v>
      </c>
      <c r="R14" s="136" t="n">
        <v>7.2</v>
      </c>
      <c r="U14" s="137" t="n">
        <f aca="false">(M14-R14)*K14</f>
        <v>-2368068.68</v>
      </c>
      <c r="V14" s="137" t="n">
        <f aca="false">SUM(T14:U14)</f>
        <v>-2368068.68</v>
      </c>
      <c r="W14" s="137" t="n">
        <f aca="false">SUM(V6:V14)</f>
        <v>-11470804.02</v>
      </c>
      <c r="X14" s="137"/>
      <c r="AA14" s="10" t="s">
        <v>94</v>
      </c>
      <c r="AB14" s="12" t="s">
        <v>95</v>
      </c>
    </row>
    <row r="15" customFormat="false" ht="12.75" hidden="false" customHeight="false" outlineLevel="0" collapsed="false">
      <c r="J15" s="85"/>
    </row>
    <row r="16" customFormat="false" ht="12.75" hidden="false" customHeight="false" outlineLevel="0" collapsed="false">
      <c r="A16" s="10" t="n">
        <v>2</v>
      </c>
      <c r="B16" s="10" t="s">
        <v>237</v>
      </c>
      <c r="C16" s="62" t="n">
        <v>36720</v>
      </c>
      <c r="D16" s="12" t="s">
        <v>34</v>
      </c>
      <c r="E16" s="12" t="s">
        <v>89</v>
      </c>
      <c r="F16" s="12" t="s">
        <v>235</v>
      </c>
      <c r="G16" s="12" t="s">
        <v>236</v>
      </c>
      <c r="H16" s="63" t="n">
        <v>0</v>
      </c>
      <c r="I16" s="14" t="n">
        <f aca="false">+H16*K16</f>
        <v>0</v>
      </c>
      <c r="J16" s="85" t="n">
        <v>36739</v>
      </c>
      <c r="K16" s="13" t="n">
        <v>828140</v>
      </c>
      <c r="L16" s="38" t="s">
        <v>8</v>
      </c>
      <c r="M16" s="63" t="n">
        <v>4.0475</v>
      </c>
      <c r="N16" s="133" t="n">
        <f aca="false">K16*M16</f>
        <v>3351896.65</v>
      </c>
      <c r="O16" s="134" t="n">
        <f aca="false">0.0181*K16</f>
        <v>14989.334</v>
      </c>
      <c r="Q16" s="135" t="n">
        <v>3.705</v>
      </c>
      <c r="T16" s="134" t="n">
        <f aca="false">(M16-Q16)*K16</f>
        <v>283637.95</v>
      </c>
      <c r="V16" s="137" t="n">
        <f aca="false">SUM(T16:U16)</f>
        <v>283637.95</v>
      </c>
      <c r="W16" s="137"/>
      <c r="Y16" s="12" t="s">
        <v>107</v>
      </c>
      <c r="AA16" s="10" t="s">
        <v>94</v>
      </c>
      <c r="AB16" s="12" t="s">
        <v>95</v>
      </c>
    </row>
    <row r="17" customFormat="false" ht="12.75" hidden="false" customHeight="false" outlineLevel="0" collapsed="false">
      <c r="A17" s="10" t="n">
        <v>2</v>
      </c>
      <c r="B17" s="10" t="s">
        <v>237</v>
      </c>
      <c r="C17" s="62" t="n">
        <v>36720</v>
      </c>
      <c r="D17" s="12" t="s">
        <v>34</v>
      </c>
      <c r="E17" s="12" t="s">
        <v>89</v>
      </c>
      <c r="F17" s="12" t="s">
        <v>235</v>
      </c>
      <c r="G17" s="12" t="s">
        <v>236</v>
      </c>
      <c r="H17" s="63" t="n">
        <v>0</v>
      </c>
      <c r="I17" s="14" t="n">
        <f aca="false">+H17*K17</f>
        <v>0</v>
      </c>
      <c r="J17" s="85" t="n">
        <v>36770</v>
      </c>
      <c r="K17" s="13" t="n">
        <v>828140</v>
      </c>
      <c r="L17" s="38" t="s">
        <v>8</v>
      </c>
      <c r="M17" s="63" t="n">
        <v>4.0475</v>
      </c>
      <c r="N17" s="133" t="n">
        <f aca="false">K17*M17</f>
        <v>3351896.65</v>
      </c>
      <c r="O17" s="134" t="n">
        <f aca="false">0.0181*K17</f>
        <v>14989.334</v>
      </c>
      <c r="Q17" s="135" t="n">
        <v>4.45</v>
      </c>
      <c r="T17" s="134" t="n">
        <f aca="false">(M17-Q17)*K17</f>
        <v>-333326.35</v>
      </c>
      <c r="V17" s="137" t="n">
        <f aca="false">SUM(T17:U17)</f>
        <v>-333326.35</v>
      </c>
      <c r="W17" s="137"/>
      <c r="AA17" s="10" t="s">
        <v>94</v>
      </c>
      <c r="AB17" s="12" t="s">
        <v>95</v>
      </c>
    </row>
    <row r="18" customFormat="false" ht="12.75" hidden="false" customHeight="false" outlineLevel="0" collapsed="false">
      <c r="A18" s="10" t="n">
        <v>2</v>
      </c>
      <c r="B18" s="10" t="s">
        <v>237</v>
      </c>
      <c r="C18" s="62" t="n">
        <v>36720</v>
      </c>
      <c r="D18" s="12" t="s">
        <v>34</v>
      </c>
      <c r="E18" s="12" t="s">
        <v>89</v>
      </c>
      <c r="F18" s="12" t="s">
        <v>235</v>
      </c>
      <c r="G18" s="12" t="s">
        <v>236</v>
      </c>
      <c r="H18" s="63" t="n">
        <v>0</v>
      </c>
      <c r="I18" s="14" t="n">
        <f aca="false">+H18*K18</f>
        <v>0</v>
      </c>
      <c r="J18" s="85" t="n">
        <v>36800</v>
      </c>
      <c r="K18" s="13" t="n">
        <v>828140</v>
      </c>
      <c r="L18" s="38" t="s">
        <v>8</v>
      </c>
      <c r="M18" s="63" t="n">
        <v>4.0475</v>
      </c>
      <c r="N18" s="133" t="n">
        <f aca="false">K18*M18</f>
        <v>3351896.65</v>
      </c>
      <c r="O18" s="134" t="n">
        <f aca="false">0.0181*K18</f>
        <v>14989.334</v>
      </c>
      <c r="Q18" s="135" t="n">
        <v>5.105</v>
      </c>
      <c r="T18" s="134" t="n">
        <f aca="false">(M18-Q18)*K18</f>
        <v>-875758.05</v>
      </c>
      <c r="V18" s="137" t="n">
        <f aca="false">SUM(T18:U18)</f>
        <v>-875758.05</v>
      </c>
      <c r="AA18" s="10" t="s">
        <v>94</v>
      </c>
      <c r="AB18" s="12" t="s">
        <v>95</v>
      </c>
    </row>
    <row r="19" customFormat="false" ht="12.75" hidden="false" customHeight="false" outlineLevel="0" collapsed="false">
      <c r="A19" s="10" t="n">
        <v>2</v>
      </c>
      <c r="B19" s="10" t="s">
        <v>237</v>
      </c>
      <c r="C19" s="62" t="n">
        <v>36720</v>
      </c>
      <c r="D19" s="12" t="s">
        <v>34</v>
      </c>
      <c r="E19" s="12" t="s">
        <v>89</v>
      </c>
      <c r="F19" s="12" t="s">
        <v>235</v>
      </c>
      <c r="G19" s="12" t="s">
        <v>236</v>
      </c>
      <c r="H19" s="63" t="n">
        <v>0</v>
      </c>
      <c r="I19" s="14" t="n">
        <f aca="false">+H19*K19</f>
        <v>0</v>
      </c>
      <c r="J19" s="85" t="n">
        <v>36831</v>
      </c>
      <c r="K19" s="13" t="n">
        <v>828140</v>
      </c>
      <c r="L19" s="38" t="s">
        <v>8</v>
      </c>
      <c r="M19" s="63" t="n">
        <v>4.0475</v>
      </c>
      <c r="N19" s="133" t="n">
        <f aca="false">K19*M19</f>
        <v>3351896.65</v>
      </c>
      <c r="O19" s="134" t="n">
        <f aca="false">0.0181*K19</f>
        <v>14989.334</v>
      </c>
      <c r="Q19" s="135" t="n">
        <v>4.31</v>
      </c>
      <c r="T19" s="134" t="n">
        <f aca="false">(M19-Q19)*K19</f>
        <v>-217386.749999999</v>
      </c>
      <c r="V19" s="137" t="n">
        <f aca="false">SUM(T19:U19)</f>
        <v>-217386.749999999</v>
      </c>
      <c r="AA19" s="10" t="s">
        <v>94</v>
      </c>
      <c r="AB19" s="12" t="s">
        <v>95</v>
      </c>
    </row>
    <row r="20" customFormat="false" ht="12.75" hidden="false" customHeight="false" outlineLevel="0" collapsed="false">
      <c r="A20" s="10" t="n">
        <v>2</v>
      </c>
      <c r="B20" s="10" t="s">
        <v>237</v>
      </c>
      <c r="C20" s="62" t="n">
        <v>36720</v>
      </c>
      <c r="D20" s="12" t="s">
        <v>34</v>
      </c>
      <c r="E20" s="12" t="s">
        <v>89</v>
      </c>
      <c r="F20" s="12" t="s">
        <v>235</v>
      </c>
      <c r="G20" s="12" t="s">
        <v>236</v>
      </c>
      <c r="H20" s="63" t="n">
        <v>0</v>
      </c>
      <c r="I20" s="14" t="n">
        <f aca="false">+H20*K20</f>
        <v>0</v>
      </c>
      <c r="J20" s="85" t="n">
        <v>36861</v>
      </c>
      <c r="K20" s="13" t="n">
        <v>828140</v>
      </c>
      <c r="L20" s="38" t="s">
        <v>8</v>
      </c>
      <c r="M20" s="63" t="n">
        <v>4.0475</v>
      </c>
      <c r="N20" s="133" t="n">
        <f aca="false">K20*M20</f>
        <v>3351896.65</v>
      </c>
      <c r="O20" s="134" t="n">
        <f aca="false">0.0181*K20</f>
        <v>14989.334</v>
      </c>
      <c r="Q20" s="135" t="n">
        <v>5.775</v>
      </c>
      <c r="T20" s="134" t="n">
        <f aca="false">(M20-Q20)*K20</f>
        <v>-1430611.85</v>
      </c>
      <c r="V20" s="137" t="n">
        <f aca="false">SUM(T20:U20)</f>
        <v>-1430611.85</v>
      </c>
      <c r="AA20" s="10" t="s">
        <v>94</v>
      </c>
      <c r="AB20" s="12" t="s">
        <v>95</v>
      </c>
    </row>
    <row r="21" customFormat="false" ht="12.75" hidden="false" customHeight="false" outlineLevel="0" collapsed="false">
      <c r="A21" s="10" t="n">
        <v>2</v>
      </c>
      <c r="B21" s="10" t="s">
        <v>237</v>
      </c>
      <c r="C21" s="62" t="n">
        <v>36720</v>
      </c>
      <c r="D21" s="12" t="s">
        <v>34</v>
      </c>
      <c r="E21" s="12" t="s">
        <v>89</v>
      </c>
      <c r="F21" s="12" t="s">
        <v>235</v>
      </c>
      <c r="G21" s="12" t="s">
        <v>236</v>
      </c>
      <c r="H21" s="63" t="n">
        <v>0</v>
      </c>
      <c r="I21" s="14" t="n">
        <f aca="false">+H21*K21</f>
        <v>0</v>
      </c>
      <c r="J21" s="85" t="n">
        <v>36892</v>
      </c>
      <c r="K21" s="13" t="n">
        <v>828140</v>
      </c>
      <c r="L21" s="38" t="s">
        <v>8</v>
      </c>
      <c r="M21" s="63" t="n">
        <v>4.0475</v>
      </c>
      <c r="N21" s="133" t="n">
        <f aca="false">K21*M21</f>
        <v>3351896.65</v>
      </c>
      <c r="O21" s="134" t="n">
        <f aca="false">0.0181*K21</f>
        <v>14989.334</v>
      </c>
      <c r="Q21" s="135" t="n">
        <v>9.565</v>
      </c>
      <c r="T21" s="134" t="n">
        <f aca="false">(M21-Q21)*K21</f>
        <v>-4569262.45</v>
      </c>
      <c r="V21" s="137" t="n">
        <f aca="false">SUM(T21:U21)</f>
        <v>-4569262.45</v>
      </c>
      <c r="AA21" s="10" t="s">
        <v>94</v>
      </c>
      <c r="AB21" s="12" t="s">
        <v>95</v>
      </c>
    </row>
    <row r="22" customFormat="false" ht="12.75" hidden="false" customHeight="false" outlineLevel="0" collapsed="false">
      <c r="A22" s="10" t="n">
        <v>2</v>
      </c>
      <c r="B22" s="10" t="s">
        <v>237</v>
      </c>
      <c r="C22" s="62" t="n">
        <v>36720</v>
      </c>
      <c r="D22" s="12" t="s">
        <v>34</v>
      </c>
      <c r="E22" s="12" t="s">
        <v>89</v>
      </c>
      <c r="F22" s="12" t="s">
        <v>235</v>
      </c>
      <c r="G22" s="12" t="s">
        <v>236</v>
      </c>
      <c r="H22" s="63" t="n">
        <v>0</v>
      </c>
      <c r="I22" s="14" t="n">
        <f aca="false">+H22*K22</f>
        <v>0</v>
      </c>
      <c r="J22" s="85" t="n">
        <v>36923</v>
      </c>
      <c r="K22" s="13" t="n">
        <v>828140</v>
      </c>
      <c r="L22" s="38" t="s">
        <v>8</v>
      </c>
      <c r="M22" s="63" t="n">
        <v>4.0475</v>
      </c>
      <c r="N22" s="133" t="n">
        <f aca="false">K22*M22</f>
        <v>3351896.65</v>
      </c>
      <c r="O22" s="134" t="n">
        <f aca="false">0.0181*K22</f>
        <v>14989.334</v>
      </c>
      <c r="R22" s="136" t="n">
        <v>7.2</v>
      </c>
      <c r="U22" s="137" t="n">
        <f aca="false">(M22-R22)*K22</f>
        <v>-2610711.35</v>
      </c>
      <c r="V22" s="137" t="n">
        <f aca="false">SUM(T22:U22)</f>
        <v>-2610711.35</v>
      </c>
      <c r="AA22" s="10" t="s">
        <v>94</v>
      </c>
      <c r="AB22" s="12" t="s">
        <v>95</v>
      </c>
    </row>
    <row r="23" customFormat="false" ht="12.75" hidden="false" customHeight="false" outlineLevel="0" collapsed="false">
      <c r="A23" s="10" t="n">
        <v>2</v>
      </c>
      <c r="B23" s="10" t="s">
        <v>237</v>
      </c>
      <c r="C23" s="62" t="n">
        <v>36720</v>
      </c>
      <c r="D23" s="12" t="s">
        <v>34</v>
      </c>
      <c r="E23" s="12" t="s">
        <v>89</v>
      </c>
      <c r="F23" s="12" t="s">
        <v>235</v>
      </c>
      <c r="G23" s="12" t="s">
        <v>236</v>
      </c>
      <c r="H23" s="63" t="n">
        <v>0</v>
      </c>
      <c r="I23" s="14" t="n">
        <f aca="false">+H23*K23</f>
        <v>0</v>
      </c>
      <c r="J23" s="85" t="n">
        <v>36951</v>
      </c>
      <c r="K23" s="13" t="n">
        <v>828140</v>
      </c>
      <c r="L23" s="38" t="s">
        <v>8</v>
      </c>
      <c r="M23" s="63" t="n">
        <v>4.0475</v>
      </c>
      <c r="N23" s="133" t="n">
        <f aca="false">K23*M23</f>
        <v>3351896.65</v>
      </c>
      <c r="O23" s="134" t="n">
        <f aca="false">0.0181*K23</f>
        <v>14989.334</v>
      </c>
      <c r="R23" s="136" t="n">
        <v>7.2</v>
      </c>
      <c r="U23" s="137" t="n">
        <f aca="false">(M23-R23)*K23</f>
        <v>-2610711.35</v>
      </c>
      <c r="V23" s="137" t="n">
        <f aca="false">SUM(T23:U23)</f>
        <v>-2610711.35</v>
      </c>
      <c r="W23" s="137" t="n">
        <f aca="false">SUM(V16:V23)</f>
        <v>-12364130.2</v>
      </c>
      <c r="X23" s="137"/>
      <c r="AA23" s="10" t="s">
        <v>94</v>
      </c>
      <c r="AB23" s="12" t="s">
        <v>95</v>
      </c>
    </row>
    <row r="25" customFormat="false" ht="12.75" hidden="false" customHeight="false" outlineLevel="0" collapsed="false">
      <c r="A25" s="10" t="n">
        <v>3</v>
      </c>
      <c r="B25" s="10" t="s">
        <v>238</v>
      </c>
      <c r="C25" s="62" t="n">
        <v>36754</v>
      </c>
      <c r="D25" s="12" t="s">
        <v>198</v>
      </c>
      <c r="E25" s="12" t="s">
        <v>89</v>
      </c>
      <c r="F25" s="12" t="s">
        <v>235</v>
      </c>
      <c r="G25" s="12" t="s">
        <v>239</v>
      </c>
      <c r="H25" s="63" t="n">
        <v>0.15</v>
      </c>
      <c r="I25" s="14" t="n">
        <f aca="false">+H25*K25</f>
        <v>22755</v>
      </c>
      <c r="J25" s="85" t="n">
        <v>36770</v>
      </c>
      <c r="K25" s="13" t="n">
        <v>151700</v>
      </c>
      <c r="L25" s="38" t="s">
        <v>8</v>
      </c>
      <c r="M25" s="63" t="s">
        <v>240</v>
      </c>
      <c r="O25" s="134" t="n">
        <f aca="false">0.005*K25</f>
        <v>758.5</v>
      </c>
      <c r="Q25" s="135" t="n">
        <v>4.45</v>
      </c>
      <c r="T25" s="134" t="n">
        <f aca="false">(4.4-Q25)*K25</f>
        <v>-7584.99999999997</v>
      </c>
      <c r="Y25" s="12" t="s">
        <v>108</v>
      </c>
      <c r="AA25" s="10" t="s">
        <v>116</v>
      </c>
      <c r="AB25" s="12" t="s">
        <v>95</v>
      </c>
    </row>
    <row r="26" customFormat="false" ht="12.75" hidden="false" customHeight="false" outlineLevel="0" collapsed="false">
      <c r="A26" s="10" t="n">
        <v>3</v>
      </c>
      <c r="B26" s="10" t="s">
        <v>238</v>
      </c>
      <c r="C26" s="62" t="n">
        <v>36754</v>
      </c>
      <c r="D26" s="12" t="s">
        <v>198</v>
      </c>
      <c r="E26" s="12" t="s">
        <v>89</v>
      </c>
      <c r="F26" s="12" t="s">
        <v>235</v>
      </c>
      <c r="G26" s="12" t="s">
        <v>239</v>
      </c>
      <c r="H26" s="63" t="n">
        <v>0.15</v>
      </c>
      <c r="I26" s="14" t="n">
        <f aca="false">+H26*K26</f>
        <v>22755</v>
      </c>
      <c r="J26" s="85" t="n">
        <v>36800</v>
      </c>
      <c r="K26" s="13" t="n">
        <v>151700</v>
      </c>
      <c r="L26" s="38" t="s">
        <v>8</v>
      </c>
      <c r="M26" s="63" t="s">
        <v>240</v>
      </c>
      <c r="O26" s="134" t="n">
        <f aca="false">0.005*K26</f>
        <v>758.5</v>
      </c>
      <c r="Q26" s="135" t="n">
        <v>5.105</v>
      </c>
      <c r="T26" s="134" t="n">
        <f aca="false">(4.4-Q26)*K26</f>
        <v>-106948.5</v>
      </c>
      <c r="AA26" s="10" t="s">
        <v>116</v>
      </c>
      <c r="AB26" s="12" t="s">
        <v>95</v>
      </c>
    </row>
    <row r="27" customFormat="false" ht="12.75" hidden="false" customHeight="false" outlineLevel="0" collapsed="false">
      <c r="A27" s="10" t="n">
        <v>3</v>
      </c>
      <c r="B27" s="10" t="s">
        <v>238</v>
      </c>
      <c r="C27" s="62" t="n">
        <v>36754</v>
      </c>
      <c r="D27" s="12" t="s">
        <v>198</v>
      </c>
      <c r="E27" s="12" t="s">
        <v>89</v>
      </c>
      <c r="F27" s="12" t="s">
        <v>235</v>
      </c>
      <c r="G27" s="12" t="s">
        <v>239</v>
      </c>
      <c r="H27" s="63" t="n">
        <v>0.15</v>
      </c>
      <c r="I27" s="14" t="n">
        <f aca="false">+H27*K27</f>
        <v>22755</v>
      </c>
      <c r="J27" s="85" t="n">
        <v>36831</v>
      </c>
      <c r="K27" s="13" t="n">
        <v>151700</v>
      </c>
      <c r="L27" s="38" t="s">
        <v>8</v>
      </c>
      <c r="M27" s="63" t="s">
        <v>240</v>
      </c>
      <c r="O27" s="134" t="n">
        <f aca="false">0.005*K27</f>
        <v>758.5</v>
      </c>
      <c r="Q27" s="135" t="n">
        <v>4.31</v>
      </c>
      <c r="T27" s="134" t="n">
        <v>0</v>
      </c>
      <c r="AA27" s="10" t="s">
        <v>116</v>
      </c>
      <c r="AB27" s="12" t="s">
        <v>95</v>
      </c>
    </row>
    <row r="28" customFormat="false" ht="12.75" hidden="false" customHeight="false" outlineLevel="0" collapsed="false">
      <c r="A28" s="10" t="n">
        <v>3</v>
      </c>
      <c r="B28" s="10" t="s">
        <v>238</v>
      </c>
      <c r="C28" s="62" t="n">
        <v>36754</v>
      </c>
      <c r="D28" s="12" t="s">
        <v>198</v>
      </c>
      <c r="E28" s="12" t="s">
        <v>89</v>
      </c>
      <c r="F28" s="12" t="s">
        <v>235</v>
      </c>
      <c r="G28" s="12" t="s">
        <v>239</v>
      </c>
      <c r="H28" s="63" t="n">
        <v>0.15</v>
      </c>
      <c r="I28" s="14" t="n">
        <f aca="false">+H28*K28</f>
        <v>22755</v>
      </c>
      <c r="J28" s="85" t="n">
        <v>36861</v>
      </c>
      <c r="K28" s="13" t="n">
        <v>151700</v>
      </c>
      <c r="L28" s="38" t="s">
        <v>8</v>
      </c>
      <c r="M28" s="63" t="s">
        <v>240</v>
      </c>
      <c r="O28" s="134" t="n">
        <f aca="false">0.005*K28</f>
        <v>758.5</v>
      </c>
      <c r="Q28" s="135" t="n">
        <v>5.775</v>
      </c>
      <c r="T28" s="134" t="n">
        <f aca="false">(4.4-Q28)*K28</f>
        <v>-208587.5</v>
      </c>
      <c r="AA28" s="10" t="s">
        <v>116</v>
      </c>
      <c r="AB28" s="12" t="s">
        <v>95</v>
      </c>
    </row>
    <row r="29" customFormat="false" ht="12.75" hidden="false" customHeight="false" outlineLevel="0" collapsed="false">
      <c r="A29" s="10" t="n">
        <v>3</v>
      </c>
      <c r="B29" s="10" t="s">
        <v>238</v>
      </c>
      <c r="C29" s="62" t="n">
        <v>36754</v>
      </c>
      <c r="D29" s="12" t="s">
        <v>198</v>
      </c>
      <c r="E29" s="12" t="s">
        <v>89</v>
      </c>
      <c r="F29" s="12" t="s">
        <v>235</v>
      </c>
      <c r="G29" s="12" t="s">
        <v>239</v>
      </c>
      <c r="H29" s="63" t="n">
        <v>0.15</v>
      </c>
      <c r="I29" s="14" t="n">
        <f aca="false">+H29*K29</f>
        <v>22755</v>
      </c>
      <c r="J29" s="85" t="n">
        <v>36892</v>
      </c>
      <c r="K29" s="13" t="n">
        <v>151700</v>
      </c>
      <c r="L29" s="38" t="s">
        <v>8</v>
      </c>
      <c r="M29" s="63" t="s">
        <v>240</v>
      </c>
      <c r="O29" s="134" t="n">
        <f aca="false">0.005*K29</f>
        <v>758.5</v>
      </c>
      <c r="Q29" s="135" t="n">
        <v>9.565</v>
      </c>
      <c r="T29" s="134" t="n">
        <f aca="false">(4.4-Q29)*K29</f>
        <v>-783530.5</v>
      </c>
      <c r="AA29" s="10" t="s">
        <v>116</v>
      </c>
      <c r="AB29" s="12" t="s">
        <v>95</v>
      </c>
    </row>
    <row r="30" customFormat="false" ht="12.75" hidden="false" customHeight="false" outlineLevel="0" collapsed="false">
      <c r="A30" s="10" t="n">
        <v>3</v>
      </c>
      <c r="B30" s="10" t="s">
        <v>238</v>
      </c>
      <c r="C30" s="62" t="n">
        <v>36754</v>
      </c>
      <c r="D30" s="12" t="s">
        <v>198</v>
      </c>
      <c r="E30" s="12" t="s">
        <v>89</v>
      </c>
      <c r="F30" s="12" t="s">
        <v>235</v>
      </c>
      <c r="G30" s="12" t="s">
        <v>239</v>
      </c>
      <c r="H30" s="63" t="n">
        <v>0.15</v>
      </c>
      <c r="I30" s="14" t="n">
        <f aca="false">+H30*K30</f>
        <v>22755</v>
      </c>
      <c r="J30" s="85" t="n">
        <v>36923</v>
      </c>
      <c r="K30" s="13" t="n">
        <v>151700</v>
      </c>
      <c r="L30" s="38" t="s">
        <v>8</v>
      </c>
      <c r="M30" s="63" t="s">
        <v>240</v>
      </c>
      <c r="O30" s="134" t="n">
        <f aca="false">0.005*K30</f>
        <v>758.5</v>
      </c>
      <c r="AA30" s="10" t="s">
        <v>116</v>
      </c>
      <c r="AB30" s="12" t="s">
        <v>95</v>
      </c>
    </row>
    <row r="32" customFormat="false" ht="12.75" hidden="false" customHeight="false" outlineLevel="0" collapsed="false">
      <c r="A32" s="10" t="n">
        <v>4</v>
      </c>
      <c r="B32" s="10" t="s">
        <v>241</v>
      </c>
      <c r="C32" s="62" t="n">
        <v>36754</v>
      </c>
      <c r="D32" s="12" t="s">
        <v>38</v>
      </c>
      <c r="E32" s="12" t="s">
        <v>89</v>
      </c>
      <c r="F32" s="12" t="s">
        <v>235</v>
      </c>
      <c r="G32" s="12" t="s">
        <v>239</v>
      </c>
      <c r="H32" s="63" t="n">
        <v>0.15</v>
      </c>
      <c r="I32" s="14" t="n">
        <f aca="false">+H32*K32</f>
        <v>6105</v>
      </c>
      <c r="J32" s="85" t="n">
        <v>36770</v>
      </c>
      <c r="K32" s="13" t="n">
        <v>40700</v>
      </c>
      <c r="L32" s="38" t="s">
        <v>8</v>
      </c>
      <c r="M32" s="63" t="s">
        <v>240</v>
      </c>
      <c r="O32" s="134" t="n">
        <f aca="false">0.005*K32</f>
        <v>203.5</v>
      </c>
      <c r="Q32" s="135" t="n">
        <v>4.45</v>
      </c>
      <c r="T32" s="134" t="n">
        <f aca="false">(4.4-Q32)*K32</f>
        <v>-2034.99999999999</v>
      </c>
      <c r="Y32" s="12" t="s">
        <v>108</v>
      </c>
      <c r="AA32" s="10" t="s">
        <v>116</v>
      </c>
      <c r="AB32" s="12" t="s">
        <v>95</v>
      </c>
    </row>
    <row r="33" customFormat="false" ht="12.75" hidden="false" customHeight="false" outlineLevel="0" collapsed="false">
      <c r="A33" s="10" t="n">
        <v>4</v>
      </c>
      <c r="B33" s="10" t="s">
        <v>241</v>
      </c>
      <c r="C33" s="62" t="n">
        <v>36754</v>
      </c>
      <c r="D33" s="12" t="s">
        <v>38</v>
      </c>
      <c r="E33" s="12" t="s">
        <v>89</v>
      </c>
      <c r="F33" s="12" t="s">
        <v>235</v>
      </c>
      <c r="G33" s="12" t="s">
        <v>239</v>
      </c>
      <c r="H33" s="63" t="n">
        <v>0.15</v>
      </c>
      <c r="I33" s="14" t="n">
        <f aca="false">+H33*K33</f>
        <v>6105</v>
      </c>
      <c r="J33" s="85" t="n">
        <v>36800</v>
      </c>
      <c r="K33" s="13" t="n">
        <v>40700</v>
      </c>
      <c r="L33" s="38" t="s">
        <v>8</v>
      </c>
      <c r="M33" s="63" t="s">
        <v>240</v>
      </c>
      <c r="O33" s="134" t="n">
        <f aca="false">0.005*K33</f>
        <v>203.5</v>
      </c>
      <c r="Q33" s="135" t="n">
        <v>5.105</v>
      </c>
      <c r="T33" s="134" t="n">
        <f aca="false">(4.4-Q33)*K33</f>
        <v>-28693.5</v>
      </c>
      <c r="AA33" s="10" t="s">
        <v>116</v>
      </c>
      <c r="AB33" s="12" t="s">
        <v>95</v>
      </c>
    </row>
    <row r="34" customFormat="false" ht="12.75" hidden="false" customHeight="false" outlineLevel="0" collapsed="false">
      <c r="A34" s="10" t="n">
        <v>4</v>
      </c>
      <c r="B34" s="10" t="s">
        <v>241</v>
      </c>
      <c r="C34" s="62" t="n">
        <v>36754</v>
      </c>
      <c r="D34" s="12" t="s">
        <v>38</v>
      </c>
      <c r="E34" s="12" t="s">
        <v>89</v>
      </c>
      <c r="F34" s="12" t="s">
        <v>235</v>
      </c>
      <c r="G34" s="12" t="s">
        <v>239</v>
      </c>
      <c r="H34" s="63" t="n">
        <v>0.15</v>
      </c>
      <c r="I34" s="14" t="n">
        <f aca="false">+H34*K34</f>
        <v>6105</v>
      </c>
      <c r="J34" s="85" t="n">
        <v>36831</v>
      </c>
      <c r="K34" s="13" t="n">
        <v>40700</v>
      </c>
      <c r="L34" s="38" t="s">
        <v>8</v>
      </c>
      <c r="M34" s="63" t="s">
        <v>240</v>
      </c>
      <c r="O34" s="134" t="n">
        <f aca="false">0.005*K34</f>
        <v>203.5</v>
      </c>
      <c r="Q34" s="135" t="n">
        <v>4.31</v>
      </c>
      <c r="T34" s="134" t="n">
        <v>0</v>
      </c>
      <c r="AA34" s="10" t="s">
        <v>116</v>
      </c>
      <c r="AB34" s="12" t="s">
        <v>95</v>
      </c>
    </row>
    <row r="35" customFormat="false" ht="12.75" hidden="false" customHeight="false" outlineLevel="0" collapsed="false">
      <c r="A35" s="10" t="n">
        <v>4</v>
      </c>
      <c r="B35" s="10" t="s">
        <v>241</v>
      </c>
      <c r="C35" s="62" t="n">
        <v>36754</v>
      </c>
      <c r="D35" s="12" t="s">
        <v>38</v>
      </c>
      <c r="E35" s="12" t="s">
        <v>89</v>
      </c>
      <c r="F35" s="12" t="s">
        <v>235</v>
      </c>
      <c r="G35" s="12" t="s">
        <v>239</v>
      </c>
      <c r="H35" s="63" t="n">
        <v>0.15</v>
      </c>
      <c r="I35" s="14" t="n">
        <f aca="false">+H35*K35</f>
        <v>6105</v>
      </c>
      <c r="J35" s="85" t="n">
        <v>36861</v>
      </c>
      <c r="K35" s="13" t="n">
        <v>40700</v>
      </c>
      <c r="L35" s="38" t="s">
        <v>8</v>
      </c>
      <c r="M35" s="63" t="s">
        <v>240</v>
      </c>
      <c r="O35" s="134" t="n">
        <f aca="false">0.005*K35</f>
        <v>203.5</v>
      </c>
      <c r="Q35" s="135" t="n">
        <v>5.775</v>
      </c>
      <c r="T35" s="134" t="n">
        <f aca="false">(4.4-Q35)*K35</f>
        <v>-55962.5</v>
      </c>
      <c r="AA35" s="10" t="s">
        <v>116</v>
      </c>
      <c r="AB35" s="12" t="s">
        <v>95</v>
      </c>
    </row>
    <row r="36" customFormat="false" ht="12.75" hidden="false" customHeight="false" outlineLevel="0" collapsed="false">
      <c r="A36" s="10" t="n">
        <v>4</v>
      </c>
      <c r="B36" s="10" t="s">
        <v>241</v>
      </c>
      <c r="C36" s="62" t="n">
        <v>36754</v>
      </c>
      <c r="D36" s="12" t="s">
        <v>38</v>
      </c>
      <c r="E36" s="12" t="s">
        <v>89</v>
      </c>
      <c r="F36" s="12" t="s">
        <v>235</v>
      </c>
      <c r="G36" s="12" t="s">
        <v>239</v>
      </c>
      <c r="H36" s="63" t="n">
        <v>0.15</v>
      </c>
      <c r="I36" s="14" t="n">
        <f aca="false">+H36*K36</f>
        <v>6105</v>
      </c>
      <c r="J36" s="85" t="n">
        <v>36892</v>
      </c>
      <c r="K36" s="13" t="n">
        <v>40700</v>
      </c>
      <c r="L36" s="38" t="s">
        <v>8</v>
      </c>
      <c r="M36" s="63" t="s">
        <v>240</v>
      </c>
      <c r="O36" s="134" t="n">
        <f aca="false">0.005*K36</f>
        <v>203.5</v>
      </c>
      <c r="Q36" s="135" t="n">
        <v>9.565</v>
      </c>
      <c r="T36" s="134" t="n">
        <f aca="false">(4.4-Q36)*K36</f>
        <v>-210215.5</v>
      </c>
      <c r="AA36" s="10" t="s">
        <v>116</v>
      </c>
      <c r="AB36" s="12" t="s">
        <v>95</v>
      </c>
    </row>
    <row r="37" customFormat="false" ht="12.75" hidden="false" customHeight="false" outlineLevel="0" collapsed="false">
      <c r="A37" s="10" t="n">
        <v>4</v>
      </c>
      <c r="B37" s="10" t="s">
        <v>241</v>
      </c>
      <c r="C37" s="62" t="n">
        <v>36754</v>
      </c>
      <c r="D37" s="12" t="s">
        <v>38</v>
      </c>
      <c r="E37" s="12" t="s">
        <v>89</v>
      </c>
      <c r="F37" s="12" t="s">
        <v>235</v>
      </c>
      <c r="G37" s="12" t="s">
        <v>239</v>
      </c>
      <c r="H37" s="63" t="n">
        <v>0.15</v>
      </c>
      <c r="I37" s="14" t="n">
        <f aca="false">+H37*K37</f>
        <v>6105</v>
      </c>
      <c r="J37" s="85" t="n">
        <v>36923</v>
      </c>
      <c r="K37" s="13" t="n">
        <v>40700</v>
      </c>
      <c r="L37" s="38" t="s">
        <v>8</v>
      </c>
      <c r="M37" s="63" t="s">
        <v>240</v>
      </c>
      <c r="O37" s="134" t="n">
        <f aca="false">0.005*K37</f>
        <v>203.5</v>
      </c>
      <c r="AA37" s="10" t="s">
        <v>116</v>
      </c>
      <c r="AB37" s="12" t="s">
        <v>95</v>
      </c>
    </row>
    <row r="39" customFormat="false" ht="12.75" hidden="false" customHeight="false" outlineLevel="0" collapsed="false">
      <c r="A39" s="5" t="n">
        <v>5</v>
      </c>
      <c r="B39" s="5" t="s">
        <v>242</v>
      </c>
      <c r="C39" s="153" t="n">
        <v>36760</v>
      </c>
      <c r="D39" s="58" t="s">
        <v>125</v>
      </c>
      <c r="E39" s="58" t="s">
        <v>89</v>
      </c>
      <c r="F39" s="58" t="s">
        <v>235</v>
      </c>
      <c r="G39" s="58" t="s">
        <v>239</v>
      </c>
      <c r="H39" s="154" t="n">
        <v>0</v>
      </c>
      <c r="I39" s="6" t="n">
        <f aca="false">+H39*K39</f>
        <v>0</v>
      </c>
      <c r="J39" s="155" t="n">
        <v>36770</v>
      </c>
      <c r="K39" s="156" t="n">
        <v>30000</v>
      </c>
      <c r="L39" s="157" t="s">
        <v>8</v>
      </c>
      <c r="M39" s="154" t="s">
        <v>243</v>
      </c>
      <c r="N39" s="158"/>
      <c r="O39" s="159" t="n">
        <f aca="false">0.005*K39</f>
        <v>150</v>
      </c>
      <c r="P39" s="58"/>
      <c r="Q39" s="160" t="n">
        <v>4.45</v>
      </c>
      <c r="R39" s="161"/>
      <c r="S39" s="58"/>
      <c r="T39" s="159" t="n">
        <v>0</v>
      </c>
      <c r="U39" s="162"/>
      <c r="V39" s="162"/>
      <c r="W39" s="58"/>
      <c r="X39" s="58"/>
      <c r="Y39" s="58" t="s">
        <v>244</v>
      </c>
      <c r="Z39" s="58"/>
      <c r="AA39" s="5"/>
      <c r="AB39" s="58" t="s">
        <v>245</v>
      </c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</row>
    <row r="40" customFormat="false" ht="12.75" hidden="false" customHeight="false" outlineLevel="0" collapsed="false">
      <c r="A40" s="5" t="n">
        <v>5</v>
      </c>
      <c r="B40" s="5" t="s">
        <v>242</v>
      </c>
      <c r="C40" s="153" t="n">
        <v>36760</v>
      </c>
      <c r="D40" s="58" t="s">
        <v>125</v>
      </c>
      <c r="E40" s="58" t="s">
        <v>89</v>
      </c>
      <c r="F40" s="58" t="s">
        <v>235</v>
      </c>
      <c r="G40" s="58" t="s">
        <v>239</v>
      </c>
      <c r="H40" s="154" t="n">
        <v>0</v>
      </c>
      <c r="I40" s="6" t="n">
        <f aca="false">+H40*K40</f>
        <v>0</v>
      </c>
      <c r="J40" s="155" t="n">
        <v>36800</v>
      </c>
      <c r="K40" s="156" t="n">
        <v>30000</v>
      </c>
      <c r="L40" s="157" t="s">
        <v>8</v>
      </c>
      <c r="M40" s="154" t="s">
        <v>243</v>
      </c>
      <c r="N40" s="158"/>
      <c r="O40" s="159" t="n">
        <f aca="false">0.005*K40</f>
        <v>150</v>
      </c>
      <c r="P40" s="58"/>
      <c r="Q40" s="160" t="n">
        <v>5.105</v>
      </c>
      <c r="R40" s="161"/>
      <c r="S40" s="58"/>
      <c r="T40" s="159" t="n">
        <v>0</v>
      </c>
      <c r="U40" s="162"/>
      <c r="V40" s="162"/>
      <c r="W40" s="58"/>
      <c r="X40" s="58"/>
      <c r="Y40" s="58"/>
      <c r="Z40" s="58"/>
      <c r="AA40" s="5"/>
      <c r="AB40" s="58" t="s">
        <v>245</v>
      </c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  <c r="IW40" s="58"/>
    </row>
    <row r="41" customFormat="false" ht="12.75" hidden="false" customHeight="false" outlineLevel="0" collapsed="false">
      <c r="A41" s="5" t="n">
        <v>5</v>
      </c>
      <c r="B41" s="5" t="s">
        <v>242</v>
      </c>
      <c r="C41" s="153" t="n">
        <v>36760</v>
      </c>
      <c r="D41" s="58" t="s">
        <v>125</v>
      </c>
      <c r="E41" s="58" t="s">
        <v>89</v>
      </c>
      <c r="F41" s="58" t="s">
        <v>235</v>
      </c>
      <c r="G41" s="58" t="s">
        <v>239</v>
      </c>
      <c r="H41" s="154" t="n">
        <v>0</v>
      </c>
      <c r="I41" s="6" t="n">
        <f aca="false">+H41*K41</f>
        <v>0</v>
      </c>
      <c r="J41" s="155" t="n">
        <v>36831</v>
      </c>
      <c r="K41" s="156" t="n">
        <v>30000</v>
      </c>
      <c r="L41" s="157" t="s">
        <v>8</v>
      </c>
      <c r="M41" s="154" t="s">
        <v>243</v>
      </c>
      <c r="N41" s="158"/>
      <c r="O41" s="159" t="n">
        <f aca="false">0.005*K41</f>
        <v>150</v>
      </c>
      <c r="P41" s="58"/>
      <c r="Q41" s="160" t="n">
        <v>4.31</v>
      </c>
      <c r="R41" s="161"/>
      <c r="S41" s="58"/>
      <c r="T41" s="159" t="n">
        <v>0</v>
      </c>
      <c r="U41" s="162"/>
      <c r="V41" s="162"/>
      <c r="W41" s="58"/>
      <c r="X41" s="58"/>
      <c r="Y41" s="58"/>
      <c r="Z41" s="58"/>
      <c r="AA41" s="5"/>
      <c r="AB41" s="58" t="s">
        <v>245</v>
      </c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  <c r="IW41" s="58"/>
    </row>
    <row r="42" customFormat="false" ht="12.75" hidden="false" customHeight="false" outlineLevel="0" collapsed="false">
      <c r="A42" s="5" t="n">
        <v>5</v>
      </c>
      <c r="B42" s="5" t="s">
        <v>242</v>
      </c>
      <c r="C42" s="153" t="n">
        <v>36760</v>
      </c>
      <c r="D42" s="58" t="s">
        <v>125</v>
      </c>
      <c r="E42" s="58" t="s">
        <v>89</v>
      </c>
      <c r="F42" s="58" t="s">
        <v>235</v>
      </c>
      <c r="G42" s="58" t="s">
        <v>239</v>
      </c>
      <c r="H42" s="154" t="n">
        <v>0</v>
      </c>
      <c r="I42" s="6" t="n">
        <f aca="false">+H42*K42</f>
        <v>0</v>
      </c>
      <c r="J42" s="155" t="n">
        <v>36861</v>
      </c>
      <c r="K42" s="156" t="n">
        <v>30000</v>
      </c>
      <c r="L42" s="157" t="s">
        <v>8</v>
      </c>
      <c r="M42" s="154" t="s">
        <v>243</v>
      </c>
      <c r="N42" s="158"/>
      <c r="O42" s="159" t="n">
        <f aca="false">0.005*K42</f>
        <v>150</v>
      </c>
      <c r="P42" s="58"/>
      <c r="Q42" s="160" t="n">
        <v>5.775</v>
      </c>
      <c r="R42" s="161"/>
      <c r="S42" s="58"/>
      <c r="T42" s="159" t="n">
        <v>0</v>
      </c>
      <c r="U42" s="162"/>
      <c r="V42" s="162"/>
      <c r="W42" s="58"/>
      <c r="X42" s="58"/>
      <c r="Y42" s="58"/>
      <c r="Z42" s="58"/>
      <c r="AA42" s="5"/>
      <c r="AB42" s="58" t="s">
        <v>245</v>
      </c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  <c r="IW42" s="58"/>
    </row>
    <row r="43" customFormat="false" ht="12.75" hidden="false" customHeight="false" outlineLevel="0" collapsed="false">
      <c r="A43" s="5" t="n">
        <v>5</v>
      </c>
      <c r="B43" s="5" t="s">
        <v>242</v>
      </c>
      <c r="C43" s="153" t="n">
        <v>36760</v>
      </c>
      <c r="D43" s="58" t="s">
        <v>125</v>
      </c>
      <c r="E43" s="58" t="s">
        <v>89</v>
      </c>
      <c r="F43" s="58" t="s">
        <v>235</v>
      </c>
      <c r="G43" s="58" t="s">
        <v>239</v>
      </c>
      <c r="H43" s="154" t="n">
        <v>0</v>
      </c>
      <c r="I43" s="6" t="n">
        <f aca="false">+H43*K43</f>
        <v>0</v>
      </c>
      <c r="J43" s="155" t="n">
        <v>36892</v>
      </c>
      <c r="K43" s="156" t="n">
        <v>30000</v>
      </c>
      <c r="L43" s="157" t="s">
        <v>8</v>
      </c>
      <c r="M43" s="154" t="s">
        <v>243</v>
      </c>
      <c r="N43" s="158"/>
      <c r="O43" s="159" t="n">
        <f aca="false">0.005*K43</f>
        <v>150</v>
      </c>
      <c r="P43" s="58"/>
      <c r="Q43" s="135" t="n">
        <v>9.565</v>
      </c>
      <c r="R43" s="161"/>
      <c r="S43" s="58"/>
      <c r="T43" s="134" t="n">
        <f aca="false">(7-Q43)*K43</f>
        <v>-76950</v>
      </c>
      <c r="U43" s="162"/>
      <c r="V43" s="162"/>
      <c r="W43" s="58"/>
      <c r="X43" s="58"/>
      <c r="Y43" s="58"/>
      <c r="Z43" s="58"/>
      <c r="AA43" s="5"/>
      <c r="AB43" s="58" t="s">
        <v>245</v>
      </c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  <c r="IW43" s="58"/>
    </row>
    <row r="44" customFormat="false" ht="12.75" hidden="false" customHeight="false" outlineLevel="0" collapsed="false">
      <c r="A44" s="5" t="n">
        <v>5</v>
      </c>
      <c r="B44" s="5" t="s">
        <v>242</v>
      </c>
      <c r="C44" s="153" t="n">
        <v>36760</v>
      </c>
      <c r="D44" s="58" t="s">
        <v>125</v>
      </c>
      <c r="E44" s="58" t="s">
        <v>89</v>
      </c>
      <c r="F44" s="58" t="s">
        <v>235</v>
      </c>
      <c r="G44" s="58" t="s">
        <v>239</v>
      </c>
      <c r="H44" s="154" t="n">
        <v>0</v>
      </c>
      <c r="I44" s="6" t="n">
        <f aca="false">+H44*K44</f>
        <v>0</v>
      </c>
      <c r="J44" s="155" t="n">
        <v>36923</v>
      </c>
      <c r="K44" s="156" t="n">
        <v>30000</v>
      </c>
      <c r="L44" s="157" t="s">
        <v>8</v>
      </c>
      <c r="M44" s="154" t="s">
        <v>243</v>
      </c>
      <c r="N44" s="158"/>
      <c r="O44" s="159" t="n">
        <f aca="false">0.005*K44</f>
        <v>150</v>
      </c>
      <c r="P44" s="58"/>
      <c r="Q44" s="160"/>
      <c r="R44" s="161"/>
      <c r="S44" s="58"/>
      <c r="T44" s="159"/>
      <c r="U44" s="162"/>
      <c r="V44" s="162"/>
      <c r="W44" s="58"/>
      <c r="X44" s="58"/>
      <c r="Y44" s="58"/>
      <c r="Z44" s="58"/>
      <c r="AA44" s="5"/>
      <c r="AB44" s="58" t="s">
        <v>245</v>
      </c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</row>
    <row r="46" customFormat="false" ht="12.75" hidden="false" customHeight="false" outlineLevel="0" collapsed="false">
      <c r="A46" s="10" t="n">
        <v>6</v>
      </c>
      <c r="B46" s="10" t="s">
        <v>246</v>
      </c>
      <c r="C46" s="62" t="n">
        <v>36760</v>
      </c>
      <c r="D46" s="12" t="s">
        <v>247</v>
      </c>
      <c r="E46" s="12" t="s">
        <v>89</v>
      </c>
      <c r="F46" s="12" t="s">
        <v>235</v>
      </c>
      <c r="G46" s="12" t="s">
        <v>239</v>
      </c>
      <c r="H46" s="63" t="n">
        <v>0.15</v>
      </c>
      <c r="I46" s="14" t="n">
        <f aca="false">+H46*K46</f>
        <v>7500</v>
      </c>
      <c r="J46" s="85" t="n">
        <v>36770</v>
      </c>
      <c r="K46" s="13" t="n">
        <v>50000</v>
      </c>
      <c r="L46" s="38" t="s">
        <v>8</v>
      </c>
      <c r="M46" s="63" t="s">
        <v>248</v>
      </c>
      <c r="O46" s="134" t="n">
        <f aca="false">0.01*K46</f>
        <v>500</v>
      </c>
      <c r="Q46" s="135" t="n">
        <v>4.45</v>
      </c>
      <c r="T46" s="134" t="n">
        <v>0</v>
      </c>
      <c r="Y46" s="12" t="s">
        <v>249</v>
      </c>
      <c r="AA46" s="10" t="s">
        <v>116</v>
      </c>
      <c r="AB46" s="12" t="s">
        <v>95</v>
      </c>
    </row>
    <row r="47" customFormat="false" ht="12.75" hidden="false" customHeight="false" outlineLevel="0" collapsed="false">
      <c r="A47" s="10" t="n">
        <v>6</v>
      </c>
      <c r="B47" s="10" t="s">
        <v>246</v>
      </c>
      <c r="C47" s="62" t="n">
        <v>36760</v>
      </c>
      <c r="D47" s="12" t="s">
        <v>247</v>
      </c>
      <c r="E47" s="12" t="s">
        <v>89</v>
      </c>
      <c r="F47" s="12" t="s">
        <v>235</v>
      </c>
      <c r="G47" s="12" t="s">
        <v>239</v>
      </c>
      <c r="H47" s="63" t="n">
        <v>0.15</v>
      </c>
      <c r="I47" s="14" t="n">
        <f aca="false">+H47*K47</f>
        <v>7500</v>
      </c>
      <c r="J47" s="85" t="n">
        <v>36800</v>
      </c>
      <c r="K47" s="13" t="n">
        <v>50000</v>
      </c>
      <c r="L47" s="38" t="s">
        <v>8</v>
      </c>
      <c r="M47" s="63" t="s">
        <v>248</v>
      </c>
      <c r="O47" s="134" t="n">
        <f aca="false">0.01*K47</f>
        <v>500</v>
      </c>
      <c r="Q47" s="135" t="n">
        <v>5.105</v>
      </c>
      <c r="T47" s="134" t="n">
        <f aca="false">(4.5-Q47)*K47</f>
        <v>-30250</v>
      </c>
      <c r="AA47" s="10" t="s">
        <v>116</v>
      </c>
      <c r="AB47" s="12" t="s">
        <v>95</v>
      </c>
    </row>
    <row r="48" customFormat="false" ht="12.75" hidden="false" customHeight="false" outlineLevel="0" collapsed="false">
      <c r="A48" s="10" t="n">
        <v>6</v>
      </c>
      <c r="B48" s="10" t="s">
        <v>246</v>
      </c>
      <c r="C48" s="62" t="n">
        <v>36760</v>
      </c>
      <c r="D48" s="12" t="s">
        <v>247</v>
      </c>
      <c r="E48" s="12" t="s">
        <v>89</v>
      </c>
      <c r="F48" s="12" t="s">
        <v>235</v>
      </c>
      <c r="G48" s="12" t="s">
        <v>239</v>
      </c>
      <c r="H48" s="63" t="n">
        <v>0.15</v>
      </c>
      <c r="I48" s="14" t="n">
        <f aca="false">+H48*K48</f>
        <v>7500</v>
      </c>
      <c r="J48" s="85" t="n">
        <v>36831</v>
      </c>
      <c r="K48" s="13" t="n">
        <v>50000</v>
      </c>
      <c r="L48" s="38" t="s">
        <v>8</v>
      </c>
      <c r="M48" s="63" t="s">
        <v>248</v>
      </c>
      <c r="O48" s="134" t="n">
        <f aca="false">0.01*K48</f>
        <v>500</v>
      </c>
      <c r="Q48" s="135" t="n">
        <v>4.31</v>
      </c>
      <c r="T48" s="134" t="n">
        <v>0</v>
      </c>
      <c r="AA48" s="10" t="s">
        <v>116</v>
      </c>
      <c r="AB48" s="12" t="s">
        <v>95</v>
      </c>
    </row>
    <row r="49" customFormat="false" ht="12.75" hidden="false" customHeight="false" outlineLevel="0" collapsed="false">
      <c r="A49" s="10" t="n">
        <v>6</v>
      </c>
      <c r="B49" s="10" t="s">
        <v>246</v>
      </c>
      <c r="C49" s="62" t="n">
        <v>36760</v>
      </c>
      <c r="D49" s="12" t="s">
        <v>247</v>
      </c>
      <c r="E49" s="12" t="s">
        <v>89</v>
      </c>
      <c r="F49" s="12" t="s">
        <v>235</v>
      </c>
      <c r="G49" s="12" t="s">
        <v>239</v>
      </c>
      <c r="H49" s="63" t="n">
        <v>0.15</v>
      </c>
      <c r="I49" s="14" t="n">
        <f aca="false">+H49*K49</f>
        <v>7500</v>
      </c>
      <c r="J49" s="85" t="n">
        <v>36861</v>
      </c>
      <c r="K49" s="13" t="n">
        <v>50000</v>
      </c>
      <c r="L49" s="38" t="s">
        <v>8</v>
      </c>
      <c r="M49" s="63" t="s">
        <v>248</v>
      </c>
      <c r="O49" s="134" t="n">
        <f aca="false">0.01*K49</f>
        <v>500</v>
      </c>
      <c r="Q49" s="135" t="n">
        <v>5.775</v>
      </c>
      <c r="T49" s="134" t="n">
        <f aca="false">(4.5-Q49)*K49</f>
        <v>-63750</v>
      </c>
      <c r="AA49" s="10" t="s">
        <v>116</v>
      </c>
      <c r="AB49" s="12" t="s">
        <v>95</v>
      </c>
    </row>
    <row r="50" customFormat="false" ht="12.75" hidden="false" customHeight="false" outlineLevel="0" collapsed="false">
      <c r="A50" s="10" t="n">
        <v>6</v>
      </c>
      <c r="B50" s="10" t="s">
        <v>246</v>
      </c>
      <c r="C50" s="62" t="n">
        <v>36760</v>
      </c>
      <c r="D50" s="12" t="s">
        <v>247</v>
      </c>
      <c r="E50" s="12" t="s">
        <v>89</v>
      </c>
      <c r="F50" s="12" t="s">
        <v>235</v>
      </c>
      <c r="G50" s="12" t="s">
        <v>239</v>
      </c>
      <c r="H50" s="63" t="n">
        <v>0.15</v>
      </c>
      <c r="I50" s="14" t="n">
        <f aca="false">+H50*K50</f>
        <v>7500</v>
      </c>
      <c r="J50" s="85" t="n">
        <v>36892</v>
      </c>
      <c r="K50" s="13" t="n">
        <v>50000</v>
      </c>
      <c r="L50" s="38" t="s">
        <v>8</v>
      </c>
      <c r="M50" s="63" t="s">
        <v>248</v>
      </c>
      <c r="O50" s="134" t="n">
        <f aca="false">0.01*K50</f>
        <v>500</v>
      </c>
      <c r="Q50" s="135" t="n">
        <v>9.565</v>
      </c>
      <c r="T50" s="134" t="n">
        <f aca="false">(4.5-Q50)*K50</f>
        <v>-253250</v>
      </c>
      <c r="AA50" s="10" t="s">
        <v>116</v>
      </c>
      <c r="AB50" s="12" t="s">
        <v>95</v>
      </c>
    </row>
    <row r="51" customFormat="false" ht="12.75" hidden="false" customHeight="false" outlineLevel="0" collapsed="false">
      <c r="A51" s="10" t="n">
        <v>6</v>
      </c>
      <c r="B51" s="10" t="s">
        <v>246</v>
      </c>
      <c r="C51" s="62" t="n">
        <v>36760</v>
      </c>
      <c r="D51" s="12" t="s">
        <v>247</v>
      </c>
      <c r="E51" s="12" t="s">
        <v>89</v>
      </c>
      <c r="F51" s="12" t="s">
        <v>235</v>
      </c>
      <c r="G51" s="12" t="s">
        <v>239</v>
      </c>
      <c r="H51" s="63" t="n">
        <v>0.15</v>
      </c>
      <c r="I51" s="14" t="n">
        <f aca="false">+H51*K51</f>
        <v>7500</v>
      </c>
      <c r="J51" s="85" t="n">
        <v>36923</v>
      </c>
      <c r="K51" s="13" t="n">
        <v>50000</v>
      </c>
      <c r="L51" s="38" t="s">
        <v>8</v>
      </c>
      <c r="M51" s="63" t="s">
        <v>248</v>
      </c>
      <c r="O51" s="134" t="n">
        <f aca="false">0.01*K51</f>
        <v>500</v>
      </c>
      <c r="AA51" s="10" t="s">
        <v>116</v>
      </c>
      <c r="AB51" s="12" t="s">
        <v>95</v>
      </c>
    </row>
    <row r="52" customFormat="false" ht="12.75" hidden="false" customHeight="false" outlineLevel="0" collapsed="false">
      <c r="A52" s="10" t="n">
        <v>6</v>
      </c>
      <c r="B52" s="10" t="s">
        <v>246</v>
      </c>
      <c r="C52" s="62" t="n">
        <v>36760</v>
      </c>
      <c r="D52" s="12" t="s">
        <v>247</v>
      </c>
      <c r="E52" s="12" t="s">
        <v>89</v>
      </c>
      <c r="F52" s="12" t="s">
        <v>235</v>
      </c>
      <c r="G52" s="12" t="s">
        <v>239</v>
      </c>
      <c r="H52" s="63" t="n">
        <v>0.15</v>
      </c>
      <c r="I52" s="14" t="n">
        <f aca="false">+H52*K52</f>
        <v>4500</v>
      </c>
      <c r="J52" s="85" t="n">
        <v>36951</v>
      </c>
      <c r="K52" s="13" t="n">
        <v>30000</v>
      </c>
      <c r="L52" s="38" t="s">
        <v>8</v>
      </c>
      <c r="M52" s="63" t="s">
        <v>248</v>
      </c>
      <c r="O52" s="134" t="n">
        <f aca="false">0.01*K52</f>
        <v>300</v>
      </c>
      <c r="AA52" s="10" t="s">
        <v>116</v>
      </c>
      <c r="AB52" s="12" t="s">
        <v>95</v>
      </c>
    </row>
    <row r="53" customFormat="false" ht="12.75" hidden="false" customHeight="false" outlineLevel="0" collapsed="false">
      <c r="A53" s="10" t="n">
        <v>6</v>
      </c>
      <c r="B53" s="10" t="s">
        <v>246</v>
      </c>
      <c r="C53" s="62" t="n">
        <v>36760</v>
      </c>
      <c r="D53" s="12" t="s">
        <v>247</v>
      </c>
      <c r="E53" s="12" t="s">
        <v>89</v>
      </c>
      <c r="F53" s="12" t="s">
        <v>235</v>
      </c>
      <c r="G53" s="12" t="s">
        <v>239</v>
      </c>
      <c r="H53" s="63" t="n">
        <v>0.15</v>
      </c>
      <c r="I53" s="14" t="n">
        <f aca="false">+H53*K53</f>
        <v>4500</v>
      </c>
      <c r="J53" s="85" t="n">
        <v>36982</v>
      </c>
      <c r="K53" s="13" t="n">
        <v>30000</v>
      </c>
      <c r="L53" s="38" t="s">
        <v>8</v>
      </c>
      <c r="M53" s="63" t="s">
        <v>248</v>
      </c>
      <c r="O53" s="134" t="n">
        <f aca="false">0.01*K53</f>
        <v>300</v>
      </c>
      <c r="AA53" s="10" t="s">
        <v>116</v>
      </c>
      <c r="AB53" s="12" t="s">
        <v>95</v>
      </c>
    </row>
    <row r="54" customFormat="false" ht="12.75" hidden="false" customHeight="false" outlineLevel="0" collapsed="false">
      <c r="A54" s="10" t="n">
        <v>6</v>
      </c>
      <c r="B54" s="10" t="s">
        <v>246</v>
      </c>
      <c r="C54" s="62" t="n">
        <v>36760</v>
      </c>
      <c r="D54" s="12" t="s">
        <v>247</v>
      </c>
      <c r="E54" s="12" t="s">
        <v>89</v>
      </c>
      <c r="F54" s="12" t="s">
        <v>235</v>
      </c>
      <c r="G54" s="12" t="s">
        <v>239</v>
      </c>
      <c r="H54" s="63" t="n">
        <v>0.15</v>
      </c>
      <c r="I54" s="14" t="n">
        <f aca="false">+H54*K54</f>
        <v>4500</v>
      </c>
      <c r="J54" s="85" t="n">
        <v>37012</v>
      </c>
      <c r="K54" s="13" t="n">
        <v>30000</v>
      </c>
      <c r="L54" s="38" t="s">
        <v>8</v>
      </c>
      <c r="M54" s="63" t="s">
        <v>248</v>
      </c>
      <c r="O54" s="134" t="n">
        <f aca="false">0.01*K54</f>
        <v>300</v>
      </c>
      <c r="AA54" s="10" t="s">
        <v>116</v>
      </c>
      <c r="AB54" s="12" t="s">
        <v>95</v>
      </c>
    </row>
    <row r="56" customFormat="false" ht="12.75" hidden="false" customHeight="false" outlineLevel="0" collapsed="false">
      <c r="A56" s="5" t="n">
        <v>7</v>
      </c>
      <c r="B56" s="5" t="s">
        <v>250</v>
      </c>
      <c r="C56" s="153" t="n">
        <v>36760</v>
      </c>
      <c r="D56" s="58" t="s">
        <v>129</v>
      </c>
      <c r="E56" s="58" t="s">
        <v>89</v>
      </c>
      <c r="F56" s="58" t="s">
        <v>235</v>
      </c>
      <c r="G56" s="58" t="s">
        <v>239</v>
      </c>
      <c r="H56" s="154" t="n">
        <v>0</v>
      </c>
      <c r="I56" s="6" t="n">
        <f aca="false">+H56*K56</f>
        <v>0</v>
      </c>
      <c r="J56" s="155" t="n">
        <v>36770</v>
      </c>
      <c r="K56" s="156" t="n">
        <v>20000</v>
      </c>
      <c r="L56" s="157" t="s">
        <v>8</v>
      </c>
      <c r="M56" s="154" t="s">
        <v>251</v>
      </c>
      <c r="N56" s="158"/>
      <c r="O56" s="159" t="n">
        <f aca="false">0.005*K56</f>
        <v>100</v>
      </c>
      <c r="P56" s="58"/>
      <c r="Q56" s="160" t="n">
        <v>4.45</v>
      </c>
      <c r="R56" s="161"/>
      <c r="S56" s="58"/>
      <c r="T56" s="159" t="n">
        <v>0</v>
      </c>
      <c r="U56" s="162"/>
      <c r="V56" s="162"/>
      <c r="W56" s="58"/>
      <c r="X56" s="58"/>
      <c r="Y56" s="58" t="s">
        <v>252</v>
      </c>
      <c r="Z56" s="58"/>
      <c r="AA56" s="5"/>
      <c r="AB56" s="12" t="s">
        <v>95</v>
      </c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</row>
    <row r="57" customFormat="false" ht="12.75" hidden="false" customHeight="false" outlineLevel="0" collapsed="false">
      <c r="A57" s="5" t="n">
        <v>7</v>
      </c>
      <c r="B57" s="5" t="s">
        <v>250</v>
      </c>
      <c r="C57" s="153" t="n">
        <v>36760</v>
      </c>
      <c r="D57" s="58" t="s">
        <v>129</v>
      </c>
      <c r="E57" s="58" t="s">
        <v>89</v>
      </c>
      <c r="F57" s="58" t="s">
        <v>235</v>
      </c>
      <c r="G57" s="58" t="s">
        <v>239</v>
      </c>
      <c r="H57" s="154" t="n">
        <v>0</v>
      </c>
      <c r="I57" s="6" t="n">
        <f aca="false">+H57*K57</f>
        <v>0</v>
      </c>
      <c r="J57" s="155" t="n">
        <v>36800</v>
      </c>
      <c r="K57" s="156" t="n">
        <v>20000</v>
      </c>
      <c r="L57" s="157" t="s">
        <v>8</v>
      </c>
      <c r="M57" s="154" t="s">
        <v>251</v>
      </c>
      <c r="N57" s="158"/>
      <c r="O57" s="159" t="n">
        <f aca="false">0.005*K57</f>
        <v>100</v>
      </c>
      <c r="P57" s="58"/>
      <c r="Q57" s="160" t="n">
        <v>5.105</v>
      </c>
      <c r="R57" s="161"/>
      <c r="S57" s="58"/>
      <c r="T57" s="159" t="n">
        <v>0</v>
      </c>
      <c r="U57" s="162"/>
      <c r="V57" s="162"/>
      <c r="W57" s="58"/>
      <c r="X57" s="58"/>
      <c r="Y57" s="58"/>
      <c r="Z57" s="58"/>
      <c r="AA57" s="5"/>
      <c r="AB57" s="12" t="s">
        <v>95</v>
      </c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</row>
    <row r="58" customFormat="false" ht="12.75" hidden="false" customHeight="false" outlineLevel="0" collapsed="false">
      <c r="A58" s="5" t="n">
        <v>7</v>
      </c>
      <c r="B58" s="5" t="s">
        <v>250</v>
      </c>
      <c r="C58" s="153" t="n">
        <v>36760</v>
      </c>
      <c r="D58" s="58" t="s">
        <v>129</v>
      </c>
      <c r="E58" s="58" t="s">
        <v>89</v>
      </c>
      <c r="F58" s="58" t="s">
        <v>235</v>
      </c>
      <c r="G58" s="58" t="s">
        <v>239</v>
      </c>
      <c r="H58" s="154" t="n">
        <v>0</v>
      </c>
      <c r="I58" s="6" t="n">
        <f aca="false">+H58*K58</f>
        <v>0</v>
      </c>
      <c r="J58" s="155" t="n">
        <v>36831</v>
      </c>
      <c r="K58" s="156" t="n">
        <v>20000</v>
      </c>
      <c r="L58" s="157" t="s">
        <v>8</v>
      </c>
      <c r="M58" s="154" t="s">
        <v>251</v>
      </c>
      <c r="N58" s="158"/>
      <c r="O58" s="159" t="n">
        <f aca="false">0.005*K58</f>
        <v>100</v>
      </c>
      <c r="P58" s="58"/>
      <c r="Q58" s="160" t="n">
        <v>4.31</v>
      </c>
      <c r="R58" s="161"/>
      <c r="S58" s="58"/>
      <c r="T58" s="159" t="n">
        <v>0</v>
      </c>
      <c r="U58" s="162"/>
      <c r="V58" s="162"/>
      <c r="W58" s="58"/>
      <c r="X58" s="58"/>
      <c r="Y58" s="58"/>
      <c r="Z58" s="58"/>
      <c r="AA58" s="5"/>
      <c r="AB58" s="12" t="s">
        <v>95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  <c r="IW58" s="58"/>
    </row>
    <row r="59" customFormat="false" ht="12.75" hidden="false" customHeight="false" outlineLevel="0" collapsed="false">
      <c r="A59" s="5" t="n">
        <v>7</v>
      </c>
      <c r="B59" s="5" t="s">
        <v>250</v>
      </c>
      <c r="C59" s="153" t="n">
        <v>36760</v>
      </c>
      <c r="D59" s="58" t="s">
        <v>129</v>
      </c>
      <c r="E59" s="58" t="s">
        <v>89</v>
      </c>
      <c r="F59" s="58" t="s">
        <v>235</v>
      </c>
      <c r="G59" s="58" t="s">
        <v>239</v>
      </c>
      <c r="H59" s="154" t="n">
        <v>0</v>
      </c>
      <c r="I59" s="6" t="n">
        <f aca="false">+H59*K59</f>
        <v>0</v>
      </c>
      <c r="J59" s="155" t="n">
        <v>36861</v>
      </c>
      <c r="K59" s="156" t="n">
        <v>20000</v>
      </c>
      <c r="L59" s="157" t="s">
        <v>8</v>
      </c>
      <c r="M59" s="154" t="s">
        <v>251</v>
      </c>
      <c r="N59" s="158"/>
      <c r="O59" s="159" t="n">
        <f aca="false">0.005*K59</f>
        <v>100</v>
      </c>
      <c r="P59" s="58"/>
      <c r="Q59" s="160" t="n">
        <v>5.775</v>
      </c>
      <c r="R59" s="161"/>
      <c r="S59" s="58"/>
      <c r="T59" s="159" t="n">
        <v>0</v>
      </c>
      <c r="U59" s="162"/>
      <c r="V59" s="162"/>
      <c r="W59" s="58"/>
      <c r="X59" s="58"/>
      <c r="Y59" s="58"/>
      <c r="Z59" s="58"/>
      <c r="AA59" s="5"/>
      <c r="AB59" s="12" t="s">
        <v>95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  <c r="IW59" s="58"/>
    </row>
    <row r="60" customFormat="false" ht="12.75" hidden="false" customHeight="false" outlineLevel="0" collapsed="false">
      <c r="A60" s="5" t="n">
        <v>7</v>
      </c>
      <c r="B60" s="5" t="s">
        <v>250</v>
      </c>
      <c r="C60" s="153" t="n">
        <v>36760</v>
      </c>
      <c r="D60" s="58" t="s">
        <v>129</v>
      </c>
      <c r="E60" s="58" t="s">
        <v>89</v>
      </c>
      <c r="F60" s="58" t="s">
        <v>235</v>
      </c>
      <c r="G60" s="58" t="s">
        <v>239</v>
      </c>
      <c r="H60" s="154" t="n">
        <v>0</v>
      </c>
      <c r="I60" s="6" t="n">
        <f aca="false">+H60*K60</f>
        <v>0</v>
      </c>
      <c r="J60" s="155" t="n">
        <v>36892</v>
      </c>
      <c r="K60" s="156" t="n">
        <v>20000</v>
      </c>
      <c r="L60" s="157" t="s">
        <v>8</v>
      </c>
      <c r="M60" s="154" t="s">
        <v>251</v>
      </c>
      <c r="N60" s="158"/>
      <c r="O60" s="159" t="n">
        <f aca="false">0.005*K60</f>
        <v>100</v>
      </c>
      <c r="P60" s="58"/>
      <c r="Q60" s="135" t="n">
        <v>9.565</v>
      </c>
      <c r="R60" s="161"/>
      <c r="S60" s="58"/>
      <c r="T60" s="134" t="n">
        <f aca="false">(9-Q60)*K60</f>
        <v>-11300</v>
      </c>
      <c r="U60" s="162"/>
      <c r="V60" s="162"/>
      <c r="W60" s="58"/>
      <c r="X60" s="58"/>
      <c r="Y60" s="58"/>
      <c r="Z60" s="58"/>
      <c r="AA60" s="5"/>
      <c r="AB60" s="12" t="s">
        <v>95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  <c r="IW60" s="58"/>
    </row>
    <row r="61" customFormat="false" ht="12.75" hidden="false" customHeight="false" outlineLevel="0" collapsed="false">
      <c r="A61" s="5" t="n">
        <v>7</v>
      </c>
      <c r="B61" s="5" t="s">
        <v>250</v>
      </c>
      <c r="C61" s="153" t="n">
        <v>36760</v>
      </c>
      <c r="D61" s="58" t="s">
        <v>129</v>
      </c>
      <c r="E61" s="58" t="s">
        <v>89</v>
      </c>
      <c r="F61" s="58" t="s">
        <v>235</v>
      </c>
      <c r="G61" s="58" t="s">
        <v>239</v>
      </c>
      <c r="H61" s="154" t="n">
        <v>0</v>
      </c>
      <c r="I61" s="6" t="n">
        <f aca="false">+H61*K61</f>
        <v>0</v>
      </c>
      <c r="J61" s="155" t="n">
        <v>36923</v>
      </c>
      <c r="K61" s="156" t="n">
        <v>20000</v>
      </c>
      <c r="L61" s="157" t="s">
        <v>8</v>
      </c>
      <c r="M61" s="154" t="s">
        <v>251</v>
      </c>
      <c r="N61" s="158"/>
      <c r="O61" s="159" t="n">
        <f aca="false">0.005*K61</f>
        <v>100</v>
      </c>
      <c r="P61" s="58"/>
      <c r="Q61" s="160"/>
      <c r="R61" s="161"/>
      <c r="S61" s="58"/>
      <c r="T61" s="159"/>
      <c r="U61" s="162"/>
      <c r="V61" s="162"/>
      <c r="W61" s="58"/>
      <c r="X61" s="58"/>
      <c r="Y61" s="58"/>
      <c r="Z61" s="58"/>
      <c r="AA61" s="5"/>
      <c r="AB61" s="12" t="s">
        <v>95</v>
      </c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  <c r="IW61" s="58"/>
    </row>
    <row r="62" customFormat="false" ht="12.75" hidden="false" customHeight="false" outlineLevel="0" collapsed="false">
      <c r="A62" s="5"/>
      <c r="B62" s="5"/>
      <c r="C62" s="153"/>
      <c r="D62" s="58"/>
      <c r="E62" s="58"/>
      <c r="F62" s="58"/>
      <c r="G62" s="58"/>
      <c r="H62" s="154"/>
      <c r="I62" s="6"/>
      <c r="J62" s="163"/>
      <c r="K62" s="156"/>
      <c r="L62" s="157"/>
      <c r="M62" s="154"/>
      <c r="N62" s="158"/>
      <c r="O62" s="159"/>
      <c r="P62" s="58"/>
      <c r="Q62" s="160"/>
      <c r="R62" s="161"/>
      <c r="S62" s="58"/>
      <c r="T62" s="159"/>
      <c r="U62" s="162"/>
      <c r="V62" s="162"/>
      <c r="W62" s="58"/>
      <c r="X62" s="58"/>
      <c r="Y62" s="58"/>
      <c r="Z62" s="58"/>
      <c r="AA62" s="5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  <c r="IW62" s="58"/>
    </row>
    <row r="63" customFormat="false" ht="12.75" hidden="false" customHeight="false" outlineLevel="0" collapsed="false">
      <c r="A63" s="5" t="n">
        <v>8</v>
      </c>
      <c r="B63" s="5" t="s">
        <v>253</v>
      </c>
      <c r="C63" s="153" t="n">
        <v>36760</v>
      </c>
      <c r="D63" s="58" t="s">
        <v>130</v>
      </c>
      <c r="E63" s="58" t="s">
        <v>89</v>
      </c>
      <c r="F63" s="58" t="s">
        <v>235</v>
      </c>
      <c r="G63" s="58" t="s">
        <v>239</v>
      </c>
      <c r="H63" s="154" t="n">
        <v>0</v>
      </c>
      <c r="I63" s="6" t="n">
        <f aca="false">+H63*K63</f>
        <v>0</v>
      </c>
      <c r="J63" s="155" t="n">
        <v>36770</v>
      </c>
      <c r="K63" s="156" t="n">
        <v>10000</v>
      </c>
      <c r="L63" s="157" t="s">
        <v>8</v>
      </c>
      <c r="M63" s="154" t="s">
        <v>251</v>
      </c>
      <c r="N63" s="158"/>
      <c r="O63" s="159" t="n">
        <f aca="false">0.005*K63</f>
        <v>50</v>
      </c>
      <c r="P63" s="58"/>
      <c r="Q63" s="160" t="n">
        <v>4.45</v>
      </c>
      <c r="R63" s="161"/>
      <c r="S63" s="58"/>
      <c r="T63" s="159" t="n">
        <v>0</v>
      </c>
      <c r="U63" s="162"/>
      <c r="V63" s="162"/>
      <c r="W63" s="58"/>
      <c r="X63" s="58"/>
      <c r="Y63" s="58" t="s">
        <v>252</v>
      </c>
      <c r="Z63" s="58"/>
      <c r="AA63" s="5"/>
      <c r="AB63" s="12" t="s">
        <v>95</v>
      </c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  <c r="IW63" s="58"/>
    </row>
    <row r="64" customFormat="false" ht="12.75" hidden="false" customHeight="false" outlineLevel="0" collapsed="false">
      <c r="A64" s="5" t="n">
        <v>8</v>
      </c>
      <c r="B64" s="5" t="s">
        <v>253</v>
      </c>
      <c r="C64" s="153" t="n">
        <v>36760</v>
      </c>
      <c r="D64" s="58" t="s">
        <v>130</v>
      </c>
      <c r="E64" s="58" t="s">
        <v>89</v>
      </c>
      <c r="F64" s="58" t="s">
        <v>235</v>
      </c>
      <c r="G64" s="58" t="s">
        <v>239</v>
      </c>
      <c r="H64" s="154" t="n">
        <v>0</v>
      </c>
      <c r="I64" s="6" t="n">
        <f aca="false">+H64*K64</f>
        <v>0</v>
      </c>
      <c r="J64" s="155" t="n">
        <v>36800</v>
      </c>
      <c r="K64" s="156" t="n">
        <v>10000</v>
      </c>
      <c r="L64" s="157" t="s">
        <v>8</v>
      </c>
      <c r="M64" s="154" t="s">
        <v>251</v>
      </c>
      <c r="N64" s="158"/>
      <c r="O64" s="159" t="n">
        <f aca="false">0.005*K64</f>
        <v>50</v>
      </c>
      <c r="P64" s="58"/>
      <c r="Q64" s="160" t="n">
        <v>5.105</v>
      </c>
      <c r="R64" s="161"/>
      <c r="S64" s="58"/>
      <c r="T64" s="159" t="n">
        <v>0</v>
      </c>
      <c r="U64" s="162"/>
      <c r="V64" s="162"/>
      <c r="W64" s="58"/>
      <c r="X64" s="58"/>
      <c r="Y64" s="58"/>
      <c r="Z64" s="58"/>
      <c r="AA64" s="5"/>
      <c r="AB64" s="12" t="s">
        <v>95</v>
      </c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  <c r="IW64" s="58"/>
    </row>
    <row r="65" customFormat="false" ht="12.75" hidden="false" customHeight="false" outlineLevel="0" collapsed="false">
      <c r="A65" s="5" t="n">
        <v>8</v>
      </c>
      <c r="B65" s="5" t="s">
        <v>253</v>
      </c>
      <c r="C65" s="153" t="n">
        <v>36760</v>
      </c>
      <c r="D65" s="58" t="s">
        <v>130</v>
      </c>
      <c r="E65" s="58" t="s">
        <v>89</v>
      </c>
      <c r="F65" s="58" t="s">
        <v>235</v>
      </c>
      <c r="G65" s="58" t="s">
        <v>239</v>
      </c>
      <c r="H65" s="154" t="n">
        <v>0</v>
      </c>
      <c r="I65" s="6" t="n">
        <f aca="false">+H65*K65</f>
        <v>0</v>
      </c>
      <c r="J65" s="155" t="n">
        <v>36831</v>
      </c>
      <c r="K65" s="156" t="n">
        <v>10000</v>
      </c>
      <c r="L65" s="157" t="s">
        <v>8</v>
      </c>
      <c r="M65" s="154" t="s">
        <v>251</v>
      </c>
      <c r="N65" s="158"/>
      <c r="O65" s="159" t="n">
        <f aca="false">0.005*K65</f>
        <v>50</v>
      </c>
      <c r="P65" s="58"/>
      <c r="Q65" s="160" t="n">
        <v>4.31</v>
      </c>
      <c r="R65" s="161"/>
      <c r="S65" s="58"/>
      <c r="T65" s="159" t="n">
        <v>0</v>
      </c>
      <c r="U65" s="162"/>
      <c r="V65" s="162"/>
      <c r="W65" s="58"/>
      <c r="X65" s="58"/>
      <c r="Y65" s="58"/>
      <c r="Z65" s="58"/>
      <c r="AA65" s="5"/>
      <c r="AB65" s="12" t="s">
        <v>95</v>
      </c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  <c r="IW65" s="58"/>
    </row>
    <row r="66" customFormat="false" ht="12.75" hidden="false" customHeight="false" outlineLevel="0" collapsed="false">
      <c r="A66" s="5" t="n">
        <v>8</v>
      </c>
      <c r="B66" s="5" t="s">
        <v>253</v>
      </c>
      <c r="C66" s="153" t="n">
        <v>36760</v>
      </c>
      <c r="D66" s="58" t="s">
        <v>130</v>
      </c>
      <c r="E66" s="58" t="s">
        <v>89</v>
      </c>
      <c r="F66" s="58" t="s">
        <v>235</v>
      </c>
      <c r="G66" s="58" t="s">
        <v>239</v>
      </c>
      <c r="H66" s="154" t="n">
        <v>0</v>
      </c>
      <c r="I66" s="6" t="n">
        <f aca="false">+H66*K66</f>
        <v>0</v>
      </c>
      <c r="J66" s="155" t="n">
        <v>36861</v>
      </c>
      <c r="K66" s="156" t="n">
        <v>10000</v>
      </c>
      <c r="L66" s="157" t="s">
        <v>8</v>
      </c>
      <c r="M66" s="154" t="s">
        <v>251</v>
      </c>
      <c r="N66" s="158"/>
      <c r="O66" s="159" t="n">
        <f aca="false">0.005*K66</f>
        <v>50</v>
      </c>
      <c r="P66" s="58"/>
      <c r="Q66" s="160" t="n">
        <v>5.775</v>
      </c>
      <c r="R66" s="161"/>
      <c r="S66" s="58"/>
      <c r="T66" s="159" t="n">
        <v>0</v>
      </c>
      <c r="U66" s="162"/>
      <c r="V66" s="162"/>
      <c r="W66" s="58"/>
      <c r="X66" s="58"/>
      <c r="Y66" s="58"/>
      <c r="Z66" s="58"/>
      <c r="AA66" s="5"/>
      <c r="AB66" s="12" t="s">
        <v>95</v>
      </c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  <c r="IW66" s="58"/>
    </row>
    <row r="67" customFormat="false" ht="12.75" hidden="false" customHeight="false" outlineLevel="0" collapsed="false">
      <c r="A67" s="5" t="n">
        <v>8</v>
      </c>
      <c r="B67" s="5" t="s">
        <v>253</v>
      </c>
      <c r="C67" s="153" t="n">
        <v>36760</v>
      </c>
      <c r="D67" s="58" t="s">
        <v>130</v>
      </c>
      <c r="E67" s="58" t="s">
        <v>89</v>
      </c>
      <c r="F67" s="58" t="s">
        <v>235</v>
      </c>
      <c r="G67" s="58" t="s">
        <v>239</v>
      </c>
      <c r="H67" s="154" t="n">
        <v>0</v>
      </c>
      <c r="I67" s="6" t="n">
        <f aca="false">+H67*K67</f>
        <v>0</v>
      </c>
      <c r="J67" s="155" t="n">
        <v>36892</v>
      </c>
      <c r="K67" s="156" t="n">
        <v>10000</v>
      </c>
      <c r="L67" s="157" t="s">
        <v>8</v>
      </c>
      <c r="M67" s="154" t="s">
        <v>251</v>
      </c>
      <c r="N67" s="158"/>
      <c r="O67" s="159" t="n">
        <f aca="false">0.005*K67</f>
        <v>50</v>
      </c>
      <c r="P67" s="58"/>
      <c r="Q67" s="135" t="n">
        <v>9.565</v>
      </c>
      <c r="R67" s="161"/>
      <c r="S67" s="58"/>
      <c r="T67" s="134" t="n">
        <f aca="false">(9-Q67)*K67</f>
        <v>-5650</v>
      </c>
      <c r="U67" s="162"/>
      <c r="V67" s="162"/>
      <c r="W67" s="58"/>
      <c r="X67" s="58"/>
      <c r="Y67" s="58"/>
      <c r="Z67" s="58"/>
      <c r="AA67" s="5"/>
      <c r="AB67" s="12" t="s">
        <v>95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  <c r="IW67" s="58"/>
    </row>
    <row r="68" customFormat="false" ht="12.75" hidden="false" customHeight="false" outlineLevel="0" collapsed="false">
      <c r="A68" s="5" t="n">
        <v>8</v>
      </c>
      <c r="B68" s="5" t="s">
        <v>253</v>
      </c>
      <c r="C68" s="153" t="n">
        <v>36760</v>
      </c>
      <c r="D68" s="58" t="s">
        <v>130</v>
      </c>
      <c r="E68" s="58" t="s">
        <v>89</v>
      </c>
      <c r="F68" s="58" t="s">
        <v>235</v>
      </c>
      <c r="G68" s="58" t="s">
        <v>239</v>
      </c>
      <c r="H68" s="154" t="n">
        <v>0</v>
      </c>
      <c r="I68" s="6" t="n">
        <f aca="false">+H68*K68</f>
        <v>0</v>
      </c>
      <c r="J68" s="155" t="n">
        <v>36923</v>
      </c>
      <c r="K68" s="156" t="n">
        <v>10000</v>
      </c>
      <c r="L68" s="157" t="s">
        <v>8</v>
      </c>
      <c r="M68" s="154" t="s">
        <v>251</v>
      </c>
      <c r="N68" s="158"/>
      <c r="O68" s="159" t="n">
        <f aca="false">0.005*K68</f>
        <v>50</v>
      </c>
      <c r="P68" s="58"/>
      <c r="Q68" s="160"/>
      <c r="R68" s="161"/>
      <c r="S68" s="58"/>
      <c r="T68" s="159"/>
      <c r="U68" s="162"/>
      <c r="V68" s="162"/>
      <c r="W68" s="58"/>
      <c r="X68" s="58"/>
      <c r="Y68" s="58"/>
      <c r="Z68" s="58"/>
      <c r="AA68" s="5"/>
      <c r="AB68" s="12" t="s">
        <v>95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  <c r="IW68" s="58"/>
    </row>
    <row r="69" customFormat="false" ht="12.75" hidden="false" customHeight="false" outlineLevel="0" collapsed="false">
      <c r="A69" s="5"/>
      <c r="B69" s="5"/>
      <c r="C69" s="153"/>
      <c r="D69" s="58"/>
      <c r="E69" s="58"/>
      <c r="F69" s="58"/>
      <c r="G69" s="58"/>
      <c r="H69" s="154"/>
      <c r="I69" s="6"/>
      <c r="J69" s="163"/>
      <c r="K69" s="156"/>
      <c r="L69" s="157"/>
      <c r="M69" s="154"/>
      <c r="N69" s="158"/>
      <c r="O69" s="159"/>
      <c r="P69" s="58"/>
      <c r="Q69" s="160"/>
      <c r="R69" s="161"/>
      <c r="S69" s="58"/>
      <c r="T69" s="159"/>
      <c r="U69" s="162"/>
      <c r="V69" s="162"/>
      <c r="W69" s="58"/>
      <c r="X69" s="58"/>
      <c r="Y69" s="58"/>
      <c r="Z69" s="58"/>
      <c r="AA69" s="5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  <c r="IW69" s="58"/>
    </row>
    <row r="70" customFormat="false" ht="12.75" hidden="false" customHeight="false" outlineLevel="0" collapsed="false">
      <c r="A70" s="5" t="n">
        <v>9</v>
      </c>
      <c r="B70" s="5" t="s">
        <v>254</v>
      </c>
      <c r="C70" s="153" t="n">
        <v>36760</v>
      </c>
      <c r="D70" s="58" t="s">
        <v>255</v>
      </c>
      <c r="E70" s="58" t="s">
        <v>89</v>
      </c>
      <c r="F70" s="58" t="s">
        <v>235</v>
      </c>
      <c r="G70" s="58" t="s">
        <v>239</v>
      </c>
      <c r="H70" s="154" t="n">
        <v>0</v>
      </c>
      <c r="I70" s="6" t="n">
        <f aca="false">+H70*K70</f>
        <v>0</v>
      </c>
      <c r="J70" s="155" t="n">
        <v>36770</v>
      </c>
      <c r="K70" s="156" t="n">
        <v>10000</v>
      </c>
      <c r="L70" s="157" t="s">
        <v>8</v>
      </c>
      <c r="M70" s="154" t="s">
        <v>251</v>
      </c>
      <c r="N70" s="158"/>
      <c r="O70" s="159" t="n">
        <f aca="false">0.005*K70</f>
        <v>50</v>
      </c>
      <c r="P70" s="58"/>
      <c r="Q70" s="160" t="n">
        <v>4.45</v>
      </c>
      <c r="R70" s="161"/>
      <c r="S70" s="58"/>
      <c r="T70" s="159" t="n">
        <v>0</v>
      </c>
      <c r="U70" s="162"/>
      <c r="V70" s="162"/>
      <c r="W70" s="58"/>
      <c r="X70" s="58"/>
      <c r="Y70" s="58" t="s">
        <v>252</v>
      </c>
      <c r="Z70" s="58"/>
      <c r="AA70" s="5"/>
      <c r="AB70" s="12" t="s">
        <v>95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  <c r="IW70" s="58"/>
    </row>
    <row r="71" customFormat="false" ht="12.75" hidden="false" customHeight="false" outlineLevel="0" collapsed="false">
      <c r="A71" s="5" t="n">
        <v>9</v>
      </c>
      <c r="B71" s="5" t="s">
        <v>254</v>
      </c>
      <c r="C71" s="153" t="n">
        <v>36760</v>
      </c>
      <c r="D71" s="58" t="s">
        <v>255</v>
      </c>
      <c r="E71" s="58" t="s">
        <v>89</v>
      </c>
      <c r="F71" s="58" t="s">
        <v>235</v>
      </c>
      <c r="G71" s="58" t="s">
        <v>239</v>
      </c>
      <c r="H71" s="154" t="n">
        <v>0</v>
      </c>
      <c r="I71" s="6" t="n">
        <f aca="false">+H71*K71</f>
        <v>0</v>
      </c>
      <c r="J71" s="155" t="n">
        <v>36800</v>
      </c>
      <c r="K71" s="156" t="n">
        <v>10000</v>
      </c>
      <c r="L71" s="157" t="s">
        <v>8</v>
      </c>
      <c r="M71" s="154" t="s">
        <v>251</v>
      </c>
      <c r="N71" s="158"/>
      <c r="O71" s="159" t="n">
        <f aca="false">0.005*K71</f>
        <v>50</v>
      </c>
      <c r="P71" s="58"/>
      <c r="Q71" s="160" t="n">
        <v>5.105</v>
      </c>
      <c r="R71" s="161"/>
      <c r="S71" s="58"/>
      <c r="T71" s="159" t="n">
        <v>0</v>
      </c>
      <c r="U71" s="162"/>
      <c r="V71" s="162"/>
      <c r="W71" s="58"/>
      <c r="X71" s="58"/>
      <c r="Y71" s="58"/>
      <c r="Z71" s="58"/>
      <c r="AA71" s="5"/>
      <c r="AB71" s="12" t="s">
        <v>95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  <c r="IW71" s="58"/>
    </row>
    <row r="72" customFormat="false" ht="12.75" hidden="false" customHeight="false" outlineLevel="0" collapsed="false">
      <c r="A72" s="5" t="n">
        <v>9</v>
      </c>
      <c r="B72" s="5" t="s">
        <v>254</v>
      </c>
      <c r="C72" s="153" t="n">
        <v>36760</v>
      </c>
      <c r="D72" s="58" t="s">
        <v>255</v>
      </c>
      <c r="E72" s="58" t="s">
        <v>89</v>
      </c>
      <c r="F72" s="58" t="s">
        <v>235</v>
      </c>
      <c r="G72" s="58" t="s">
        <v>239</v>
      </c>
      <c r="H72" s="154" t="n">
        <v>0</v>
      </c>
      <c r="I72" s="6" t="n">
        <f aca="false">+H72*K72</f>
        <v>0</v>
      </c>
      <c r="J72" s="155" t="n">
        <v>36831</v>
      </c>
      <c r="K72" s="156" t="n">
        <v>10000</v>
      </c>
      <c r="L72" s="157" t="s">
        <v>8</v>
      </c>
      <c r="M72" s="154" t="s">
        <v>251</v>
      </c>
      <c r="N72" s="158"/>
      <c r="O72" s="159" t="n">
        <f aca="false">0.005*K72</f>
        <v>50</v>
      </c>
      <c r="P72" s="58"/>
      <c r="Q72" s="160" t="n">
        <v>4.31</v>
      </c>
      <c r="R72" s="161"/>
      <c r="S72" s="58"/>
      <c r="T72" s="159" t="n">
        <v>0</v>
      </c>
      <c r="U72" s="162"/>
      <c r="V72" s="162"/>
      <c r="W72" s="58"/>
      <c r="X72" s="58"/>
      <c r="Y72" s="58"/>
      <c r="Z72" s="58"/>
      <c r="AA72" s="5"/>
      <c r="AB72" s="12" t="s">
        <v>95</v>
      </c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  <c r="IW72" s="58"/>
    </row>
    <row r="73" customFormat="false" ht="12.75" hidden="false" customHeight="false" outlineLevel="0" collapsed="false">
      <c r="A73" s="5" t="n">
        <v>9</v>
      </c>
      <c r="B73" s="5" t="s">
        <v>254</v>
      </c>
      <c r="C73" s="153" t="n">
        <v>36760</v>
      </c>
      <c r="D73" s="58" t="s">
        <v>255</v>
      </c>
      <c r="E73" s="58" t="s">
        <v>89</v>
      </c>
      <c r="F73" s="58" t="s">
        <v>235</v>
      </c>
      <c r="G73" s="58" t="s">
        <v>239</v>
      </c>
      <c r="H73" s="154" t="n">
        <v>0</v>
      </c>
      <c r="I73" s="6" t="n">
        <f aca="false">+H73*K73</f>
        <v>0</v>
      </c>
      <c r="J73" s="155" t="n">
        <v>36861</v>
      </c>
      <c r="K73" s="156" t="n">
        <v>10000</v>
      </c>
      <c r="L73" s="157" t="s">
        <v>8</v>
      </c>
      <c r="M73" s="154" t="s">
        <v>251</v>
      </c>
      <c r="N73" s="158"/>
      <c r="O73" s="159" t="n">
        <f aca="false">0.005*K73</f>
        <v>50</v>
      </c>
      <c r="P73" s="58"/>
      <c r="Q73" s="160" t="n">
        <v>5.775</v>
      </c>
      <c r="R73" s="161"/>
      <c r="S73" s="58"/>
      <c r="T73" s="159" t="n">
        <v>0</v>
      </c>
      <c r="U73" s="162"/>
      <c r="V73" s="162"/>
      <c r="W73" s="58"/>
      <c r="X73" s="58"/>
      <c r="Y73" s="58"/>
      <c r="Z73" s="58"/>
      <c r="AA73" s="5"/>
      <c r="AB73" s="12" t="s">
        <v>95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  <c r="IW73" s="58"/>
    </row>
    <row r="74" customFormat="false" ht="12.75" hidden="false" customHeight="false" outlineLevel="0" collapsed="false">
      <c r="A74" s="5" t="n">
        <v>9</v>
      </c>
      <c r="B74" s="5" t="s">
        <v>254</v>
      </c>
      <c r="C74" s="153" t="n">
        <v>36760</v>
      </c>
      <c r="D74" s="58" t="s">
        <v>255</v>
      </c>
      <c r="E74" s="58" t="s">
        <v>89</v>
      </c>
      <c r="F74" s="58" t="s">
        <v>235</v>
      </c>
      <c r="G74" s="58" t="s">
        <v>239</v>
      </c>
      <c r="H74" s="154" t="n">
        <v>0</v>
      </c>
      <c r="I74" s="6" t="n">
        <f aca="false">+H74*K74</f>
        <v>0</v>
      </c>
      <c r="J74" s="155" t="n">
        <v>36892</v>
      </c>
      <c r="K74" s="156" t="n">
        <v>10000</v>
      </c>
      <c r="L74" s="157" t="s">
        <v>8</v>
      </c>
      <c r="M74" s="154" t="s">
        <v>251</v>
      </c>
      <c r="N74" s="158"/>
      <c r="O74" s="159" t="n">
        <f aca="false">0.005*K74</f>
        <v>50</v>
      </c>
      <c r="P74" s="58"/>
      <c r="Q74" s="135" t="n">
        <v>9.565</v>
      </c>
      <c r="R74" s="161"/>
      <c r="S74" s="58"/>
      <c r="T74" s="134" t="n">
        <f aca="false">(9-Q74)*K74</f>
        <v>-5650</v>
      </c>
      <c r="U74" s="162"/>
      <c r="V74" s="162"/>
      <c r="W74" s="58"/>
      <c r="X74" s="58"/>
      <c r="Y74" s="58"/>
      <c r="Z74" s="58"/>
      <c r="AA74" s="5"/>
      <c r="AB74" s="12" t="s">
        <v>95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  <c r="IW74" s="58"/>
    </row>
    <row r="75" customFormat="false" ht="12.75" hidden="false" customHeight="false" outlineLevel="0" collapsed="false">
      <c r="A75" s="5" t="n">
        <v>9</v>
      </c>
      <c r="B75" s="5" t="s">
        <v>254</v>
      </c>
      <c r="C75" s="153" t="n">
        <v>36760</v>
      </c>
      <c r="D75" s="58" t="s">
        <v>255</v>
      </c>
      <c r="E75" s="58" t="s">
        <v>89</v>
      </c>
      <c r="F75" s="58" t="s">
        <v>235</v>
      </c>
      <c r="G75" s="58" t="s">
        <v>239</v>
      </c>
      <c r="H75" s="154" t="n">
        <v>0</v>
      </c>
      <c r="I75" s="6" t="n">
        <f aca="false">+H75*K75</f>
        <v>0</v>
      </c>
      <c r="J75" s="155" t="n">
        <v>36923</v>
      </c>
      <c r="K75" s="156" t="n">
        <v>10000</v>
      </c>
      <c r="L75" s="157" t="s">
        <v>8</v>
      </c>
      <c r="M75" s="154" t="s">
        <v>251</v>
      </c>
      <c r="N75" s="158"/>
      <c r="O75" s="159" t="n">
        <f aca="false">0.005*K75</f>
        <v>50</v>
      </c>
      <c r="P75" s="58"/>
      <c r="Q75" s="160"/>
      <c r="R75" s="161"/>
      <c r="S75" s="58"/>
      <c r="T75" s="159"/>
      <c r="U75" s="162"/>
      <c r="V75" s="162"/>
      <c r="W75" s="58"/>
      <c r="X75" s="58"/>
      <c r="Y75" s="58"/>
      <c r="Z75" s="58"/>
      <c r="AA75" s="5"/>
      <c r="AB75" s="12" t="s">
        <v>95</v>
      </c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  <c r="IW75" s="58"/>
    </row>
    <row r="76" customFormat="false" ht="12.75" hidden="false" customHeight="false" outlineLevel="0" collapsed="false">
      <c r="A76" s="5"/>
      <c r="B76" s="5"/>
      <c r="C76" s="153"/>
      <c r="D76" s="58"/>
      <c r="E76" s="58"/>
      <c r="F76" s="58"/>
      <c r="G76" s="58"/>
      <c r="H76" s="154"/>
      <c r="I76" s="6"/>
      <c r="J76" s="163"/>
      <c r="K76" s="156"/>
      <c r="L76" s="157"/>
      <c r="M76" s="154"/>
      <c r="N76" s="158"/>
      <c r="O76" s="159"/>
      <c r="P76" s="58"/>
      <c r="Q76" s="160"/>
      <c r="R76" s="161"/>
      <c r="S76" s="58"/>
      <c r="T76" s="159"/>
      <c r="U76" s="162"/>
      <c r="V76" s="162"/>
      <c r="W76" s="58"/>
      <c r="X76" s="58"/>
      <c r="Y76" s="58"/>
      <c r="Z76" s="58"/>
      <c r="AA76" s="5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  <c r="IW76" s="58"/>
    </row>
    <row r="77" customFormat="false" ht="12.75" hidden="false" customHeight="false" outlineLevel="0" collapsed="false">
      <c r="A77" s="5" t="n">
        <v>10</v>
      </c>
      <c r="B77" s="5" t="s">
        <v>256</v>
      </c>
      <c r="C77" s="153" t="n">
        <v>36761</v>
      </c>
      <c r="D77" s="58" t="s">
        <v>133</v>
      </c>
      <c r="E77" s="58" t="s">
        <v>89</v>
      </c>
      <c r="F77" s="58" t="s">
        <v>235</v>
      </c>
      <c r="G77" s="58" t="s">
        <v>239</v>
      </c>
      <c r="H77" s="154" t="n">
        <v>0</v>
      </c>
      <c r="I77" s="6" t="n">
        <f aca="false">+H77*K77</f>
        <v>0</v>
      </c>
      <c r="J77" s="155" t="n">
        <v>36770</v>
      </c>
      <c r="K77" s="156" t="n">
        <v>6000</v>
      </c>
      <c r="L77" s="157" t="s">
        <v>8</v>
      </c>
      <c r="M77" s="154" t="s">
        <v>257</v>
      </c>
      <c r="N77" s="158"/>
      <c r="O77" s="159" t="n">
        <f aca="false">0.005*K77</f>
        <v>30</v>
      </c>
      <c r="P77" s="58"/>
      <c r="Q77" s="160" t="n">
        <v>4.45</v>
      </c>
      <c r="R77" s="161"/>
      <c r="S77" s="58"/>
      <c r="T77" s="159" t="n">
        <v>0</v>
      </c>
      <c r="U77" s="162"/>
      <c r="V77" s="162"/>
      <c r="W77" s="58"/>
      <c r="X77" s="58"/>
      <c r="Y77" s="58" t="s">
        <v>258</v>
      </c>
      <c r="Z77" s="58"/>
      <c r="AA77" s="5"/>
      <c r="AB77" s="12" t="s">
        <v>245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  <c r="IW77" s="58"/>
    </row>
    <row r="78" customFormat="false" ht="12.75" hidden="false" customHeight="false" outlineLevel="0" collapsed="false">
      <c r="A78" s="5" t="n">
        <v>10</v>
      </c>
      <c r="B78" s="5" t="s">
        <v>256</v>
      </c>
      <c r="C78" s="153" t="n">
        <v>36761</v>
      </c>
      <c r="D78" s="58" t="s">
        <v>133</v>
      </c>
      <c r="E78" s="58" t="s">
        <v>89</v>
      </c>
      <c r="F78" s="58" t="s">
        <v>235</v>
      </c>
      <c r="G78" s="58" t="s">
        <v>239</v>
      </c>
      <c r="H78" s="154" t="n">
        <v>0</v>
      </c>
      <c r="I78" s="6" t="n">
        <f aca="false">+H78*K78</f>
        <v>0</v>
      </c>
      <c r="J78" s="155" t="n">
        <v>36800</v>
      </c>
      <c r="K78" s="156" t="n">
        <v>6000</v>
      </c>
      <c r="L78" s="157" t="s">
        <v>8</v>
      </c>
      <c r="M78" s="154" t="s">
        <v>257</v>
      </c>
      <c r="N78" s="158"/>
      <c r="O78" s="159" t="n">
        <f aca="false">0.005*K78</f>
        <v>30</v>
      </c>
      <c r="P78" s="58"/>
      <c r="Q78" s="160" t="n">
        <v>5.105</v>
      </c>
      <c r="R78" s="161"/>
      <c r="S78" s="58"/>
      <c r="T78" s="159" t="n">
        <v>0</v>
      </c>
      <c r="U78" s="162"/>
      <c r="V78" s="162"/>
      <c r="W78" s="58"/>
      <c r="X78" s="58"/>
      <c r="Y78" s="58"/>
      <c r="Z78" s="58"/>
      <c r="AA78" s="5"/>
      <c r="AB78" s="12" t="s">
        <v>245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  <c r="IW78" s="58"/>
    </row>
    <row r="79" customFormat="false" ht="12.75" hidden="false" customHeight="false" outlineLevel="0" collapsed="false">
      <c r="A79" s="5" t="n">
        <v>10</v>
      </c>
      <c r="B79" s="5" t="s">
        <v>256</v>
      </c>
      <c r="C79" s="153" t="n">
        <v>36761</v>
      </c>
      <c r="D79" s="58" t="s">
        <v>133</v>
      </c>
      <c r="E79" s="58" t="s">
        <v>89</v>
      </c>
      <c r="F79" s="58" t="s">
        <v>235</v>
      </c>
      <c r="G79" s="58" t="s">
        <v>239</v>
      </c>
      <c r="H79" s="154" t="n">
        <v>0</v>
      </c>
      <c r="I79" s="6" t="n">
        <f aca="false">+H79*K79</f>
        <v>0</v>
      </c>
      <c r="J79" s="155" t="n">
        <v>36831</v>
      </c>
      <c r="K79" s="156" t="n">
        <v>6000</v>
      </c>
      <c r="L79" s="157" t="s">
        <v>8</v>
      </c>
      <c r="M79" s="154" t="s">
        <v>257</v>
      </c>
      <c r="N79" s="158"/>
      <c r="O79" s="159" t="n">
        <f aca="false">0.005*K79</f>
        <v>30</v>
      </c>
      <c r="P79" s="58"/>
      <c r="Q79" s="160" t="n">
        <v>4.31</v>
      </c>
      <c r="R79" s="161"/>
      <c r="S79" s="58"/>
      <c r="T79" s="159" t="n">
        <v>0</v>
      </c>
      <c r="U79" s="162"/>
      <c r="V79" s="162"/>
      <c r="W79" s="58"/>
      <c r="X79" s="58"/>
      <c r="Y79" s="58"/>
      <c r="Z79" s="58"/>
      <c r="AA79" s="5"/>
      <c r="AB79" s="12" t="s">
        <v>245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  <c r="IW79" s="58"/>
    </row>
    <row r="80" customFormat="false" ht="12.75" hidden="false" customHeight="false" outlineLevel="0" collapsed="false">
      <c r="A80" s="5" t="n">
        <v>10</v>
      </c>
      <c r="B80" s="5" t="s">
        <v>256</v>
      </c>
      <c r="C80" s="153" t="n">
        <v>36761</v>
      </c>
      <c r="D80" s="58" t="s">
        <v>133</v>
      </c>
      <c r="E80" s="58" t="s">
        <v>89</v>
      </c>
      <c r="F80" s="58" t="s">
        <v>235</v>
      </c>
      <c r="G80" s="58" t="s">
        <v>239</v>
      </c>
      <c r="H80" s="154" t="n">
        <v>0</v>
      </c>
      <c r="I80" s="6" t="n">
        <f aca="false">+H80*K80</f>
        <v>0</v>
      </c>
      <c r="J80" s="155" t="n">
        <v>36861</v>
      </c>
      <c r="K80" s="156" t="n">
        <v>6000</v>
      </c>
      <c r="L80" s="157" t="s">
        <v>8</v>
      </c>
      <c r="M80" s="154" t="s">
        <v>257</v>
      </c>
      <c r="N80" s="158"/>
      <c r="O80" s="159" t="n">
        <f aca="false">0.005*K80</f>
        <v>30</v>
      </c>
      <c r="P80" s="58"/>
      <c r="Q80" s="160" t="n">
        <v>5.775</v>
      </c>
      <c r="R80" s="161"/>
      <c r="S80" s="58"/>
      <c r="T80" s="159" t="n">
        <v>0</v>
      </c>
      <c r="U80" s="162"/>
      <c r="V80" s="162"/>
      <c r="W80" s="58"/>
      <c r="X80" s="58"/>
      <c r="Y80" s="58"/>
      <c r="Z80" s="58"/>
      <c r="AA80" s="5"/>
      <c r="AB80" s="12" t="s">
        <v>245</v>
      </c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  <c r="IW80" s="58"/>
    </row>
    <row r="81" customFormat="false" ht="12.75" hidden="false" customHeight="false" outlineLevel="0" collapsed="false">
      <c r="A81" s="5" t="n">
        <v>10</v>
      </c>
      <c r="B81" s="5" t="s">
        <v>256</v>
      </c>
      <c r="C81" s="153" t="n">
        <v>36761</v>
      </c>
      <c r="D81" s="58" t="s">
        <v>133</v>
      </c>
      <c r="E81" s="58" t="s">
        <v>89</v>
      </c>
      <c r="F81" s="58" t="s">
        <v>235</v>
      </c>
      <c r="G81" s="58" t="s">
        <v>239</v>
      </c>
      <c r="H81" s="154" t="n">
        <v>0</v>
      </c>
      <c r="I81" s="6" t="n">
        <f aca="false">+H81*K81</f>
        <v>0</v>
      </c>
      <c r="J81" s="155" t="n">
        <v>36892</v>
      </c>
      <c r="K81" s="156" t="n">
        <v>6000</v>
      </c>
      <c r="L81" s="157" t="s">
        <v>8</v>
      </c>
      <c r="M81" s="154" t="s">
        <v>257</v>
      </c>
      <c r="N81" s="158"/>
      <c r="O81" s="159" t="n">
        <f aca="false">0.005*K81</f>
        <v>30</v>
      </c>
      <c r="P81" s="58"/>
      <c r="Q81" s="135" t="n">
        <v>9.565</v>
      </c>
      <c r="R81" s="161"/>
      <c r="S81" s="58"/>
      <c r="T81" s="134" t="n">
        <f aca="false">(9.5-Q81)*K81</f>
        <v>-389.999999999997</v>
      </c>
      <c r="U81" s="162"/>
      <c r="V81" s="162"/>
      <c r="W81" s="58"/>
      <c r="X81" s="58"/>
      <c r="Y81" s="58"/>
      <c r="Z81" s="58"/>
      <c r="AA81" s="5"/>
      <c r="AB81" s="12" t="s">
        <v>245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  <c r="IW81" s="58"/>
    </row>
    <row r="82" customFormat="false" ht="12.75" hidden="false" customHeight="false" outlineLevel="0" collapsed="false">
      <c r="A82" s="5" t="n">
        <v>10</v>
      </c>
      <c r="B82" s="5" t="s">
        <v>256</v>
      </c>
      <c r="C82" s="153" t="n">
        <v>36761</v>
      </c>
      <c r="D82" s="58" t="s">
        <v>133</v>
      </c>
      <c r="E82" s="58" t="s">
        <v>89</v>
      </c>
      <c r="F82" s="58" t="s">
        <v>235</v>
      </c>
      <c r="G82" s="58" t="s">
        <v>239</v>
      </c>
      <c r="H82" s="154" t="n">
        <v>0</v>
      </c>
      <c r="I82" s="6" t="n">
        <f aca="false">+H82*K82</f>
        <v>0</v>
      </c>
      <c r="J82" s="155" t="n">
        <v>36923</v>
      </c>
      <c r="K82" s="156" t="n">
        <v>6000</v>
      </c>
      <c r="L82" s="157" t="s">
        <v>8</v>
      </c>
      <c r="M82" s="154" t="s">
        <v>257</v>
      </c>
      <c r="N82" s="158"/>
      <c r="O82" s="159" t="n">
        <f aca="false">0.005*K82</f>
        <v>30</v>
      </c>
      <c r="P82" s="58"/>
      <c r="Q82" s="160"/>
      <c r="R82" s="161"/>
      <c r="S82" s="58"/>
      <c r="T82" s="159"/>
      <c r="U82" s="162"/>
      <c r="V82" s="162"/>
      <c r="W82" s="58"/>
      <c r="X82" s="58"/>
      <c r="Y82" s="58"/>
      <c r="Z82" s="58"/>
      <c r="AA82" s="5"/>
      <c r="AB82" s="12" t="s">
        <v>245</v>
      </c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  <c r="HG82" s="58"/>
      <c r="HH82" s="58"/>
      <c r="HI82" s="58"/>
      <c r="HJ82" s="58"/>
      <c r="HK82" s="58"/>
      <c r="HL82" s="58"/>
      <c r="HM82" s="58"/>
      <c r="HN82" s="58"/>
      <c r="HO82" s="58"/>
      <c r="HP82" s="58"/>
      <c r="HQ82" s="58"/>
      <c r="HR82" s="58"/>
      <c r="HS82" s="58"/>
      <c r="HT82" s="58"/>
      <c r="HU82" s="58"/>
      <c r="HV82" s="58"/>
      <c r="HW82" s="58"/>
      <c r="HX82" s="58"/>
      <c r="HY82" s="58"/>
      <c r="HZ82" s="58"/>
      <c r="IA82" s="58"/>
      <c r="IB82" s="58"/>
      <c r="IC82" s="58"/>
      <c r="ID82" s="58"/>
      <c r="IE82" s="58"/>
      <c r="IF82" s="58"/>
      <c r="IG82" s="58"/>
      <c r="IH82" s="58"/>
      <c r="II82" s="58"/>
      <c r="IJ82" s="58"/>
      <c r="IK82" s="58"/>
      <c r="IL82" s="58"/>
      <c r="IM82" s="58"/>
      <c r="IN82" s="58"/>
      <c r="IO82" s="58"/>
      <c r="IP82" s="58"/>
      <c r="IQ82" s="58"/>
      <c r="IR82" s="58"/>
      <c r="IS82" s="58"/>
      <c r="IT82" s="58"/>
      <c r="IU82" s="58"/>
      <c r="IV82" s="58"/>
      <c r="IW82" s="58"/>
    </row>
    <row r="83" customFormat="false" ht="12.75" hidden="false" customHeight="false" outlineLevel="0" collapsed="false">
      <c r="A83" s="5"/>
      <c r="B83" s="5"/>
      <c r="C83" s="153"/>
      <c r="D83" s="58"/>
      <c r="E83" s="58"/>
      <c r="F83" s="58"/>
      <c r="G83" s="58"/>
      <c r="H83" s="154"/>
      <c r="I83" s="6"/>
      <c r="J83" s="163"/>
      <c r="K83" s="156"/>
      <c r="L83" s="157"/>
      <c r="M83" s="154"/>
      <c r="N83" s="158"/>
      <c r="O83" s="159"/>
      <c r="P83" s="58"/>
      <c r="Q83" s="160"/>
      <c r="R83" s="161"/>
      <c r="S83" s="58"/>
      <c r="T83" s="159"/>
      <c r="U83" s="162"/>
      <c r="V83" s="162"/>
      <c r="W83" s="58"/>
      <c r="X83" s="58"/>
      <c r="Y83" s="58"/>
      <c r="Z83" s="58"/>
      <c r="AA83" s="5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  <c r="HG83" s="58"/>
      <c r="HH83" s="58"/>
      <c r="HI83" s="58"/>
      <c r="HJ83" s="58"/>
      <c r="HK83" s="58"/>
      <c r="HL83" s="58"/>
      <c r="HM83" s="58"/>
      <c r="HN83" s="58"/>
      <c r="HO83" s="58"/>
      <c r="HP83" s="58"/>
      <c r="HQ83" s="58"/>
      <c r="HR83" s="58"/>
      <c r="HS83" s="58"/>
      <c r="HT83" s="58"/>
      <c r="HU83" s="58"/>
      <c r="HV83" s="58"/>
      <c r="HW83" s="58"/>
      <c r="HX83" s="58"/>
      <c r="HY83" s="58"/>
      <c r="HZ83" s="58"/>
      <c r="IA83" s="58"/>
      <c r="IB83" s="58"/>
      <c r="IC83" s="58"/>
      <c r="ID83" s="58"/>
      <c r="IE83" s="58"/>
      <c r="IF83" s="58"/>
      <c r="IG83" s="58"/>
      <c r="IH83" s="58"/>
      <c r="II83" s="58"/>
      <c r="IJ83" s="58"/>
      <c r="IK83" s="58"/>
      <c r="IL83" s="58"/>
      <c r="IM83" s="58"/>
      <c r="IN83" s="58"/>
      <c r="IO83" s="58"/>
      <c r="IP83" s="58"/>
      <c r="IQ83" s="58"/>
      <c r="IR83" s="58"/>
      <c r="IS83" s="58"/>
      <c r="IT83" s="58"/>
      <c r="IU83" s="58"/>
      <c r="IV83" s="58"/>
      <c r="IW83" s="58"/>
    </row>
    <row r="84" customFormat="false" ht="12.75" hidden="false" customHeight="false" outlineLevel="0" collapsed="false">
      <c r="A84" s="5" t="n">
        <v>11</v>
      </c>
      <c r="B84" s="5" t="s">
        <v>259</v>
      </c>
      <c r="C84" s="153" t="n">
        <v>36761</v>
      </c>
      <c r="D84" s="58" t="s">
        <v>134</v>
      </c>
      <c r="E84" s="58" t="s">
        <v>89</v>
      </c>
      <c r="F84" s="58" t="s">
        <v>235</v>
      </c>
      <c r="G84" s="58" t="s">
        <v>239</v>
      </c>
      <c r="H84" s="154" t="n">
        <v>0</v>
      </c>
      <c r="I84" s="6" t="n">
        <f aca="false">+H84*K84</f>
        <v>0</v>
      </c>
      <c r="J84" s="155" t="n">
        <v>36770</v>
      </c>
      <c r="K84" s="156" t="n">
        <v>800</v>
      </c>
      <c r="L84" s="157" t="s">
        <v>8</v>
      </c>
      <c r="M84" s="154" t="s">
        <v>257</v>
      </c>
      <c r="N84" s="158"/>
      <c r="O84" s="159" t="n">
        <f aca="false">0.005*K84</f>
        <v>4</v>
      </c>
      <c r="P84" s="58"/>
      <c r="Q84" s="160" t="n">
        <v>4.45</v>
      </c>
      <c r="R84" s="161"/>
      <c r="S84" s="58"/>
      <c r="T84" s="159" t="n">
        <v>0</v>
      </c>
      <c r="U84" s="162"/>
      <c r="V84" s="162"/>
      <c r="W84" s="58"/>
      <c r="X84" s="58"/>
      <c r="Y84" s="58" t="s">
        <v>258</v>
      </c>
      <c r="Z84" s="58"/>
      <c r="AA84" s="5"/>
      <c r="AB84" s="12" t="s">
        <v>245</v>
      </c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8"/>
      <c r="GY84" s="58"/>
      <c r="GZ84" s="58"/>
      <c r="HA84" s="58"/>
      <c r="HB84" s="58"/>
      <c r="HC84" s="58"/>
      <c r="HD84" s="58"/>
      <c r="HE84" s="58"/>
      <c r="HF84" s="58"/>
      <c r="HG84" s="58"/>
      <c r="HH84" s="58"/>
      <c r="HI84" s="58"/>
      <c r="HJ84" s="58"/>
      <c r="HK84" s="58"/>
      <c r="HL84" s="58"/>
      <c r="HM84" s="58"/>
      <c r="HN84" s="58"/>
      <c r="HO84" s="58"/>
      <c r="HP84" s="58"/>
      <c r="HQ84" s="58"/>
      <c r="HR84" s="58"/>
      <c r="HS84" s="58"/>
      <c r="HT84" s="58"/>
      <c r="HU84" s="58"/>
      <c r="HV84" s="58"/>
      <c r="HW84" s="58"/>
      <c r="HX84" s="58"/>
      <c r="HY84" s="58"/>
      <c r="HZ84" s="58"/>
      <c r="IA84" s="58"/>
      <c r="IB84" s="58"/>
      <c r="IC84" s="58"/>
      <c r="ID84" s="58"/>
      <c r="IE84" s="58"/>
      <c r="IF84" s="58"/>
      <c r="IG84" s="58"/>
      <c r="IH84" s="58"/>
      <c r="II84" s="58"/>
      <c r="IJ84" s="58"/>
      <c r="IK84" s="58"/>
      <c r="IL84" s="58"/>
      <c r="IM84" s="58"/>
      <c r="IN84" s="58"/>
      <c r="IO84" s="58"/>
      <c r="IP84" s="58"/>
      <c r="IQ84" s="58"/>
      <c r="IR84" s="58"/>
      <c r="IS84" s="58"/>
      <c r="IT84" s="58"/>
      <c r="IU84" s="58"/>
      <c r="IV84" s="58"/>
      <c r="IW84" s="58"/>
    </row>
    <row r="85" customFormat="false" ht="12.75" hidden="false" customHeight="false" outlineLevel="0" collapsed="false">
      <c r="A85" s="5" t="n">
        <v>11</v>
      </c>
      <c r="B85" s="5" t="s">
        <v>259</v>
      </c>
      <c r="C85" s="153" t="n">
        <v>36761</v>
      </c>
      <c r="D85" s="58" t="s">
        <v>134</v>
      </c>
      <c r="E85" s="58" t="s">
        <v>89</v>
      </c>
      <c r="F85" s="58" t="s">
        <v>235</v>
      </c>
      <c r="G85" s="58" t="s">
        <v>239</v>
      </c>
      <c r="H85" s="154" t="n">
        <v>0</v>
      </c>
      <c r="I85" s="6" t="n">
        <f aca="false">+H85*K85</f>
        <v>0</v>
      </c>
      <c r="J85" s="155" t="n">
        <v>36800</v>
      </c>
      <c r="K85" s="156" t="n">
        <v>800</v>
      </c>
      <c r="L85" s="157" t="s">
        <v>8</v>
      </c>
      <c r="M85" s="154" t="s">
        <v>257</v>
      </c>
      <c r="N85" s="158"/>
      <c r="O85" s="159" t="n">
        <f aca="false">0.005*K85</f>
        <v>4</v>
      </c>
      <c r="P85" s="58"/>
      <c r="Q85" s="160" t="n">
        <v>5.105</v>
      </c>
      <c r="R85" s="161"/>
      <c r="S85" s="58"/>
      <c r="T85" s="159" t="n">
        <v>0</v>
      </c>
      <c r="U85" s="162"/>
      <c r="V85" s="162"/>
      <c r="W85" s="58"/>
      <c r="X85" s="58"/>
      <c r="Y85" s="58"/>
      <c r="Z85" s="58"/>
      <c r="AA85" s="5"/>
      <c r="AB85" s="12" t="s">
        <v>245</v>
      </c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  <c r="HG85" s="58"/>
      <c r="HH85" s="58"/>
      <c r="HI85" s="58"/>
      <c r="HJ85" s="58"/>
      <c r="HK85" s="58"/>
      <c r="HL85" s="58"/>
      <c r="HM85" s="58"/>
      <c r="HN85" s="58"/>
      <c r="HO85" s="58"/>
      <c r="HP85" s="58"/>
      <c r="HQ85" s="58"/>
      <c r="HR85" s="58"/>
      <c r="HS85" s="58"/>
      <c r="HT85" s="58"/>
      <c r="HU85" s="58"/>
      <c r="HV85" s="58"/>
      <c r="HW85" s="58"/>
      <c r="HX85" s="58"/>
      <c r="HY85" s="58"/>
      <c r="HZ85" s="58"/>
      <c r="IA85" s="58"/>
      <c r="IB85" s="58"/>
      <c r="IC85" s="58"/>
      <c r="ID85" s="58"/>
      <c r="IE85" s="58"/>
      <c r="IF85" s="58"/>
      <c r="IG85" s="58"/>
      <c r="IH85" s="58"/>
      <c r="II85" s="58"/>
      <c r="IJ85" s="58"/>
      <c r="IK85" s="58"/>
      <c r="IL85" s="58"/>
      <c r="IM85" s="58"/>
      <c r="IN85" s="58"/>
      <c r="IO85" s="58"/>
      <c r="IP85" s="58"/>
      <c r="IQ85" s="58"/>
      <c r="IR85" s="58"/>
      <c r="IS85" s="58"/>
      <c r="IT85" s="58"/>
      <c r="IU85" s="58"/>
      <c r="IV85" s="58"/>
      <c r="IW85" s="58"/>
    </row>
    <row r="86" customFormat="false" ht="12.75" hidden="false" customHeight="false" outlineLevel="0" collapsed="false">
      <c r="A86" s="5" t="n">
        <v>11</v>
      </c>
      <c r="B86" s="5" t="s">
        <v>259</v>
      </c>
      <c r="C86" s="153" t="n">
        <v>36761</v>
      </c>
      <c r="D86" s="58" t="s">
        <v>134</v>
      </c>
      <c r="E86" s="58" t="s">
        <v>89</v>
      </c>
      <c r="F86" s="58" t="s">
        <v>235</v>
      </c>
      <c r="G86" s="58" t="s">
        <v>239</v>
      </c>
      <c r="H86" s="154" t="n">
        <v>0</v>
      </c>
      <c r="I86" s="6" t="n">
        <f aca="false">+H86*K86</f>
        <v>0</v>
      </c>
      <c r="J86" s="155" t="n">
        <v>36831</v>
      </c>
      <c r="K86" s="156" t="n">
        <v>800</v>
      </c>
      <c r="L86" s="157" t="s">
        <v>8</v>
      </c>
      <c r="M86" s="154" t="s">
        <v>257</v>
      </c>
      <c r="N86" s="158"/>
      <c r="O86" s="159" t="n">
        <f aca="false">0.005*K86</f>
        <v>4</v>
      </c>
      <c r="P86" s="58"/>
      <c r="Q86" s="160" t="n">
        <v>4.31</v>
      </c>
      <c r="R86" s="161"/>
      <c r="S86" s="58"/>
      <c r="T86" s="159" t="n">
        <v>0</v>
      </c>
      <c r="U86" s="162"/>
      <c r="V86" s="162"/>
      <c r="W86" s="58"/>
      <c r="X86" s="58"/>
      <c r="Y86" s="58"/>
      <c r="Z86" s="58"/>
      <c r="AA86" s="5"/>
      <c r="AB86" s="12" t="s">
        <v>245</v>
      </c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  <c r="HG86" s="58"/>
      <c r="HH86" s="58"/>
      <c r="HI86" s="58"/>
      <c r="HJ86" s="58"/>
      <c r="HK86" s="58"/>
      <c r="HL86" s="58"/>
      <c r="HM86" s="58"/>
      <c r="HN86" s="58"/>
      <c r="HO86" s="58"/>
      <c r="HP86" s="58"/>
      <c r="HQ86" s="58"/>
      <c r="HR86" s="58"/>
      <c r="HS86" s="58"/>
      <c r="HT86" s="58"/>
      <c r="HU86" s="58"/>
      <c r="HV86" s="58"/>
      <c r="HW86" s="58"/>
      <c r="HX86" s="58"/>
      <c r="HY86" s="58"/>
      <c r="HZ86" s="58"/>
      <c r="IA86" s="58"/>
      <c r="IB86" s="58"/>
      <c r="IC86" s="58"/>
      <c r="ID86" s="58"/>
      <c r="IE86" s="58"/>
      <c r="IF86" s="58"/>
      <c r="IG86" s="58"/>
      <c r="IH86" s="58"/>
      <c r="II86" s="58"/>
      <c r="IJ86" s="58"/>
      <c r="IK86" s="58"/>
      <c r="IL86" s="58"/>
      <c r="IM86" s="58"/>
      <c r="IN86" s="58"/>
      <c r="IO86" s="58"/>
      <c r="IP86" s="58"/>
      <c r="IQ86" s="58"/>
      <c r="IR86" s="58"/>
      <c r="IS86" s="58"/>
      <c r="IT86" s="58"/>
      <c r="IU86" s="58"/>
      <c r="IV86" s="58"/>
      <c r="IW86" s="58"/>
    </row>
    <row r="87" customFormat="false" ht="12.75" hidden="false" customHeight="false" outlineLevel="0" collapsed="false">
      <c r="A87" s="5" t="n">
        <v>11</v>
      </c>
      <c r="B87" s="5" t="s">
        <v>259</v>
      </c>
      <c r="C87" s="153" t="n">
        <v>36761</v>
      </c>
      <c r="D87" s="58" t="s">
        <v>134</v>
      </c>
      <c r="E87" s="58" t="s">
        <v>89</v>
      </c>
      <c r="F87" s="58" t="s">
        <v>235</v>
      </c>
      <c r="G87" s="58" t="s">
        <v>239</v>
      </c>
      <c r="H87" s="154" t="n">
        <v>0</v>
      </c>
      <c r="I87" s="6" t="n">
        <f aca="false">+H87*K87</f>
        <v>0</v>
      </c>
      <c r="J87" s="155" t="n">
        <v>36861</v>
      </c>
      <c r="K87" s="156" t="n">
        <v>800</v>
      </c>
      <c r="L87" s="157" t="s">
        <v>8</v>
      </c>
      <c r="M87" s="154" t="s">
        <v>257</v>
      </c>
      <c r="N87" s="158"/>
      <c r="O87" s="159" t="n">
        <f aca="false">0.005*K87</f>
        <v>4</v>
      </c>
      <c r="P87" s="58"/>
      <c r="Q87" s="160" t="n">
        <v>5.775</v>
      </c>
      <c r="R87" s="161"/>
      <c r="S87" s="58"/>
      <c r="T87" s="159" t="n">
        <v>0</v>
      </c>
      <c r="U87" s="162"/>
      <c r="V87" s="162"/>
      <c r="W87" s="58"/>
      <c r="X87" s="58"/>
      <c r="Y87" s="58"/>
      <c r="Z87" s="58"/>
      <c r="AA87" s="5"/>
      <c r="AB87" s="12" t="s">
        <v>245</v>
      </c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  <c r="HG87" s="58"/>
      <c r="HH87" s="58"/>
      <c r="HI87" s="58"/>
      <c r="HJ87" s="58"/>
      <c r="HK87" s="58"/>
      <c r="HL87" s="58"/>
      <c r="HM87" s="58"/>
      <c r="HN87" s="58"/>
      <c r="HO87" s="58"/>
      <c r="HP87" s="58"/>
      <c r="HQ87" s="58"/>
      <c r="HR87" s="58"/>
      <c r="HS87" s="58"/>
      <c r="HT87" s="58"/>
      <c r="HU87" s="58"/>
      <c r="HV87" s="58"/>
      <c r="HW87" s="58"/>
      <c r="HX87" s="58"/>
      <c r="HY87" s="58"/>
      <c r="HZ87" s="58"/>
      <c r="IA87" s="58"/>
      <c r="IB87" s="58"/>
      <c r="IC87" s="58"/>
      <c r="ID87" s="58"/>
      <c r="IE87" s="58"/>
      <c r="IF87" s="58"/>
      <c r="IG87" s="58"/>
      <c r="IH87" s="58"/>
      <c r="II87" s="58"/>
      <c r="IJ87" s="58"/>
      <c r="IK87" s="58"/>
      <c r="IL87" s="58"/>
      <c r="IM87" s="58"/>
      <c r="IN87" s="58"/>
      <c r="IO87" s="58"/>
      <c r="IP87" s="58"/>
      <c r="IQ87" s="58"/>
      <c r="IR87" s="58"/>
      <c r="IS87" s="58"/>
      <c r="IT87" s="58"/>
      <c r="IU87" s="58"/>
      <c r="IV87" s="58"/>
      <c r="IW87" s="58"/>
    </row>
    <row r="88" customFormat="false" ht="12.75" hidden="false" customHeight="false" outlineLevel="0" collapsed="false">
      <c r="A88" s="5" t="n">
        <v>11</v>
      </c>
      <c r="B88" s="5" t="s">
        <v>259</v>
      </c>
      <c r="C88" s="153" t="n">
        <v>36761</v>
      </c>
      <c r="D88" s="58" t="s">
        <v>134</v>
      </c>
      <c r="E88" s="58" t="s">
        <v>89</v>
      </c>
      <c r="F88" s="58" t="s">
        <v>235</v>
      </c>
      <c r="G88" s="58" t="s">
        <v>239</v>
      </c>
      <c r="H88" s="154" t="n">
        <v>0</v>
      </c>
      <c r="I88" s="6" t="n">
        <f aca="false">+H88*K88</f>
        <v>0</v>
      </c>
      <c r="J88" s="155" t="n">
        <v>36892</v>
      </c>
      <c r="K88" s="156" t="n">
        <v>800</v>
      </c>
      <c r="L88" s="157" t="s">
        <v>8</v>
      </c>
      <c r="M88" s="154" t="s">
        <v>257</v>
      </c>
      <c r="N88" s="158"/>
      <c r="O88" s="159" t="n">
        <f aca="false">0.005*K88</f>
        <v>4</v>
      </c>
      <c r="P88" s="58"/>
      <c r="Q88" s="135" t="n">
        <v>9.565</v>
      </c>
      <c r="R88" s="161"/>
      <c r="S88" s="58"/>
      <c r="T88" s="134" t="n">
        <f aca="false">(9.5-Q88)*K88</f>
        <v>-51.9999999999996</v>
      </c>
      <c r="U88" s="162"/>
      <c r="V88" s="162"/>
      <c r="W88" s="58"/>
      <c r="X88" s="58"/>
      <c r="Y88" s="58"/>
      <c r="Z88" s="58"/>
      <c r="AA88" s="5"/>
      <c r="AB88" s="12" t="s">
        <v>245</v>
      </c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  <c r="HG88" s="58"/>
      <c r="HH88" s="58"/>
      <c r="HI88" s="58"/>
      <c r="HJ88" s="58"/>
      <c r="HK88" s="58"/>
      <c r="HL88" s="58"/>
      <c r="HM88" s="58"/>
      <c r="HN88" s="58"/>
      <c r="HO88" s="58"/>
      <c r="HP88" s="58"/>
      <c r="HQ88" s="58"/>
      <c r="HR88" s="58"/>
      <c r="HS88" s="58"/>
      <c r="HT88" s="58"/>
      <c r="HU88" s="58"/>
      <c r="HV88" s="58"/>
      <c r="HW88" s="58"/>
      <c r="HX88" s="58"/>
      <c r="HY88" s="58"/>
      <c r="HZ88" s="58"/>
      <c r="IA88" s="58"/>
      <c r="IB88" s="58"/>
      <c r="IC88" s="58"/>
      <c r="ID88" s="58"/>
      <c r="IE88" s="58"/>
      <c r="IF88" s="58"/>
      <c r="IG88" s="58"/>
      <c r="IH88" s="58"/>
      <c r="II88" s="58"/>
      <c r="IJ88" s="58"/>
      <c r="IK88" s="58"/>
      <c r="IL88" s="58"/>
      <c r="IM88" s="58"/>
      <c r="IN88" s="58"/>
      <c r="IO88" s="58"/>
      <c r="IP88" s="58"/>
      <c r="IQ88" s="58"/>
      <c r="IR88" s="58"/>
      <c r="IS88" s="58"/>
      <c r="IT88" s="58"/>
      <c r="IU88" s="58"/>
      <c r="IV88" s="58"/>
      <c r="IW88" s="58"/>
    </row>
    <row r="89" customFormat="false" ht="12.75" hidden="false" customHeight="false" outlineLevel="0" collapsed="false">
      <c r="A89" s="5" t="n">
        <v>11</v>
      </c>
      <c r="B89" s="5" t="s">
        <v>259</v>
      </c>
      <c r="C89" s="153" t="n">
        <v>36761</v>
      </c>
      <c r="D89" s="58" t="s">
        <v>134</v>
      </c>
      <c r="E89" s="58" t="s">
        <v>89</v>
      </c>
      <c r="F89" s="58" t="s">
        <v>235</v>
      </c>
      <c r="G89" s="58" t="s">
        <v>239</v>
      </c>
      <c r="H89" s="154" t="n">
        <v>0</v>
      </c>
      <c r="I89" s="6" t="n">
        <f aca="false">+H89*K89</f>
        <v>0</v>
      </c>
      <c r="J89" s="155" t="n">
        <v>36923</v>
      </c>
      <c r="K89" s="156" t="n">
        <v>800</v>
      </c>
      <c r="L89" s="157" t="s">
        <v>8</v>
      </c>
      <c r="M89" s="154" t="s">
        <v>257</v>
      </c>
      <c r="N89" s="158"/>
      <c r="O89" s="159" t="n">
        <f aca="false">0.005*K89</f>
        <v>4</v>
      </c>
      <c r="P89" s="58"/>
      <c r="Q89" s="160"/>
      <c r="R89" s="161"/>
      <c r="S89" s="58"/>
      <c r="T89" s="159"/>
      <c r="U89" s="162"/>
      <c r="V89" s="162"/>
      <c r="W89" s="58"/>
      <c r="X89" s="58"/>
      <c r="Y89" s="58"/>
      <c r="Z89" s="58"/>
      <c r="AA89" s="5"/>
      <c r="AB89" s="12" t="s">
        <v>245</v>
      </c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  <c r="GX89" s="58"/>
      <c r="GY89" s="58"/>
      <c r="GZ89" s="58"/>
      <c r="HA89" s="58"/>
      <c r="HB89" s="58"/>
      <c r="HC89" s="58"/>
      <c r="HD89" s="58"/>
      <c r="HE89" s="58"/>
      <c r="HF89" s="58"/>
      <c r="HG89" s="58"/>
      <c r="HH89" s="58"/>
      <c r="HI89" s="58"/>
      <c r="HJ89" s="58"/>
      <c r="HK89" s="58"/>
      <c r="HL89" s="58"/>
      <c r="HM89" s="58"/>
      <c r="HN89" s="58"/>
      <c r="HO89" s="58"/>
      <c r="HP89" s="58"/>
      <c r="HQ89" s="58"/>
      <c r="HR89" s="58"/>
      <c r="HS89" s="58"/>
      <c r="HT89" s="58"/>
      <c r="HU89" s="58"/>
      <c r="HV89" s="58"/>
      <c r="HW89" s="58"/>
      <c r="HX89" s="58"/>
      <c r="HY89" s="58"/>
      <c r="HZ89" s="58"/>
      <c r="IA89" s="58"/>
      <c r="IB89" s="58"/>
      <c r="IC89" s="58"/>
      <c r="ID89" s="58"/>
      <c r="IE89" s="58"/>
      <c r="IF89" s="58"/>
      <c r="IG89" s="58"/>
      <c r="IH89" s="58"/>
      <c r="II89" s="58"/>
      <c r="IJ89" s="58"/>
      <c r="IK89" s="58"/>
      <c r="IL89" s="58"/>
      <c r="IM89" s="58"/>
      <c r="IN89" s="58"/>
      <c r="IO89" s="58"/>
      <c r="IP89" s="58"/>
      <c r="IQ89" s="58"/>
      <c r="IR89" s="58"/>
      <c r="IS89" s="58"/>
      <c r="IT89" s="58"/>
      <c r="IU89" s="58"/>
      <c r="IV89" s="58"/>
      <c r="IW89" s="58"/>
    </row>
    <row r="90" customFormat="false" ht="12.75" hidden="false" customHeight="false" outlineLevel="0" collapsed="false">
      <c r="A90" s="5"/>
      <c r="B90" s="5"/>
      <c r="C90" s="153"/>
      <c r="D90" s="58"/>
      <c r="E90" s="58"/>
      <c r="F90" s="58"/>
      <c r="G90" s="58"/>
      <c r="H90" s="154"/>
      <c r="I90" s="6"/>
      <c r="J90" s="163"/>
      <c r="K90" s="156"/>
      <c r="L90" s="157"/>
      <c r="M90" s="154"/>
      <c r="N90" s="158"/>
      <c r="O90" s="159"/>
      <c r="P90" s="58"/>
      <c r="Q90" s="160"/>
      <c r="R90" s="161"/>
      <c r="S90" s="58"/>
      <c r="T90" s="159"/>
      <c r="U90" s="162"/>
      <c r="V90" s="162"/>
      <c r="W90" s="58"/>
      <c r="X90" s="58"/>
      <c r="Y90" s="58"/>
      <c r="Z90" s="58"/>
      <c r="AA90" s="5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  <c r="HG90" s="58"/>
      <c r="HH90" s="58"/>
      <c r="HI90" s="58"/>
      <c r="HJ90" s="58"/>
      <c r="HK90" s="58"/>
      <c r="HL90" s="58"/>
      <c r="HM90" s="58"/>
      <c r="HN90" s="58"/>
      <c r="HO90" s="58"/>
      <c r="HP90" s="58"/>
      <c r="HQ90" s="58"/>
      <c r="HR90" s="58"/>
      <c r="HS90" s="58"/>
      <c r="HT90" s="58"/>
      <c r="HU90" s="58"/>
      <c r="HV90" s="58"/>
      <c r="HW90" s="58"/>
      <c r="HX90" s="58"/>
      <c r="HY90" s="58"/>
      <c r="HZ90" s="58"/>
      <c r="IA90" s="58"/>
      <c r="IB90" s="58"/>
      <c r="IC90" s="58"/>
      <c r="ID90" s="58"/>
      <c r="IE90" s="58"/>
      <c r="IF90" s="58"/>
      <c r="IG90" s="58"/>
      <c r="IH90" s="58"/>
      <c r="II90" s="58"/>
      <c r="IJ90" s="58"/>
      <c r="IK90" s="58"/>
      <c r="IL90" s="58"/>
      <c r="IM90" s="58"/>
      <c r="IN90" s="58"/>
      <c r="IO90" s="58"/>
      <c r="IP90" s="58"/>
      <c r="IQ90" s="58"/>
      <c r="IR90" s="58"/>
      <c r="IS90" s="58"/>
      <c r="IT90" s="58"/>
      <c r="IU90" s="58"/>
      <c r="IV90" s="58"/>
      <c r="IW90" s="58"/>
    </row>
    <row r="91" customFormat="false" ht="12.75" hidden="false" customHeight="false" outlineLevel="0" collapsed="false">
      <c r="A91" s="5" t="n">
        <v>12</v>
      </c>
      <c r="B91" s="5" t="s">
        <v>260</v>
      </c>
      <c r="C91" s="153" t="n">
        <v>36761</v>
      </c>
      <c r="D91" s="58" t="s">
        <v>135</v>
      </c>
      <c r="E91" s="58" t="s">
        <v>89</v>
      </c>
      <c r="F91" s="58" t="s">
        <v>235</v>
      </c>
      <c r="G91" s="58" t="s">
        <v>239</v>
      </c>
      <c r="H91" s="154" t="n">
        <v>0</v>
      </c>
      <c r="I91" s="6" t="n">
        <f aca="false">+H91*K91</f>
        <v>0</v>
      </c>
      <c r="J91" s="155" t="n">
        <v>36770</v>
      </c>
      <c r="K91" s="156" t="n">
        <v>600</v>
      </c>
      <c r="L91" s="157" t="s">
        <v>8</v>
      </c>
      <c r="M91" s="154" t="s">
        <v>257</v>
      </c>
      <c r="N91" s="158"/>
      <c r="O91" s="159" t="n">
        <f aca="false">0.005*K91</f>
        <v>3</v>
      </c>
      <c r="P91" s="58"/>
      <c r="Q91" s="160" t="n">
        <v>4.45</v>
      </c>
      <c r="R91" s="161"/>
      <c r="S91" s="58"/>
      <c r="T91" s="159" t="n">
        <v>0</v>
      </c>
      <c r="U91" s="162"/>
      <c r="V91" s="162"/>
      <c r="W91" s="58"/>
      <c r="X91" s="58"/>
      <c r="Y91" s="58" t="s">
        <v>258</v>
      </c>
      <c r="Z91" s="58"/>
      <c r="AA91" s="5"/>
      <c r="AB91" s="12" t="s">
        <v>245</v>
      </c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  <c r="HG91" s="58"/>
      <c r="HH91" s="58"/>
      <c r="HI91" s="58"/>
      <c r="HJ91" s="58"/>
      <c r="HK91" s="58"/>
      <c r="HL91" s="58"/>
      <c r="HM91" s="58"/>
      <c r="HN91" s="58"/>
      <c r="HO91" s="58"/>
      <c r="HP91" s="58"/>
      <c r="HQ91" s="58"/>
      <c r="HR91" s="58"/>
      <c r="HS91" s="58"/>
      <c r="HT91" s="58"/>
      <c r="HU91" s="58"/>
      <c r="HV91" s="58"/>
      <c r="HW91" s="58"/>
      <c r="HX91" s="58"/>
      <c r="HY91" s="58"/>
      <c r="HZ91" s="58"/>
      <c r="IA91" s="58"/>
      <c r="IB91" s="58"/>
      <c r="IC91" s="58"/>
      <c r="ID91" s="58"/>
      <c r="IE91" s="58"/>
      <c r="IF91" s="58"/>
      <c r="IG91" s="58"/>
      <c r="IH91" s="58"/>
      <c r="II91" s="58"/>
      <c r="IJ91" s="58"/>
      <c r="IK91" s="58"/>
      <c r="IL91" s="58"/>
      <c r="IM91" s="58"/>
      <c r="IN91" s="58"/>
      <c r="IO91" s="58"/>
      <c r="IP91" s="58"/>
      <c r="IQ91" s="58"/>
      <c r="IR91" s="58"/>
      <c r="IS91" s="58"/>
      <c r="IT91" s="58"/>
      <c r="IU91" s="58"/>
      <c r="IV91" s="58"/>
      <c r="IW91" s="58"/>
    </row>
    <row r="92" customFormat="false" ht="12.75" hidden="false" customHeight="false" outlineLevel="0" collapsed="false">
      <c r="A92" s="5" t="n">
        <v>0</v>
      </c>
      <c r="B92" s="5" t="s">
        <v>260</v>
      </c>
      <c r="C92" s="153" t="n">
        <v>36761</v>
      </c>
      <c r="D92" s="58" t="s">
        <v>135</v>
      </c>
      <c r="E92" s="58" t="s">
        <v>89</v>
      </c>
      <c r="F92" s="58" t="s">
        <v>235</v>
      </c>
      <c r="G92" s="58" t="s">
        <v>239</v>
      </c>
      <c r="H92" s="154" t="n">
        <v>0</v>
      </c>
      <c r="I92" s="6" t="n">
        <f aca="false">+H92*K92</f>
        <v>0</v>
      </c>
      <c r="J92" s="155" t="n">
        <v>36800</v>
      </c>
      <c r="K92" s="156" t="n">
        <v>600</v>
      </c>
      <c r="L92" s="157" t="s">
        <v>8</v>
      </c>
      <c r="M92" s="154" t="s">
        <v>257</v>
      </c>
      <c r="N92" s="158"/>
      <c r="O92" s="159" t="n">
        <f aca="false">0.005*K92</f>
        <v>3</v>
      </c>
      <c r="P92" s="58"/>
      <c r="Q92" s="160" t="n">
        <v>5.105</v>
      </c>
      <c r="R92" s="161"/>
      <c r="S92" s="58"/>
      <c r="T92" s="159" t="n">
        <v>0</v>
      </c>
      <c r="U92" s="162"/>
      <c r="V92" s="162"/>
      <c r="W92" s="58"/>
      <c r="X92" s="58"/>
      <c r="Y92" s="58"/>
      <c r="Z92" s="58"/>
      <c r="AA92" s="5"/>
      <c r="AB92" s="12" t="s">
        <v>245</v>
      </c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8"/>
      <c r="GY92" s="58"/>
      <c r="GZ92" s="58"/>
      <c r="HA92" s="58"/>
      <c r="HB92" s="58"/>
      <c r="HC92" s="58"/>
      <c r="HD92" s="58"/>
      <c r="HE92" s="58"/>
      <c r="HF92" s="58"/>
      <c r="HG92" s="58"/>
      <c r="HH92" s="58"/>
      <c r="HI92" s="58"/>
      <c r="HJ92" s="58"/>
      <c r="HK92" s="58"/>
      <c r="HL92" s="58"/>
      <c r="HM92" s="58"/>
      <c r="HN92" s="58"/>
      <c r="HO92" s="58"/>
      <c r="HP92" s="58"/>
      <c r="HQ92" s="58"/>
      <c r="HR92" s="58"/>
      <c r="HS92" s="58"/>
      <c r="HT92" s="58"/>
      <c r="HU92" s="58"/>
      <c r="HV92" s="58"/>
      <c r="HW92" s="58"/>
      <c r="HX92" s="58"/>
      <c r="HY92" s="58"/>
      <c r="HZ92" s="58"/>
      <c r="IA92" s="58"/>
      <c r="IB92" s="58"/>
      <c r="IC92" s="58"/>
      <c r="ID92" s="58"/>
      <c r="IE92" s="58"/>
      <c r="IF92" s="58"/>
      <c r="IG92" s="58"/>
      <c r="IH92" s="58"/>
      <c r="II92" s="58"/>
      <c r="IJ92" s="58"/>
      <c r="IK92" s="58"/>
      <c r="IL92" s="58"/>
      <c r="IM92" s="58"/>
      <c r="IN92" s="58"/>
      <c r="IO92" s="58"/>
      <c r="IP92" s="58"/>
      <c r="IQ92" s="58"/>
      <c r="IR92" s="58"/>
      <c r="IS92" s="58"/>
      <c r="IT92" s="58"/>
      <c r="IU92" s="58"/>
      <c r="IV92" s="58"/>
      <c r="IW92" s="58"/>
    </row>
    <row r="93" customFormat="false" ht="12.75" hidden="false" customHeight="false" outlineLevel="0" collapsed="false">
      <c r="A93" s="5" t="n">
        <v>12</v>
      </c>
      <c r="B93" s="5" t="s">
        <v>260</v>
      </c>
      <c r="C93" s="153" t="n">
        <v>36761</v>
      </c>
      <c r="D93" s="58" t="s">
        <v>135</v>
      </c>
      <c r="E93" s="58" t="s">
        <v>89</v>
      </c>
      <c r="F93" s="58" t="s">
        <v>235</v>
      </c>
      <c r="G93" s="58" t="s">
        <v>239</v>
      </c>
      <c r="H93" s="154" t="n">
        <v>0</v>
      </c>
      <c r="I93" s="6" t="n">
        <f aca="false">+H93*K93</f>
        <v>0</v>
      </c>
      <c r="J93" s="155" t="n">
        <v>36831</v>
      </c>
      <c r="K93" s="156" t="n">
        <v>600</v>
      </c>
      <c r="L93" s="157" t="s">
        <v>8</v>
      </c>
      <c r="M93" s="154" t="s">
        <v>257</v>
      </c>
      <c r="N93" s="158"/>
      <c r="O93" s="159" t="n">
        <f aca="false">0.005*K93</f>
        <v>3</v>
      </c>
      <c r="P93" s="58"/>
      <c r="Q93" s="160" t="n">
        <v>4.31</v>
      </c>
      <c r="R93" s="161"/>
      <c r="S93" s="58"/>
      <c r="T93" s="159" t="n">
        <v>0</v>
      </c>
      <c r="U93" s="162"/>
      <c r="V93" s="162"/>
      <c r="W93" s="58"/>
      <c r="X93" s="58"/>
      <c r="Y93" s="58"/>
      <c r="Z93" s="58"/>
      <c r="AA93" s="5"/>
      <c r="AB93" s="12" t="s">
        <v>245</v>
      </c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  <c r="HG93" s="58"/>
      <c r="HH93" s="58"/>
      <c r="HI93" s="58"/>
      <c r="HJ93" s="58"/>
      <c r="HK93" s="58"/>
      <c r="HL93" s="58"/>
      <c r="HM93" s="58"/>
      <c r="HN93" s="58"/>
      <c r="HO93" s="58"/>
      <c r="HP93" s="58"/>
      <c r="HQ93" s="58"/>
      <c r="HR93" s="58"/>
      <c r="HS93" s="58"/>
      <c r="HT93" s="58"/>
      <c r="HU93" s="58"/>
      <c r="HV93" s="58"/>
      <c r="HW93" s="58"/>
      <c r="HX93" s="58"/>
      <c r="HY93" s="58"/>
      <c r="HZ93" s="58"/>
      <c r="IA93" s="58"/>
      <c r="IB93" s="58"/>
      <c r="IC93" s="58"/>
      <c r="ID93" s="58"/>
      <c r="IE93" s="58"/>
      <c r="IF93" s="58"/>
      <c r="IG93" s="58"/>
      <c r="IH93" s="58"/>
      <c r="II93" s="58"/>
      <c r="IJ93" s="58"/>
      <c r="IK93" s="58"/>
      <c r="IL93" s="58"/>
      <c r="IM93" s="58"/>
      <c r="IN93" s="58"/>
      <c r="IO93" s="58"/>
      <c r="IP93" s="58"/>
      <c r="IQ93" s="58"/>
      <c r="IR93" s="58"/>
      <c r="IS93" s="58"/>
      <c r="IT93" s="58"/>
      <c r="IU93" s="58"/>
      <c r="IV93" s="58"/>
      <c r="IW93" s="58"/>
    </row>
    <row r="94" customFormat="false" ht="12.75" hidden="false" customHeight="false" outlineLevel="0" collapsed="false">
      <c r="A94" s="5" t="n">
        <v>12</v>
      </c>
      <c r="B94" s="5" t="s">
        <v>260</v>
      </c>
      <c r="C94" s="153" t="n">
        <v>36761</v>
      </c>
      <c r="D94" s="58" t="s">
        <v>135</v>
      </c>
      <c r="E94" s="58" t="s">
        <v>89</v>
      </c>
      <c r="F94" s="58" t="s">
        <v>235</v>
      </c>
      <c r="G94" s="58" t="s">
        <v>239</v>
      </c>
      <c r="H94" s="154" t="n">
        <v>0</v>
      </c>
      <c r="I94" s="6" t="n">
        <f aca="false">+H94*K94</f>
        <v>0</v>
      </c>
      <c r="J94" s="155" t="n">
        <v>36861</v>
      </c>
      <c r="K94" s="156" t="n">
        <v>600</v>
      </c>
      <c r="L94" s="157" t="s">
        <v>8</v>
      </c>
      <c r="M94" s="154" t="s">
        <v>257</v>
      </c>
      <c r="N94" s="158"/>
      <c r="O94" s="159" t="n">
        <f aca="false">0.005*K94</f>
        <v>3</v>
      </c>
      <c r="P94" s="58"/>
      <c r="Q94" s="160" t="n">
        <v>5.775</v>
      </c>
      <c r="R94" s="161"/>
      <c r="S94" s="58"/>
      <c r="T94" s="159" t="n">
        <v>0</v>
      </c>
      <c r="U94" s="162"/>
      <c r="V94" s="162"/>
      <c r="W94" s="58"/>
      <c r="X94" s="58"/>
      <c r="Y94" s="58"/>
      <c r="Z94" s="58"/>
      <c r="AA94" s="5"/>
      <c r="AB94" s="12" t="s">
        <v>245</v>
      </c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  <c r="HG94" s="58"/>
      <c r="HH94" s="58"/>
      <c r="HI94" s="58"/>
      <c r="HJ94" s="58"/>
      <c r="HK94" s="58"/>
      <c r="HL94" s="58"/>
      <c r="HM94" s="58"/>
      <c r="HN94" s="58"/>
      <c r="HO94" s="58"/>
      <c r="HP94" s="58"/>
      <c r="HQ94" s="58"/>
      <c r="HR94" s="58"/>
      <c r="HS94" s="58"/>
      <c r="HT94" s="58"/>
      <c r="HU94" s="58"/>
      <c r="HV94" s="58"/>
      <c r="HW94" s="58"/>
      <c r="HX94" s="58"/>
      <c r="HY94" s="58"/>
      <c r="HZ94" s="58"/>
      <c r="IA94" s="58"/>
      <c r="IB94" s="58"/>
      <c r="IC94" s="58"/>
      <c r="ID94" s="58"/>
      <c r="IE94" s="58"/>
      <c r="IF94" s="58"/>
      <c r="IG94" s="58"/>
      <c r="IH94" s="58"/>
      <c r="II94" s="58"/>
      <c r="IJ94" s="58"/>
      <c r="IK94" s="58"/>
      <c r="IL94" s="58"/>
      <c r="IM94" s="58"/>
      <c r="IN94" s="58"/>
      <c r="IO94" s="58"/>
      <c r="IP94" s="58"/>
      <c r="IQ94" s="58"/>
      <c r="IR94" s="58"/>
      <c r="IS94" s="58"/>
      <c r="IT94" s="58"/>
      <c r="IU94" s="58"/>
      <c r="IV94" s="58"/>
      <c r="IW94" s="58"/>
    </row>
    <row r="95" customFormat="false" ht="12.75" hidden="false" customHeight="false" outlineLevel="0" collapsed="false">
      <c r="A95" s="5" t="n">
        <v>12</v>
      </c>
      <c r="B95" s="5" t="s">
        <v>260</v>
      </c>
      <c r="C95" s="153" t="n">
        <v>36761</v>
      </c>
      <c r="D95" s="58" t="s">
        <v>135</v>
      </c>
      <c r="E95" s="58" t="s">
        <v>89</v>
      </c>
      <c r="F95" s="58" t="s">
        <v>235</v>
      </c>
      <c r="G95" s="58" t="s">
        <v>239</v>
      </c>
      <c r="H95" s="154" t="n">
        <v>0</v>
      </c>
      <c r="I95" s="6" t="n">
        <f aca="false">+H95*K95</f>
        <v>0</v>
      </c>
      <c r="J95" s="155" t="n">
        <v>36892</v>
      </c>
      <c r="K95" s="156" t="n">
        <v>600</v>
      </c>
      <c r="L95" s="157" t="s">
        <v>8</v>
      </c>
      <c r="M95" s="154" t="s">
        <v>257</v>
      </c>
      <c r="N95" s="158"/>
      <c r="O95" s="159" t="n">
        <f aca="false">0.005*K95</f>
        <v>3</v>
      </c>
      <c r="P95" s="58"/>
      <c r="Q95" s="135" t="n">
        <v>9.565</v>
      </c>
      <c r="R95" s="161"/>
      <c r="S95" s="58"/>
      <c r="T95" s="134" t="n">
        <f aca="false">(9.5-Q95)*K95</f>
        <v>-38.9999999999997</v>
      </c>
      <c r="U95" s="162"/>
      <c r="V95" s="162"/>
      <c r="W95" s="58"/>
      <c r="X95" s="58"/>
      <c r="Y95" s="58"/>
      <c r="Z95" s="58"/>
      <c r="AA95" s="5"/>
      <c r="AB95" s="12" t="s">
        <v>245</v>
      </c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  <c r="HG95" s="58"/>
      <c r="HH95" s="58"/>
      <c r="HI95" s="58"/>
      <c r="HJ95" s="58"/>
      <c r="HK95" s="58"/>
      <c r="HL95" s="58"/>
      <c r="HM95" s="58"/>
      <c r="HN95" s="58"/>
      <c r="HO95" s="58"/>
      <c r="HP95" s="58"/>
      <c r="HQ95" s="58"/>
      <c r="HR95" s="58"/>
      <c r="HS95" s="58"/>
      <c r="HT95" s="58"/>
      <c r="HU95" s="58"/>
      <c r="HV95" s="58"/>
      <c r="HW95" s="58"/>
      <c r="HX95" s="58"/>
      <c r="HY95" s="58"/>
      <c r="HZ95" s="58"/>
      <c r="IA95" s="58"/>
      <c r="IB95" s="58"/>
      <c r="IC95" s="58"/>
      <c r="ID95" s="58"/>
      <c r="IE95" s="58"/>
      <c r="IF95" s="58"/>
      <c r="IG95" s="58"/>
      <c r="IH95" s="58"/>
      <c r="II95" s="58"/>
      <c r="IJ95" s="58"/>
      <c r="IK95" s="58"/>
      <c r="IL95" s="58"/>
      <c r="IM95" s="58"/>
      <c r="IN95" s="58"/>
      <c r="IO95" s="58"/>
      <c r="IP95" s="58"/>
      <c r="IQ95" s="58"/>
      <c r="IR95" s="58"/>
      <c r="IS95" s="58"/>
      <c r="IT95" s="58"/>
      <c r="IU95" s="58"/>
      <c r="IV95" s="58"/>
      <c r="IW95" s="58"/>
    </row>
    <row r="96" customFormat="false" ht="12.75" hidden="false" customHeight="false" outlineLevel="0" collapsed="false">
      <c r="A96" s="5" t="n">
        <v>12</v>
      </c>
      <c r="B96" s="5" t="s">
        <v>260</v>
      </c>
      <c r="C96" s="153" t="n">
        <v>36761</v>
      </c>
      <c r="D96" s="58" t="s">
        <v>135</v>
      </c>
      <c r="E96" s="58" t="s">
        <v>89</v>
      </c>
      <c r="F96" s="58" t="s">
        <v>235</v>
      </c>
      <c r="G96" s="58" t="s">
        <v>239</v>
      </c>
      <c r="H96" s="154" t="n">
        <v>0</v>
      </c>
      <c r="I96" s="6" t="n">
        <f aca="false">+H96*K96</f>
        <v>0</v>
      </c>
      <c r="J96" s="155" t="n">
        <v>36923</v>
      </c>
      <c r="K96" s="156" t="n">
        <v>600</v>
      </c>
      <c r="L96" s="157" t="s">
        <v>8</v>
      </c>
      <c r="M96" s="154" t="s">
        <v>257</v>
      </c>
      <c r="N96" s="158"/>
      <c r="O96" s="159" t="n">
        <f aca="false">0.005*K96</f>
        <v>3</v>
      </c>
      <c r="P96" s="58"/>
      <c r="Q96" s="160"/>
      <c r="R96" s="161"/>
      <c r="S96" s="58"/>
      <c r="T96" s="159"/>
      <c r="U96" s="162"/>
      <c r="V96" s="162"/>
      <c r="W96" s="58"/>
      <c r="X96" s="58"/>
      <c r="Y96" s="58"/>
      <c r="Z96" s="58"/>
      <c r="AA96" s="5"/>
      <c r="AB96" s="12" t="s">
        <v>245</v>
      </c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  <c r="GX96" s="58"/>
      <c r="GY96" s="58"/>
      <c r="GZ96" s="58"/>
      <c r="HA96" s="58"/>
      <c r="HB96" s="58"/>
      <c r="HC96" s="58"/>
      <c r="HD96" s="58"/>
      <c r="HE96" s="58"/>
      <c r="HF96" s="58"/>
      <c r="HG96" s="58"/>
      <c r="HH96" s="58"/>
      <c r="HI96" s="58"/>
      <c r="HJ96" s="58"/>
      <c r="HK96" s="58"/>
      <c r="HL96" s="58"/>
      <c r="HM96" s="58"/>
      <c r="HN96" s="58"/>
      <c r="HO96" s="58"/>
      <c r="HP96" s="58"/>
      <c r="HQ96" s="58"/>
      <c r="HR96" s="58"/>
      <c r="HS96" s="58"/>
      <c r="HT96" s="58"/>
      <c r="HU96" s="58"/>
      <c r="HV96" s="58"/>
      <c r="HW96" s="58"/>
      <c r="HX96" s="58"/>
      <c r="HY96" s="58"/>
      <c r="HZ96" s="58"/>
      <c r="IA96" s="58"/>
      <c r="IB96" s="58"/>
      <c r="IC96" s="58"/>
      <c r="ID96" s="58"/>
      <c r="IE96" s="58"/>
      <c r="IF96" s="58"/>
      <c r="IG96" s="58"/>
      <c r="IH96" s="58"/>
      <c r="II96" s="58"/>
      <c r="IJ96" s="58"/>
      <c r="IK96" s="58"/>
      <c r="IL96" s="58"/>
      <c r="IM96" s="58"/>
      <c r="IN96" s="58"/>
      <c r="IO96" s="58"/>
      <c r="IP96" s="58"/>
      <c r="IQ96" s="58"/>
      <c r="IR96" s="58"/>
      <c r="IS96" s="58"/>
      <c r="IT96" s="58"/>
      <c r="IU96" s="58"/>
      <c r="IV96" s="58"/>
      <c r="IW96" s="58"/>
    </row>
    <row r="98" customFormat="false" ht="12.75" hidden="false" customHeight="false" outlineLevel="0" collapsed="false">
      <c r="A98" s="10" t="n">
        <v>13</v>
      </c>
      <c r="B98" s="10" t="s">
        <v>261</v>
      </c>
      <c r="C98" s="62" t="n">
        <v>36761</v>
      </c>
      <c r="D98" s="12" t="s">
        <v>136</v>
      </c>
      <c r="E98" s="12" t="s">
        <v>89</v>
      </c>
      <c r="F98" s="12" t="s">
        <v>235</v>
      </c>
      <c r="G98" s="12" t="s">
        <v>236</v>
      </c>
      <c r="H98" s="63" t="n">
        <v>0</v>
      </c>
      <c r="I98" s="14" t="n">
        <f aca="false">+H98*K98</f>
        <v>0</v>
      </c>
      <c r="J98" s="85" t="n">
        <v>36770</v>
      </c>
      <c r="K98" s="13" t="n">
        <v>20000</v>
      </c>
      <c r="L98" s="38" t="s">
        <v>8</v>
      </c>
      <c r="M98" s="63" t="n">
        <v>4.56</v>
      </c>
      <c r="N98" s="133" t="n">
        <f aca="false">K98*M98</f>
        <v>91200</v>
      </c>
      <c r="O98" s="134" t="n">
        <f aca="false">0*K98</f>
        <v>0</v>
      </c>
      <c r="Q98" s="135" t="n">
        <v>4.45</v>
      </c>
      <c r="T98" s="134" t="n">
        <f aca="false">(M98-Q98)*K98</f>
        <v>2199.99999999999</v>
      </c>
      <c r="Y98" s="12" t="s">
        <v>262</v>
      </c>
      <c r="AA98" s="10" t="s">
        <v>94</v>
      </c>
      <c r="AB98" s="12" t="s">
        <v>95</v>
      </c>
    </row>
    <row r="99" customFormat="false" ht="12.75" hidden="false" customHeight="false" outlineLevel="0" collapsed="false">
      <c r="A99" s="10" t="n">
        <v>13</v>
      </c>
      <c r="B99" s="10" t="s">
        <v>261</v>
      </c>
      <c r="C99" s="62" t="n">
        <v>36761</v>
      </c>
      <c r="D99" s="12" t="s">
        <v>136</v>
      </c>
      <c r="E99" s="12" t="s">
        <v>89</v>
      </c>
      <c r="F99" s="12" t="s">
        <v>235</v>
      </c>
      <c r="G99" s="12" t="s">
        <v>236</v>
      </c>
      <c r="H99" s="63" t="n">
        <v>0</v>
      </c>
      <c r="I99" s="14" t="n">
        <f aca="false">+H99*K99</f>
        <v>0</v>
      </c>
      <c r="J99" s="85" t="n">
        <v>36800</v>
      </c>
      <c r="K99" s="13" t="n">
        <v>20000</v>
      </c>
      <c r="L99" s="38" t="s">
        <v>8</v>
      </c>
      <c r="M99" s="63" t="n">
        <v>4.56</v>
      </c>
      <c r="N99" s="133" t="n">
        <f aca="false">K99*M99</f>
        <v>91200</v>
      </c>
      <c r="O99" s="134" t="n">
        <f aca="false">0*K99</f>
        <v>0</v>
      </c>
      <c r="Q99" s="135" t="n">
        <v>5.105</v>
      </c>
      <c r="T99" s="134" t="n">
        <f aca="false">(M99-Q99)*K99</f>
        <v>-10900</v>
      </c>
      <c r="AA99" s="10" t="s">
        <v>94</v>
      </c>
      <c r="AB99" s="12" t="s">
        <v>95</v>
      </c>
    </row>
    <row r="100" customFormat="false" ht="12.75" hidden="false" customHeight="false" outlineLevel="0" collapsed="false">
      <c r="A100" s="10" t="n">
        <v>13</v>
      </c>
      <c r="B100" s="10" t="s">
        <v>261</v>
      </c>
      <c r="C100" s="62" t="n">
        <v>36761</v>
      </c>
      <c r="D100" s="12" t="s">
        <v>136</v>
      </c>
      <c r="E100" s="12" t="s">
        <v>89</v>
      </c>
      <c r="F100" s="12" t="s">
        <v>235</v>
      </c>
      <c r="G100" s="12" t="s">
        <v>236</v>
      </c>
      <c r="H100" s="63" t="n">
        <v>0</v>
      </c>
      <c r="I100" s="14" t="n">
        <f aca="false">+H100*K100</f>
        <v>0</v>
      </c>
      <c r="J100" s="85" t="n">
        <v>36831</v>
      </c>
      <c r="K100" s="13" t="n">
        <v>20000</v>
      </c>
      <c r="L100" s="38" t="s">
        <v>8</v>
      </c>
      <c r="M100" s="63" t="n">
        <v>4.56</v>
      </c>
      <c r="N100" s="133" t="n">
        <f aca="false">K100*M100</f>
        <v>91200</v>
      </c>
      <c r="O100" s="134" t="n">
        <f aca="false">0*K100</f>
        <v>0</v>
      </c>
      <c r="Q100" s="135" t="n">
        <v>4.31</v>
      </c>
      <c r="T100" s="134" t="n">
        <f aca="false">(M100-Q100)*K100</f>
        <v>5000</v>
      </c>
      <c r="AA100" s="10" t="s">
        <v>94</v>
      </c>
      <c r="AB100" s="12" t="s">
        <v>95</v>
      </c>
    </row>
    <row r="101" customFormat="false" ht="12.75" hidden="false" customHeight="false" outlineLevel="0" collapsed="false">
      <c r="A101" s="10" t="n">
        <v>13</v>
      </c>
      <c r="B101" s="10" t="s">
        <v>261</v>
      </c>
      <c r="C101" s="62" t="n">
        <v>36761</v>
      </c>
      <c r="D101" s="12" t="s">
        <v>136</v>
      </c>
      <c r="E101" s="12" t="s">
        <v>89</v>
      </c>
      <c r="F101" s="12" t="s">
        <v>235</v>
      </c>
      <c r="G101" s="12" t="s">
        <v>236</v>
      </c>
      <c r="H101" s="63" t="n">
        <v>0</v>
      </c>
      <c r="I101" s="14" t="n">
        <f aca="false">+H101*K101</f>
        <v>0</v>
      </c>
      <c r="J101" s="85" t="n">
        <v>36861</v>
      </c>
      <c r="K101" s="13" t="n">
        <v>20000</v>
      </c>
      <c r="L101" s="38" t="s">
        <v>8</v>
      </c>
      <c r="M101" s="63" t="n">
        <v>4.56</v>
      </c>
      <c r="N101" s="133" t="n">
        <f aca="false">K101*M101</f>
        <v>91200</v>
      </c>
      <c r="O101" s="134" t="n">
        <f aca="false">0*K101</f>
        <v>0</v>
      </c>
      <c r="Q101" s="135" t="n">
        <v>5.775</v>
      </c>
      <c r="T101" s="134" t="n">
        <f aca="false">(M101-Q101)*K101</f>
        <v>-24300</v>
      </c>
      <c r="AA101" s="10" t="s">
        <v>94</v>
      </c>
      <c r="AB101" s="12" t="s">
        <v>95</v>
      </c>
    </row>
    <row r="102" customFormat="false" ht="12.75" hidden="false" customHeight="false" outlineLevel="0" collapsed="false">
      <c r="A102" s="10" t="n">
        <v>13</v>
      </c>
      <c r="B102" s="10" t="s">
        <v>261</v>
      </c>
      <c r="C102" s="62" t="n">
        <v>36761</v>
      </c>
      <c r="D102" s="12" t="s">
        <v>136</v>
      </c>
      <c r="E102" s="12" t="s">
        <v>89</v>
      </c>
      <c r="F102" s="12" t="s">
        <v>235</v>
      </c>
      <c r="G102" s="12" t="s">
        <v>236</v>
      </c>
      <c r="H102" s="63" t="n">
        <v>0</v>
      </c>
      <c r="I102" s="14" t="n">
        <f aca="false">+H102*K102</f>
        <v>0</v>
      </c>
      <c r="J102" s="85" t="n">
        <v>36892</v>
      </c>
      <c r="K102" s="13" t="n">
        <v>20000</v>
      </c>
      <c r="L102" s="38" t="s">
        <v>8</v>
      </c>
      <c r="M102" s="63" t="n">
        <v>4.56</v>
      </c>
      <c r="N102" s="133" t="n">
        <f aca="false">K102*M102</f>
        <v>91200</v>
      </c>
      <c r="O102" s="134" t="n">
        <f aca="false">0*K102</f>
        <v>0</v>
      </c>
      <c r="Q102" s="135" t="n">
        <v>9.565</v>
      </c>
      <c r="T102" s="134" t="n">
        <f aca="false">(M102-Q102)*K102</f>
        <v>-100100</v>
      </c>
      <c r="U102" s="134"/>
      <c r="AA102" s="10" t="s">
        <v>94</v>
      </c>
      <c r="AB102" s="12" t="s">
        <v>95</v>
      </c>
    </row>
    <row r="103" customFormat="false" ht="12.75" hidden="false" customHeight="false" outlineLevel="0" collapsed="false">
      <c r="A103" s="10" t="n">
        <v>13</v>
      </c>
      <c r="B103" s="10" t="s">
        <v>261</v>
      </c>
      <c r="C103" s="62" t="n">
        <v>36761</v>
      </c>
      <c r="D103" s="12" t="s">
        <v>136</v>
      </c>
      <c r="E103" s="12" t="s">
        <v>89</v>
      </c>
      <c r="F103" s="12" t="s">
        <v>235</v>
      </c>
      <c r="G103" s="12" t="s">
        <v>236</v>
      </c>
      <c r="H103" s="63" t="n">
        <v>0</v>
      </c>
      <c r="I103" s="14" t="n">
        <f aca="false">+H103*K103</f>
        <v>0</v>
      </c>
      <c r="J103" s="85" t="n">
        <v>36923</v>
      </c>
      <c r="K103" s="13" t="n">
        <v>20000</v>
      </c>
      <c r="L103" s="38" t="s">
        <v>8</v>
      </c>
      <c r="M103" s="63" t="n">
        <v>4.56</v>
      </c>
      <c r="N103" s="133" t="n">
        <f aca="false">K103*M103</f>
        <v>91200</v>
      </c>
      <c r="O103" s="134" t="n">
        <f aca="false">0*K103</f>
        <v>0</v>
      </c>
      <c r="R103" s="136" t="n">
        <v>8.26</v>
      </c>
      <c r="U103" s="134" t="n">
        <f aca="false">(M103-R103)*K103</f>
        <v>-74000</v>
      </c>
      <c r="AA103" s="10" t="s">
        <v>94</v>
      </c>
      <c r="AB103" s="12" t="s">
        <v>95</v>
      </c>
    </row>
    <row r="105" customFormat="false" ht="12.75" hidden="false" customHeight="false" outlineLevel="0" collapsed="false">
      <c r="A105" s="5" t="n">
        <v>14</v>
      </c>
      <c r="B105" s="5" t="s">
        <v>263</v>
      </c>
      <c r="C105" s="153" t="n">
        <v>36761</v>
      </c>
      <c r="D105" s="58" t="s">
        <v>132</v>
      </c>
      <c r="E105" s="58" t="s">
        <v>89</v>
      </c>
      <c r="F105" s="58" t="s">
        <v>235</v>
      </c>
      <c r="G105" s="58" t="s">
        <v>239</v>
      </c>
      <c r="H105" s="154" t="n">
        <v>0</v>
      </c>
      <c r="I105" s="6" t="n">
        <f aca="false">+H105*K105</f>
        <v>0</v>
      </c>
      <c r="J105" s="155" t="n">
        <v>36770</v>
      </c>
      <c r="K105" s="156" t="n">
        <v>10000</v>
      </c>
      <c r="L105" s="157" t="s">
        <v>8</v>
      </c>
      <c r="M105" s="154" t="s">
        <v>264</v>
      </c>
      <c r="N105" s="158"/>
      <c r="O105" s="159" t="n">
        <f aca="false">0.005*K105</f>
        <v>50</v>
      </c>
      <c r="P105" s="58"/>
      <c r="Q105" s="160" t="n">
        <v>4.45</v>
      </c>
      <c r="R105" s="161"/>
      <c r="S105" s="58"/>
      <c r="T105" s="159" t="n">
        <v>0</v>
      </c>
      <c r="U105" s="162"/>
      <c r="V105" s="162"/>
      <c r="W105" s="58"/>
      <c r="X105" s="58"/>
      <c r="Y105" s="58" t="s">
        <v>258</v>
      </c>
      <c r="Z105" s="58"/>
      <c r="AA105" s="5"/>
      <c r="AB105" s="12" t="s">
        <v>95</v>
      </c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  <c r="HG105" s="58"/>
      <c r="HH105" s="58"/>
      <c r="HI105" s="58"/>
      <c r="HJ105" s="58"/>
      <c r="HK105" s="58"/>
      <c r="HL105" s="58"/>
      <c r="HM105" s="58"/>
      <c r="HN105" s="58"/>
      <c r="HO105" s="58"/>
      <c r="HP105" s="58"/>
      <c r="HQ105" s="58"/>
      <c r="HR105" s="58"/>
      <c r="HS105" s="58"/>
      <c r="HT105" s="58"/>
      <c r="HU105" s="58"/>
      <c r="HV105" s="58"/>
      <c r="HW105" s="58"/>
      <c r="HX105" s="58"/>
      <c r="HY105" s="58"/>
      <c r="HZ105" s="58"/>
      <c r="IA105" s="58"/>
      <c r="IB105" s="58"/>
      <c r="IC105" s="58"/>
      <c r="ID105" s="58"/>
      <c r="IE105" s="58"/>
      <c r="IF105" s="58"/>
      <c r="IG105" s="58"/>
      <c r="IH105" s="58"/>
      <c r="II105" s="58"/>
      <c r="IJ105" s="58"/>
      <c r="IK105" s="58"/>
      <c r="IL105" s="58"/>
      <c r="IM105" s="58"/>
      <c r="IN105" s="58"/>
      <c r="IO105" s="58"/>
      <c r="IP105" s="58"/>
      <c r="IQ105" s="58"/>
      <c r="IR105" s="58"/>
      <c r="IS105" s="58"/>
      <c r="IT105" s="58"/>
      <c r="IU105" s="58"/>
      <c r="IV105" s="58"/>
      <c r="IW105" s="58"/>
    </row>
    <row r="106" customFormat="false" ht="12.75" hidden="false" customHeight="false" outlineLevel="0" collapsed="false">
      <c r="A106" s="5" t="n">
        <v>14</v>
      </c>
      <c r="B106" s="5" t="s">
        <v>263</v>
      </c>
      <c r="C106" s="153" t="n">
        <v>36761</v>
      </c>
      <c r="D106" s="58" t="s">
        <v>132</v>
      </c>
      <c r="E106" s="58" t="s">
        <v>89</v>
      </c>
      <c r="F106" s="58" t="s">
        <v>235</v>
      </c>
      <c r="G106" s="58" t="s">
        <v>239</v>
      </c>
      <c r="H106" s="154" t="n">
        <v>0</v>
      </c>
      <c r="I106" s="6" t="n">
        <f aca="false">+H106*K106</f>
        <v>0</v>
      </c>
      <c r="J106" s="155" t="n">
        <v>36800</v>
      </c>
      <c r="K106" s="156" t="n">
        <v>10000</v>
      </c>
      <c r="L106" s="157" t="s">
        <v>8</v>
      </c>
      <c r="M106" s="154" t="s">
        <v>264</v>
      </c>
      <c r="N106" s="158"/>
      <c r="O106" s="159" t="n">
        <f aca="false">0.005*K106</f>
        <v>50</v>
      </c>
      <c r="P106" s="58"/>
      <c r="Q106" s="160" t="n">
        <v>5.105</v>
      </c>
      <c r="R106" s="161"/>
      <c r="S106" s="58"/>
      <c r="T106" s="159" t="n">
        <v>0</v>
      </c>
      <c r="U106" s="162"/>
      <c r="V106" s="162"/>
      <c r="W106" s="58"/>
      <c r="X106" s="58"/>
      <c r="Y106" s="58"/>
      <c r="Z106" s="58"/>
      <c r="AA106" s="5"/>
      <c r="AB106" s="12" t="s">
        <v>95</v>
      </c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  <c r="HG106" s="58"/>
      <c r="HH106" s="58"/>
      <c r="HI106" s="58"/>
      <c r="HJ106" s="58"/>
      <c r="HK106" s="58"/>
      <c r="HL106" s="58"/>
      <c r="HM106" s="58"/>
      <c r="HN106" s="58"/>
      <c r="HO106" s="58"/>
      <c r="HP106" s="58"/>
      <c r="HQ106" s="58"/>
      <c r="HR106" s="58"/>
      <c r="HS106" s="58"/>
      <c r="HT106" s="58"/>
      <c r="HU106" s="58"/>
      <c r="HV106" s="58"/>
      <c r="HW106" s="58"/>
      <c r="HX106" s="58"/>
      <c r="HY106" s="58"/>
      <c r="HZ106" s="58"/>
      <c r="IA106" s="58"/>
      <c r="IB106" s="58"/>
      <c r="IC106" s="58"/>
      <c r="ID106" s="58"/>
      <c r="IE106" s="58"/>
      <c r="IF106" s="58"/>
      <c r="IG106" s="58"/>
      <c r="IH106" s="58"/>
      <c r="II106" s="58"/>
      <c r="IJ106" s="58"/>
      <c r="IK106" s="58"/>
      <c r="IL106" s="58"/>
      <c r="IM106" s="58"/>
      <c r="IN106" s="58"/>
      <c r="IO106" s="58"/>
      <c r="IP106" s="58"/>
      <c r="IQ106" s="58"/>
      <c r="IR106" s="58"/>
      <c r="IS106" s="58"/>
      <c r="IT106" s="58"/>
      <c r="IU106" s="58"/>
      <c r="IV106" s="58"/>
      <c r="IW106" s="58"/>
    </row>
    <row r="107" customFormat="false" ht="12.75" hidden="false" customHeight="false" outlineLevel="0" collapsed="false">
      <c r="A107" s="5" t="n">
        <v>14</v>
      </c>
      <c r="B107" s="5" t="s">
        <v>263</v>
      </c>
      <c r="C107" s="153" t="n">
        <v>36761</v>
      </c>
      <c r="D107" s="58" t="s">
        <v>132</v>
      </c>
      <c r="E107" s="58" t="s">
        <v>89</v>
      </c>
      <c r="F107" s="58" t="s">
        <v>235</v>
      </c>
      <c r="G107" s="58" t="s">
        <v>239</v>
      </c>
      <c r="H107" s="154" t="n">
        <v>0</v>
      </c>
      <c r="I107" s="6" t="n">
        <f aca="false">+H107*K107</f>
        <v>0</v>
      </c>
      <c r="J107" s="155" t="n">
        <v>36831</v>
      </c>
      <c r="K107" s="156" t="n">
        <v>10000</v>
      </c>
      <c r="L107" s="157" t="s">
        <v>8</v>
      </c>
      <c r="M107" s="154" t="s">
        <v>264</v>
      </c>
      <c r="N107" s="158"/>
      <c r="O107" s="159" t="n">
        <f aca="false">0.005*K107</f>
        <v>50</v>
      </c>
      <c r="P107" s="58"/>
      <c r="Q107" s="160" t="n">
        <v>4.31</v>
      </c>
      <c r="R107" s="161"/>
      <c r="S107" s="58"/>
      <c r="T107" s="159" t="n">
        <v>0</v>
      </c>
      <c r="U107" s="162"/>
      <c r="V107" s="162"/>
      <c r="W107" s="58"/>
      <c r="X107" s="58"/>
      <c r="Y107" s="58"/>
      <c r="Z107" s="58"/>
      <c r="AA107" s="5"/>
      <c r="AB107" s="12" t="s">
        <v>95</v>
      </c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  <c r="GU107" s="58"/>
      <c r="GV107" s="58"/>
      <c r="GW107" s="58"/>
      <c r="GX107" s="58"/>
      <c r="GY107" s="58"/>
      <c r="GZ107" s="58"/>
      <c r="HA107" s="58"/>
      <c r="HB107" s="58"/>
      <c r="HC107" s="58"/>
      <c r="HD107" s="58"/>
      <c r="HE107" s="58"/>
      <c r="HF107" s="58"/>
      <c r="HG107" s="58"/>
      <c r="HH107" s="58"/>
      <c r="HI107" s="58"/>
      <c r="HJ107" s="58"/>
      <c r="HK107" s="58"/>
      <c r="HL107" s="58"/>
      <c r="HM107" s="58"/>
      <c r="HN107" s="58"/>
      <c r="HO107" s="58"/>
      <c r="HP107" s="58"/>
      <c r="HQ107" s="58"/>
      <c r="HR107" s="58"/>
      <c r="HS107" s="58"/>
      <c r="HT107" s="58"/>
      <c r="HU107" s="58"/>
      <c r="HV107" s="58"/>
      <c r="HW107" s="58"/>
      <c r="HX107" s="58"/>
      <c r="HY107" s="58"/>
      <c r="HZ107" s="58"/>
      <c r="IA107" s="58"/>
      <c r="IB107" s="58"/>
      <c r="IC107" s="58"/>
      <c r="ID107" s="58"/>
      <c r="IE107" s="58"/>
      <c r="IF107" s="58"/>
      <c r="IG107" s="58"/>
      <c r="IH107" s="58"/>
      <c r="II107" s="58"/>
      <c r="IJ107" s="58"/>
      <c r="IK107" s="58"/>
      <c r="IL107" s="58"/>
      <c r="IM107" s="58"/>
      <c r="IN107" s="58"/>
      <c r="IO107" s="58"/>
      <c r="IP107" s="58"/>
      <c r="IQ107" s="58"/>
      <c r="IR107" s="58"/>
      <c r="IS107" s="58"/>
      <c r="IT107" s="58"/>
      <c r="IU107" s="58"/>
      <c r="IV107" s="58"/>
      <c r="IW107" s="58"/>
    </row>
    <row r="108" customFormat="false" ht="12.75" hidden="false" customHeight="false" outlineLevel="0" collapsed="false">
      <c r="A108" s="5" t="n">
        <v>14</v>
      </c>
      <c r="B108" s="5" t="s">
        <v>263</v>
      </c>
      <c r="C108" s="153" t="n">
        <v>36761</v>
      </c>
      <c r="D108" s="58" t="s">
        <v>132</v>
      </c>
      <c r="E108" s="58" t="s">
        <v>89</v>
      </c>
      <c r="F108" s="58" t="s">
        <v>235</v>
      </c>
      <c r="G108" s="58" t="s">
        <v>239</v>
      </c>
      <c r="H108" s="154" t="n">
        <v>0</v>
      </c>
      <c r="I108" s="6" t="n">
        <f aca="false">+H108*K108</f>
        <v>0</v>
      </c>
      <c r="J108" s="155" t="n">
        <v>36861</v>
      </c>
      <c r="K108" s="156" t="n">
        <v>10000</v>
      </c>
      <c r="L108" s="157" t="s">
        <v>8</v>
      </c>
      <c r="M108" s="154" t="s">
        <v>264</v>
      </c>
      <c r="N108" s="158"/>
      <c r="O108" s="159" t="n">
        <f aca="false">0.005*K108</f>
        <v>50</v>
      </c>
      <c r="P108" s="58"/>
      <c r="Q108" s="160" t="n">
        <v>5.775</v>
      </c>
      <c r="R108" s="161"/>
      <c r="S108" s="58"/>
      <c r="T108" s="159" t="n">
        <v>0</v>
      </c>
      <c r="U108" s="162"/>
      <c r="V108" s="162"/>
      <c r="W108" s="58"/>
      <c r="X108" s="58"/>
      <c r="Y108" s="58"/>
      <c r="Z108" s="58"/>
      <c r="AA108" s="5"/>
      <c r="AB108" s="12" t="s">
        <v>95</v>
      </c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  <c r="HG108" s="58"/>
      <c r="HH108" s="58"/>
      <c r="HI108" s="58"/>
      <c r="HJ108" s="58"/>
      <c r="HK108" s="58"/>
      <c r="HL108" s="58"/>
      <c r="HM108" s="58"/>
      <c r="HN108" s="58"/>
      <c r="HO108" s="58"/>
      <c r="HP108" s="58"/>
      <c r="HQ108" s="58"/>
      <c r="HR108" s="58"/>
      <c r="HS108" s="58"/>
      <c r="HT108" s="58"/>
      <c r="HU108" s="58"/>
      <c r="HV108" s="58"/>
      <c r="HW108" s="58"/>
      <c r="HX108" s="58"/>
      <c r="HY108" s="58"/>
      <c r="HZ108" s="58"/>
      <c r="IA108" s="58"/>
      <c r="IB108" s="58"/>
      <c r="IC108" s="58"/>
      <c r="ID108" s="58"/>
      <c r="IE108" s="58"/>
      <c r="IF108" s="58"/>
      <c r="IG108" s="58"/>
      <c r="IH108" s="58"/>
      <c r="II108" s="58"/>
      <c r="IJ108" s="58"/>
      <c r="IK108" s="58"/>
      <c r="IL108" s="58"/>
      <c r="IM108" s="58"/>
      <c r="IN108" s="58"/>
      <c r="IO108" s="58"/>
      <c r="IP108" s="58"/>
      <c r="IQ108" s="58"/>
      <c r="IR108" s="58"/>
      <c r="IS108" s="58"/>
      <c r="IT108" s="58"/>
      <c r="IU108" s="58"/>
      <c r="IV108" s="58"/>
      <c r="IW108" s="58"/>
    </row>
    <row r="109" customFormat="false" ht="12.75" hidden="false" customHeight="false" outlineLevel="0" collapsed="false">
      <c r="A109" s="5" t="n">
        <v>14</v>
      </c>
      <c r="B109" s="5" t="s">
        <v>263</v>
      </c>
      <c r="C109" s="153" t="n">
        <v>36761</v>
      </c>
      <c r="D109" s="58" t="s">
        <v>132</v>
      </c>
      <c r="E109" s="58" t="s">
        <v>89</v>
      </c>
      <c r="F109" s="58" t="s">
        <v>235</v>
      </c>
      <c r="G109" s="58" t="s">
        <v>239</v>
      </c>
      <c r="H109" s="154" t="n">
        <v>0</v>
      </c>
      <c r="I109" s="6" t="n">
        <f aca="false">+H109*K109</f>
        <v>0</v>
      </c>
      <c r="J109" s="155" t="n">
        <v>36892</v>
      </c>
      <c r="K109" s="156" t="n">
        <v>10000</v>
      </c>
      <c r="L109" s="157" t="s">
        <v>8</v>
      </c>
      <c r="M109" s="154" t="s">
        <v>264</v>
      </c>
      <c r="N109" s="158"/>
      <c r="O109" s="159" t="n">
        <f aca="false">0.005*K109</f>
        <v>50</v>
      </c>
      <c r="P109" s="58"/>
      <c r="Q109" s="135" t="n">
        <v>9.565</v>
      </c>
      <c r="R109" s="161"/>
      <c r="S109" s="58"/>
      <c r="T109" s="134" t="n">
        <f aca="false">(9.2-Q109)*K109</f>
        <v>-3650</v>
      </c>
      <c r="U109" s="162"/>
      <c r="V109" s="162"/>
      <c r="W109" s="58"/>
      <c r="X109" s="58"/>
      <c r="Y109" s="58"/>
      <c r="Z109" s="58"/>
      <c r="AA109" s="5"/>
      <c r="AB109" s="12" t="s">
        <v>95</v>
      </c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  <c r="FJ109" s="58"/>
      <c r="FK109" s="58"/>
      <c r="FL109" s="58"/>
      <c r="FM109" s="58"/>
      <c r="FN109" s="58"/>
      <c r="FO109" s="58"/>
      <c r="FP109" s="58"/>
      <c r="FQ109" s="58"/>
      <c r="FR109" s="58"/>
      <c r="FS109" s="58"/>
      <c r="FT109" s="58"/>
      <c r="FU109" s="58"/>
      <c r="FV109" s="58"/>
      <c r="FW109" s="58"/>
      <c r="FX109" s="58"/>
      <c r="FY109" s="58"/>
      <c r="FZ109" s="58"/>
      <c r="GA109" s="58"/>
      <c r="GB109" s="58"/>
      <c r="GC109" s="58"/>
      <c r="GD109" s="58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8"/>
      <c r="GY109" s="58"/>
      <c r="GZ109" s="58"/>
      <c r="HA109" s="58"/>
      <c r="HB109" s="58"/>
      <c r="HC109" s="58"/>
      <c r="HD109" s="58"/>
      <c r="HE109" s="58"/>
      <c r="HF109" s="58"/>
      <c r="HG109" s="58"/>
      <c r="HH109" s="58"/>
      <c r="HI109" s="58"/>
      <c r="HJ109" s="58"/>
      <c r="HK109" s="58"/>
      <c r="HL109" s="58"/>
      <c r="HM109" s="58"/>
      <c r="HN109" s="58"/>
      <c r="HO109" s="58"/>
      <c r="HP109" s="58"/>
      <c r="HQ109" s="58"/>
      <c r="HR109" s="58"/>
      <c r="HS109" s="58"/>
      <c r="HT109" s="58"/>
      <c r="HU109" s="58"/>
      <c r="HV109" s="58"/>
      <c r="HW109" s="58"/>
      <c r="HX109" s="58"/>
      <c r="HY109" s="58"/>
      <c r="HZ109" s="58"/>
      <c r="IA109" s="58"/>
      <c r="IB109" s="58"/>
      <c r="IC109" s="58"/>
      <c r="ID109" s="58"/>
      <c r="IE109" s="58"/>
      <c r="IF109" s="58"/>
      <c r="IG109" s="58"/>
      <c r="IH109" s="58"/>
      <c r="II109" s="58"/>
      <c r="IJ109" s="58"/>
      <c r="IK109" s="58"/>
      <c r="IL109" s="58"/>
      <c r="IM109" s="58"/>
      <c r="IN109" s="58"/>
      <c r="IO109" s="58"/>
      <c r="IP109" s="58"/>
      <c r="IQ109" s="58"/>
      <c r="IR109" s="58"/>
      <c r="IS109" s="58"/>
      <c r="IT109" s="58"/>
      <c r="IU109" s="58"/>
      <c r="IV109" s="58"/>
      <c r="IW109" s="58"/>
    </row>
    <row r="110" customFormat="false" ht="12.75" hidden="false" customHeight="false" outlineLevel="0" collapsed="false">
      <c r="A110" s="5" t="n">
        <v>14</v>
      </c>
      <c r="B110" s="5" t="s">
        <v>263</v>
      </c>
      <c r="C110" s="153" t="n">
        <v>36761</v>
      </c>
      <c r="D110" s="58" t="s">
        <v>132</v>
      </c>
      <c r="E110" s="58" t="s">
        <v>89</v>
      </c>
      <c r="F110" s="58" t="s">
        <v>235</v>
      </c>
      <c r="G110" s="58" t="s">
        <v>239</v>
      </c>
      <c r="H110" s="154" t="n">
        <v>0</v>
      </c>
      <c r="I110" s="6" t="n">
        <f aca="false">+H110*K110</f>
        <v>0</v>
      </c>
      <c r="J110" s="155" t="n">
        <v>36923</v>
      </c>
      <c r="K110" s="156" t="n">
        <v>10000</v>
      </c>
      <c r="L110" s="157" t="s">
        <v>8</v>
      </c>
      <c r="M110" s="154" t="s">
        <v>264</v>
      </c>
      <c r="N110" s="158"/>
      <c r="O110" s="159" t="n">
        <f aca="false">0.005*K110</f>
        <v>50</v>
      </c>
      <c r="P110" s="58"/>
      <c r="Q110" s="160"/>
      <c r="R110" s="161"/>
      <c r="S110" s="58"/>
      <c r="T110" s="159"/>
      <c r="U110" s="162"/>
      <c r="V110" s="162"/>
      <c r="W110" s="58"/>
      <c r="X110" s="58"/>
      <c r="Y110" s="58"/>
      <c r="Z110" s="58"/>
      <c r="AA110" s="5"/>
      <c r="AB110" s="12" t="s">
        <v>95</v>
      </c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58"/>
      <c r="FZ110" s="58"/>
      <c r="GA110" s="58"/>
      <c r="GB110" s="58"/>
      <c r="GC110" s="58"/>
      <c r="GD110" s="58"/>
      <c r="GE110" s="58"/>
      <c r="GF110" s="58"/>
      <c r="GG110" s="58"/>
      <c r="GH110" s="58"/>
      <c r="GI110" s="58"/>
      <c r="GJ110" s="58"/>
      <c r="GK110" s="58"/>
      <c r="GL110" s="58"/>
      <c r="GM110" s="58"/>
      <c r="GN110" s="58"/>
      <c r="GO110" s="58"/>
      <c r="GP110" s="58"/>
      <c r="GQ110" s="58"/>
      <c r="GR110" s="58"/>
      <c r="GS110" s="58"/>
      <c r="GT110" s="58"/>
      <c r="GU110" s="58"/>
      <c r="GV110" s="58"/>
      <c r="GW110" s="58"/>
      <c r="GX110" s="58"/>
      <c r="GY110" s="58"/>
      <c r="GZ110" s="58"/>
      <c r="HA110" s="58"/>
      <c r="HB110" s="58"/>
      <c r="HC110" s="58"/>
      <c r="HD110" s="58"/>
      <c r="HE110" s="58"/>
      <c r="HF110" s="58"/>
      <c r="HG110" s="58"/>
      <c r="HH110" s="58"/>
      <c r="HI110" s="58"/>
      <c r="HJ110" s="58"/>
      <c r="HK110" s="58"/>
      <c r="HL110" s="58"/>
      <c r="HM110" s="58"/>
      <c r="HN110" s="58"/>
      <c r="HO110" s="58"/>
      <c r="HP110" s="58"/>
      <c r="HQ110" s="58"/>
      <c r="HR110" s="58"/>
      <c r="HS110" s="58"/>
      <c r="HT110" s="58"/>
      <c r="HU110" s="58"/>
      <c r="HV110" s="58"/>
      <c r="HW110" s="58"/>
      <c r="HX110" s="58"/>
      <c r="HY110" s="58"/>
      <c r="HZ110" s="58"/>
      <c r="IA110" s="58"/>
      <c r="IB110" s="58"/>
      <c r="IC110" s="58"/>
      <c r="ID110" s="58"/>
      <c r="IE110" s="58"/>
      <c r="IF110" s="58"/>
      <c r="IG110" s="58"/>
      <c r="IH110" s="58"/>
      <c r="II110" s="58"/>
      <c r="IJ110" s="58"/>
      <c r="IK110" s="58"/>
      <c r="IL110" s="58"/>
      <c r="IM110" s="58"/>
      <c r="IN110" s="58"/>
      <c r="IO110" s="58"/>
      <c r="IP110" s="58"/>
      <c r="IQ110" s="58"/>
      <c r="IR110" s="58"/>
      <c r="IS110" s="58"/>
      <c r="IT110" s="58"/>
      <c r="IU110" s="58"/>
      <c r="IV110" s="58"/>
      <c r="IW110" s="58"/>
    </row>
    <row r="111" customFormat="false" ht="12.75" hidden="false" customHeight="false" outlineLevel="0" collapsed="false">
      <c r="A111" s="5"/>
      <c r="B111" s="5"/>
      <c r="C111" s="153"/>
      <c r="D111" s="58"/>
      <c r="E111" s="58"/>
      <c r="F111" s="58"/>
      <c r="G111" s="58"/>
      <c r="H111" s="154"/>
      <c r="I111" s="6"/>
      <c r="J111" s="163"/>
      <c r="K111" s="156"/>
      <c r="L111" s="157"/>
      <c r="M111" s="154"/>
      <c r="N111" s="158"/>
      <c r="O111" s="159"/>
      <c r="P111" s="58"/>
      <c r="Q111" s="160"/>
      <c r="R111" s="161"/>
      <c r="S111" s="58"/>
      <c r="T111" s="159"/>
      <c r="U111" s="162"/>
      <c r="V111" s="162"/>
      <c r="W111" s="58"/>
      <c r="X111" s="58"/>
      <c r="Y111" s="58"/>
      <c r="Z111" s="58"/>
      <c r="AA111" s="5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58"/>
      <c r="FG111" s="58"/>
      <c r="FH111" s="58"/>
      <c r="FI111" s="58"/>
      <c r="FJ111" s="58"/>
      <c r="FK111" s="58"/>
      <c r="FL111" s="58"/>
      <c r="FM111" s="58"/>
      <c r="FN111" s="58"/>
      <c r="FO111" s="58"/>
      <c r="FP111" s="58"/>
      <c r="FQ111" s="58"/>
      <c r="FR111" s="58"/>
      <c r="FS111" s="58"/>
      <c r="FT111" s="58"/>
      <c r="FU111" s="58"/>
      <c r="FV111" s="58"/>
      <c r="FW111" s="58"/>
      <c r="FX111" s="58"/>
      <c r="FY111" s="58"/>
      <c r="FZ111" s="58"/>
      <c r="GA111" s="58"/>
      <c r="GB111" s="58"/>
      <c r="GC111" s="58"/>
      <c r="GD111" s="58"/>
      <c r="GE111" s="58"/>
      <c r="GF111" s="58"/>
      <c r="GG111" s="58"/>
      <c r="GH111" s="58"/>
      <c r="GI111" s="58"/>
      <c r="GJ111" s="58"/>
      <c r="GK111" s="58"/>
      <c r="GL111" s="58"/>
      <c r="GM111" s="58"/>
      <c r="GN111" s="58"/>
      <c r="GO111" s="58"/>
      <c r="GP111" s="58"/>
      <c r="GQ111" s="58"/>
      <c r="GR111" s="58"/>
      <c r="GS111" s="58"/>
      <c r="GT111" s="58"/>
      <c r="GU111" s="58"/>
      <c r="GV111" s="58"/>
      <c r="GW111" s="58"/>
      <c r="GX111" s="58"/>
      <c r="GY111" s="58"/>
      <c r="GZ111" s="58"/>
      <c r="HA111" s="58"/>
      <c r="HB111" s="58"/>
      <c r="HC111" s="58"/>
      <c r="HD111" s="58"/>
      <c r="HE111" s="58"/>
      <c r="HF111" s="58"/>
      <c r="HG111" s="58"/>
      <c r="HH111" s="58"/>
      <c r="HI111" s="58"/>
      <c r="HJ111" s="58"/>
      <c r="HK111" s="58"/>
      <c r="HL111" s="58"/>
      <c r="HM111" s="58"/>
      <c r="HN111" s="58"/>
      <c r="HO111" s="58"/>
      <c r="HP111" s="58"/>
      <c r="HQ111" s="58"/>
      <c r="HR111" s="58"/>
      <c r="HS111" s="58"/>
      <c r="HT111" s="58"/>
      <c r="HU111" s="58"/>
      <c r="HV111" s="58"/>
      <c r="HW111" s="58"/>
      <c r="HX111" s="58"/>
      <c r="HY111" s="58"/>
      <c r="HZ111" s="58"/>
      <c r="IA111" s="58"/>
      <c r="IB111" s="58"/>
      <c r="IC111" s="58"/>
      <c r="ID111" s="58"/>
      <c r="IE111" s="58"/>
      <c r="IF111" s="58"/>
      <c r="IG111" s="58"/>
      <c r="IH111" s="58"/>
      <c r="II111" s="58"/>
      <c r="IJ111" s="58"/>
      <c r="IK111" s="58"/>
      <c r="IL111" s="58"/>
      <c r="IM111" s="58"/>
      <c r="IN111" s="58"/>
      <c r="IO111" s="58"/>
      <c r="IP111" s="58"/>
      <c r="IQ111" s="58"/>
      <c r="IR111" s="58"/>
      <c r="IS111" s="58"/>
      <c r="IT111" s="58"/>
      <c r="IU111" s="58"/>
      <c r="IV111" s="58"/>
      <c r="IW111" s="58"/>
    </row>
    <row r="112" customFormat="false" ht="12.75" hidden="false" customHeight="false" outlineLevel="0" collapsed="false">
      <c r="A112" s="5" t="n">
        <v>15</v>
      </c>
      <c r="B112" s="5" t="s">
        <v>265</v>
      </c>
      <c r="C112" s="153" t="n">
        <v>36761</v>
      </c>
      <c r="D112" s="58" t="s">
        <v>132</v>
      </c>
      <c r="E112" s="58" t="s">
        <v>89</v>
      </c>
      <c r="F112" s="58" t="s">
        <v>235</v>
      </c>
      <c r="G112" s="58" t="s">
        <v>239</v>
      </c>
      <c r="H112" s="154" t="n">
        <v>0</v>
      </c>
      <c r="I112" s="6" t="n">
        <f aca="false">+H112*K112</f>
        <v>0</v>
      </c>
      <c r="J112" s="155" t="n">
        <v>36770</v>
      </c>
      <c r="K112" s="156" t="n">
        <v>10000</v>
      </c>
      <c r="L112" s="157" t="s">
        <v>8</v>
      </c>
      <c r="M112" s="154" t="s">
        <v>264</v>
      </c>
      <c r="N112" s="158"/>
      <c r="O112" s="159" t="n">
        <f aca="false">0.005*K112</f>
        <v>50</v>
      </c>
      <c r="P112" s="58"/>
      <c r="Q112" s="160" t="n">
        <v>4.45</v>
      </c>
      <c r="R112" s="161"/>
      <c r="S112" s="58"/>
      <c r="T112" s="159" t="n">
        <v>0</v>
      </c>
      <c r="U112" s="162"/>
      <c r="V112" s="162"/>
      <c r="W112" s="58"/>
      <c r="X112" s="58"/>
      <c r="Y112" s="58" t="s">
        <v>258</v>
      </c>
      <c r="Z112" s="58"/>
      <c r="AA112" s="5"/>
      <c r="AB112" s="12" t="s">
        <v>95</v>
      </c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58"/>
      <c r="FZ112" s="58"/>
      <c r="GA112" s="58"/>
      <c r="GB112" s="58"/>
      <c r="GC112" s="58"/>
      <c r="GD112" s="58"/>
      <c r="GE112" s="58"/>
      <c r="GF112" s="58"/>
      <c r="GG112" s="58"/>
      <c r="GH112" s="58"/>
      <c r="GI112" s="58"/>
      <c r="GJ112" s="58"/>
      <c r="GK112" s="58"/>
      <c r="GL112" s="58"/>
      <c r="GM112" s="58"/>
      <c r="GN112" s="58"/>
      <c r="GO112" s="58"/>
      <c r="GP112" s="58"/>
      <c r="GQ112" s="58"/>
      <c r="GR112" s="58"/>
      <c r="GS112" s="58"/>
      <c r="GT112" s="58"/>
      <c r="GU112" s="58"/>
      <c r="GV112" s="58"/>
      <c r="GW112" s="58"/>
      <c r="GX112" s="58"/>
      <c r="GY112" s="58"/>
      <c r="GZ112" s="58"/>
      <c r="HA112" s="58"/>
      <c r="HB112" s="58"/>
      <c r="HC112" s="58"/>
      <c r="HD112" s="58"/>
      <c r="HE112" s="58"/>
      <c r="HF112" s="58"/>
      <c r="HG112" s="58"/>
      <c r="HH112" s="58"/>
      <c r="HI112" s="58"/>
      <c r="HJ112" s="58"/>
      <c r="HK112" s="58"/>
      <c r="HL112" s="58"/>
      <c r="HM112" s="58"/>
      <c r="HN112" s="58"/>
      <c r="HO112" s="58"/>
      <c r="HP112" s="58"/>
      <c r="HQ112" s="58"/>
      <c r="HR112" s="58"/>
      <c r="HS112" s="58"/>
      <c r="HT112" s="58"/>
      <c r="HU112" s="58"/>
      <c r="HV112" s="58"/>
      <c r="HW112" s="58"/>
      <c r="HX112" s="58"/>
      <c r="HY112" s="58"/>
      <c r="HZ112" s="58"/>
      <c r="IA112" s="58"/>
      <c r="IB112" s="58"/>
      <c r="IC112" s="58"/>
      <c r="ID112" s="58"/>
      <c r="IE112" s="58"/>
      <c r="IF112" s="58"/>
      <c r="IG112" s="58"/>
      <c r="IH112" s="58"/>
      <c r="II112" s="58"/>
      <c r="IJ112" s="58"/>
      <c r="IK112" s="58"/>
      <c r="IL112" s="58"/>
      <c r="IM112" s="58"/>
      <c r="IN112" s="58"/>
      <c r="IO112" s="58"/>
      <c r="IP112" s="58"/>
      <c r="IQ112" s="58"/>
      <c r="IR112" s="58"/>
      <c r="IS112" s="58"/>
      <c r="IT112" s="58"/>
      <c r="IU112" s="58"/>
      <c r="IV112" s="58"/>
      <c r="IW112" s="58"/>
    </row>
    <row r="113" customFormat="false" ht="12.75" hidden="false" customHeight="false" outlineLevel="0" collapsed="false">
      <c r="A113" s="5" t="n">
        <v>15</v>
      </c>
      <c r="B113" s="5" t="s">
        <v>265</v>
      </c>
      <c r="C113" s="153" t="n">
        <v>36761</v>
      </c>
      <c r="D113" s="58" t="s">
        <v>132</v>
      </c>
      <c r="E113" s="58" t="s">
        <v>89</v>
      </c>
      <c r="F113" s="58" t="s">
        <v>235</v>
      </c>
      <c r="G113" s="58" t="s">
        <v>239</v>
      </c>
      <c r="H113" s="154" t="n">
        <v>0</v>
      </c>
      <c r="I113" s="6" t="n">
        <f aca="false">+H113*K113</f>
        <v>0</v>
      </c>
      <c r="J113" s="155" t="n">
        <v>36800</v>
      </c>
      <c r="K113" s="156" t="n">
        <v>10000</v>
      </c>
      <c r="L113" s="157" t="s">
        <v>8</v>
      </c>
      <c r="M113" s="154" t="s">
        <v>264</v>
      </c>
      <c r="N113" s="158"/>
      <c r="O113" s="159" t="n">
        <f aca="false">0.005*K113</f>
        <v>50</v>
      </c>
      <c r="P113" s="58"/>
      <c r="Q113" s="160" t="n">
        <v>5.105</v>
      </c>
      <c r="R113" s="161"/>
      <c r="S113" s="58"/>
      <c r="T113" s="159" t="n">
        <v>0</v>
      </c>
      <c r="U113" s="162"/>
      <c r="V113" s="162"/>
      <c r="W113" s="58"/>
      <c r="X113" s="58"/>
      <c r="Y113" s="58"/>
      <c r="Z113" s="58"/>
      <c r="AA113" s="5"/>
      <c r="AB113" s="12" t="s">
        <v>95</v>
      </c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8"/>
      <c r="EO113" s="58"/>
      <c r="EP113" s="58"/>
      <c r="EQ113" s="58"/>
      <c r="ER113" s="58"/>
      <c r="ES113" s="58"/>
      <c r="ET113" s="58"/>
      <c r="EU113" s="58"/>
      <c r="EV113" s="58"/>
      <c r="EW113" s="58"/>
      <c r="EX113" s="58"/>
      <c r="EY113" s="58"/>
      <c r="EZ113" s="58"/>
      <c r="FA113" s="58"/>
      <c r="FB113" s="58"/>
      <c r="FC113" s="58"/>
      <c r="FD113" s="58"/>
      <c r="FE113" s="58"/>
      <c r="FF113" s="58"/>
      <c r="FG113" s="58"/>
      <c r="FH113" s="58"/>
      <c r="FI113" s="58"/>
      <c r="FJ113" s="58"/>
      <c r="FK113" s="58"/>
      <c r="FL113" s="58"/>
      <c r="FM113" s="58"/>
      <c r="FN113" s="58"/>
      <c r="FO113" s="58"/>
      <c r="FP113" s="58"/>
      <c r="FQ113" s="58"/>
      <c r="FR113" s="58"/>
      <c r="FS113" s="58"/>
      <c r="FT113" s="58"/>
      <c r="FU113" s="58"/>
      <c r="FV113" s="58"/>
      <c r="FW113" s="58"/>
      <c r="FX113" s="58"/>
      <c r="FY113" s="58"/>
      <c r="FZ113" s="58"/>
      <c r="GA113" s="58"/>
      <c r="GB113" s="58"/>
      <c r="GC113" s="58"/>
      <c r="GD113" s="58"/>
      <c r="GE113" s="58"/>
      <c r="GF113" s="58"/>
      <c r="GG113" s="58"/>
      <c r="GH113" s="58"/>
      <c r="GI113" s="58"/>
      <c r="GJ113" s="58"/>
      <c r="GK113" s="58"/>
      <c r="GL113" s="58"/>
      <c r="GM113" s="58"/>
      <c r="GN113" s="58"/>
      <c r="GO113" s="58"/>
      <c r="GP113" s="58"/>
      <c r="GQ113" s="58"/>
      <c r="GR113" s="58"/>
      <c r="GS113" s="58"/>
      <c r="GT113" s="58"/>
      <c r="GU113" s="58"/>
      <c r="GV113" s="58"/>
      <c r="GW113" s="58"/>
      <c r="GX113" s="58"/>
      <c r="GY113" s="58"/>
      <c r="GZ113" s="58"/>
      <c r="HA113" s="58"/>
      <c r="HB113" s="58"/>
      <c r="HC113" s="58"/>
      <c r="HD113" s="58"/>
      <c r="HE113" s="58"/>
      <c r="HF113" s="58"/>
      <c r="HG113" s="58"/>
      <c r="HH113" s="58"/>
      <c r="HI113" s="58"/>
      <c r="HJ113" s="58"/>
      <c r="HK113" s="58"/>
      <c r="HL113" s="58"/>
      <c r="HM113" s="58"/>
      <c r="HN113" s="58"/>
      <c r="HO113" s="58"/>
      <c r="HP113" s="58"/>
      <c r="HQ113" s="58"/>
      <c r="HR113" s="58"/>
      <c r="HS113" s="58"/>
      <c r="HT113" s="58"/>
      <c r="HU113" s="58"/>
      <c r="HV113" s="58"/>
      <c r="HW113" s="58"/>
      <c r="HX113" s="58"/>
      <c r="HY113" s="58"/>
      <c r="HZ113" s="58"/>
      <c r="IA113" s="58"/>
      <c r="IB113" s="58"/>
      <c r="IC113" s="58"/>
      <c r="ID113" s="58"/>
      <c r="IE113" s="58"/>
      <c r="IF113" s="58"/>
      <c r="IG113" s="58"/>
      <c r="IH113" s="58"/>
      <c r="II113" s="58"/>
      <c r="IJ113" s="58"/>
      <c r="IK113" s="58"/>
      <c r="IL113" s="58"/>
      <c r="IM113" s="58"/>
      <c r="IN113" s="58"/>
      <c r="IO113" s="58"/>
      <c r="IP113" s="58"/>
      <c r="IQ113" s="58"/>
      <c r="IR113" s="58"/>
      <c r="IS113" s="58"/>
      <c r="IT113" s="58"/>
      <c r="IU113" s="58"/>
      <c r="IV113" s="58"/>
      <c r="IW113" s="58"/>
    </row>
    <row r="114" customFormat="false" ht="12.75" hidden="false" customHeight="false" outlineLevel="0" collapsed="false">
      <c r="A114" s="5" t="n">
        <v>15</v>
      </c>
      <c r="B114" s="5" t="s">
        <v>265</v>
      </c>
      <c r="C114" s="153" t="n">
        <v>36761</v>
      </c>
      <c r="D114" s="58" t="s">
        <v>132</v>
      </c>
      <c r="E114" s="58" t="s">
        <v>89</v>
      </c>
      <c r="F114" s="58" t="s">
        <v>235</v>
      </c>
      <c r="G114" s="58" t="s">
        <v>239</v>
      </c>
      <c r="H114" s="154" t="n">
        <v>0</v>
      </c>
      <c r="I114" s="6" t="n">
        <f aca="false">+H114*K114</f>
        <v>0</v>
      </c>
      <c r="J114" s="155" t="n">
        <v>36831</v>
      </c>
      <c r="K114" s="156" t="n">
        <v>10000</v>
      </c>
      <c r="L114" s="157" t="s">
        <v>8</v>
      </c>
      <c r="M114" s="154" t="s">
        <v>264</v>
      </c>
      <c r="N114" s="158"/>
      <c r="O114" s="159" t="n">
        <f aca="false">0.005*K114</f>
        <v>50</v>
      </c>
      <c r="P114" s="58"/>
      <c r="Q114" s="160" t="n">
        <v>4.31</v>
      </c>
      <c r="R114" s="161"/>
      <c r="S114" s="58"/>
      <c r="T114" s="159" t="n">
        <v>0</v>
      </c>
      <c r="U114" s="162"/>
      <c r="V114" s="162"/>
      <c r="W114" s="58"/>
      <c r="X114" s="58"/>
      <c r="Y114" s="58"/>
      <c r="Z114" s="58"/>
      <c r="AA114" s="5"/>
      <c r="AB114" s="12" t="s">
        <v>95</v>
      </c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8"/>
      <c r="EO114" s="58"/>
      <c r="EP114" s="58"/>
      <c r="EQ114" s="58"/>
      <c r="ER114" s="58"/>
      <c r="ES114" s="58"/>
      <c r="ET114" s="58"/>
      <c r="EU114" s="58"/>
      <c r="EV114" s="58"/>
      <c r="EW114" s="58"/>
      <c r="EX114" s="58"/>
      <c r="EY114" s="58"/>
      <c r="EZ114" s="58"/>
      <c r="FA114" s="58"/>
      <c r="FB114" s="58"/>
      <c r="FC114" s="58"/>
      <c r="FD114" s="58"/>
      <c r="FE114" s="58"/>
      <c r="FF114" s="58"/>
      <c r="FG114" s="58"/>
      <c r="FH114" s="58"/>
      <c r="FI114" s="58"/>
      <c r="FJ114" s="58"/>
      <c r="FK114" s="58"/>
      <c r="FL114" s="58"/>
      <c r="FM114" s="58"/>
      <c r="FN114" s="58"/>
      <c r="FO114" s="58"/>
      <c r="FP114" s="58"/>
      <c r="FQ114" s="58"/>
      <c r="FR114" s="58"/>
      <c r="FS114" s="58"/>
      <c r="FT114" s="58"/>
      <c r="FU114" s="58"/>
      <c r="FV114" s="58"/>
      <c r="FW114" s="58"/>
      <c r="FX114" s="58"/>
      <c r="FY114" s="58"/>
      <c r="FZ114" s="58"/>
      <c r="GA114" s="58"/>
      <c r="GB114" s="58"/>
      <c r="GC114" s="58"/>
      <c r="GD114" s="58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8"/>
      <c r="GY114" s="58"/>
      <c r="GZ114" s="58"/>
      <c r="HA114" s="58"/>
      <c r="HB114" s="58"/>
      <c r="HC114" s="58"/>
      <c r="HD114" s="58"/>
      <c r="HE114" s="58"/>
      <c r="HF114" s="58"/>
      <c r="HG114" s="58"/>
      <c r="HH114" s="58"/>
      <c r="HI114" s="58"/>
      <c r="HJ114" s="58"/>
      <c r="HK114" s="58"/>
      <c r="HL114" s="58"/>
      <c r="HM114" s="58"/>
      <c r="HN114" s="58"/>
      <c r="HO114" s="58"/>
      <c r="HP114" s="58"/>
      <c r="HQ114" s="58"/>
      <c r="HR114" s="58"/>
      <c r="HS114" s="58"/>
      <c r="HT114" s="58"/>
      <c r="HU114" s="58"/>
      <c r="HV114" s="58"/>
      <c r="HW114" s="58"/>
      <c r="HX114" s="58"/>
      <c r="HY114" s="58"/>
      <c r="HZ114" s="58"/>
      <c r="IA114" s="58"/>
      <c r="IB114" s="58"/>
      <c r="IC114" s="58"/>
      <c r="ID114" s="58"/>
      <c r="IE114" s="58"/>
      <c r="IF114" s="58"/>
      <c r="IG114" s="58"/>
      <c r="IH114" s="58"/>
      <c r="II114" s="58"/>
      <c r="IJ114" s="58"/>
      <c r="IK114" s="58"/>
      <c r="IL114" s="58"/>
      <c r="IM114" s="58"/>
      <c r="IN114" s="58"/>
      <c r="IO114" s="58"/>
      <c r="IP114" s="58"/>
      <c r="IQ114" s="58"/>
      <c r="IR114" s="58"/>
      <c r="IS114" s="58"/>
      <c r="IT114" s="58"/>
      <c r="IU114" s="58"/>
      <c r="IV114" s="58"/>
      <c r="IW114" s="58"/>
    </row>
    <row r="115" customFormat="false" ht="12.75" hidden="false" customHeight="false" outlineLevel="0" collapsed="false">
      <c r="A115" s="5" t="n">
        <v>15</v>
      </c>
      <c r="B115" s="5" t="s">
        <v>265</v>
      </c>
      <c r="C115" s="153" t="n">
        <v>36761</v>
      </c>
      <c r="D115" s="58" t="s">
        <v>132</v>
      </c>
      <c r="E115" s="58" t="s">
        <v>89</v>
      </c>
      <c r="F115" s="58" t="s">
        <v>235</v>
      </c>
      <c r="G115" s="58" t="s">
        <v>239</v>
      </c>
      <c r="H115" s="154" t="n">
        <v>0</v>
      </c>
      <c r="I115" s="6" t="n">
        <f aca="false">+H115*K115</f>
        <v>0</v>
      </c>
      <c r="J115" s="155" t="n">
        <v>36861</v>
      </c>
      <c r="K115" s="156" t="n">
        <v>10000</v>
      </c>
      <c r="L115" s="157" t="s">
        <v>8</v>
      </c>
      <c r="M115" s="154" t="s">
        <v>264</v>
      </c>
      <c r="N115" s="158"/>
      <c r="O115" s="159" t="n">
        <f aca="false">0.005*K115</f>
        <v>50</v>
      </c>
      <c r="P115" s="58"/>
      <c r="Q115" s="160" t="n">
        <v>5.775</v>
      </c>
      <c r="R115" s="161"/>
      <c r="S115" s="58"/>
      <c r="T115" s="159" t="n">
        <v>0</v>
      </c>
      <c r="U115" s="162"/>
      <c r="V115" s="162"/>
      <c r="W115" s="58"/>
      <c r="X115" s="58"/>
      <c r="Y115" s="58"/>
      <c r="Z115" s="58"/>
      <c r="AA115" s="5"/>
      <c r="AB115" s="12" t="s">
        <v>95</v>
      </c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  <c r="HG115" s="58"/>
      <c r="HH115" s="58"/>
      <c r="HI115" s="58"/>
      <c r="HJ115" s="58"/>
      <c r="HK115" s="58"/>
      <c r="HL115" s="58"/>
      <c r="HM115" s="58"/>
      <c r="HN115" s="58"/>
      <c r="HO115" s="58"/>
      <c r="HP115" s="58"/>
      <c r="HQ115" s="58"/>
      <c r="HR115" s="58"/>
      <c r="HS115" s="58"/>
      <c r="HT115" s="58"/>
      <c r="HU115" s="58"/>
      <c r="HV115" s="58"/>
      <c r="HW115" s="58"/>
      <c r="HX115" s="58"/>
      <c r="HY115" s="58"/>
      <c r="HZ115" s="58"/>
      <c r="IA115" s="58"/>
      <c r="IB115" s="58"/>
      <c r="IC115" s="58"/>
      <c r="ID115" s="58"/>
      <c r="IE115" s="58"/>
      <c r="IF115" s="58"/>
      <c r="IG115" s="58"/>
      <c r="IH115" s="58"/>
      <c r="II115" s="58"/>
      <c r="IJ115" s="58"/>
      <c r="IK115" s="58"/>
      <c r="IL115" s="58"/>
      <c r="IM115" s="58"/>
      <c r="IN115" s="58"/>
      <c r="IO115" s="58"/>
      <c r="IP115" s="58"/>
      <c r="IQ115" s="58"/>
      <c r="IR115" s="58"/>
      <c r="IS115" s="58"/>
      <c r="IT115" s="58"/>
      <c r="IU115" s="58"/>
      <c r="IV115" s="58"/>
      <c r="IW115" s="58"/>
    </row>
    <row r="116" customFormat="false" ht="12.75" hidden="false" customHeight="false" outlineLevel="0" collapsed="false">
      <c r="A116" s="5" t="n">
        <v>15</v>
      </c>
      <c r="B116" s="5" t="s">
        <v>265</v>
      </c>
      <c r="C116" s="153" t="n">
        <v>36761</v>
      </c>
      <c r="D116" s="58" t="s">
        <v>132</v>
      </c>
      <c r="E116" s="58" t="s">
        <v>89</v>
      </c>
      <c r="F116" s="58" t="s">
        <v>235</v>
      </c>
      <c r="G116" s="58" t="s">
        <v>239</v>
      </c>
      <c r="H116" s="154" t="n">
        <v>0</v>
      </c>
      <c r="I116" s="6" t="n">
        <f aca="false">+H116*K116</f>
        <v>0</v>
      </c>
      <c r="J116" s="155" t="n">
        <v>36892</v>
      </c>
      <c r="K116" s="156" t="n">
        <v>10000</v>
      </c>
      <c r="L116" s="157" t="s">
        <v>8</v>
      </c>
      <c r="M116" s="154" t="s">
        <v>264</v>
      </c>
      <c r="N116" s="158"/>
      <c r="O116" s="159" t="n">
        <f aca="false">0.005*K116</f>
        <v>50</v>
      </c>
      <c r="P116" s="58"/>
      <c r="Q116" s="135" t="n">
        <v>9.565</v>
      </c>
      <c r="R116" s="161"/>
      <c r="S116" s="58"/>
      <c r="T116" s="134" t="n">
        <f aca="false">(9.2-Q116)*K116</f>
        <v>-3650</v>
      </c>
      <c r="U116" s="162"/>
      <c r="V116" s="162"/>
      <c r="W116" s="58"/>
      <c r="X116" s="58"/>
      <c r="Y116" s="58"/>
      <c r="Z116" s="58"/>
      <c r="AA116" s="5"/>
      <c r="AB116" s="12" t="s">
        <v>95</v>
      </c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  <c r="HG116" s="58"/>
      <c r="HH116" s="58"/>
      <c r="HI116" s="58"/>
      <c r="HJ116" s="58"/>
      <c r="HK116" s="58"/>
      <c r="HL116" s="58"/>
      <c r="HM116" s="58"/>
      <c r="HN116" s="58"/>
      <c r="HO116" s="58"/>
      <c r="HP116" s="58"/>
      <c r="HQ116" s="58"/>
      <c r="HR116" s="58"/>
      <c r="HS116" s="58"/>
      <c r="HT116" s="58"/>
      <c r="HU116" s="58"/>
      <c r="HV116" s="58"/>
      <c r="HW116" s="58"/>
      <c r="HX116" s="58"/>
      <c r="HY116" s="58"/>
      <c r="HZ116" s="58"/>
      <c r="IA116" s="58"/>
      <c r="IB116" s="58"/>
      <c r="IC116" s="58"/>
      <c r="ID116" s="58"/>
      <c r="IE116" s="58"/>
      <c r="IF116" s="58"/>
      <c r="IG116" s="58"/>
      <c r="IH116" s="58"/>
      <c r="II116" s="58"/>
      <c r="IJ116" s="58"/>
      <c r="IK116" s="58"/>
      <c r="IL116" s="58"/>
      <c r="IM116" s="58"/>
      <c r="IN116" s="58"/>
      <c r="IO116" s="58"/>
      <c r="IP116" s="58"/>
      <c r="IQ116" s="58"/>
      <c r="IR116" s="58"/>
      <c r="IS116" s="58"/>
      <c r="IT116" s="58"/>
      <c r="IU116" s="58"/>
      <c r="IV116" s="58"/>
      <c r="IW116" s="58"/>
    </row>
    <row r="117" customFormat="false" ht="12.75" hidden="false" customHeight="false" outlineLevel="0" collapsed="false">
      <c r="A117" s="5" t="n">
        <v>15</v>
      </c>
      <c r="B117" s="5" t="s">
        <v>265</v>
      </c>
      <c r="C117" s="153" t="n">
        <v>36761</v>
      </c>
      <c r="D117" s="58" t="s">
        <v>132</v>
      </c>
      <c r="E117" s="58" t="s">
        <v>89</v>
      </c>
      <c r="F117" s="58" t="s">
        <v>235</v>
      </c>
      <c r="G117" s="58" t="s">
        <v>239</v>
      </c>
      <c r="H117" s="154" t="n">
        <v>0</v>
      </c>
      <c r="I117" s="6" t="n">
        <f aca="false">+H117*K117</f>
        <v>0</v>
      </c>
      <c r="J117" s="155" t="n">
        <v>36923</v>
      </c>
      <c r="K117" s="156" t="n">
        <v>10000</v>
      </c>
      <c r="L117" s="157" t="s">
        <v>8</v>
      </c>
      <c r="M117" s="154" t="s">
        <v>264</v>
      </c>
      <c r="N117" s="158"/>
      <c r="O117" s="159" t="n">
        <f aca="false">0.005*K117</f>
        <v>50</v>
      </c>
      <c r="P117" s="58"/>
      <c r="Q117" s="160"/>
      <c r="R117" s="161"/>
      <c r="S117" s="58"/>
      <c r="T117" s="159"/>
      <c r="U117" s="162"/>
      <c r="V117" s="162"/>
      <c r="W117" s="58"/>
      <c r="X117" s="58"/>
      <c r="Y117" s="58"/>
      <c r="Z117" s="58"/>
      <c r="AA117" s="5"/>
      <c r="AB117" s="12" t="s">
        <v>95</v>
      </c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  <c r="HG117" s="58"/>
      <c r="HH117" s="58"/>
      <c r="HI117" s="58"/>
      <c r="HJ117" s="58"/>
      <c r="HK117" s="58"/>
      <c r="HL117" s="58"/>
      <c r="HM117" s="58"/>
      <c r="HN117" s="58"/>
      <c r="HO117" s="58"/>
      <c r="HP117" s="58"/>
      <c r="HQ117" s="58"/>
      <c r="HR117" s="58"/>
      <c r="HS117" s="58"/>
      <c r="HT117" s="58"/>
      <c r="HU117" s="58"/>
      <c r="HV117" s="58"/>
      <c r="HW117" s="58"/>
      <c r="HX117" s="58"/>
      <c r="HY117" s="58"/>
      <c r="HZ117" s="58"/>
      <c r="IA117" s="58"/>
      <c r="IB117" s="58"/>
      <c r="IC117" s="58"/>
      <c r="ID117" s="58"/>
      <c r="IE117" s="58"/>
      <c r="IF117" s="58"/>
      <c r="IG117" s="58"/>
      <c r="IH117" s="58"/>
      <c r="II117" s="58"/>
      <c r="IJ117" s="58"/>
      <c r="IK117" s="58"/>
      <c r="IL117" s="58"/>
      <c r="IM117" s="58"/>
      <c r="IN117" s="58"/>
      <c r="IO117" s="58"/>
      <c r="IP117" s="58"/>
      <c r="IQ117" s="58"/>
      <c r="IR117" s="58"/>
      <c r="IS117" s="58"/>
      <c r="IT117" s="58"/>
      <c r="IU117" s="58"/>
      <c r="IV117" s="58"/>
      <c r="IW117" s="58"/>
    </row>
    <row r="118" customFormat="false" ht="12.75" hidden="false" customHeight="false" outlineLevel="0" collapsed="false">
      <c r="A118" s="5"/>
      <c r="B118" s="5"/>
      <c r="C118" s="153"/>
      <c r="D118" s="58"/>
      <c r="E118" s="58"/>
      <c r="F118" s="58"/>
      <c r="G118" s="58"/>
      <c r="H118" s="154"/>
      <c r="I118" s="6"/>
      <c r="J118" s="163"/>
      <c r="K118" s="156"/>
      <c r="L118" s="157"/>
      <c r="M118" s="154"/>
      <c r="N118" s="158"/>
      <c r="O118" s="159"/>
      <c r="P118" s="58"/>
      <c r="Q118" s="160"/>
      <c r="R118" s="161"/>
      <c r="S118" s="58"/>
      <c r="T118" s="159"/>
      <c r="U118" s="162"/>
      <c r="V118" s="162"/>
      <c r="W118" s="58"/>
      <c r="X118" s="58"/>
      <c r="Y118" s="58"/>
      <c r="Z118" s="58"/>
      <c r="AA118" s="5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8"/>
      <c r="EO118" s="58"/>
      <c r="EP118" s="58"/>
      <c r="EQ118" s="58"/>
      <c r="ER118" s="58"/>
      <c r="ES118" s="58"/>
      <c r="ET118" s="58"/>
      <c r="EU118" s="58"/>
      <c r="EV118" s="58"/>
      <c r="EW118" s="58"/>
      <c r="EX118" s="58"/>
      <c r="EY118" s="58"/>
      <c r="EZ118" s="58"/>
      <c r="FA118" s="58"/>
      <c r="FB118" s="58"/>
      <c r="FC118" s="58"/>
      <c r="FD118" s="58"/>
      <c r="FE118" s="58"/>
      <c r="FF118" s="58"/>
      <c r="FG118" s="58"/>
      <c r="FH118" s="58"/>
      <c r="FI118" s="58"/>
      <c r="FJ118" s="58"/>
      <c r="FK118" s="58"/>
      <c r="FL118" s="58"/>
      <c r="FM118" s="58"/>
      <c r="FN118" s="58"/>
      <c r="FO118" s="58"/>
      <c r="FP118" s="58"/>
      <c r="FQ118" s="58"/>
      <c r="FR118" s="58"/>
      <c r="FS118" s="58"/>
      <c r="FT118" s="58"/>
      <c r="FU118" s="58"/>
      <c r="FV118" s="58"/>
      <c r="FW118" s="58"/>
      <c r="FX118" s="58"/>
      <c r="FY118" s="58"/>
      <c r="FZ118" s="58"/>
      <c r="GA118" s="58"/>
      <c r="GB118" s="58"/>
      <c r="GC118" s="58"/>
      <c r="GD118" s="58"/>
      <c r="GE118" s="58"/>
      <c r="GF118" s="58"/>
      <c r="GG118" s="58"/>
      <c r="GH118" s="58"/>
      <c r="GI118" s="58"/>
      <c r="GJ118" s="58"/>
      <c r="GK118" s="58"/>
      <c r="GL118" s="58"/>
      <c r="GM118" s="58"/>
      <c r="GN118" s="58"/>
      <c r="GO118" s="58"/>
      <c r="GP118" s="58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  <c r="HG118" s="58"/>
      <c r="HH118" s="58"/>
      <c r="HI118" s="58"/>
      <c r="HJ118" s="58"/>
      <c r="HK118" s="58"/>
      <c r="HL118" s="58"/>
      <c r="HM118" s="58"/>
      <c r="HN118" s="58"/>
      <c r="HO118" s="58"/>
      <c r="HP118" s="58"/>
      <c r="HQ118" s="58"/>
      <c r="HR118" s="58"/>
      <c r="HS118" s="58"/>
      <c r="HT118" s="58"/>
      <c r="HU118" s="58"/>
      <c r="HV118" s="58"/>
      <c r="HW118" s="58"/>
      <c r="HX118" s="58"/>
      <c r="HY118" s="58"/>
      <c r="HZ118" s="58"/>
      <c r="IA118" s="58"/>
      <c r="IB118" s="58"/>
      <c r="IC118" s="58"/>
      <c r="ID118" s="58"/>
      <c r="IE118" s="58"/>
      <c r="IF118" s="58"/>
      <c r="IG118" s="58"/>
      <c r="IH118" s="58"/>
      <c r="II118" s="58"/>
      <c r="IJ118" s="58"/>
      <c r="IK118" s="58"/>
      <c r="IL118" s="58"/>
      <c r="IM118" s="58"/>
      <c r="IN118" s="58"/>
      <c r="IO118" s="58"/>
      <c r="IP118" s="58"/>
      <c r="IQ118" s="58"/>
      <c r="IR118" s="58"/>
      <c r="IS118" s="58"/>
      <c r="IT118" s="58"/>
      <c r="IU118" s="58"/>
      <c r="IV118" s="58"/>
      <c r="IW118" s="58"/>
    </row>
    <row r="119" customFormat="false" ht="12.75" hidden="false" customHeight="false" outlineLevel="0" collapsed="false">
      <c r="A119" s="5" t="n">
        <v>16</v>
      </c>
      <c r="B119" s="5" t="s">
        <v>266</v>
      </c>
      <c r="C119" s="153" t="n">
        <v>36761</v>
      </c>
      <c r="D119" s="58" t="s">
        <v>132</v>
      </c>
      <c r="E119" s="58" t="s">
        <v>89</v>
      </c>
      <c r="F119" s="58" t="s">
        <v>235</v>
      </c>
      <c r="G119" s="58" t="s">
        <v>239</v>
      </c>
      <c r="H119" s="154" t="n">
        <v>0</v>
      </c>
      <c r="I119" s="6" t="n">
        <f aca="false">+H119*K119</f>
        <v>0</v>
      </c>
      <c r="J119" s="155" t="n">
        <v>36770</v>
      </c>
      <c r="K119" s="156" t="n">
        <v>10000</v>
      </c>
      <c r="L119" s="157" t="s">
        <v>8</v>
      </c>
      <c r="M119" s="154" t="s">
        <v>264</v>
      </c>
      <c r="N119" s="158"/>
      <c r="O119" s="159" t="n">
        <f aca="false">0.005*K119</f>
        <v>50</v>
      </c>
      <c r="P119" s="58"/>
      <c r="Q119" s="160" t="n">
        <v>4.45</v>
      </c>
      <c r="R119" s="161"/>
      <c r="S119" s="58"/>
      <c r="T119" s="159" t="n">
        <v>0</v>
      </c>
      <c r="U119" s="162"/>
      <c r="V119" s="162"/>
      <c r="W119" s="58"/>
      <c r="X119" s="58"/>
      <c r="Y119" s="58" t="s">
        <v>258</v>
      </c>
      <c r="Z119" s="58"/>
      <c r="AA119" s="5"/>
      <c r="AB119" s="12" t="s">
        <v>95</v>
      </c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58"/>
      <c r="HO119" s="58"/>
      <c r="HP119" s="58"/>
      <c r="HQ119" s="58"/>
      <c r="HR119" s="58"/>
      <c r="HS119" s="58"/>
      <c r="HT119" s="58"/>
      <c r="HU119" s="58"/>
      <c r="HV119" s="58"/>
      <c r="HW119" s="58"/>
      <c r="HX119" s="58"/>
      <c r="HY119" s="58"/>
      <c r="HZ119" s="58"/>
      <c r="IA119" s="58"/>
      <c r="IB119" s="58"/>
      <c r="IC119" s="58"/>
      <c r="ID119" s="58"/>
      <c r="IE119" s="58"/>
      <c r="IF119" s="58"/>
      <c r="IG119" s="58"/>
      <c r="IH119" s="58"/>
      <c r="II119" s="58"/>
      <c r="IJ119" s="58"/>
      <c r="IK119" s="58"/>
      <c r="IL119" s="58"/>
      <c r="IM119" s="58"/>
      <c r="IN119" s="58"/>
      <c r="IO119" s="58"/>
      <c r="IP119" s="58"/>
      <c r="IQ119" s="58"/>
      <c r="IR119" s="58"/>
      <c r="IS119" s="58"/>
      <c r="IT119" s="58"/>
      <c r="IU119" s="58"/>
      <c r="IV119" s="58"/>
      <c r="IW119" s="58"/>
    </row>
    <row r="120" customFormat="false" ht="12.75" hidden="false" customHeight="false" outlineLevel="0" collapsed="false">
      <c r="A120" s="5" t="n">
        <v>16</v>
      </c>
      <c r="B120" s="5" t="s">
        <v>266</v>
      </c>
      <c r="C120" s="153" t="n">
        <v>36761</v>
      </c>
      <c r="D120" s="58" t="s">
        <v>132</v>
      </c>
      <c r="E120" s="58" t="s">
        <v>89</v>
      </c>
      <c r="F120" s="58" t="s">
        <v>235</v>
      </c>
      <c r="G120" s="58" t="s">
        <v>239</v>
      </c>
      <c r="H120" s="154" t="n">
        <v>0</v>
      </c>
      <c r="I120" s="6" t="n">
        <f aca="false">+H120*K120</f>
        <v>0</v>
      </c>
      <c r="J120" s="155" t="n">
        <v>36800</v>
      </c>
      <c r="K120" s="156" t="n">
        <v>10000</v>
      </c>
      <c r="L120" s="157" t="s">
        <v>8</v>
      </c>
      <c r="M120" s="154" t="s">
        <v>264</v>
      </c>
      <c r="N120" s="158"/>
      <c r="O120" s="159" t="n">
        <f aca="false">0.005*K120</f>
        <v>50</v>
      </c>
      <c r="P120" s="58"/>
      <c r="Q120" s="160" t="n">
        <v>5.105</v>
      </c>
      <c r="R120" s="161"/>
      <c r="S120" s="58"/>
      <c r="T120" s="159" t="n">
        <v>0</v>
      </c>
      <c r="U120" s="162"/>
      <c r="V120" s="162"/>
      <c r="W120" s="58"/>
      <c r="X120" s="58"/>
      <c r="Y120" s="58"/>
      <c r="Z120" s="58"/>
      <c r="AA120" s="5"/>
      <c r="AB120" s="12" t="s">
        <v>95</v>
      </c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  <c r="HG120" s="58"/>
      <c r="HH120" s="58"/>
      <c r="HI120" s="58"/>
      <c r="HJ120" s="58"/>
      <c r="HK120" s="58"/>
      <c r="HL120" s="58"/>
      <c r="HM120" s="58"/>
      <c r="HN120" s="58"/>
      <c r="HO120" s="58"/>
      <c r="HP120" s="58"/>
      <c r="HQ120" s="58"/>
      <c r="HR120" s="58"/>
      <c r="HS120" s="58"/>
      <c r="HT120" s="58"/>
      <c r="HU120" s="58"/>
      <c r="HV120" s="58"/>
      <c r="HW120" s="58"/>
      <c r="HX120" s="58"/>
      <c r="HY120" s="58"/>
      <c r="HZ120" s="58"/>
      <c r="IA120" s="58"/>
      <c r="IB120" s="58"/>
      <c r="IC120" s="58"/>
      <c r="ID120" s="58"/>
      <c r="IE120" s="58"/>
      <c r="IF120" s="58"/>
      <c r="IG120" s="58"/>
      <c r="IH120" s="58"/>
      <c r="II120" s="58"/>
      <c r="IJ120" s="58"/>
      <c r="IK120" s="58"/>
      <c r="IL120" s="58"/>
      <c r="IM120" s="58"/>
      <c r="IN120" s="58"/>
      <c r="IO120" s="58"/>
      <c r="IP120" s="58"/>
      <c r="IQ120" s="58"/>
      <c r="IR120" s="58"/>
      <c r="IS120" s="58"/>
      <c r="IT120" s="58"/>
      <c r="IU120" s="58"/>
      <c r="IV120" s="58"/>
      <c r="IW120" s="58"/>
    </row>
    <row r="121" customFormat="false" ht="12.75" hidden="false" customHeight="false" outlineLevel="0" collapsed="false">
      <c r="A121" s="5" t="n">
        <v>16</v>
      </c>
      <c r="B121" s="5" t="s">
        <v>266</v>
      </c>
      <c r="C121" s="153" t="n">
        <v>36761</v>
      </c>
      <c r="D121" s="58" t="s">
        <v>132</v>
      </c>
      <c r="E121" s="58" t="s">
        <v>89</v>
      </c>
      <c r="F121" s="58" t="s">
        <v>235</v>
      </c>
      <c r="G121" s="58" t="s">
        <v>239</v>
      </c>
      <c r="H121" s="154" t="n">
        <v>0</v>
      </c>
      <c r="I121" s="6" t="n">
        <f aca="false">+H121*K121</f>
        <v>0</v>
      </c>
      <c r="J121" s="155" t="n">
        <v>36831</v>
      </c>
      <c r="K121" s="156" t="n">
        <v>10000</v>
      </c>
      <c r="L121" s="157" t="s">
        <v>8</v>
      </c>
      <c r="M121" s="154" t="s">
        <v>264</v>
      </c>
      <c r="N121" s="158"/>
      <c r="O121" s="159" t="n">
        <f aca="false">0.005*K121</f>
        <v>50</v>
      </c>
      <c r="P121" s="58"/>
      <c r="Q121" s="160" t="n">
        <v>4.31</v>
      </c>
      <c r="R121" s="161"/>
      <c r="S121" s="58"/>
      <c r="T121" s="159" t="n">
        <v>0</v>
      </c>
      <c r="U121" s="162"/>
      <c r="V121" s="162"/>
      <c r="W121" s="58"/>
      <c r="X121" s="58"/>
      <c r="Y121" s="58"/>
      <c r="Z121" s="58"/>
      <c r="AA121" s="5"/>
      <c r="AB121" s="12" t="s">
        <v>95</v>
      </c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8"/>
      <c r="HL121" s="58"/>
      <c r="HM121" s="58"/>
      <c r="HN121" s="58"/>
      <c r="HO121" s="58"/>
      <c r="HP121" s="58"/>
      <c r="HQ121" s="58"/>
      <c r="HR121" s="58"/>
      <c r="HS121" s="58"/>
      <c r="HT121" s="58"/>
      <c r="HU121" s="58"/>
      <c r="HV121" s="58"/>
      <c r="HW121" s="58"/>
      <c r="HX121" s="58"/>
      <c r="HY121" s="58"/>
      <c r="HZ121" s="58"/>
      <c r="IA121" s="58"/>
      <c r="IB121" s="58"/>
      <c r="IC121" s="58"/>
      <c r="ID121" s="58"/>
      <c r="IE121" s="58"/>
      <c r="IF121" s="58"/>
      <c r="IG121" s="58"/>
      <c r="IH121" s="58"/>
      <c r="II121" s="58"/>
      <c r="IJ121" s="58"/>
      <c r="IK121" s="58"/>
      <c r="IL121" s="58"/>
      <c r="IM121" s="58"/>
      <c r="IN121" s="58"/>
      <c r="IO121" s="58"/>
      <c r="IP121" s="58"/>
      <c r="IQ121" s="58"/>
      <c r="IR121" s="58"/>
      <c r="IS121" s="58"/>
      <c r="IT121" s="58"/>
      <c r="IU121" s="58"/>
      <c r="IV121" s="58"/>
      <c r="IW121" s="58"/>
    </row>
    <row r="122" customFormat="false" ht="12.75" hidden="false" customHeight="false" outlineLevel="0" collapsed="false">
      <c r="A122" s="5" t="n">
        <v>16</v>
      </c>
      <c r="B122" s="5" t="s">
        <v>266</v>
      </c>
      <c r="C122" s="153" t="n">
        <v>36761</v>
      </c>
      <c r="D122" s="58" t="s">
        <v>132</v>
      </c>
      <c r="E122" s="58" t="s">
        <v>89</v>
      </c>
      <c r="F122" s="58" t="s">
        <v>235</v>
      </c>
      <c r="G122" s="58" t="s">
        <v>239</v>
      </c>
      <c r="H122" s="154" t="n">
        <v>0</v>
      </c>
      <c r="I122" s="6" t="n">
        <f aca="false">+H122*K122</f>
        <v>0</v>
      </c>
      <c r="J122" s="155" t="n">
        <v>36861</v>
      </c>
      <c r="K122" s="156" t="n">
        <v>10000</v>
      </c>
      <c r="L122" s="157" t="s">
        <v>8</v>
      </c>
      <c r="M122" s="154" t="s">
        <v>264</v>
      </c>
      <c r="N122" s="158"/>
      <c r="O122" s="159" t="n">
        <f aca="false">0.005*K122</f>
        <v>50</v>
      </c>
      <c r="P122" s="58"/>
      <c r="Q122" s="160" t="n">
        <v>5.775</v>
      </c>
      <c r="R122" s="161"/>
      <c r="S122" s="58"/>
      <c r="T122" s="159" t="n">
        <v>0</v>
      </c>
      <c r="U122" s="162"/>
      <c r="V122" s="162"/>
      <c r="W122" s="58"/>
      <c r="X122" s="58"/>
      <c r="Y122" s="58"/>
      <c r="Z122" s="58"/>
      <c r="AA122" s="5"/>
      <c r="AB122" s="12" t="s">
        <v>95</v>
      </c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  <c r="HG122" s="58"/>
      <c r="HH122" s="58"/>
      <c r="HI122" s="58"/>
      <c r="HJ122" s="58"/>
      <c r="HK122" s="58"/>
      <c r="HL122" s="58"/>
      <c r="HM122" s="58"/>
      <c r="HN122" s="58"/>
      <c r="HO122" s="58"/>
      <c r="HP122" s="58"/>
      <c r="HQ122" s="58"/>
      <c r="HR122" s="58"/>
      <c r="HS122" s="58"/>
      <c r="HT122" s="58"/>
      <c r="HU122" s="58"/>
      <c r="HV122" s="58"/>
      <c r="HW122" s="58"/>
      <c r="HX122" s="58"/>
      <c r="HY122" s="58"/>
      <c r="HZ122" s="58"/>
      <c r="IA122" s="58"/>
      <c r="IB122" s="58"/>
      <c r="IC122" s="58"/>
      <c r="ID122" s="58"/>
      <c r="IE122" s="58"/>
      <c r="IF122" s="58"/>
      <c r="IG122" s="58"/>
      <c r="IH122" s="58"/>
      <c r="II122" s="58"/>
      <c r="IJ122" s="58"/>
      <c r="IK122" s="58"/>
      <c r="IL122" s="58"/>
      <c r="IM122" s="58"/>
      <c r="IN122" s="58"/>
      <c r="IO122" s="58"/>
      <c r="IP122" s="58"/>
      <c r="IQ122" s="58"/>
      <c r="IR122" s="58"/>
      <c r="IS122" s="58"/>
      <c r="IT122" s="58"/>
      <c r="IU122" s="58"/>
      <c r="IV122" s="58"/>
      <c r="IW122" s="58"/>
    </row>
    <row r="123" customFormat="false" ht="12.75" hidden="false" customHeight="false" outlineLevel="0" collapsed="false">
      <c r="A123" s="5" t="n">
        <v>16</v>
      </c>
      <c r="B123" s="5" t="s">
        <v>266</v>
      </c>
      <c r="C123" s="153" t="n">
        <v>36761</v>
      </c>
      <c r="D123" s="58" t="s">
        <v>132</v>
      </c>
      <c r="E123" s="58" t="s">
        <v>89</v>
      </c>
      <c r="F123" s="58" t="s">
        <v>235</v>
      </c>
      <c r="G123" s="58" t="s">
        <v>239</v>
      </c>
      <c r="H123" s="154" t="n">
        <v>0</v>
      </c>
      <c r="I123" s="6" t="n">
        <f aca="false">+H123*K123</f>
        <v>0</v>
      </c>
      <c r="J123" s="155" t="n">
        <v>36892</v>
      </c>
      <c r="K123" s="156" t="n">
        <v>10000</v>
      </c>
      <c r="L123" s="157" t="s">
        <v>8</v>
      </c>
      <c r="M123" s="154" t="s">
        <v>264</v>
      </c>
      <c r="N123" s="158"/>
      <c r="O123" s="159" t="n">
        <f aca="false">0.005*K123</f>
        <v>50</v>
      </c>
      <c r="P123" s="58"/>
      <c r="Q123" s="135" t="n">
        <v>9.565</v>
      </c>
      <c r="R123" s="161"/>
      <c r="S123" s="58"/>
      <c r="T123" s="134" t="n">
        <f aca="false">(9.2-Q123)*K123</f>
        <v>-3650</v>
      </c>
      <c r="U123" s="162"/>
      <c r="V123" s="162"/>
      <c r="W123" s="58"/>
      <c r="X123" s="58"/>
      <c r="Y123" s="58"/>
      <c r="Z123" s="58"/>
      <c r="AA123" s="5"/>
      <c r="AB123" s="12" t="s">
        <v>95</v>
      </c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  <c r="HG123" s="58"/>
      <c r="HH123" s="58"/>
      <c r="HI123" s="58"/>
      <c r="HJ123" s="58"/>
      <c r="HK123" s="58"/>
      <c r="HL123" s="58"/>
      <c r="HM123" s="58"/>
      <c r="HN123" s="58"/>
      <c r="HO123" s="58"/>
      <c r="HP123" s="58"/>
      <c r="HQ123" s="58"/>
      <c r="HR123" s="58"/>
      <c r="HS123" s="58"/>
      <c r="HT123" s="58"/>
      <c r="HU123" s="58"/>
      <c r="HV123" s="58"/>
      <c r="HW123" s="58"/>
      <c r="HX123" s="58"/>
      <c r="HY123" s="58"/>
      <c r="HZ123" s="58"/>
      <c r="IA123" s="58"/>
      <c r="IB123" s="58"/>
      <c r="IC123" s="58"/>
      <c r="ID123" s="58"/>
      <c r="IE123" s="58"/>
      <c r="IF123" s="58"/>
      <c r="IG123" s="58"/>
      <c r="IH123" s="58"/>
      <c r="II123" s="58"/>
      <c r="IJ123" s="58"/>
      <c r="IK123" s="58"/>
      <c r="IL123" s="58"/>
      <c r="IM123" s="58"/>
      <c r="IN123" s="58"/>
      <c r="IO123" s="58"/>
      <c r="IP123" s="58"/>
      <c r="IQ123" s="58"/>
      <c r="IR123" s="58"/>
      <c r="IS123" s="58"/>
      <c r="IT123" s="58"/>
      <c r="IU123" s="58"/>
      <c r="IV123" s="58"/>
      <c r="IW123" s="58"/>
    </row>
    <row r="124" customFormat="false" ht="12.75" hidden="false" customHeight="false" outlineLevel="0" collapsed="false">
      <c r="A124" s="5" t="n">
        <v>16</v>
      </c>
      <c r="B124" s="5" t="s">
        <v>266</v>
      </c>
      <c r="C124" s="153" t="n">
        <v>36761</v>
      </c>
      <c r="D124" s="58" t="s">
        <v>132</v>
      </c>
      <c r="E124" s="58" t="s">
        <v>89</v>
      </c>
      <c r="F124" s="58" t="s">
        <v>235</v>
      </c>
      <c r="G124" s="58" t="s">
        <v>239</v>
      </c>
      <c r="H124" s="154" t="n">
        <v>0</v>
      </c>
      <c r="I124" s="6" t="n">
        <f aca="false">+H124*K124</f>
        <v>0</v>
      </c>
      <c r="J124" s="155" t="n">
        <v>36923</v>
      </c>
      <c r="K124" s="156" t="n">
        <v>10000</v>
      </c>
      <c r="L124" s="157" t="s">
        <v>8</v>
      </c>
      <c r="M124" s="154" t="s">
        <v>264</v>
      </c>
      <c r="N124" s="158"/>
      <c r="O124" s="159" t="n">
        <f aca="false">0.005*K124</f>
        <v>50</v>
      </c>
      <c r="P124" s="58"/>
      <c r="Q124" s="160"/>
      <c r="R124" s="161"/>
      <c r="S124" s="58"/>
      <c r="T124" s="159"/>
      <c r="U124" s="162"/>
      <c r="V124" s="162"/>
      <c r="W124" s="58"/>
      <c r="X124" s="58"/>
      <c r="Y124" s="58"/>
      <c r="Z124" s="58"/>
      <c r="AA124" s="5"/>
      <c r="AB124" s="12" t="s">
        <v>95</v>
      </c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  <c r="HG124" s="58"/>
      <c r="HH124" s="58"/>
      <c r="HI124" s="58"/>
      <c r="HJ124" s="58"/>
      <c r="HK124" s="58"/>
      <c r="HL124" s="58"/>
      <c r="HM124" s="58"/>
      <c r="HN124" s="58"/>
      <c r="HO124" s="58"/>
      <c r="HP124" s="58"/>
      <c r="HQ124" s="58"/>
      <c r="HR124" s="58"/>
      <c r="HS124" s="58"/>
      <c r="HT124" s="58"/>
      <c r="HU124" s="58"/>
      <c r="HV124" s="58"/>
      <c r="HW124" s="58"/>
      <c r="HX124" s="58"/>
      <c r="HY124" s="58"/>
      <c r="HZ124" s="58"/>
      <c r="IA124" s="58"/>
      <c r="IB124" s="58"/>
      <c r="IC124" s="58"/>
      <c r="ID124" s="58"/>
      <c r="IE124" s="58"/>
      <c r="IF124" s="58"/>
      <c r="IG124" s="58"/>
      <c r="IH124" s="58"/>
      <c r="II124" s="58"/>
      <c r="IJ124" s="58"/>
      <c r="IK124" s="58"/>
      <c r="IL124" s="58"/>
      <c r="IM124" s="58"/>
      <c r="IN124" s="58"/>
      <c r="IO124" s="58"/>
      <c r="IP124" s="58"/>
      <c r="IQ124" s="58"/>
      <c r="IR124" s="58"/>
      <c r="IS124" s="58"/>
      <c r="IT124" s="58"/>
      <c r="IU124" s="58"/>
      <c r="IV124" s="58"/>
      <c r="IW124" s="58"/>
    </row>
    <row r="126" customFormat="false" ht="12.75" hidden="false" customHeight="false" outlineLevel="0" collapsed="false">
      <c r="A126" s="10" t="n">
        <v>17</v>
      </c>
      <c r="B126" s="10" t="s">
        <v>267</v>
      </c>
      <c r="C126" s="62" t="n">
        <v>36762</v>
      </c>
      <c r="D126" s="12" t="s">
        <v>138</v>
      </c>
      <c r="E126" s="12" t="s">
        <v>89</v>
      </c>
      <c r="F126" s="12" t="s">
        <v>109</v>
      </c>
      <c r="G126" s="12" t="s">
        <v>268</v>
      </c>
      <c r="H126" s="63" t="n">
        <v>0</v>
      </c>
      <c r="I126" s="14" t="n">
        <f aca="false">+H126*K126</f>
        <v>0</v>
      </c>
      <c r="J126" s="85" t="n">
        <v>36770</v>
      </c>
      <c r="K126" s="13" t="n">
        <v>250000</v>
      </c>
      <c r="L126" s="38" t="s">
        <v>8</v>
      </c>
      <c r="M126" s="63" t="n">
        <v>4.02</v>
      </c>
      <c r="N126" s="133" t="n">
        <f aca="false">K126*M126</f>
        <v>1005000</v>
      </c>
      <c r="O126" s="134" t="n">
        <f aca="false">0.01*K126</f>
        <v>2500</v>
      </c>
      <c r="Q126" s="135" t="n">
        <v>4.64</v>
      </c>
      <c r="T126" s="134" t="n">
        <f aca="false">(M126-Q126)*K126</f>
        <v>-155000</v>
      </c>
      <c r="Y126" s="12" t="s">
        <v>269</v>
      </c>
      <c r="AB126" s="12" t="s">
        <v>95</v>
      </c>
    </row>
    <row r="127" customFormat="false" ht="12.75" hidden="false" customHeight="false" outlineLevel="0" collapsed="false">
      <c r="A127" s="10" t="n">
        <v>17</v>
      </c>
      <c r="B127" s="10" t="s">
        <v>267</v>
      </c>
      <c r="C127" s="62" t="n">
        <v>36762</v>
      </c>
      <c r="D127" s="12" t="s">
        <v>138</v>
      </c>
      <c r="E127" s="12" t="s">
        <v>89</v>
      </c>
      <c r="F127" s="12" t="s">
        <v>109</v>
      </c>
      <c r="G127" s="12" t="s">
        <v>268</v>
      </c>
      <c r="H127" s="63" t="n">
        <v>0</v>
      </c>
      <c r="I127" s="14" t="n">
        <f aca="false">+H127*K127</f>
        <v>0</v>
      </c>
      <c r="J127" s="85" t="n">
        <v>36800</v>
      </c>
      <c r="K127" s="13" t="n">
        <v>250000</v>
      </c>
      <c r="L127" s="38" t="s">
        <v>8</v>
      </c>
      <c r="M127" s="63" t="n">
        <v>4.02</v>
      </c>
      <c r="N127" s="133" t="n">
        <f aca="false">K127*M127</f>
        <v>1005000</v>
      </c>
      <c r="O127" s="134" t="n">
        <f aca="false">0.01*K127</f>
        <v>2500</v>
      </c>
      <c r="Q127" s="135" t="n">
        <v>5.3</v>
      </c>
      <c r="T127" s="134" t="n">
        <f aca="false">(M127-Q127)*K127</f>
        <v>-320000</v>
      </c>
      <c r="AB127" s="12" t="s">
        <v>95</v>
      </c>
    </row>
    <row r="128" customFormat="false" ht="12.75" hidden="false" customHeight="false" outlineLevel="0" collapsed="false">
      <c r="A128" s="10" t="n">
        <v>17</v>
      </c>
      <c r="B128" s="10" t="s">
        <v>267</v>
      </c>
      <c r="C128" s="62" t="n">
        <v>36762</v>
      </c>
      <c r="D128" s="12" t="s">
        <v>138</v>
      </c>
      <c r="E128" s="12" t="s">
        <v>89</v>
      </c>
      <c r="F128" s="12" t="s">
        <v>109</v>
      </c>
      <c r="G128" s="12" t="s">
        <v>268</v>
      </c>
      <c r="H128" s="63" t="n">
        <v>0</v>
      </c>
      <c r="I128" s="14" t="n">
        <f aca="false">+H128*K128</f>
        <v>0</v>
      </c>
      <c r="J128" s="85" t="n">
        <v>36831</v>
      </c>
      <c r="K128" s="13" t="n">
        <v>250000</v>
      </c>
      <c r="L128" s="38" t="s">
        <v>8</v>
      </c>
      <c r="M128" s="63" t="n">
        <v>4.02</v>
      </c>
      <c r="N128" s="133" t="n">
        <f aca="false">K128*M128</f>
        <v>1005000</v>
      </c>
      <c r="O128" s="134" t="n">
        <f aca="false">0.01*K128</f>
        <v>2500</v>
      </c>
      <c r="Q128" s="135" t="n">
        <v>4.46</v>
      </c>
      <c r="T128" s="134" t="n">
        <f aca="false">(M128-Q128)*K128</f>
        <v>-110000</v>
      </c>
      <c r="AB128" s="12" t="s">
        <v>95</v>
      </c>
    </row>
    <row r="129" customFormat="false" ht="12.75" hidden="false" customHeight="false" outlineLevel="0" collapsed="false">
      <c r="A129" s="10" t="n">
        <v>17</v>
      </c>
      <c r="B129" s="10" t="s">
        <v>267</v>
      </c>
      <c r="C129" s="62" t="n">
        <v>36762</v>
      </c>
      <c r="D129" s="12" t="s">
        <v>138</v>
      </c>
      <c r="E129" s="12" t="s">
        <v>89</v>
      </c>
      <c r="F129" s="12" t="s">
        <v>109</v>
      </c>
      <c r="G129" s="12" t="s">
        <v>268</v>
      </c>
      <c r="H129" s="63" t="n">
        <v>0</v>
      </c>
      <c r="I129" s="14" t="n">
        <f aca="false">+H129*K129</f>
        <v>0</v>
      </c>
      <c r="J129" s="85" t="n">
        <v>36861</v>
      </c>
      <c r="K129" s="13" t="n">
        <v>250000</v>
      </c>
      <c r="L129" s="38" t="s">
        <v>8</v>
      </c>
      <c r="M129" s="63" t="n">
        <v>4.02</v>
      </c>
      <c r="N129" s="133" t="n">
        <f aca="false">K129*M129</f>
        <v>1005000</v>
      </c>
      <c r="O129" s="134" t="n">
        <f aca="false">0.01*K129</f>
        <v>2500</v>
      </c>
      <c r="Q129" s="135" t="n">
        <v>6</v>
      </c>
      <c r="T129" s="134" t="n">
        <f aca="false">(M129-Q129)*K129</f>
        <v>-495000</v>
      </c>
      <c r="AB129" s="12" t="s">
        <v>95</v>
      </c>
    </row>
    <row r="130" customFormat="false" ht="12.75" hidden="false" customHeight="false" outlineLevel="0" collapsed="false">
      <c r="A130" s="10" t="n">
        <v>17</v>
      </c>
      <c r="B130" s="10" t="s">
        <v>267</v>
      </c>
      <c r="C130" s="62" t="n">
        <v>36762</v>
      </c>
      <c r="D130" s="12" t="s">
        <v>138</v>
      </c>
      <c r="E130" s="12" t="s">
        <v>89</v>
      </c>
      <c r="F130" s="12" t="s">
        <v>109</v>
      </c>
      <c r="G130" s="12" t="s">
        <v>268</v>
      </c>
      <c r="H130" s="63" t="n">
        <v>0</v>
      </c>
      <c r="I130" s="14" t="n">
        <f aca="false">+H130*K130</f>
        <v>0</v>
      </c>
      <c r="J130" s="85" t="n">
        <v>36892</v>
      </c>
      <c r="K130" s="13" t="n">
        <v>250000</v>
      </c>
      <c r="L130" s="38" t="s">
        <v>8</v>
      </c>
      <c r="M130" s="63" t="n">
        <v>4.02</v>
      </c>
      <c r="N130" s="133" t="n">
        <f aca="false">K130*M130</f>
        <v>1005000</v>
      </c>
      <c r="O130" s="134" t="n">
        <f aca="false">0.01*K130</f>
        <v>2500</v>
      </c>
      <c r="Q130" s="135" t="n">
        <v>9.84</v>
      </c>
      <c r="T130" s="134" t="n">
        <f aca="false">(M130-Q130)*K130</f>
        <v>-1455000</v>
      </c>
      <c r="AB130" s="12" t="s">
        <v>95</v>
      </c>
    </row>
    <row r="131" customFormat="false" ht="12.75" hidden="false" customHeight="false" outlineLevel="0" collapsed="false">
      <c r="A131" s="10" t="n">
        <v>17</v>
      </c>
      <c r="B131" s="10" t="s">
        <v>267</v>
      </c>
      <c r="C131" s="62" t="n">
        <v>36762</v>
      </c>
      <c r="D131" s="12" t="s">
        <v>138</v>
      </c>
      <c r="E131" s="12" t="s">
        <v>89</v>
      </c>
      <c r="F131" s="12" t="s">
        <v>109</v>
      </c>
      <c r="G131" s="12" t="s">
        <v>268</v>
      </c>
      <c r="H131" s="63" t="n">
        <v>0</v>
      </c>
      <c r="I131" s="14" t="n">
        <f aca="false">+H131*K131</f>
        <v>0</v>
      </c>
      <c r="J131" s="85" t="n">
        <v>36923</v>
      </c>
      <c r="K131" s="13" t="n">
        <v>250000</v>
      </c>
      <c r="L131" s="38" t="s">
        <v>8</v>
      </c>
      <c r="M131" s="63" t="n">
        <v>4.02</v>
      </c>
      <c r="N131" s="133" t="n">
        <f aca="false">K131*M131</f>
        <v>1005000</v>
      </c>
      <c r="O131" s="134" t="n">
        <f aca="false">0.01*K131</f>
        <v>2500</v>
      </c>
      <c r="AB131" s="12" t="s">
        <v>95</v>
      </c>
    </row>
    <row r="132" customFormat="false" ht="12.75" hidden="false" customHeight="false" outlineLevel="0" collapsed="false">
      <c r="A132" s="10" t="n">
        <v>17</v>
      </c>
      <c r="B132" s="10" t="s">
        <v>267</v>
      </c>
      <c r="C132" s="62" t="n">
        <v>36762</v>
      </c>
      <c r="D132" s="12" t="s">
        <v>138</v>
      </c>
      <c r="E132" s="12" t="s">
        <v>89</v>
      </c>
      <c r="F132" s="12" t="s">
        <v>109</v>
      </c>
      <c r="G132" s="12" t="s">
        <v>270</v>
      </c>
      <c r="I132" s="14" t="n">
        <f aca="false">+H132*K132</f>
        <v>0</v>
      </c>
      <c r="J132" s="85" t="n">
        <v>36951</v>
      </c>
      <c r="K132" s="13" t="n">
        <v>250000</v>
      </c>
      <c r="L132" s="38" t="s">
        <v>8</v>
      </c>
      <c r="M132" s="63" t="n">
        <v>4.02</v>
      </c>
      <c r="N132" s="133" t="n">
        <f aca="false">K132*M132</f>
        <v>1005000</v>
      </c>
      <c r="O132" s="134" t="n">
        <v>0</v>
      </c>
      <c r="AB132" s="12" t="s">
        <v>95</v>
      </c>
    </row>
    <row r="133" customFormat="false" ht="12.75" hidden="false" customHeight="false" outlineLevel="0" collapsed="false">
      <c r="A133" s="10" t="n">
        <v>17</v>
      </c>
      <c r="B133" s="10" t="s">
        <v>267</v>
      </c>
      <c r="C133" s="62" t="n">
        <v>36762</v>
      </c>
      <c r="D133" s="12" t="s">
        <v>138</v>
      </c>
      <c r="E133" s="12" t="s">
        <v>89</v>
      </c>
      <c r="F133" s="12" t="s">
        <v>109</v>
      </c>
      <c r="G133" s="12" t="s">
        <v>270</v>
      </c>
      <c r="I133" s="14" t="n">
        <f aca="false">+H133*K133</f>
        <v>0</v>
      </c>
      <c r="J133" s="85" t="n">
        <v>36982</v>
      </c>
      <c r="K133" s="13" t="n">
        <v>250000</v>
      </c>
      <c r="L133" s="38" t="s">
        <v>8</v>
      </c>
      <c r="M133" s="63" t="n">
        <v>4.02</v>
      </c>
      <c r="N133" s="133" t="n">
        <f aca="false">K133*M133</f>
        <v>1005000</v>
      </c>
      <c r="O133" s="134" t="n">
        <v>0</v>
      </c>
      <c r="AB133" s="12" t="s">
        <v>95</v>
      </c>
    </row>
    <row r="134" customFormat="false" ht="12.75" hidden="false" customHeight="false" outlineLevel="0" collapsed="false">
      <c r="A134" s="10" t="n">
        <v>17</v>
      </c>
      <c r="B134" s="10" t="s">
        <v>267</v>
      </c>
      <c r="C134" s="62" t="n">
        <v>36762</v>
      </c>
      <c r="D134" s="12" t="s">
        <v>138</v>
      </c>
      <c r="E134" s="12" t="s">
        <v>89</v>
      </c>
      <c r="F134" s="12" t="s">
        <v>109</v>
      </c>
      <c r="G134" s="12" t="s">
        <v>270</v>
      </c>
      <c r="I134" s="14" t="n">
        <f aca="false">+H134*K134</f>
        <v>0</v>
      </c>
      <c r="J134" s="85" t="n">
        <v>37012</v>
      </c>
      <c r="K134" s="13" t="n">
        <v>250000</v>
      </c>
      <c r="L134" s="38" t="s">
        <v>8</v>
      </c>
      <c r="M134" s="63" t="n">
        <v>4.02</v>
      </c>
      <c r="N134" s="133" t="n">
        <f aca="false">K134*M134</f>
        <v>1005000</v>
      </c>
      <c r="O134" s="134" t="n">
        <v>0</v>
      </c>
      <c r="AB134" s="12" t="s">
        <v>95</v>
      </c>
    </row>
    <row r="135" customFormat="false" ht="12.75" hidden="false" customHeight="false" outlineLevel="0" collapsed="false">
      <c r="A135" s="10" t="n">
        <v>17</v>
      </c>
      <c r="B135" s="10" t="s">
        <v>267</v>
      </c>
      <c r="C135" s="62" t="n">
        <v>36762</v>
      </c>
      <c r="D135" s="12" t="s">
        <v>138</v>
      </c>
      <c r="E135" s="12" t="s">
        <v>89</v>
      </c>
      <c r="F135" s="12" t="s">
        <v>109</v>
      </c>
      <c r="G135" s="12" t="s">
        <v>270</v>
      </c>
      <c r="I135" s="14" t="n">
        <f aca="false">+H135*K135</f>
        <v>0</v>
      </c>
      <c r="J135" s="85" t="n">
        <v>37043</v>
      </c>
      <c r="K135" s="13" t="n">
        <v>250000</v>
      </c>
      <c r="L135" s="38" t="s">
        <v>8</v>
      </c>
      <c r="M135" s="63" t="n">
        <v>4.02</v>
      </c>
      <c r="N135" s="133" t="n">
        <f aca="false">K135*M135</f>
        <v>1005000</v>
      </c>
      <c r="O135" s="134" t="n">
        <v>0</v>
      </c>
      <c r="AB135" s="12" t="s">
        <v>95</v>
      </c>
    </row>
    <row r="136" customFormat="false" ht="12.75" hidden="false" customHeight="false" outlineLevel="0" collapsed="false">
      <c r="A136" s="10" t="n">
        <v>17</v>
      </c>
      <c r="B136" s="10" t="s">
        <v>267</v>
      </c>
      <c r="C136" s="62" t="n">
        <v>36762</v>
      </c>
      <c r="D136" s="12" t="s">
        <v>138</v>
      </c>
      <c r="E136" s="12" t="s">
        <v>89</v>
      </c>
      <c r="F136" s="12" t="s">
        <v>109</v>
      </c>
      <c r="G136" s="12" t="s">
        <v>270</v>
      </c>
      <c r="I136" s="14" t="n">
        <f aca="false">+H136*K136</f>
        <v>0</v>
      </c>
      <c r="J136" s="85" t="n">
        <v>37073</v>
      </c>
      <c r="K136" s="13" t="n">
        <v>250000</v>
      </c>
      <c r="L136" s="38" t="s">
        <v>8</v>
      </c>
      <c r="M136" s="63" t="n">
        <v>4.02</v>
      </c>
      <c r="N136" s="133" t="n">
        <f aca="false">K136*M136</f>
        <v>1005000</v>
      </c>
      <c r="O136" s="134" t="n">
        <v>0</v>
      </c>
      <c r="AB136" s="12" t="s">
        <v>95</v>
      </c>
    </row>
    <row r="137" customFormat="false" ht="12.75" hidden="false" customHeight="false" outlineLevel="0" collapsed="false">
      <c r="A137" s="10" t="n">
        <v>17</v>
      </c>
      <c r="B137" s="10" t="s">
        <v>267</v>
      </c>
      <c r="C137" s="62" t="n">
        <v>36762</v>
      </c>
      <c r="D137" s="12" t="s">
        <v>138</v>
      </c>
      <c r="E137" s="12" t="s">
        <v>89</v>
      </c>
      <c r="F137" s="12" t="s">
        <v>109</v>
      </c>
      <c r="G137" s="12" t="s">
        <v>270</v>
      </c>
      <c r="I137" s="14" t="n">
        <f aca="false">+H137*K137</f>
        <v>0</v>
      </c>
      <c r="J137" s="85" t="n">
        <v>37104</v>
      </c>
      <c r="K137" s="13" t="n">
        <v>250000</v>
      </c>
      <c r="L137" s="38" t="s">
        <v>8</v>
      </c>
      <c r="M137" s="63" t="n">
        <v>4.02</v>
      </c>
      <c r="N137" s="133" t="n">
        <f aca="false">K137*M137</f>
        <v>1005000</v>
      </c>
      <c r="O137" s="134" t="n">
        <v>0</v>
      </c>
      <c r="AB137" s="12" t="s">
        <v>95</v>
      </c>
    </row>
    <row r="139" customFormat="false" ht="12.75" hidden="false" customHeight="false" outlineLevel="0" collapsed="false">
      <c r="A139" s="10" t="n">
        <v>18</v>
      </c>
      <c r="B139" s="10" t="s">
        <v>271</v>
      </c>
      <c r="C139" s="62" t="n">
        <v>36762</v>
      </c>
      <c r="D139" s="12" t="s">
        <v>140</v>
      </c>
      <c r="E139" s="12" t="s">
        <v>89</v>
      </c>
      <c r="F139" s="12" t="s">
        <v>235</v>
      </c>
      <c r="G139" s="12" t="s">
        <v>239</v>
      </c>
      <c r="H139" s="63" t="n">
        <v>0</v>
      </c>
      <c r="I139" s="14" t="n">
        <f aca="false">+H139*K139</f>
        <v>0</v>
      </c>
      <c r="J139" s="85" t="n">
        <v>36770</v>
      </c>
      <c r="K139" s="13" t="n">
        <v>6000</v>
      </c>
      <c r="L139" s="38" t="s">
        <v>8</v>
      </c>
      <c r="M139" s="63" t="s">
        <v>272</v>
      </c>
      <c r="O139" s="134" t="n">
        <f aca="false">0.005*K139</f>
        <v>30</v>
      </c>
      <c r="Q139" s="135" t="n">
        <v>4.45</v>
      </c>
      <c r="T139" s="134" t="n">
        <v>0</v>
      </c>
      <c r="Y139" s="12" t="s">
        <v>269</v>
      </c>
      <c r="AA139" s="10" t="s">
        <v>116</v>
      </c>
      <c r="AB139" s="12" t="s">
        <v>245</v>
      </c>
    </row>
    <row r="140" customFormat="false" ht="12.75" hidden="false" customHeight="false" outlineLevel="0" collapsed="false">
      <c r="A140" s="10" t="n">
        <v>18</v>
      </c>
      <c r="B140" s="10" t="s">
        <v>271</v>
      </c>
      <c r="C140" s="62" t="n">
        <v>36762</v>
      </c>
      <c r="D140" s="12" t="s">
        <v>140</v>
      </c>
      <c r="E140" s="12" t="s">
        <v>89</v>
      </c>
      <c r="F140" s="12" t="s">
        <v>235</v>
      </c>
      <c r="G140" s="12" t="s">
        <v>239</v>
      </c>
      <c r="H140" s="63" t="n">
        <v>0</v>
      </c>
      <c r="I140" s="14" t="n">
        <f aca="false">+H140*K140</f>
        <v>0</v>
      </c>
      <c r="J140" s="85" t="n">
        <v>36800</v>
      </c>
      <c r="K140" s="13" t="n">
        <v>6000</v>
      </c>
      <c r="L140" s="38" t="s">
        <v>8</v>
      </c>
      <c r="M140" s="63" t="s">
        <v>272</v>
      </c>
      <c r="O140" s="134" t="n">
        <f aca="false">0.005*K140</f>
        <v>30</v>
      </c>
      <c r="Q140" s="135" t="n">
        <v>5.105</v>
      </c>
      <c r="T140" s="134" t="n">
        <v>0</v>
      </c>
      <c r="AA140" s="10" t="s">
        <v>116</v>
      </c>
      <c r="AB140" s="12" t="s">
        <v>245</v>
      </c>
    </row>
    <row r="141" customFormat="false" ht="12.75" hidden="false" customHeight="false" outlineLevel="0" collapsed="false">
      <c r="A141" s="10" t="n">
        <v>18</v>
      </c>
      <c r="B141" s="10" t="s">
        <v>271</v>
      </c>
      <c r="C141" s="62" t="n">
        <v>36762</v>
      </c>
      <c r="D141" s="12" t="s">
        <v>140</v>
      </c>
      <c r="E141" s="12" t="s">
        <v>89</v>
      </c>
      <c r="F141" s="12" t="s">
        <v>235</v>
      </c>
      <c r="G141" s="12" t="s">
        <v>239</v>
      </c>
      <c r="H141" s="63" t="n">
        <v>0</v>
      </c>
      <c r="I141" s="14" t="n">
        <f aca="false">+H141*K141</f>
        <v>0</v>
      </c>
      <c r="J141" s="85" t="n">
        <v>36831</v>
      </c>
      <c r="K141" s="13" t="n">
        <v>6000</v>
      </c>
      <c r="L141" s="38" t="s">
        <v>8</v>
      </c>
      <c r="M141" s="63" t="s">
        <v>272</v>
      </c>
      <c r="O141" s="134" t="n">
        <f aca="false">0.005*K141</f>
        <v>30</v>
      </c>
      <c r="Q141" s="135" t="n">
        <v>4.31</v>
      </c>
      <c r="T141" s="134" t="n">
        <v>0</v>
      </c>
      <c r="AA141" s="10" t="s">
        <v>116</v>
      </c>
      <c r="AB141" s="12" t="s">
        <v>245</v>
      </c>
    </row>
    <row r="142" customFormat="false" ht="12.75" hidden="false" customHeight="false" outlineLevel="0" collapsed="false">
      <c r="A142" s="10" t="n">
        <v>18</v>
      </c>
      <c r="B142" s="10" t="s">
        <v>271</v>
      </c>
      <c r="C142" s="62" t="n">
        <v>36762</v>
      </c>
      <c r="D142" s="12" t="s">
        <v>140</v>
      </c>
      <c r="E142" s="12" t="s">
        <v>89</v>
      </c>
      <c r="F142" s="12" t="s">
        <v>235</v>
      </c>
      <c r="G142" s="12" t="s">
        <v>239</v>
      </c>
      <c r="H142" s="63" t="n">
        <v>0</v>
      </c>
      <c r="I142" s="14" t="n">
        <f aca="false">+H142*K142</f>
        <v>0</v>
      </c>
      <c r="J142" s="85" t="n">
        <v>36861</v>
      </c>
      <c r="K142" s="13" t="n">
        <v>6000</v>
      </c>
      <c r="L142" s="38" t="s">
        <v>8</v>
      </c>
      <c r="M142" s="63" t="s">
        <v>272</v>
      </c>
      <c r="O142" s="134" t="n">
        <f aca="false">0.005*K142</f>
        <v>30</v>
      </c>
      <c r="Q142" s="135" t="n">
        <v>5.775</v>
      </c>
      <c r="T142" s="134" t="n">
        <f aca="false">(5.2-Q142)*K142</f>
        <v>-3450</v>
      </c>
      <c r="AA142" s="10" t="s">
        <v>116</v>
      </c>
      <c r="AB142" s="12" t="s">
        <v>245</v>
      </c>
    </row>
    <row r="143" customFormat="false" ht="12.75" hidden="false" customHeight="false" outlineLevel="0" collapsed="false">
      <c r="A143" s="10" t="n">
        <v>18</v>
      </c>
      <c r="B143" s="10" t="s">
        <v>271</v>
      </c>
      <c r="C143" s="62" t="n">
        <v>36762</v>
      </c>
      <c r="D143" s="12" t="s">
        <v>140</v>
      </c>
      <c r="E143" s="12" t="s">
        <v>89</v>
      </c>
      <c r="F143" s="12" t="s">
        <v>235</v>
      </c>
      <c r="G143" s="12" t="s">
        <v>239</v>
      </c>
      <c r="H143" s="63" t="n">
        <v>0</v>
      </c>
      <c r="I143" s="14" t="n">
        <f aca="false">+H143*K143</f>
        <v>0</v>
      </c>
      <c r="J143" s="85" t="n">
        <v>36892</v>
      </c>
      <c r="K143" s="13" t="n">
        <v>6000</v>
      </c>
      <c r="L143" s="38" t="s">
        <v>8</v>
      </c>
      <c r="M143" s="63" t="s">
        <v>272</v>
      </c>
      <c r="O143" s="134" t="n">
        <f aca="false">0.005*K143</f>
        <v>30</v>
      </c>
      <c r="Q143" s="135" t="n">
        <v>9.565</v>
      </c>
      <c r="T143" s="134" t="n">
        <f aca="false">(5.2-Q143)*K143</f>
        <v>-26190</v>
      </c>
      <c r="AA143" s="10" t="s">
        <v>116</v>
      </c>
      <c r="AB143" s="12" t="s">
        <v>245</v>
      </c>
    </row>
    <row r="144" customFormat="false" ht="12.75" hidden="false" customHeight="false" outlineLevel="0" collapsed="false">
      <c r="A144" s="10" t="n">
        <v>18</v>
      </c>
      <c r="B144" s="10" t="s">
        <v>271</v>
      </c>
      <c r="C144" s="62" t="n">
        <v>36762</v>
      </c>
      <c r="D144" s="12" t="s">
        <v>140</v>
      </c>
      <c r="E144" s="12" t="s">
        <v>89</v>
      </c>
      <c r="F144" s="12" t="s">
        <v>235</v>
      </c>
      <c r="G144" s="12" t="s">
        <v>239</v>
      </c>
      <c r="H144" s="63" t="n">
        <v>0</v>
      </c>
      <c r="I144" s="14" t="n">
        <f aca="false">+H144*K144</f>
        <v>0</v>
      </c>
      <c r="J144" s="85" t="n">
        <v>36923</v>
      </c>
      <c r="K144" s="13" t="n">
        <v>6000</v>
      </c>
      <c r="L144" s="38" t="s">
        <v>8</v>
      </c>
      <c r="M144" s="63" t="s">
        <v>272</v>
      </c>
      <c r="O144" s="134" t="n">
        <f aca="false">0.005*K144</f>
        <v>30</v>
      </c>
      <c r="AA144" s="10" t="s">
        <v>116</v>
      </c>
      <c r="AB144" s="12" t="s">
        <v>245</v>
      </c>
    </row>
    <row r="146" customFormat="false" ht="12.75" hidden="false" customHeight="false" outlineLevel="0" collapsed="false">
      <c r="A146" s="10" t="n">
        <v>19</v>
      </c>
      <c r="B146" s="10" t="s">
        <v>273</v>
      </c>
      <c r="C146" s="62" t="n">
        <v>36762</v>
      </c>
      <c r="D146" s="12" t="s">
        <v>141</v>
      </c>
      <c r="E146" s="12" t="s">
        <v>89</v>
      </c>
      <c r="F146" s="12" t="s">
        <v>235</v>
      </c>
      <c r="G146" s="12" t="s">
        <v>239</v>
      </c>
      <c r="H146" s="63" t="n">
        <v>0</v>
      </c>
      <c r="I146" s="14" t="n">
        <f aca="false">+H146*K146</f>
        <v>0</v>
      </c>
      <c r="J146" s="85" t="n">
        <v>36770</v>
      </c>
      <c r="K146" s="13" t="n">
        <v>6000</v>
      </c>
      <c r="L146" s="38" t="s">
        <v>8</v>
      </c>
      <c r="M146" s="63" t="s">
        <v>272</v>
      </c>
      <c r="O146" s="134" t="n">
        <f aca="false">0.005*K146</f>
        <v>30</v>
      </c>
      <c r="Q146" s="135" t="n">
        <v>4.45</v>
      </c>
      <c r="T146" s="134" t="n">
        <v>0</v>
      </c>
      <c r="Y146" s="12" t="s">
        <v>269</v>
      </c>
      <c r="AA146" s="10" t="s">
        <v>116</v>
      </c>
      <c r="AB146" s="12" t="s">
        <v>245</v>
      </c>
    </row>
    <row r="147" customFormat="false" ht="12.75" hidden="false" customHeight="false" outlineLevel="0" collapsed="false">
      <c r="A147" s="10" t="n">
        <v>19</v>
      </c>
      <c r="B147" s="10" t="s">
        <v>273</v>
      </c>
      <c r="C147" s="62" t="n">
        <v>36762</v>
      </c>
      <c r="D147" s="12" t="s">
        <v>141</v>
      </c>
      <c r="E147" s="12" t="s">
        <v>89</v>
      </c>
      <c r="F147" s="12" t="s">
        <v>235</v>
      </c>
      <c r="G147" s="12" t="s">
        <v>239</v>
      </c>
      <c r="H147" s="63" t="n">
        <v>0</v>
      </c>
      <c r="I147" s="14" t="n">
        <f aca="false">+H147*K147</f>
        <v>0</v>
      </c>
      <c r="J147" s="85" t="n">
        <v>36800</v>
      </c>
      <c r="K147" s="13" t="n">
        <f aca="false">+K146</f>
        <v>6000</v>
      </c>
      <c r="L147" s="38" t="s">
        <v>8</v>
      </c>
      <c r="M147" s="63" t="s">
        <v>272</v>
      </c>
      <c r="O147" s="134" t="n">
        <f aca="false">0.005*K147</f>
        <v>30</v>
      </c>
      <c r="Q147" s="135" t="n">
        <v>5.105</v>
      </c>
      <c r="T147" s="134" t="n">
        <v>0</v>
      </c>
      <c r="AA147" s="10" t="s">
        <v>116</v>
      </c>
      <c r="AB147" s="12" t="s">
        <v>245</v>
      </c>
    </row>
    <row r="148" customFormat="false" ht="12.75" hidden="false" customHeight="false" outlineLevel="0" collapsed="false">
      <c r="A148" s="10" t="n">
        <v>19</v>
      </c>
      <c r="B148" s="10" t="s">
        <v>273</v>
      </c>
      <c r="C148" s="62" t="n">
        <v>36762</v>
      </c>
      <c r="D148" s="12" t="s">
        <v>141</v>
      </c>
      <c r="E148" s="12" t="s">
        <v>89</v>
      </c>
      <c r="F148" s="12" t="s">
        <v>235</v>
      </c>
      <c r="G148" s="12" t="s">
        <v>239</v>
      </c>
      <c r="H148" s="63" t="n">
        <v>0</v>
      </c>
      <c r="I148" s="14" t="n">
        <f aca="false">+H148*K148</f>
        <v>0</v>
      </c>
      <c r="J148" s="85" t="n">
        <v>36831</v>
      </c>
      <c r="K148" s="13" t="n">
        <f aca="false">+K147</f>
        <v>6000</v>
      </c>
      <c r="L148" s="38" t="s">
        <v>8</v>
      </c>
      <c r="M148" s="63" t="s">
        <v>272</v>
      </c>
      <c r="O148" s="134" t="n">
        <f aca="false">0.005*K148</f>
        <v>30</v>
      </c>
      <c r="Q148" s="135" t="n">
        <v>4.31</v>
      </c>
      <c r="T148" s="134" t="n">
        <v>0</v>
      </c>
      <c r="AA148" s="10" t="s">
        <v>116</v>
      </c>
      <c r="AB148" s="12" t="s">
        <v>245</v>
      </c>
    </row>
    <row r="149" customFormat="false" ht="12.75" hidden="false" customHeight="false" outlineLevel="0" collapsed="false">
      <c r="A149" s="10" t="n">
        <v>19</v>
      </c>
      <c r="B149" s="10" t="s">
        <v>273</v>
      </c>
      <c r="C149" s="62" t="n">
        <v>36762</v>
      </c>
      <c r="D149" s="12" t="s">
        <v>141</v>
      </c>
      <c r="E149" s="12" t="s">
        <v>89</v>
      </c>
      <c r="F149" s="12" t="s">
        <v>235</v>
      </c>
      <c r="G149" s="12" t="s">
        <v>239</v>
      </c>
      <c r="H149" s="63" t="n">
        <v>0</v>
      </c>
      <c r="I149" s="14" t="n">
        <f aca="false">+H149*K149</f>
        <v>0</v>
      </c>
      <c r="J149" s="85" t="n">
        <v>36861</v>
      </c>
      <c r="K149" s="13" t="n">
        <f aca="false">+K148</f>
        <v>6000</v>
      </c>
      <c r="L149" s="38" t="s">
        <v>8</v>
      </c>
      <c r="M149" s="63" t="s">
        <v>272</v>
      </c>
      <c r="O149" s="134" t="n">
        <f aca="false">0.005*K149</f>
        <v>30</v>
      </c>
      <c r="Q149" s="135" t="n">
        <v>5.775</v>
      </c>
      <c r="T149" s="134" t="n">
        <f aca="false">(5.2-Q149)*K149</f>
        <v>-3450</v>
      </c>
      <c r="AA149" s="10" t="s">
        <v>116</v>
      </c>
      <c r="AB149" s="12" t="s">
        <v>245</v>
      </c>
    </row>
    <row r="150" customFormat="false" ht="12.75" hidden="false" customHeight="false" outlineLevel="0" collapsed="false">
      <c r="A150" s="10" t="n">
        <v>19</v>
      </c>
      <c r="B150" s="10" t="s">
        <v>273</v>
      </c>
      <c r="C150" s="62" t="n">
        <v>36762</v>
      </c>
      <c r="D150" s="12" t="s">
        <v>141</v>
      </c>
      <c r="E150" s="12" t="s">
        <v>89</v>
      </c>
      <c r="F150" s="12" t="s">
        <v>235</v>
      </c>
      <c r="G150" s="12" t="s">
        <v>239</v>
      </c>
      <c r="H150" s="63" t="n">
        <v>0</v>
      </c>
      <c r="I150" s="14" t="n">
        <f aca="false">+H150*K150</f>
        <v>0</v>
      </c>
      <c r="J150" s="85" t="n">
        <v>36892</v>
      </c>
      <c r="K150" s="13" t="n">
        <f aca="false">+K149</f>
        <v>6000</v>
      </c>
      <c r="L150" s="38" t="s">
        <v>8</v>
      </c>
      <c r="M150" s="63" t="s">
        <v>272</v>
      </c>
      <c r="O150" s="134" t="n">
        <f aca="false">0.005*K150</f>
        <v>30</v>
      </c>
      <c r="Q150" s="135" t="n">
        <v>9.565</v>
      </c>
      <c r="T150" s="134" t="n">
        <f aca="false">(5.2-Q150)*K150</f>
        <v>-26190</v>
      </c>
      <c r="AA150" s="10" t="s">
        <v>116</v>
      </c>
      <c r="AB150" s="12" t="s">
        <v>245</v>
      </c>
    </row>
    <row r="151" customFormat="false" ht="12.75" hidden="false" customHeight="false" outlineLevel="0" collapsed="false">
      <c r="A151" s="10" t="n">
        <v>19</v>
      </c>
      <c r="B151" s="10" t="s">
        <v>273</v>
      </c>
      <c r="C151" s="62" t="n">
        <v>36762</v>
      </c>
      <c r="D151" s="12" t="s">
        <v>141</v>
      </c>
      <c r="E151" s="12" t="s">
        <v>89</v>
      </c>
      <c r="F151" s="12" t="s">
        <v>235</v>
      </c>
      <c r="G151" s="12" t="s">
        <v>239</v>
      </c>
      <c r="H151" s="63" t="n">
        <v>0</v>
      </c>
      <c r="I151" s="14" t="n">
        <f aca="false">+H151*K151</f>
        <v>0</v>
      </c>
      <c r="J151" s="85" t="n">
        <v>36923</v>
      </c>
      <c r="K151" s="13" t="n">
        <f aca="false">+K150</f>
        <v>6000</v>
      </c>
      <c r="L151" s="38" t="s">
        <v>8</v>
      </c>
      <c r="M151" s="63" t="s">
        <v>272</v>
      </c>
      <c r="O151" s="134" t="n">
        <f aca="false">0.005*K151</f>
        <v>30</v>
      </c>
      <c r="AA151" s="10" t="s">
        <v>116</v>
      </c>
      <c r="AB151" s="12" t="s">
        <v>245</v>
      </c>
    </row>
    <row r="153" customFormat="false" ht="12.75" hidden="false" customHeight="false" outlineLevel="0" collapsed="false">
      <c r="A153" s="10" t="n">
        <v>20</v>
      </c>
      <c r="B153" s="10" t="s">
        <v>274</v>
      </c>
      <c r="C153" s="62" t="n">
        <v>36762</v>
      </c>
      <c r="D153" s="12" t="s">
        <v>142</v>
      </c>
      <c r="E153" s="12" t="s">
        <v>89</v>
      </c>
      <c r="F153" s="12" t="s">
        <v>235</v>
      </c>
      <c r="G153" s="12" t="s">
        <v>239</v>
      </c>
      <c r="H153" s="63" t="n">
        <v>0</v>
      </c>
      <c r="I153" s="14" t="n">
        <f aca="false">+H153*K153</f>
        <v>0</v>
      </c>
      <c r="J153" s="85" t="n">
        <v>36770</v>
      </c>
      <c r="K153" s="13" t="n">
        <v>14000</v>
      </c>
      <c r="L153" s="38" t="s">
        <v>8</v>
      </c>
      <c r="M153" s="63" t="s">
        <v>272</v>
      </c>
      <c r="O153" s="134" t="n">
        <f aca="false">0.005*K153</f>
        <v>70</v>
      </c>
      <c r="Q153" s="135" t="n">
        <v>4.45</v>
      </c>
      <c r="T153" s="134" t="n">
        <v>0</v>
      </c>
      <c r="Y153" s="12" t="s">
        <v>269</v>
      </c>
      <c r="AA153" s="10" t="s">
        <v>116</v>
      </c>
      <c r="AB153" s="12" t="s">
        <v>245</v>
      </c>
    </row>
    <row r="154" customFormat="false" ht="12.75" hidden="false" customHeight="false" outlineLevel="0" collapsed="false">
      <c r="A154" s="10" t="n">
        <v>20</v>
      </c>
      <c r="B154" s="10" t="s">
        <v>274</v>
      </c>
      <c r="C154" s="62" t="n">
        <v>36762</v>
      </c>
      <c r="D154" s="12" t="s">
        <v>142</v>
      </c>
      <c r="E154" s="12" t="s">
        <v>89</v>
      </c>
      <c r="F154" s="12" t="s">
        <v>235</v>
      </c>
      <c r="G154" s="12" t="s">
        <v>239</v>
      </c>
      <c r="H154" s="63" t="n">
        <v>0</v>
      </c>
      <c r="I154" s="14" t="n">
        <f aca="false">+H154*K154</f>
        <v>0</v>
      </c>
      <c r="J154" s="85" t="n">
        <v>36800</v>
      </c>
      <c r="K154" s="13" t="n">
        <f aca="false">+K153</f>
        <v>14000</v>
      </c>
      <c r="L154" s="38" t="s">
        <v>8</v>
      </c>
      <c r="M154" s="63" t="s">
        <v>272</v>
      </c>
      <c r="O154" s="134" t="n">
        <f aca="false">0.005*K154</f>
        <v>70</v>
      </c>
      <c r="Q154" s="135" t="n">
        <v>5.105</v>
      </c>
      <c r="T154" s="134" t="n">
        <v>0</v>
      </c>
      <c r="AA154" s="10" t="s">
        <v>116</v>
      </c>
      <c r="AB154" s="12" t="s">
        <v>245</v>
      </c>
    </row>
    <row r="155" customFormat="false" ht="12.75" hidden="false" customHeight="false" outlineLevel="0" collapsed="false">
      <c r="A155" s="10" t="n">
        <v>20</v>
      </c>
      <c r="B155" s="10" t="s">
        <v>274</v>
      </c>
      <c r="C155" s="62" t="n">
        <v>36762</v>
      </c>
      <c r="D155" s="12" t="s">
        <v>142</v>
      </c>
      <c r="E155" s="12" t="s">
        <v>89</v>
      </c>
      <c r="F155" s="12" t="s">
        <v>235</v>
      </c>
      <c r="G155" s="12" t="s">
        <v>239</v>
      </c>
      <c r="H155" s="63" t="n">
        <v>0</v>
      </c>
      <c r="I155" s="14" t="n">
        <f aca="false">+H155*K155</f>
        <v>0</v>
      </c>
      <c r="J155" s="85" t="n">
        <v>36831</v>
      </c>
      <c r="K155" s="13" t="n">
        <f aca="false">+K154</f>
        <v>14000</v>
      </c>
      <c r="L155" s="38" t="s">
        <v>8</v>
      </c>
      <c r="M155" s="63" t="s">
        <v>272</v>
      </c>
      <c r="O155" s="134" t="n">
        <f aca="false">0.005*K155</f>
        <v>70</v>
      </c>
      <c r="Q155" s="135" t="n">
        <v>4.31</v>
      </c>
      <c r="T155" s="134" t="n">
        <v>0</v>
      </c>
      <c r="AA155" s="10" t="s">
        <v>116</v>
      </c>
      <c r="AB155" s="12" t="s">
        <v>245</v>
      </c>
    </row>
    <row r="156" customFormat="false" ht="12.75" hidden="false" customHeight="false" outlineLevel="0" collapsed="false">
      <c r="A156" s="10" t="n">
        <v>20</v>
      </c>
      <c r="B156" s="10" t="s">
        <v>274</v>
      </c>
      <c r="C156" s="62" t="n">
        <v>36762</v>
      </c>
      <c r="D156" s="12" t="s">
        <v>142</v>
      </c>
      <c r="E156" s="12" t="s">
        <v>89</v>
      </c>
      <c r="F156" s="12" t="s">
        <v>235</v>
      </c>
      <c r="G156" s="12" t="s">
        <v>239</v>
      </c>
      <c r="H156" s="63" t="n">
        <v>0</v>
      </c>
      <c r="I156" s="14" t="n">
        <f aca="false">+H156*K156</f>
        <v>0</v>
      </c>
      <c r="J156" s="85" t="n">
        <v>36861</v>
      </c>
      <c r="K156" s="13" t="n">
        <f aca="false">+K155</f>
        <v>14000</v>
      </c>
      <c r="L156" s="38" t="s">
        <v>8</v>
      </c>
      <c r="M156" s="63" t="s">
        <v>272</v>
      </c>
      <c r="O156" s="134" t="n">
        <f aca="false">0.005*K156</f>
        <v>70</v>
      </c>
      <c r="Q156" s="135" t="n">
        <v>5.775</v>
      </c>
      <c r="T156" s="134" t="n">
        <f aca="false">(5.2-Q156)*K156</f>
        <v>-8050</v>
      </c>
      <c r="AA156" s="10" t="s">
        <v>116</v>
      </c>
      <c r="AB156" s="12" t="s">
        <v>245</v>
      </c>
    </row>
    <row r="157" customFormat="false" ht="12.75" hidden="false" customHeight="false" outlineLevel="0" collapsed="false">
      <c r="A157" s="10" t="n">
        <v>20</v>
      </c>
      <c r="B157" s="10" t="s">
        <v>274</v>
      </c>
      <c r="C157" s="62" t="n">
        <v>36762</v>
      </c>
      <c r="D157" s="12" t="s">
        <v>142</v>
      </c>
      <c r="E157" s="12" t="s">
        <v>89</v>
      </c>
      <c r="F157" s="12" t="s">
        <v>235</v>
      </c>
      <c r="G157" s="12" t="s">
        <v>239</v>
      </c>
      <c r="H157" s="63" t="n">
        <v>0</v>
      </c>
      <c r="I157" s="14" t="n">
        <f aca="false">+H157*K157</f>
        <v>0</v>
      </c>
      <c r="J157" s="85" t="n">
        <v>36892</v>
      </c>
      <c r="K157" s="13" t="n">
        <f aca="false">+K156</f>
        <v>14000</v>
      </c>
      <c r="L157" s="38" t="s">
        <v>8</v>
      </c>
      <c r="M157" s="63" t="s">
        <v>272</v>
      </c>
      <c r="O157" s="134" t="n">
        <f aca="false">0.005*K157</f>
        <v>70</v>
      </c>
      <c r="Q157" s="135" t="n">
        <v>9.565</v>
      </c>
      <c r="T157" s="134" t="n">
        <f aca="false">(5.2-Q157)*K157</f>
        <v>-61110</v>
      </c>
      <c r="AA157" s="10" t="s">
        <v>116</v>
      </c>
      <c r="AB157" s="12" t="s">
        <v>245</v>
      </c>
    </row>
    <row r="158" customFormat="false" ht="12.75" hidden="false" customHeight="false" outlineLevel="0" collapsed="false">
      <c r="A158" s="10" t="n">
        <v>20</v>
      </c>
      <c r="B158" s="10" t="s">
        <v>274</v>
      </c>
      <c r="C158" s="62" t="n">
        <v>36762</v>
      </c>
      <c r="D158" s="12" t="s">
        <v>142</v>
      </c>
      <c r="E158" s="12" t="s">
        <v>89</v>
      </c>
      <c r="F158" s="12" t="s">
        <v>235</v>
      </c>
      <c r="G158" s="12" t="s">
        <v>239</v>
      </c>
      <c r="H158" s="63" t="n">
        <v>0</v>
      </c>
      <c r="I158" s="14" t="n">
        <f aca="false">+H158*K158</f>
        <v>0</v>
      </c>
      <c r="J158" s="85" t="n">
        <v>36923</v>
      </c>
      <c r="K158" s="13" t="n">
        <f aca="false">+K157</f>
        <v>14000</v>
      </c>
      <c r="L158" s="38" t="s">
        <v>8</v>
      </c>
      <c r="M158" s="63" t="s">
        <v>272</v>
      </c>
      <c r="O158" s="134" t="n">
        <f aca="false">0.005*K158</f>
        <v>70</v>
      </c>
      <c r="AA158" s="10" t="s">
        <v>116</v>
      </c>
      <c r="AB158" s="12" t="s">
        <v>245</v>
      </c>
    </row>
    <row r="160" customFormat="false" ht="12.75" hidden="false" customHeight="false" outlineLevel="0" collapsed="false">
      <c r="A160" s="10" t="n">
        <v>21</v>
      </c>
      <c r="B160" s="10" t="s">
        <v>275</v>
      </c>
      <c r="C160" s="62" t="n">
        <v>36762</v>
      </c>
      <c r="D160" s="12" t="s">
        <v>143</v>
      </c>
      <c r="E160" s="12" t="s">
        <v>89</v>
      </c>
      <c r="F160" s="12" t="s">
        <v>235</v>
      </c>
      <c r="G160" s="12" t="s">
        <v>239</v>
      </c>
      <c r="H160" s="63" t="n">
        <v>0</v>
      </c>
      <c r="I160" s="14" t="n">
        <f aca="false">+H160*K160</f>
        <v>0</v>
      </c>
      <c r="J160" s="85" t="n">
        <v>36770</v>
      </c>
      <c r="K160" s="13" t="n">
        <v>6000</v>
      </c>
      <c r="L160" s="38" t="s">
        <v>8</v>
      </c>
      <c r="M160" s="63" t="s">
        <v>272</v>
      </c>
      <c r="O160" s="134" t="n">
        <f aca="false">0.005*K160</f>
        <v>30</v>
      </c>
      <c r="Q160" s="135" t="n">
        <v>4.45</v>
      </c>
      <c r="T160" s="134" t="n">
        <v>0</v>
      </c>
      <c r="Y160" s="12" t="s">
        <v>269</v>
      </c>
      <c r="AA160" s="10" t="s">
        <v>116</v>
      </c>
      <c r="AB160" s="12" t="s">
        <v>245</v>
      </c>
    </row>
    <row r="161" customFormat="false" ht="12.75" hidden="false" customHeight="false" outlineLevel="0" collapsed="false">
      <c r="A161" s="10" t="n">
        <v>21</v>
      </c>
      <c r="B161" s="10" t="s">
        <v>275</v>
      </c>
      <c r="C161" s="62" t="n">
        <v>36762</v>
      </c>
      <c r="D161" s="12" t="s">
        <v>143</v>
      </c>
      <c r="E161" s="12" t="s">
        <v>89</v>
      </c>
      <c r="F161" s="12" t="s">
        <v>235</v>
      </c>
      <c r="G161" s="12" t="s">
        <v>239</v>
      </c>
      <c r="H161" s="63" t="n">
        <v>0</v>
      </c>
      <c r="I161" s="14" t="n">
        <f aca="false">+H161*K161</f>
        <v>0</v>
      </c>
      <c r="J161" s="85" t="n">
        <v>36800</v>
      </c>
      <c r="K161" s="13" t="n">
        <f aca="false">+K160</f>
        <v>6000</v>
      </c>
      <c r="L161" s="38" t="s">
        <v>8</v>
      </c>
      <c r="M161" s="63" t="s">
        <v>272</v>
      </c>
      <c r="O161" s="134" t="n">
        <f aca="false">0.005*K161</f>
        <v>30</v>
      </c>
      <c r="Q161" s="135" t="n">
        <v>5.105</v>
      </c>
      <c r="T161" s="134" t="n">
        <v>0</v>
      </c>
      <c r="AA161" s="10" t="s">
        <v>116</v>
      </c>
      <c r="AB161" s="12" t="s">
        <v>245</v>
      </c>
    </row>
    <row r="162" customFormat="false" ht="12.75" hidden="false" customHeight="false" outlineLevel="0" collapsed="false">
      <c r="A162" s="10" t="n">
        <v>21</v>
      </c>
      <c r="B162" s="10" t="s">
        <v>275</v>
      </c>
      <c r="C162" s="62" t="n">
        <v>36762</v>
      </c>
      <c r="D162" s="12" t="s">
        <v>143</v>
      </c>
      <c r="E162" s="12" t="s">
        <v>89</v>
      </c>
      <c r="F162" s="12" t="s">
        <v>235</v>
      </c>
      <c r="G162" s="12" t="s">
        <v>239</v>
      </c>
      <c r="H162" s="63" t="n">
        <v>0</v>
      </c>
      <c r="I162" s="14" t="n">
        <f aca="false">+H162*K162</f>
        <v>0</v>
      </c>
      <c r="J162" s="85" t="n">
        <v>36831</v>
      </c>
      <c r="K162" s="13" t="n">
        <f aca="false">+K161</f>
        <v>6000</v>
      </c>
      <c r="L162" s="38" t="s">
        <v>8</v>
      </c>
      <c r="M162" s="63" t="s">
        <v>272</v>
      </c>
      <c r="O162" s="134" t="n">
        <f aca="false">0.005*K162</f>
        <v>30</v>
      </c>
      <c r="Q162" s="135" t="n">
        <v>4.31</v>
      </c>
      <c r="T162" s="134" t="n">
        <v>0</v>
      </c>
      <c r="AA162" s="10" t="s">
        <v>116</v>
      </c>
      <c r="AB162" s="12" t="s">
        <v>245</v>
      </c>
    </row>
    <row r="163" customFormat="false" ht="12.75" hidden="false" customHeight="false" outlineLevel="0" collapsed="false">
      <c r="A163" s="10" t="n">
        <v>21</v>
      </c>
      <c r="B163" s="10" t="s">
        <v>275</v>
      </c>
      <c r="C163" s="62" t="n">
        <v>36762</v>
      </c>
      <c r="D163" s="12" t="s">
        <v>143</v>
      </c>
      <c r="E163" s="12" t="s">
        <v>89</v>
      </c>
      <c r="F163" s="12" t="s">
        <v>235</v>
      </c>
      <c r="G163" s="12" t="s">
        <v>239</v>
      </c>
      <c r="H163" s="63" t="n">
        <v>0</v>
      </c>
      <c r="I163" s="14" t="n">
        <f aca="false">+H163*K163</f>
        <v>0</v>
      </c>
      <c r="J163" s="85" t="n">
        <v>36861</v>
      </c>
      <c r="K163" s="13" t="n">
        <f aca="false">+K162</f>
        <v>6000</v>
      </c>
      <c r="L163" s="38" t="s">
        <v>8</v>
      </c>
      <c r="M163" s="63" t="s">
        <v>272</v>
      </c>
      <c r="O163" s="134" t="n">
        <f aca="false">0.005*K163</f>
        <v>30</v>
      </c>
      <c r="Q163" s="135" t="n">
        <v>5.775</v>
      </c>
      <c r="T163" s="134" t="n">
        <f aca="false">(5.2-Q163)*K163</f>
        <v>-3450</v>
      </c>
      <c r="AA163" s="10" t="s">
        <v>116</v>
      </c>
      <c r="AB163" s="12" t="s">
        <v>245</v>
      </c>
    </row>
    <row r="164" customFormat="false" ht="12.75" hidden="false" customHeight="false" outlineLevel="0" collapsed="false">
      <c r="A164" s="10" t="n">
        <v>21</v>
      </c>
      <c r="B164" s="10" t="s">
        <v>275</v>
      </c>
      <c r="C164" s="62" t="n">
        <v>36762</v>
      </c>
      <c r="D164" s="12" t="s">
        <v>143</v>
      </c>
      <c r="E164" s="12" t="s">
        <v>89</v>
      </c>
      <c r="F164" s="12" t="s">
        <v>235</v>
      </c>
      <c r="G164" s="12" t="s">
        <v>239</v>
      </c>
      <c r="H164" s="63" t="n">
        <v>0</v>
      </c>
      <c r="I164" s="14" t="n">
        <f aca="false">+H164*K164</f>
        <v>0</v>
      </c>
      <c r="J164" s="85" t="n">
        <v>36892</v>
      </c>
      <c r="K164" s="13" t="n">
        <f aca="false">+K163</f>
        <v>6000</v>
      </c>
      <c r="L164" s="38" t="s">
        <v>8</v>
      </c>
      <c r="M164" s="63" t="s">
        <v>272</v>
      </c>
      <c r="O164" s="134" t="n">
        <f aca="false">0.005*K164</f>
        <v>30</v>
      </c>
      <c r="Q164" s="135" t="n">
        <v>9.565</v>
      </c>
      <c r="T164" s="134" t="n">
        <f aca="false">(5.2-Q164)*K164</f>
        <v>-26190</v>
      </c>
      <c r="AA164" s="10" t="s">
        <v>116</v>
      </c>
      <c r="AB164" s="12" t="s">
        <v>245</v>
      </c>
    </row>
    <row r="165" customFormat="false" ht="12.75" hidden="false" customHeight="false" outlineLevel="0" collapsed="false">
      <c r="A165" s="10" t="n">
        <v>21</v>
      </c>
      <c r="B165" s="10" t="s">
        <v>275</v>
      </c>
      <c r="C165" s="62" t="n">
        <v>36762</v>
      </c>
      <c r="D165" s="12" t="s">
        <v>143</v>
      </c>
      <c r="E165" s="12" t="s">
        <v>89</v>
      </c>
      <c r="F165" s="12" t="s">
        <v>235</v>
      </c>
      <c r="G165" s="12" t="s">
        <v>239</v>
      </c>
      <c r="H165" s="63" t="n">
        <v>0</v>
      </c>
      <c r="I165" s="14" t="n">
        <f aca="false">+H165*K165</f>
        <v>0</v>
      </c>
      <c r="J165" s="85" t="n">
        <v>36923</v>
      </c>
      <c r="K165" s="13" t="n">
        <f aca="false">+K164</f>
        <v>6000</v>
      </c>
      <c r="L165" s="38" t="s">
        <v>8</v>
      </c>
      <c r="M165" s="63" t="s">
        <v>272</v>
      </c>
      <c r="O165" s="134" t="n">
        <f aca="false">0.005*K165</f>
        <v>30</v>
      </c>
      <c r="AA165" s="10" t="s">
        <v>116</v>
      </c>
      <c r="AB165" s="12" t="s">
        <v>245</v>
      </c>
    </row>
    <row r="167" customFormat="false" ht="12.75" hidden="false" customHeight="false" outlineLevel="0" collapsed="false">
      <c r="A167" s="10" t="n">
        <v>22</v>
      </c>
      <c r="B167" s="10" t="s">
        <v>276</v>
      </c>
      <c r="C167" s="62" t="n">
        <v>36762</v>
      </c>
      <c r="D167" s="12" t="s">
        <v>144</v>
      </c>
      <c r="E167" s="12" t="s">
        <v>89</v>
      </c>
      <c r="F167" s="12" t="s">
        <v>235</v>
      </c>
      <c r="G167" s="12" t="s">
        <v>239</v>
      </c>
      <c r="H167" s="63" t="n">
        <v>0</v>
      </c>
      <c r="I167" s="14" t="n">
        <f aca="false">+H167*K167</f>
        <v>0</v>
      </c>
      <c r="J167" s="85" t="n">
        <v>36770</v>
      </c>
      <c r="K167" s="13" t="n">
        <v>14000</v>
      </c>
      <c r="L167" s="38" t="s">
        <v>8</v>
      </c>
      <c r="M167" s="63" t="s">
        <v>272</v>
      </c>
      <c r="O167" s="134" t="n">
        <f aca="false">0.005*K167</f>
        <v>70</v>
      </c>
      <c r="Q167" s="135" t="n">
        <v>4.45</v>
      </c>
      <c r="T167" s="134" t="n">
        <v>0</v>
      </c>
      <c r="Y167" s="12" t="s">
        <v>269</v>
      </c>
      <c r="AA167" s="10" t="s">
        <v>116</v>
      </c>
      <c r="AB167" s="12" t="s">
        <v>245</v>
      </c>
    </row>
    <row r="168" customFormat="false" ht="12.75" hidden="false" customHeight="false" outlineLevel="0" collapsed="false">
      <c r="A168" s="10" t="n">
        <v>22</v>
      </c>
      <c r="B168" s="10" t="s">
        <v>276</v>
      </c>
      <c r="C168" s="62" t="n">
        <v>36762</v>
      </c>
      <c r="D168" s="12" t="s">
        <v>144</v>
      </c>
      <c r="E168" s="12" t="s">
        <v>89</v>
      </c>
      <c r="F168" s="12" t="s">
        <v>235</v>
      </c>
      <c r="G168" s="12" t="s">
        <v>239</v>
      </c>
      <c r="H168" s="63" t="n">
        <v>0</v>
      </c>
      <c r="I168" s="14" t="n">
        <f aca="false">+H168*K168</f>
        <v>0</v>
      </c>
      <c r="J168" s="85" t="n">
        <v>36800</v>
      </c>
      <c r="K168" s="13" t="n">
        <f aca="false">+K167</f>
        <v>14000</v>
      </c>
      <c r="L168" s="38" t="s">
        <v>8</v>
      </c>
      <c r="M168" s="63" t="s">
        <v>272</v>
      </c>
      <c r="O168" s="134" t="n">
        <f aca="false">0.005*K168</f>
        <v>70</v>
      </c>
      <c r="Q168" s="135" t="n">
        <v>5.105</v>
      </c>
      <c r="T168" s="134" t="n">
        <v>0</v>
      </c>
      <c r="AA168" s="10" t="s">
        <v>116</v>
      </c>
      <c r="AB168" s="12" t="s">
        <v>245</v>
      </c>
    </row>
    <row r="169" customFormat="false" ht="12.75" hidden="false" customHeight="false" outlineLevel="0" collapsed="false">
      <c r="A169" s="10" t="n">
        <v>22</v>
      </c>
      <c r="B169" s="10" t="s">
        <v>276</v>
      </c>
      <c r="C169" s="62" t="n">
        <v>36762</v>
      </c>
      <c r="D169" s="12" t="s">
        <v>144</v>
      </c>
      <c r="E169" s="12" t="s">
        <v>89</v>
      </c>
      <c r="F169" s="12" t="s">
        <v>235</v>
      </c>
      <c r="G169" s="12" t="s">
        <v>239</v>
      </c>
      <c r="H169" s="63" t="n">
        <v>0</v>
      </c>
      <c r="I169" s="14" t="n">
        <f aca="false">+H169*K169</f>
        <v>0</v>
      </c>
      <c r="J169" s="85" t="n">
        <v>36831</v>
      </c>
      <c r="K169" s="13" t="n">
        <f aca="false">+K168</f>
        <v>14000</v>
      </c>
      <c r="L169" s="38" t="s">
        <v>8</v>
      </c>
      <c r="M169" s="63" t="s">
        <v>272</v>
      </c>
      <c r="O169" s="134" t="n">
        <f aca="false">0.005*K169</f>
        <v>70</v>
      </c>
      <c r="Q169" s="135" t="n">
        <v>4.31</v>
      </c>
      <c r="T169" s="134" t="n">
        <v>0</v>
      </c>
      <c r="AA169" s="10" t="s">
        <v>116</v>
      </c>
      <c r="AB169" s="12" t="s">
        <v>245</v>
      </c>
    </row>
    <row r="170" customFormat="false" ht="12.75" hidden="false" customHeight="false" outlineLevel="0" collapsed="false">
      <c r="A170" s="10" t="n">
        <v>22</v>
      </c>
      <c r="B170" s="10" t="s">
        <v>276</v>
      </c>
      <c r="C170" s="62" t="n">
        <v>36762</v>
      </c>
      <c r="D170" s="12" t="s">
        <v>144</v>
      </c>
      <c r="E170" s="12" t="s">
        <v>89</v>
      </c>
      <c r="F170" s="12" t="s">
        <v>235</v>
      </c>
      <c r="G170" s="12" t="s">
        <v>239</v>
      </c>
      <c r="H170" s="63" t="n">
        <v>0</v>
      </c>
      <c r="I170" s="14" t="n">
        <f aca="false">+H170*K170</f>
        <v>0</v>
      </c>
      <c r="J170" s="85" t="n">
        <v>36861</v>
      </c>
      <c r="K170" s="13" t="n">
        <f aca="false">+K169</f>
        <v>14000</v>
      </c>
      <c r="L170" s="38" t="s">
        <v>8</v>
      </c>
      <c r="M170" s="63" t="s">
        <v>272</v>
      </c>
      <c r="O170" s="134" t="n">
        <f aca="false">0.005*K170</f>
        <v>70</v>
      </c>
      <c r="Q170" s="135" t="n">
        <v>5.775</v>
      </c>
      <c r="T170" s="134" t="n">
        <f aca="false">(5.2-Q170)*K170</f>
        <v>-8050</v>
      </c>
      <c r="AA170" s="10" t="s">
        <v>116</v>
      </c>
      <c r="AB170" s="12" t="s">
        <v>245</v>
      </c>
    </row>
    <row r="171" customFormat="false" ht="12.75" hidden="false" customHeight="false" outlineLevel="0" collapsed="false">
      <c r="A171" s="10" t="n">
        <v>22</v>
      </c>
      <c r="B171" s="10" t="s">
        <v>276</v>
      </c>
      <c r="C171" s="62" t="n">
        <v>36762</v>
      </c>
      <c r="D171" s="12" t="s">
        <v>144</v>
      </c>
      <c r="E171" s="12" t="s">
        <v>89</v>
      </c>
      <c r="F171" s="12" t="s">
        <v>235</v>
      </c>
      <c r="G171" s="12" t="s">
        <v>239</v>
      </c>
      <c r="H171" s="63" t="n">
        <v>0</v>
      </c>
      <c r="I171" s="14" t="n">
        <f aca="false">+H171*K171</f>
        <v>0</v>
      </c>
      <c r="J171" s="85" t="n">
        <v>36892</v>
      </c>
      <c r="K171" s="13" t="n">
        <f aca="false">+K170</f>
        <v>14000</v>
      </c>
      <c r="L171" s="38" t="s">
        <v>8</v>
      </c>
      <c r="M171" s="63" t="s">
        <v>272</v>
      </c>
      <c r="O171" s="134" t="n">
        <f aca="false">0.005*K171</f>
        <v>70</v>
      </c>
      <c r="Q171" s="135" t="n">
        <v>9.565</v>
      </c>
      <c r="T171" s="134" t="n">
        <f aca="false">(5.2-Q171)*K171</f>
        <v>-61110</v>
      </c>
      <c r="AA171" s="10" t="s">
        <v>116</v>
      </c>
      <c r="AB171" s="12" t="s">
        <v>245</v>
      </c>
    </row>
    <row r="172" customFormat="false" ht="12.75" hidden="false" customHeight="false" outlineLevel="0" collapsed="false">
      <c r="A172" s="10" t="n">
        <v>22</v>
      </c>
      <c r="B172" s="10" t="s">
        <v>276</v>
      </c>
      <c r="C172" s="62" t="n">
        <v>36762</v>
      </c>
      <c r="D172" s="12" t="s">
        <v>144</v>
      </c>
      <c r="E172" s="12" t="s">
        <v>89</v>
      </c>
      <c r="F172" s="12" t="s">
        <v>235</v>
      </c>
      <c r="G172" s="12" t="s">
        <v>239</v>
      </c>
      <c r="H172" s="63" t="n">
        <v>0</v>
      </c>
      <c r="I172" s="14" t="n">
        <f aca="false">+H172*K172</f>
        <v>0</v>
      </c>
      <c r="J172" s="85" t="n">
        <v>36923</v>
      </c>
      <c r="K172" s="13" t="n">
        <f aca="false">+K171</f>
        <v>14000</v>
      </c>
      <c r="L172" s="38" t="s">
        <v>8</v>
      </c>
      <c r="M172" s="63" t="s">
        <v>272</v>
      </c>
      <c r="O172" s="134" t="n">
        <f aca="false">0.005*K172</f>
        <v>70</v>
      </c>
      <c r="AA172" s="10" t="s">
        <v>116</v>
      </c>
      <c r="AB172" s="12" t="s">
        <v>245</v>
      </c>
    </row>
    <row r="174" customFormat="false" ht="12.75" hidden="false" customHeight="false" outlineLevel="0" collapsed="false">
      <c r="A174" s="10" t="n">
        <v>23</v>
      </c>
      <c r="B174" s="10" t="s">
        <v>277</v>
      </c>
      <c r="C174" s="62" t="n">
        <v>36762</v>
      </c>
      <c r="D174" s="12" t="s">
        <v>145</v>
      </c>
      <c r="E174" s="12" t="s">
        <v>89</v>
      </c>
      <c r="F174" s="12" t="s">
        <v>235</v>
      </c>
      <c r="G174" s="12" t="s">
        <v>239</v>
      </c>
      <c r="H174" s="63" t="n">
        <v>0</v>
      </c>
      <c r="I174" s="14" t="n">
        <f aca="false">+H174*K174</f>
        <v>0</v>
      </c>
      <c r="J174" s="85" t="n">
        <v>36770</v>
      </c>
      <c r="K174" s="13" t="n">
        <v>4000</v>
      </c>
      <c r="L174" s="38" t="s">
        <v>8</v>
      </c>
      <c r="M174" s="63" t="s">
        <v>272</v>
      </c>
      <c r="O174" s="134" t="n">
        <f aca="false">0.005*K174</f>
        <v>20</v>
      </c>
      <c r="Q174" s="135" t="n">
        <v>4.45</v>
      </c>
      <c r="T174" s="134" t="n">
        <v>0</v>
      </c>
      <c r="Y174" s="12" t="s">
        <v>269</v>
      </c>
      <c r="AA174" s="10" t="s">
        <v>116</v>
      </c>
      <c r="AB174" s="12" t="s">
        <v>245</v>
      </c>
    </row>
    <row r="175" customFormat="false" ht="12.75" hidden="false" customHeight="false" outlineLevel="0" collapsed="false">
      <c r="A175" s="10" t="n">
        <v>23</v>
      </c>
      <c r="B175" s="10" t="s">
        <v>277</v>
      </c>
      <c r="C175" s="62" t="n">
        <v>36762</v>
      </c>
      <c r="D175" s="12" t="s">
        <v>145</v>
      </c>
      <c r="E175" s="12" t="s">
        <v>89</v>
      </c>
      <c r="F175" s="12" t="s">
        <v>235</v>
      </c>
      <c r="G175" s="12" t="s">
        <v>239</v>
      </c>
      <c r="H175" s="63" t="n">
        <v>0</v>
      </c>
      <c r="I175" s="14" t="n">
        <f aca="false">+H175*K175</f>
        <v>0</v>
      </c>
      <c r="J175" s="85" t="n">
        <v>36800</v>
      </c>
      <c r="K175" s="13" t="n">
        <f aca="false">+K174</f>
        <v>4000</v>
      </c>
      <c r="L175" s="38" t="s">
        <v>8</v>
      </c>
      <c r="M175" s="63" t="s">
        <v>272</v>
      </c>
      <c r="O175" s="134" t="n">
        <f aca="false">0.005*K175</f>
        <v>20</v>
      </c>
      <c r="Q175" s="135" t="n">
        <v>5.105</v>
      </c>
      <c r="T175" s="134" t="n">
        <v>0</v>
      </c>
      <c r="AA175" s="10" t="s">
        <v>116</v>
      </c>
      <c r="AB175" s="12" t="s">
        <v>245</v>
      </c>
    </row>
    <row r="176" customFormat="false" ht="12.75" hidden="false" customHeight="false" outlineLevel="0" collapsed="false">
      <c r="A176" s="10" t="n">
        <v>23</v>
      </c>
      <c r="B176" s="10" t="s">
        <v>277</v>
      </c>
      <c r="C176" s="62" t="n">
        <v>36762</v>
      </c>
      <c r="D176" s="12" t="s">
        <v>145</v>
      </c>
      <c r="E176" s="12" t="s">
        <v>89</v>
      </c>
      <c r="F176" s="12" t="s">
        <v>235</v>
      </c>
      <c r="G176" s="12" t="s">
        <v>239</v>
      </c>
      <c r="H176" s="63" t="n">
        <v>0</v>
      </c>
      <c r="I176" s="14" t="n">
        <f aca="false">+H176*K176</f>
        <v>0</v>
      </c>
      <c r="J176" s="85" t="n">
        <v>36831</v>
      </c>
      <c r="K176" s="13" t="n">
        <f aca="false">+K175</f>
        <v>4000</v>
      </c>
      <c r="L176" s="38" t="s">
        <v>8</v>
      </c>
      <c r="M176" s="63" t="s">
        <v>272</v>
      </c>
      <c r="O176" s="134" t="n">
        <f aca="false">0.005*K176</f>
        <v>20</v>
      </c>
      <c r="Q176" s="135" t="n">
        <v>4.31</v>
      </c>
      <c r="T176" s="134" t="n">
        <v>0</v>
      </c>
      <c r="AA176" s="10" t="s">
        <v>116</v>
      </c>
      <c r="AB176" s="12" t="s">
        <v>245</v>
      </c>
    </row>
    <row r="177" customFormat="false" ht="12.75" hidden="false" customHeight="false" outlineLevel="0" collapsed="false">
      <c r="A177" s="10" t="n">
        <v>23</v>
      </c>
      <c r="B177" s="10" t="s">
        <v>277</v>
      </c>
      <c r="C177" s="62" t="n">
        <v>36762</v>
      </c>
      <c r="D177" s="12" t="s">
        <v>145</v>
      </c>
      <c r="E177" s="12" t="s">
        <v>89</v>
      </c>
      <c r="F177" s="12" t="s">
        <v>235</v>
      </c>
      <c r="G177" s="12" t="s">
        <v>239</v>
      </c>
      <c r="H177" s="63" t="n">
        <v>0</v>
      </c>
      <c r="I177" s="14" t="n">
        <f aca="false">+H177*K177</f>
        <v>0</v>
      </c>
      <c r="J177" s="85" t="n">
        <v>36861</v>
      </c>
      <c r="K177" s="13" t="n">
        <f aca="false">+K176</f>
        <v>4000</v>
      </c>
      <c r="L177" s="38" t="s">
        <v>8</v>
      </c>
      <c r="M177" s="63" t="s">
        <v>272</v>
      </c>
      <c r="O177" s="134" t="n">
        <f aca="false">0.005*K177</f>
        <v>20</v>
      </c>
      <c r="Q177" s="135" t="n">
        <v>5.775</v>
      </c>
      <c r="T177" s="134" t="n">
        <f aca="false">(5.2-Q177)*K177</f>
        <v>-2300</v>
      </c>
      <c r="AA177" s="10" t="s">
        <v>116</v>
      </c>
      <c r="AB177" s="12" t="s">
        <v>245</v>
      </c>
    </row>
    <row r="178" customFormat="false" ht="12.75" hidden="false" customHeight="false" outlineLevel="0" collapsed="false">
      <c r="A178" s="10" t="n">
        <v>23</v>
      </c>
      <c r="B178" s="10" t="s">
        <v>277</v>
      </c>
      <c r="C178" s="62" t="n">
        <v>36762</v>
      </c>
      <c r="D178" s="12" t="s">
        <v>145</v>
      </c>
      <c r="E178" s="12" t="s">
        <v>89</v>
      </c>
      <c r="F178" s="12" t="s">
        <v>235</v>
      </c>
      <c r="G178" s="12" t="s">
        <v>239</v>
      </c>
      <c r="H178" s="63" t="n">
        <v>0</v>
      </c>
      <c r="I178" s="14" t="n">
        <f aca="false">+H178*K178</f>
        <v>0</v>
      </c>
      <c r="J178" s="85" t="n">
        <v>36892</v>
      </c>
      <c r="K178" s="13" t="n">
        <f aca="false">+K177</f>
        <v>4000</v>
      </c>
      <c r="L178" s="38" t="s">
        <v>8</v>
      </c>
      <c r="M178" s="63" t="s">
        <v>272</v>
      </c>
      <c r="O178" s="134" t="n">
        <f aca="false">0.005*K178</f>
        <v>20</v>
      </c>
      <c r="Q178" s="135" t="n">
        <v>9.565</v>
      </c>
      <c r="T178" s="134" t="n">
        <f aca="false">(5.2-Q178)*K178</f>
        <v>-17460</v>
      </c>
      <c r="AA178" s="10" t="s">
        <v>116</v>
      </c>
      <c r="AB178" s="12" t="s">
        <v>245</v>
      </c>
    </row>
    <row r="179" customFormat="false" ht="12.75" hidden="false" customHeight="false" outlineLevel="0" collapsed="false">
      <c r="A179" s="10" t="n">
        <v>23</v>
      </c>
      <c r="B179" s="10" t="s">
        <v>277</v>
      </c>
      <c r="C179" s="62" t="n">
        <v>36762</v>
      </c>
      <c r="D179" s="12" t="s">
        <v>145</v>
      </c>
      <c r="E179" s="12" t="s">
        <v>89</v>
      </c>
      <c r="F179" s="12" t="s">
        <v>235</v>
      </c>
      <c r="G179" s="12" t="s">
        <v>239</v>
      </c>
      <c r="H179" s="63" t="n">
        <v>0</v>
      </c>
      <c r="I179" s="14" t="n">
        <f aca="false">+H179*K179</f>
        <v>0</v>
      </c>
      <c r="J179" s="85" t="n">
        <v>36923</v>
      </c>
      <c r="K179" s="13" t="n">
        <f aca="false">+K178</f>
        <v>4000</v>
      </c>
      <c r="L179" s="38" t="s">
        <v>8</v>
      </c>
      <c r="M179" s="63" t="s">
        <v>272</v>
      </c>
      <c r="O179" s="134" t="n">
        <f aca="false">0.005*K179</f>
        <v>20</v>
      </c>
      <c r="AA179" s="10" t="s">
        <v>116</v>
      </c>
      <c r="AB179" s="12" t="s">
        <v>245</v>
      </c>
    </row>
    <row r="181" customFormat="false" ht="12.75" hidden="false" customHeight="false" outlineLevel="0" collapsed="false">
      <c r="A181" s="10" t="n">
        <v>24</v>
      </c>
      <c r="B181" s="10" t="s">
        <v>278</v>
      </c>
      <c r="C181" s="62" t="n">
        <v>36762</v>
      </c>
      <c r="D181" s="12" t="s">
        <v>146</v>
      </c>
      <c r="E181" s="12" t="s">
        <v>89</v>
      </c>
      <c r="F181" s="12" t="s">
        <v>235</v>
      </c>
      <c r="G181" s="12" t="s">
        <v>239</v>
      </c>
      <c r="H181" s="63" t="n">
        <v>0</v>
      </c>
      <c r="I181" s="14" t="n">
        <f aca="false">+H181*K181</f>
        <v>0</v>
      </c>
      <c r="J181" s="85" t="n">
        <v>36770</v>
      </c>
      <c r="K181" s="13" t="n">
        <v>10000</v>
      </c>
      <c r="L181" s="38" t="s">
        <v>8</v>
      </c>
      <c r="M181" s="63" t="s">
        <v>272</v>
      </c>
      <c r="O181" s="134" t="n">
        <f aca="false">0.005*K181</f>
        <v>50</v>
      </c>
      <c r="Q181" s="135" t="n">
        <v>4.45</v>
      </c>
      <c r="T181" s="134" t="n">
        <v>0</v>
      </c>
      <c r="Y181" s="12" t="s">
        <v>269</v>
      </c>
      <c r="AA181" s="10" t="s">
        <v>116</v>
      </c>
      <c r="AB181" s="12" t="s">
        <v>245</v>
      </c>
    </row>
    <row r="182" customFormat="false" ht="12.75" hidden="false" customHeight="false" outlineLevel="0" collapsed="false">
      <c r="A182" s="10" t="n">
        <v>24</v>
      </c>
      <c r="B182" s="10" t="s">
        <v>278</v>
      </c>
      <c r="C182" s="62" t="n">
        <v>36762</v>
      </c>
      <c r="D182" s="12" t="s">
        <v>146</v>
      </c>
      <c r="E182" s="12" t="s">
        <v>89</v>
      </c>
      <c r="F182" s="12" t="s">
        <v>235</v>
      </c>
      <c r="G182" s="12" t="s">
        <v>239</v>
      </c>
      <c r="H182" s="63" t="n">
        <v>0</v>
      </c>
      <c r="I182" s="14" t="n">
        <f aca="false">+H182*K182</f>
        <v>0</v>
      </c>
      <c r="J182" s="85" t="n">
        <v>36800</v>
      </c>
      <c r="K182" s="13" t="n">
        <f aca="false">+K181</f>
        <v>10000</v>
      </c>
      <c r="L182" s="38" t="s">
        <v>8</v>
      </c>
      <c r="M182" s="63" t="s">
        <v>272</v>
      </c>
      <c r="O182" s="134" t="n">
        <f aca="false">0.005*K182</f>
        <v>50</v>
      </c>
      <c r="Q182" s="135" t="n">
        <v>5.105</v>
      </c>
      <c r="T182" s="134" t="n">
        <v>0</v>
      </c>
      <c r="AA182" s="10" t="s">
        <v>116</v>
      </c>
      <c r="AB182" s="12" t="s">
        <v>245</v>
      </c>
    </row>
    <row r="183" customFormat="false" ht="12.75" hidden="false" customHeight="false" outlineLevel="0" collapsed="false">
      <c r="A183" s="10" t="n">
        <v>24</v>
      </c>
      <c r="B183" s="10" t="s">
        <v>278</v>
      </c>
      <c r="C183" s="62" t="n">
        <v>36762</v>
      </c>
      <c r="D183" s="12" t="s">
        <v>146</v>
      </c>
      <c r="E183" s="12" t="s">
        <v>89</v>
      </c>
      <c r="F183" s="12" t="s">
        <v>235</v>
      </c>
      <c r="G183" s="12" t="s">
        <v>239</v>
      </c>
      <c r="H183" s="63" t="n">
        <v>0</v>
      </c>
      <c r="I183" s="14" t="n">
        <f aca="false">+H183*K183</f>
        <v>0</v>
      </c>
      <c r="J183" s="85" t="n">
        <v>36831</v>
      </c>
      <c r="K183" s="13" t="n">
        <f aca="false">+K182</f>
        <v>10000</v>
      </c>
      <c r="L183" s="38" t="s">
        <v>8</v>
      </c>
      <c r="M183" s="63" t="s">
        <v>272</v>
      </c>
      <c r="O183" s="134" t="n">
        <f aca="false">0.005*K183</f>
        <v>50</v>
      </c>
      <c r="Q183" s="135" t="n">
        <v>4.31</v>
      </c>
      <c r="T183" s="134" t="n">
        <v>0</v>
      </c>
      <c r="AA183" s="10" t="s">
        <v>116</v>
      </c>
      <c r="AB183" s="12" t="s">
        <v>245</v>
      </c>
    </row>
    <row r="184" customFormat="false" ht="12.75" hidden="false" customHeight="false" outlineLevel="0" collapsed="false">
      <c r="A184" s="10" t="n">
        <v>24</v>
      </c>
      <c r="B184" s="10" t="s">
        <v>278</v>
      </c>
      <c r="C184" s="62" t="n">
        <v>36762</v>
      </c>
      <c r="D184" s="12" t="s">
        <v>146</v>
      </c>
      <c r="E184" s="12" t="s">
        <v>89</v>
      </c>
      <c r="F184" s="12" t="s">
        <v>235</v>
      </c>
      <c r="G184" s="12" t="s">
        <v>239</v>
      </c>
      <c r="H184" s="63" t="n">
        <v>0</v>
      </c>
      <c r="I184" s="14" t="n">
        <f aca="false">+H184*K184</f>
        <v>0</v>
      </c>
      <c r="J184" s="85" t="n">
        <v>36861</v>
      </c>
      <c r="K184" s="13" t="n">
        <f aca="false">+K183</f>
        <v>10000</v>
      </c>
      <c r="L184" s="38" t="s">
        <v>8</v>
      </c>
      <c r="M184" s="63" t="s">
        <v>272</v>
      </c>
      <c r="O184" s="134" t="n">
        <f aca="false">0.005*K184</f>
        <v>50</v>
      </c>
      <c r="Q184" s="135" t="n">
        <v>5.775</v>
      </c>
      <c r="T184" s="134" t="n">
        <f aca="false">(5.2-Q184)*K184</f>
        <v>-5750</v>
      </c>
      <c r="AA184" s="10" t="s">
        <v>116</v>
      </c>
      <c r="AB184" s="12" t="s">
        <v>245</v>
      </c>
    </row>
    <row r="185" customFormat="false" ht="12.75" hidden="false" customHeight="false" outlineLevel="0" collapsed="false">
      <c r="A185" s="10" t="n">
        <v>24</v>
      </c>
      <c r="B185" s="10" t="s">
        <v>278</v>
      </c>
      <c r="C185" s="62" t="n">
        <v>36762</v>
      </c>
      <c r="D185" s="12" t="s">
        <v>146</v>
      </c>
      <c r="E185" s="12" t="s">
        <v>89</v>
      </c>
      <c r="F185" s="12" t="s">
        <v>235</v>
      </c>
      <c r="G185" s="12" t="s">
        <v>239</v>
      </c>
      <c r="H185" s="63" t="n">
        <v>0</v>
      </c>
      <c r="I185" s="14" t="n">
        <f aca="false">+H185*K185</f>
        <v>0</v>
      </c>
      <c r="J185" s="85" t="n">
        <v>36892</v>
      </c>
      <c r="K185" s="13" t="n">
        <f aca="false">+K184</f>
        <v>10000</v>
      </c>
      <c r="L185" s="38" t="s">
        <v>8</v>
      </c>
      <c r="M185" s="63" t="s">
        <v>272</v>
      </c>
      <c r="O185" s="134" t="n">
        <f aca="false">0.005*K185</f>
        <v>50</v>
      </c>
      <c r="Q185" s="135" t="n">
        <v>9.565</v>
      </c>
      <c r="T185" s="134" t="n">
        <f aca="false">(5.2-Q185)*K185</f>
        <v>-43650</v>
      </c>
      <c r="AA185" s="10" t="s">
        <v>116</v>
      </c>
      <c r="AB185" s="12" t="s">
        <v>245</v>
      </c>
    </row>
    <row r="186" customFormat="false" ht="12.75" hidden="false" customHeight="false" outlineLevel="0" collapsed="false">
      <c r="A186" s="10" t="n">
        <v>24</v>
      </c>
      <c r="B186" s="10" t="s">
        <v>278</v>
      </c>
      <c r="C186" s="62" t="n">
        <v>36762</v>
      </c>
      <c r="D186" s="12" t="s">
        <v>146</v>
      </c>
      <c r="E186" s="12" t="s">
        <v>89</v>
      </c>
      <c r="F186" s="12" t="s">
        <v>235</v>
      </c>
      <c r="G186" s="12" t="s">
        <v>239</v>
      </c>
      <c r="H186" s="63" t="n">
        <v>0</v>
      </c>
      <c r="I186" s="14" t="n">
        <f aca="false">+H186*K186</f>
        <v>0</v>
      </c>
      <c r="J186" s="85" t="n">
        <v>36923</v>
      </c>
      <c r="K186" s="13" t="n">
        <f aca="false">+K185</f>
        <v>10000</v>
      </c>
      <c r="L186" s="38" t="s">
        <v>8</v>
      </c>
      <c r="M186" s="63" t="s">
        <v>272</v>
      </c>
      <c r="O186" s="134" t="n">
        <f aca="false">0.005*K186</f>
        <v>50</v>
      </c>
      <c r="AA186" s="10" t="s">
        <v>116</v>
      </c>
      <c r="AB186" s="12" t="s">
        <v>245</v>
      </c>
    </row>
    <row r="188" customFormat="false" ht="12.75" hidden="false" customHeight="false" outlineLevel="0" collapsed="false">
      <c r="A188" s="10" t="n">
        <v>25</v>
      </c>
      <c r="B188" s="10" t="s">
        <v>279</v>
      </c>
      <c r="C188" s="62" t="n">
        <v>36762</v>
      </c>
      <c r="D188" s="12" t="s">
        <v>147</v>
      </c>
      <c r="E188" s="12" t="s">
        <v>89</v>
      </c>
      <c r="F188" s="12" t="s">
        <v>235</v>
      </c>
      <c r="G188" s="12" t="s">
        <v>239</v>
      </c>
      <c r="H188" s="63" t="n">
        <v>0</v>
      </c>
      <c r="I188" s="14" t="n">
        <f aca="false">+H188*K188</f>
        <v>0</v>
      </c>
      <c r="J188" s="85" t="n">
        <v>36770</v>
      </c>
      <c r="K188" s="13" t="n">
        <v>7000</v>
      </c>
      <c r="L188" s="38" t="s">
        <v>8</v>
      </c>
      <c r="M188" s="63" t="s">
        <v>272</v>
      </c>
      <c r="O188" s="134" t="n">
        <f aca="false">0.005*K188</f>
        <v>35</v>
      </c>
      <c r="Q188" s="135" t="n">
        <v>4.45</v>
      </c>
      <c r="T188" s="134" t="n">
        <v>0</v>
      </c>
      <c r="Y188" s="12" t="s">
        <v>269</v>
      </c>
      <c r="AA188" s="10" t="s">
        <v>116</v>
      </c>
      <c r="AB188" s="12" t="s">
        <v>245</v>
      </c>
    </row>
    <row r="189" customFormat="false" ht="12.75" hidden="false" customHeight="false" outlineLevel="0" collapsed="false">
      <c r="A189" s="10" t="n">
        <v>25</v>
      </c>
      <c r="B189" s="10" t="s">
        <v>279</v>
      </c>
      <c r="C189" s="62" t="n">
        <v>36762</v>
      </c>
      <c r="D189" s="12" t="s">
        <v>147</v>
      </c>
      <c r="E189" s="12" t="s">
        <v>89</v>
      </c>
      <c r="F189" s="12" t="s">
        <v>235</v>
      </c>
      <c r="G189" s="12" t="s">
        <v>239</v>
      </c>
      <c r="H189" s="63" t="n">
        <v>0</v>
      </c>
      <c r="I189" s="14" t="n">
        <f aca="false">+H189*K189</f>
        <v>0</v>
      </c>
      <c r="J189" s="85" t="n">
        <v>36800</v>
      </c>
      <c r="K189" s="13" t="n">
        <f aca="false">+K188</f>
        <v>7000</v>
      </c>
      <c r="L189" s="38" t="s">
        <v>8</v>
      </c>
      <c r="M189" s="63" t="s">
        <v>272</v>
      </c>
      <c r="O189" s="134" t="n">
        <f aca="false">0.005*K189</f>
        <v>35</v>
      </c>
      <c r="Q189" s="135" t="n">
        <v>5.105</v>
      </c>
      <c r="T189" s="134" t="n">
        <v>0</v>
      </c>
      <c r="AA189" s="10" t="s">
        <v>116</v>
      </c>
      <c r="AB189" s="12" t="s">
        <v>245</v>
      </c>
    </row>
    <row r="190" customFormat="false" ht="12.75" hidden="false" customHeight="false" outlineLevel="0" collapsed="false">
      <c r="A190" s="10" t="n">
        <v>25</v>
      </c>
      <c r="B190" s="10" t="s">
        <v>279</v>
      </c>
      <c r="C190" s="62" t="n">
        <v>36762</v>
      </c>
      <c r="D190" s="12" t="s">
        <v>147</v>
      </c>
      <c r="E190" s="12" t="s">
        <v>89</v>
      </c>
      <c r="F190" s="12" t="s">
        <v>235</v>
      </c>
      <c r="G190" s="12" t="s">
        <v>239</v>
      </c>
      <c r="H190" s="63" t="n">
        <v>0</v>
      </c>
      <c r="I190" s="14" t="n">
        <f aca="false">+H190*K190</f>
        <v>0</v>
      </c>
      <c r="J190" s="85" t="n">
        <v>36831</v>
      </c>
      <c r="K190" s="13" t="n">
        <f aca="false">+K189</f>
        <v>7000</v>
      </c>
      <c r="L190" s="38" t="s">
        <v>8</v>
      </c>
      <c r="M190" s="63" t="s">
        <v>272</v>
      </c>
      <c r="O190" s="134" t="n">
        <f aca="false">0.005*K190</f>
        <v>35</v>
      </c>
      <c r="Q190" s="135" t="n">
        <v>4.31</v>
      </c>
      <c r="T190" s="134" t="n">
        <v>0</v>
      </c>
      <c r="AA190" s="10" t="s">
        <v>116</v>
      </c>
      <c r="AB190" s="12" t="s">
        <v>245</v>
      </c>
    </row>
    <row r="191" customFormat="false" ht="12.75" hidden="false" customHeight="false" outlineLevel="0" collapsed="false">
      <c r="A191" s="10" t="n">
        <v>25</v>
      </c>
      <c r="B191" s="10" t="s">
        <v>279</v>
      </c>
      <c r="C191" s="62" t="n">
        <v>36762</v>
      </c>
      <c r="D191" s="12" t="s">
        <v>147</v>
      </c>
      <c r="E191" s="12" t="s">
        <v>89</v>
      </c>
      <c r="F191" s="12" t="s">
        <v>235</v>
      </c>
      <c r="G191" s="12" t="s">
        <v>239</v>
      </c>
      <c r="H191" s="63" t="n">
        <v>0</v>
      </c>
      <c r="I191" s="14" t="n">
        <f aca="false">+H191*K191</f>
        <v>0</v>
      </c>
      <c r="J191" s="85" t="n">
        <v>36861</v>
      </c>
      <c r="K191" s="13" t="n">
        <f aca="false">+K190</f>
        <v>7000</v>
      </c>
      <c r="L191" s="38" t="s">
        <v>8</v>
      </c>
      <c r="M191" s="63" t="s">
        <v>272</v>
      </c>
      <c r="O191" s="134" t="n">
        <f aca="false">0.005*K191</f>
        <v>35</v>
      </c>
      <c r="Q191" s="135" t="n">
        <v>5.775</v>
      </c>
      <c r="T191" s="134" t="n">
        <f aca="false">(5.2-Q191)*K191</f>
        <v>-4025</v>
      </c>
      <c r="AA191" s="10" t="s">
        <v>116</v>
      </c>
      <c r="AB191" s="12" t="s">
        <v>245</v>
      </c>
    </row>
    <row r="192" customFormat="false" ht="12.75" hidden="false" customHeight="false" outlineLevel="0" collapsed="false">
      <c r="A192" s="10" t="n">
        <v>25</v>
      </c>
      <c r="B192" s="10" t="s">
        <v>279</v>
      </c>
      <c r="C192" s="62" t="n">
        <v>36762</v>
      </c>
      <c r="D192" s="12" t="s">
        <v>147</v>
      </c>
      <c r="E192" s="12" t="s">
        <v>89</v>
      </c>
      <c r="F192" s="12" t="s">
        <v>235</v>
      </c>
      <c r="G192" s="12" t="s">
        <v>239</v>
      </c>
      <c r="H192" s="63" t="n">
        <v>0</v>
      </c>
      <c r="I192" s="14" t="n">
        <f aca="false">+H192*K192</f>
        <v>0</v>
      </c>
      <c r="J192" s="85" t="n">
        <v>36892</v>
      </c>
      <c r="K192" s="13" t="n">
        <f aca="false">+K191</f>
        <v>7000</v>
      </c>
      <c r="L192" s="38" t="s">
        <v>8</v>
      </c>
      <c r="M192" s="63" t="s">
        <v>272</v>
      </c>
      <c r="O192" s="134" t="n">
        <f aca="false">0.005*K192</f>
        <v>35</v>
      </c>
      <c r="Q192" s="135" t="n">
        <v>9.565</v>
      </c>
      <c r="T192" s="134" t="n">
        <f aca="false">(5.2-Q192)*K192</f>
        <v>-30555</v>
      </c>
      <c r="AA192" s="10" t="s">
        <v>116</v>
      </c>
      <c r="AB192" s="12" t="s">
        <v>245</v>
      </c>
    </row>
    <row r="193" customFormat="false" ht="12.75" hidden="false" customHeight="false" outlineLevel="0" collapsed="false">
      <c r="A193" s="10" t="n">
        <v>25</v>
      </c>
      <c r="B193" s="10" t="s">
        <v>279</v>
      </c>
      <c r="C193" s="62" t="n">
        <v>36762</v>
      </c>
      <c r="D193" s="12" t="s">
        <v>147</v>
      </c>
      <c r="E193" s="12" t="s">
        <v>89</v>
      </c>
      <c r="F193" s="12" t="s">
        <v>235</v>
      </c>
      <c r="G193" s="12" t="s">
        <v>239</v>
      </c>
      <c r="H193" s="63" t="n">
        <v>0</v>
      </c>
      <c r="I193" s="14" t="n">
        <f aca="false">+H193*K193</f>
        <v>0</v>
      </c>
      <c r="J193" s="85" t="n">
        <v>36923</v>
      </c>
      <c r="K193" s="13" t="n">
        <f aca="false">+K192</f>
        <v>7000</v>
      </c>
      <c r="L193" s="38" t="s">
        <v>8</v>
      </c>
      <c r="M193" s="63" t="s">
        <v>272</v>
      </c>
      <c r="O193" s="134" t="n">
        <f aca="false">0.005*K193</f>
        <v>35</v>
      </c>
      <c r="AA193" s="10" t="s">
        <v>116</v>
      </c>
      <c r="AB193" s="12" t="s">
        <v>245</v>
      </c>
    </row>
    <row r="195" customFormat="false" ht="12.75" hidden="false" customHeight="false" outlineLevel="0" collapsed="false">
      <c r="A195" s="10" t="n">
        <v>26</v>
      </c>
      <c r="B195" s="10" t="s">
        <v>280</v>
      </c>
      <c r="C195" s="62" t="n">
        <v>36762</v>
      </c>
      <c r="D195" s="12" t="s">
        <v>148</v>
      </c>
      <c r="E195" s="12" t="s">
        <v>89</v>
      </c>
      <c r="F195" s="12" t="s">
        <v>235</v>
      </c>
      <c r="G195" s="12" t="s">
        <v>239</v>
      </c>
      <c r="H195" s="63" t="n">
        <v>0</v>
      </c>
      <c r="I195" s="14" t="n">
        <f aca="false">+H195*K195</f>
        <v>0</v>
      </c>
      <c r="J195" s="85" t="n">
        <v>36770</v>
      </c>
      <c r="K195" s="13" t="n">
        <v>6000</v>
      </c>
      <c r="L195" s="38" t="s">
        <v>8</v>
      </c>
      <c r="M195" s="63" t="s">
        <v>272</v>
      </c>
      <c r="O195" s="134" t="n">
        <f aca="false">0.005*K195</f>
        <v>30</v>
      </c>
      <c r="Q195" s="135" t="n">
        <v>4.45</v>
      </c>
      <c r="T195" s="134" t="n">
        <v>0</v>
      </c>
      <c r="Y195" s="12" t="s">
        <v>269</v>
      </c>
      <c r="AA195" s="10" t="s">
        <v>116</v>
      </c>
      <c r="AB195" s="12" t="s">
        <v>245</v>
      </c>
    </row>
    <row r="196" customFormat="false" ht="12.75" hidden="false" customHeight="false" outlineLevel="0" collapsed="false">
      <c r="A196" s="10" t="n">
        <v>26</v>
      </c>
      <c r="B196" s="10" t="s">
        <v>280</v>
      </c>
      <c r="C196" s="62" t="n">
        <v>36762</v>
      </c>
      <c r="D196" s="12" t="s">
        <v>148</v>
      </c>
      <c r="E196" s="12" t="s">
        <v>89</v>
      </c>
      <c r="F196" s="12" t="s">
        <v>235</v>
      </c>
      <c r="G196" s="12" t="s">
        <v>239</v>
      </c>
      <c r="H196" s="63" t="n">
        <v>0</v>
      </c>
      <c r="I196" s="14" t="n">
        <f aca="false">+H196*K196</f>
        <v>0</v>
      </c>
      <c r="J196" s="85" t="n">
        <v>36800</v>
      </c>
      <c r="K196" s="13" t="n">
        <f aca="false">+K195</f>
        <v>6000</v>
      </c>
      <c r="L196" s="38" t="s">
        <v>8</v>
      </c>
      <c r="M196" s="63" t="s">
        <v>272</v>
      </c>
      <c r="O196" s="134" t="n">
        <f aca="false">0.005*K196</f>
        <v>30</v>
      </c>
      <c r="Q196" s="135" t="n">
        <v>5.105</v>
      </c>
      <c r="T196" s="134" t="n">
        <v>0</v>
      </c>
      <c r="AA196" s="10" t="s">
        <v>116</v>
      </c>
      <c r="AB196" s="12" t="s">
        <v>245</v>
      </c>
    </row>
    <row r="197" customFormat="false" ht="12.75" hidden="false" customHeight="false" outlineLevel="0" collapsed="false">
      <c r="A197" s="10" t="n">
        <v>26</v>
      </c>
      <c r="B197" s="10" t="s">
        <v>280</v>
      </c>
      <c r="C197" s="62" t="n">
        <v>36762</v>
      </c>
      <c r="D197" s="12" t="s">
        <v>148</v>
      </c>
      <c r="E197" s="12" t="s">
        <v>89</v>
      </c>
      <c r="F197" s="12" t="s">
        <v>235</v>
      </c>
      <c r="G197" s="12" t="s">
        <v>239</v>
      </c>
      <c r="H197" s="63" t="n">
        <v>0</v>
      </c>
      <c r="I197" s="14" t="n">
        <f aca="false">+H197*K197</f>
        <v>0</v>
      </c>
      <c r="J197" s="85" t="n">
        <v>36831</v>
      </c>
      <c r="K197" s="13" t="n">
        <f aca="false">+K196</f>
        <v>6000</v>
      </c>
      <c r="L197" s="38" t="s">
        <v>8</v>
      </c>
      <c r="M197" s="63" t="s">
        <v>272</v>
      </c>
      <c r="O197" s="134" t="n">
        <f aca="false">0.005*K197</f>
        <v>30</v>
      </c>
      <c r="Q197" s="135" t="n">
        <v>4.31</v>
      </c>
      <c r="T197" s="134" t="n">
        <v>0</v>
      </c>
      <c r="AA197" s="10" t="s">
        <v>116</v>
      </c>
      <c r="AB197" s="12" t="s">
        <v>245</v>
      </c>
    </row>
    <row r="198" customFormat="false" ht="12.75" hidden="false" customHeight="false" outlineLevel="0" collapsed="false">
      <c r="A198" s="10" t="n">
        <v>26</v>
      </c>
      <c r="B198" s="10" t="s">
        <v>280</v>
      </c>
      <c r="C198" s="62" t="n">
        <v>36762</v>
      </c>
      <c r="D198" s="12" t="s">
        <v>148</v>
      </c>
      <c r="E198" s="12" t="s">
        <v>89</v>
      </c>
      <c r="F198" s="12" t="s">
        <v>235</v>
      </c>
      <c r="G198" s="12" t="s">
        <v>239</v>
      </c>
      <c r="H198" s="63" t="n">
        <v>0</v>
      </c>
      <c r="I198" s="14" t="n">
        <f aca="false">+H198*K198</f>
        <v>0</v>
      </c>
      <c r="J198" s="85" t="n">
        <v>36861</v>
      </c>
      <c r="K198" s="13" t="n">
        <f aca="false">+K197</f>
        <v>6000</v>
      </c>
      <c r="L198" s="38" t="s">
        <v>8</v>
      </c>
      <c r="M198" s="63" t="s">
        <v>272</v>
      </c>
      <c r="O198" s="134" t="n">
        <f aca="false">0.005*K198</f>
        <v>30</v>
      </c>
      <c r="Q198" s="135" t="n">
        <v>5.775</v>
      </c>
      <c r="T198" s="134" t="n">
        <f aca="false">(5.2-Q198)*K198</f>
        <v>-3450</v>
      </c>
      <c r="AA198" s="10" t="s">
        <v>116</v>
      </c>
      <c r="AB198" s="12" t="s">
        <v>245</v>
      </c>
    </row>
    <row r="199" customFormat="false" ht="12.75" hidden="false" customHeight="false" outlineLevel="0" collapsed="false">
      <c r="A199" s="10" t="n">
        <v>26</v>
      </c>
      <c r="B199" s="10" t="s">
        <v>280</v>
      </c>
      <c r="C199" s="62" t="n">
        <v>36762</v>
      </c>
      <c r="D199" s="12" t="s">
        <v>148</v>
      </c>
      <c r="E199" s="12" t="s">
        <v>89</v>
      </c>
      <c r="F199" s="12" t="s">
        <v>235</v>
      </c>
      <c r="G199" s="12" t="s">
        <v>239</v>
      </c>
      <c r="H199" s="63" t="n">
        <v>0</v>
      </c>
      <c r="I199" s="14" t="n">
        <f aca="false">+H199*K199</f>
        <v>0</v>
      </c>
      <c r="J199" s="85" t="n">
        <v>36892</v>
      </c>
      <c r="K199" s="13" t="n">
        <f aca="false">+K198</f>
        <v>6000</v>
      </c>
      <c r="L199" s="38" t="s">
        <v>8</v>
      </c>
      <c r="M199" s="63" t="s">
        <v>272</v>
      </c>
      <c r="O199" s="134" t="n">
        <f aca="false">0.005*K199</f>
        <v>30</v>
      </c>
      <c r="Q199" s="135" t="n">
        <v>9.565</v>
      </c>
      <c r="T199" s="134" t="n">
        <f aca="false">(5.2-Q199)*K199</f>
        <v>-26190</v>
      </c>
      <c r="AA199" s="10" t="s">
        <v>116</v>
      </c>
      <c r="AB199" s="12" t="s">
        <v>245</v>
      </c>
    </row>
    <row r="200" customFormat="false" ht="12.75" hidden="false" customHeight="false" outlineLevel="0" collapsed="false">
      <c r="A200" s="10" t="n">
        <v>26</v>
      </c>
      <c r="B200" s="10" t="s">
        <v>280</v>
      </c>
      <c r="C200" s="62" t="n">
        <v>36762</v>
      </c>
      <c r="D200" s="12" t="s">
        <v>148</v>
      </c>
      <c r="E200" s="12" t="s">
        <v>89</v>
      </c>
      <c r="F200" s="12" t="s">
        <v>235</v>
      </c>
      <c r="G200" s="12" t="s">
        <v>239</v>
      </c>
      <c r="H200" s="63" t="n">
        <v>0</v>
      </c>
      <c r="I200" s="14" t="n">
        <f aca="false">+H200*K200</f>
        <v>0</v>
      </c>
      <c r="J200" s="85" t="n">
        <v>36923</v>
      </c>
      <c r="K200" s="13" t="n">
        <f aca="false">+K199</f>
        <v>6000</v>
      </c>
      <c r="L200" s="38" t="s">
        <v>8</v>
      </c>
      <c r="M200" s="63" t="s">
        <v>272</v>
      </c>
      <c r="O200" s="134" t="n">
        <f aca="false">0.005*K200</f>
        <v>30</v>
      </c>
      <c r="AA200" s="10" t="s">
        <v>116</v>
      </c>
      <c r="AB200" s="12" t="s">
        <v>245</v>
      </c>
    </row>
    <row r="202" customFormat="false" ht="12.75" hidden="false" customHeight="false" outlineLevel="0" collapsed="false">
      <c r="A202" s="10" t="n">
        <v>27</v>
      </c>
      <c r="B202" s="10" t="s">
        <v>281</v>
      </c>
      <c r="C202" s="62" t="n">
        <v>36762</v>
      </c>
      <c r="D202" s="12" t="s">
        <v>149</v>
      </c>
      <c r="E202" s="12" t="s">
        <v>89</v>
      </c>
      <c r="F202" s="12" t="s">
        <v>235</v>
      </c>
      <c r="G202" s="12" t="s">
        <v>239</v>
      </c>
      <c r="H202" s="63" t="n">
        <v>0</v>
      </c>
      <c r="I202" s="14" t="n">
        <f aca="false">+H202*K202</f>
        <v>0</v>
      </c>
      <c r="J202" s="85" t="n">
        <v>36770</v>
      </c>
      <c r="K202" s="13" t="n">
        <v>13000</v>
      </c>
      <c r="L202" s="38" t="s">
        <v>8</v>
      </c>
      <c r="M202" s="63" t="s">
        <v>272</v>
      </c>
      <c r="O202" s="134" t="n">
        <f aca="false">0.005*K202</f>
        <v>65</v>
      </c>
      <c r="Q202" s="135" t="n">
        <v>4.45</v>
      </c>
      <c r="T202" s="134" t="n">
        <v>0</v>
      </c>
      <c r="Y202" s="12" t="s">
        <v>269</v>
      </c>
      <c r="AA202" s="10" t="s">
        <v>116</v>
      </c>
      <c r="AB202" s="12" t="s">
        <v>245</v>
      </c>
    </row>
    <row r="203" customFormat="false" ht="12.75" hidden="false" customHeight="false" outlineLevel="0" collapsed="false">
      <c r="A203" s="10" t="n">
        <v>27</v>
      </c>
      <c r="B203" s="10" t="s">
        <v>281</v>
      </c>
      <c r="C203" s="62" t="n">
        <v>36762</v>
      </c>
      <c r="D203" s="12" t="s">
        <v>149</v>
      </c>
      <c r="E203" s="12" t="s">
        <v>89</v>
      </c>
      <c r="F203" s="12" t="s">
        <v>235</v>
      </c>
      <c r="G203" s="12" t="s">
        <v>239</v>
      </c>
      <c r="H203" s="63" t="n">
        <v>0</v>
      </c>
      <c r="I203" s="14" t="n">
        <f aca="false">+H203*K203</f>
        <v>0</v>
      </c>
      <c r="J203" s="85" t="n">
        <v>36800</v>
      </c>
      <c r="K203" s="13" t="n">
        <f aca="false">+K202</f>
        <v>13000</v>
      </c>
      <c r="L203" s="38" t="s">
        <v>8</v>
      </c>
      <c r="M203" s="63" t="s">
        <v>272</v>
      </c>
      <c r="O203" s="134" t="n">
        <f aca="false">0.005*K203</f>
        <v>65</v>
      </c>
      <c r="Q203" s="135" t="n">
        <v>5.105</v>
      </c>
      <c r="T203" s="134" t="n">
        <v>0</v>
      </c>
      <c r="AA203" s="10" t="s">
        <v>116</v>
      </c>
      <c r="AB203" s="12" t="s">
        <v>245</v>
      </c>
    </row>
    <row r="204" customFormat="false" ht="12.75" hidden="false" customHeight="false" outlineLevel="0" collapsed="false">
      <c r="A204" s="10" t="n">
        <v>27</v>
      </c>
      <c r="B204" s="10" t="s">
        <v>281</v>
      </c>
      <c r="C204" s="62" t="n">
        <v>36762</v>
      </c>
      <c r="D204" s="12" t="s">
        <v>149</v>
      </c>
      <c r="E204" s="12" t="s">
        <v>89</v>
      </c>
      <c r="F204" s="12" t="s">
        <v>235</v>
      </c>
      <c r="G204" s="12" t="s">
        <v>239</v>
      </c>
      <c r="H204" s="63" t="n">
        <v>0</v>
      </c>
      <c r="I204" s="14" t="n">
        <f aca="false">+H204*K204</f>
        <v>0</v>
      </c>
      <c r="J204" s="85" t="n">
        <v>36831</v>
      </c>
      <c r="K204" s="13" t="n">
        <f aca="false">+K203</f>
        <v>13000</v>
      </c>
      <c r="L204" s="38" t="s">
        <v>8</v>
      </c>
      <c r="M204" s="63" t="s">
        <v>272</v>
      </c>
      <c r="O204" s="134" t="n">
        <f aca="false">0.005*K204</f>
        <v>65</v>
      </c>
      <c r="Q204" s="135" t="n">
        <v>4.31</v>
      </c>
      <c r="T204" s="134" t="n">
        <v>0</v>
      </c>
      <c r="AA204" s="10" t="s">
        <v>116</v>
      </c>
      <c r="AB204" s="12" t="s">
        <v>245</v>
      </c>
    </row>
    <row r="205" customFormat="false" ht="12.75" hidden="false" customHeight="false" outlineLevel="0" collapsed="false">
      <c r="A205" s="10" t="n">
        <v>27</v>
      </c>
      <c r="B205" s="10" t="s">
        <v>281</v>
      </c>
      <c r="C205" s="62" t="n">
        <v>36762</v>
      </c>
      <c r="D205" s="12" t="s">
        <v>149</v>
      </c>
      <c r="E205" s="12" t="s">
        <v>89</v>
      </c>
      <c r="F205" s="12" t="s">
        <v>235</v>
      </c>
      <c r="G205" s="12" t="s">
        <v>239</v>
      </c>
      <c r="H205" s="63" t="n">
        <v>0</v>
      </c>
      <c r="I205" s="14" t="n">
        <f aca="false">+H205*K205</f>
        <v>0</v>
      </c>
      <c r="J205" s="85" t="n">
        <v>36861</v>
      </c>
      <c r="K205" s="13" t="n">
        <f aca="false">+K204</f>
        <v>13000</v>
      </c>
      <c r="L205" s="38" t="s">
        <v>8</v>
      </c>
      <c r="M205" s="63" t="s">
        <v>272</v>
      </c>
      <c r="O205" s="134" t="n">
        <f aca="false">0.005*K205</f>
        <v>65</v>
      </c>
      <c r="Q205" s="135" t="n">
        <v>5.775</v>
      </c>
      <c r="T205" s="134" t="n">
        <f aca="false">(5.2-Q205)*K205</f>
        <v>-7475</v>
      </c>
      <c r="AA205" s="10" t="s">
        <v>116</v>
      </c>
      <c r="AB205" s="12" t="s">
        <v>245</v>
      </c>
    </row>
    <row r="206" customFormat="false" ht="12.75" hidden="false" customHeight="false" outlineLevel="0" collapsed="false">
      <c r="A206" s="10" t="n">
        <v>27</v>
      </c>
      <c r="B206" s="10" t="s">
        <v>281</v>
      </c>
      <c r="C206" s="62" t="n">
        <v>36762</v>
      </c>
      <c r="D206" s="12" t="s">
        <v>149</v>
      </c>
      <c r="E206" s="12" t="s">
        <v>89</v>
      </c>
      <c r="F206" s="12" t="s">
        <v>235</v>
      </c>
      <c r="G206" s="12" t="s">
        <v>239</v>
      </c>
      <c r="H206" s="63" t="n">
        <v>0</v>
      </c>
      <c r="I206" s="14" t="n">
        <f aca="false">+H206*K206</f>
        <v>0</v>
      </c>
      <c r="J206" s="85" t="n">
        <v>36892</v>
      </c>
      <c r="K206" s="13" t="n">
        <f aca="false">+K205</f>
        <v>13000</v>
      </c>
      <c r="L206" s="38" t="s">
        <v>8</v>
      </c>
      <c r="M206" s="63" t="s">
        <v>272</v>
      </c>
      <c r="O206" s="134" t="n">
        <f aca="false">0.005*K206</f>
        <v>65</v>
      </c>
      <c r="Q206" s="135" t="n">
        <v>9.565</v>
      </c>
      <c r="T206" s="134" t="n">
        <f aca="false">(5.2-Q206)*K206</f>
        <v>-56745</v>
      </c>
      <c r="AA206" s="10" t="s">
        <v>116</v>
      </c>
      <c r="AB206" s="12" t="s">
        <v>245</v>
      </c>
    </row>
    <row r="207" customFormat="false" ht="12.75" hidden="false" customHeight="false" outlineLevel="0" collapsed="false">
      <c r="A207" s="10" t="n">
        <v>27</v>
      </c>
      <c r="B207" s="10" t="s">
        <v>281</v>
      </c>
      <c r="C207" s="62" t="n">
        <v>36762</v>
      </c>
      <c r="D207" s="12" t="s">
        <v>149</v>
      </c>
      <c r="E207" s="12" t="s">
        <v>89</v>
      </c>
      <c r="F207" s="12" t="s">
        <v>235</v>
      </c>
      <c r="G207" s="12" t="s">
        <v>239</v>
      </c>
      <c r="H207" s="63" t="n">
        <v>0</v>
      </c>
      <c r="I207" s="14" t="n">
        <f aca="false">+H207*K207</f>
        <v>0</v>
      </c>
      <c r="J207" s="85" t="n">
        <v>36923</v>
      </c>
      <c r="K207" s="13" t="n">
        <f aca="false">+K206</f>
        <v>13000</v>
      </c>
      <c r="L207" s="38" t="s">
        <v>8</v>
      </c>
      <c r="M207" s="63" t="s">
        <v>272</v>
      </c>
      <c r="O207" s="134" t="n">
        <f aca="false">0.005*K207</f>
        <v>65</v>
      </c>
      <c r="AA207" s="10" t="s">
        <v>116</v>
      </c>
      <c r="AB207" s="12" t="s">
        <v>245</v>
      </c>
    </row>
    <row r="209" customFormat="false" ht="12.75" hidden="false" customHeight="false" outlineLevel="0" collapsed="false">
      <c r="A209" s="10" t="n">
        <v>28</v>
      </c>
      <c r="B209" s="10" t="s">
        <v>282</v>
      </c>
      <c r="C209" s="62" t="n">
        <v>36762</v>
      </c>
      <c r="D209" s="12" t="s">
        <v>150</v>
      </c>
      <c r="E209" s="12" t="s">
        <v>89</v>
      </c>
      <c r="F209" s="12" t="s">
        <v>235</v>
      </c>
      <c r="G209" s="12" t="s">
        <v>239</v>
      </c>
      <c r="H209" s="63" t="n">
        <v>0</v>
      </c>
      <c r="I209" s="14" t="n">
        <f aca="false">+H209*K209</f>
        <v>0</v>
      </c>
      <c r="J209" s="85" t="n">
        <v>36770</v>
      </c>
      <c r="K209" s="13" t="n">
        <v>16000</v>
      </c>
      <c r="L209" s="38" t="s">
        <v>8</v>
      </c>
      <c r="M209" s="63" t="s">
        <v>272</v>
      </c>
      <c r="O209" s="134" t="n">
        <f aca="false">0.005*K209</f>
        <v>80</v>
      </c>
      <c r="Q209" s="135" t="n">
        <v>4.45</v>
      </c>
      <c r="T209" s="134" t="n">
        <v>0</v>
      </c>
      <c r="Y209" s="12" t="s">
        <v>269</v>
      </c>
      <c r="AA209" s="10" t="s">
        <v>116</v>
      </c>
      <c r="AB209" s="12" t="s">
        <v>245</v>
      </c>
    </row>
    <row r="210" customFormat="false" ht="12.75" hidden="false" customHeight="false" outlineLevel="0" collapsed="false">
      <c r="A210" s="10" t="n">
        <v>28</v>
      </c>
      <c r="B210" s="10" t="s">
        <v>282</v>
      </c>
      <c r="C210" s="62" t="n">
        <v>36762</v>
      </c>
      <c r="D210" s="12" t="s">
        <v>150</v>
      </c>
      <c r="E210" s="12" t="s">
        <v>89</v>
      </c>
      <c r="F210" s="12" t="s">
        <v>235</v>
      </c>
      <c r="G210" s="12" t="s">
        <v>239</v>
      </c>
      <c r="H210" s="63" t="n">
        <v>0</v>
      </c>
      <c r="I210" s="14" t="n">
        <f aca="false">+H210*K210</f>
        <v>0</v>
      </c>
      <c r="J210" s="85" t="n">
        <v>36800</v>
      </c>
      <c r="K210" s="13" t="n">
        <f aca="false">+K209</f>
        <v>16000</v>
      </c>
      <c r="L210" s="38" t="s">
        <v>8</v>
      </c>
      <c r="M210" s="63" t="s">
        <v>272</v>
      </c>
      <c r="O210" s="134" t="n">
        <f aca="false">0.005*K210</f>
        <v>80</v>
      </c>
      <c r="Q210" s="135" t="n">
        <v>5.105</v>
      </c>
      <c r="T210" s="134" t="n">
        <v>0</v>
      </c>
      <c r="AA210" s="10" t="s">
        <v>116</v>
      </c>
      <c r="AB210" s="12" t="s">
        <v>245</v>
      </c>
    </row>
    <row r="211" customFormat="false" ht="12.75" hidden="false" customHeight="false" outlineLevel="0" collapsed="false">
      <c r="A211" s="10" t="n">
        <v>28</v>
      </c>
      <c r="B211" s="10" t="s">
        <v>282</v>
      </c>
      <c r="C211" s="62" t="n">
        <v>36762</v>
      </c>
      <c r="D211" s="12" t="s">
        <v>150</v>
      </c>
      <c r="E211" s="12" t="s">
        <v>89</v>
      </c>
      <c r="F211" s="12" t="s">
        <v>235</v>
      </c>
      <c r="G211" s="12" t="s">
        <v>239</v>
      </c>
      <c r="H211" s="63" t="n">
        <v>0</v>
      </c>
      <c r="I211" s="14" t="n">
        <f aca="false">+H211*K211</f>
        <v>0</v>
      </c>
      <c r="J211" s="85" t="n">
        <v>36831</v>
      </c>
      <c r="K211" s="13" t="n">
        <f aca="false">+K210</f>
        <v>16000</v>
      </c>
      <c r="L211" s="38" t="s">
        <v>8</v>
      </c>
      <c r="M211" s="63" t="s">
        <v>272</v>
      </c>
      <c r="O211" s="134" t="n">
        <f aca="false">0.005*K211</f>
        <v>80</v>
      </c>
      <c r="Q211" s="135" t="n">
        <v>4.31</v>
      </c>
      <c r="T211" s="134" t="n">
        <v>0</v>
      </c>
      <c r="AA211" s="10" t="s">
        <v>116</v>
      </c>
      <c r="AB211" s="12" t="s">
        <v>245</v>
      </c>
    </row>
    <row r="212" customFormat="false" ht="12.75" hidden="false" customHeight="false" outlineLevel="0" collapsed="false">
      <c r="A212" s="10" t="n">
        <v>28</v>
      </c>
      <c r="B212" s="10" t="s">
        <v>282</v>
      </c>
      <c r="C212" s="62" t="n">
        <v>36762</v>
      </c>
      <c r="D212" s="12" t="s">
        <v>150</v>
      </c>
      <c r="E212" s="12" t="s">
        <v>89</v>
      </c>
      <c r="F212" s="12" t="s">
        <v>235</v>
      </c>
      <c r="G212" s="12" t="s">
        <v>239</v>
      </c>
      <c r="H212" s="63" t="n">
        <v>0</v>
      </c>
      <c r="I212" s="14" t="n">
        <f aca="false">+H212*K212</f>
        <v>0</v>
      </c>
      <c r="J212" s="85" t="n">
        <v>36861</v>
      </c>
      <c r="K212" s="13" t="n">
        <f aca="false">+K211</f>
        <v>16000</v>
      </c>
      <c r="L212" s="38" t="s">
        <v>8</v>
      </c>
      <c r="M212" s="63" t="s">
        <v>272</v>
      </c>
      <c r="O212" s="134" t="n">
        <f aca="false">0.005*K212</f>
        <v>80</v>
      </c>
      <c r="Q212" s="135" t="n">
        <v>5.775</v>
      </c>
      <c r="T212" s="134" t="n">
        <f aca="false">(5.2-Q212)*K212</f>
        <v>-9200</v>
      </c>
      <c r="AA212" s="10" t="s">
        <v>116</v>
      </c>
      <c r="AB212" s="12" t="s">
        <v>245</v>
      </c>
    </row>
    <row r="213" customFormat="false" ht="12.75" hidden="false" customHeight="false" outlineLevel="0" collapsed="false">
      <c r="A213" s="10" t="n">
        <v>28</v>
      </c>
      <c r="B213" s="10" t="s">
        <v>282</v>
      </c>
      <c r="C213" s="62" t="n">
        <v>36762</v>
      </c>
      <c r="D213" s="12" t="s">
        <v>150</v>
      </c>
      <c r="E213" s="12" t="s">
        <v>89</v>
      </c>
      <c r="F213" s="12" t="s">
        <v>235</v>
      </c>
      <c r="G213" s="12" t="s">
        <v>239</v>
      </c>
      <c r="H213" s="63" t="n">
        <v>0</v>
      </c>
      <c r="I213" s="14" t="n">
        <f aca="false">+H213*K213</f>
        <v>0</v>
      </c>
      <c r="J213" s="85" t="n">
        <v>36892</v>
      </c>
      <c r="K213" s="13" t="n">
        <f aca="false">+K212</f>
        <v>16000</v>
      </c>
      <c r="L213" s="38" t="s">
        <v>8</v>
      </c>
      <c r="M213" s="63" t="s">
        <v>272</v>
      </c>
      <c r="O213" s="134" t="n">
        <f aca="false">0.005*K213</f>
        <v>80</v>
      </c>
      <c r="Q213" s="135" t="n">
        <v>9.565</v>
      </c>
      <c r="T213" s="134" t="n">
        <f aca="false">(5.2-Q213)*K213</f>
        <v>-69840</v>
      </c>
      <c r="AA213" s="10" t="s">
        <v>116</v>
      </c>
      <c r="AB213" s="12" t="s">
        <v>245</v>
      </c>
    </row>
    <row r="214" customFormat="false" ht="12.75" hidden="false" customHeight="false" outlineLevel="0" collapsed="false">
      <c r="A214" s="10" t="n">
        <v>28</v>
      </c>
      <c r="B214" s="10" t="s">
        <v>282</v>
      </c>
      <c r="C214" s="62" t="n">
        <v>36762</v>
      </c>
      <c r="D214" s="12" t="s">
        <v>150</v>
      </c>
      <c r="E214" s="12" t="s">
        <v>89</v>
      </c>
      <c r="F214" s="12" t="s">
        <v>235</v>
      </c>
      <c r="G214" s="12" t="s">
        <v>239</v>
      </c>
      <c r="H214" s="63" t="n">
        <v>0</v>
      </c>
      <c r="I214" s="14" t="n">
        <f aca="false">+H214*K214</f>
        <v>0</v>
      </c>
      <c r="J214" s="85" t="n">
        <v>36923</v>
      </c>
      <c r="K214" s="13" t="n">
        <f aca="false">+K213</f>
        <v>16000</v>
      </c>
      <c r="L214" s="38" t="s">
        <v>8</v>
      </c>
      <c r="M214" s="63" t="s">
        <v>272</v>
      </c>
      <c r="O214" s="134" t="n">
        <f aca="false">0.005*K214</f>
        <v>80</v>
      </c>
      <c r="AA214" s="10" t="s">
        <v>116</v>
      </c>
      <c r="AB214" s="12" t="s">
        <v>245</v>
      </c>
    </row>
    <row r="216" customFormat="false" ht="12.75" hidden="false" customHeight="false" outlineLevel="0" collapsed="false">
      <c r="A216" s="10" t="n">
        <v>29</v>
      </c>
      <c r="B216" s="10" t="s">
        <v>283</v>
      </c>
      <c r="C216" s="62" t="n">
        <v>36762</v>
      </c>
      <c r="D216" s="12" t="s">
        <v>151</v>
      </c>
      <c r="E216" s="12" t="s">
        <v>89</v>
      </c>
      <c r="F216" s="12" t="s">
        <v>235</v>
      </c>
      <c r="G216" s="12" t="s">
        <v>239</v>
      </c>
      <c r="H216" s="63" t="n">
        <v>0</v>
      </c>
      <c r="I216" s="14" t="n">
        <f aca="false">+H216*K216</f>
        <v>0</v>
      </c>
      <c r="J216" s="85" t="n">
        <v>36770</v>
      </c>
      <c r="K216" s="13" t="n">
        <v>6000</v>
      </c>
      <c r="L216" s="38" t="s">
        <v>8</v>
      </c>
      <c r="M216" s="63" t="s">
        <v>272</v>
      </c>
      <c r="O216" s="134" t="n">
        <f aca="false">0.005*K216</f>
        <v>30</v>
      </c>
      <c r="Q216" s="135" t="n">
        <v>4.45</v>
      </c>
      <c r="T216" s="134" t="n">
        <v>0</v>
      </c>
      <c r="Y216" s="12" t="s">
        <v>269</v>
      </c>
      <c r="AA216" s="10" t="s">
        <v>116</v>
      </c>
      <c r="AB216" s="12" t="s">
        <v>245</v>
      </c>
    </row>
    <row r="217" customFormat="false" ht="12.75" hidden="false" customHeight="false" outlineLevel="0" collapsed="false">
      <c r="A217" s="10" t="n">
        <v>29</v>
      </c>
      <c r="B217" s="10" t="s">
        <v>283</v>
      </c>
      <c r="C217" s="62" t="n">
        <v>36762</v>
      </c>
      <c r="D217" s="12" t="s">
        <v>151</v>
      </c>
      <c r="E217" s="12" t="s">
        <v>89</v>
      </c>
      <c r="F217" s="12" t="s">
        <v>235</v>
      </c>
      <c r="G217" s="12" t="s">
        <v>239</v>
      </c>
      <c r="H217" s="63" t="n">
        <v>0</v>
      </c>
      <c r="I217" s="14" t="n">
        <f aca="false">+H217*K217</f>
        <v>0</v>
      </c>
      <c r="J217" s="85" t="n">
        <v>36800</v>
      </c>
      <c r="K217" s="13" t="n">
        <f aca="false">+K216</f>
        <v>6000</v>
      </c>
      <c r="L217" s="38" t="s">
        <v>8</v>
      </c>
      <c r="M217" s="63" t="s">
        <v>272</v>
      </c>
      <c r="O217" s="134" t="n">
        <f aca="false">0.005*K217</f>
        <v>30</v>
      </c>
      <c r="Q217" s="135" t="n">
        <v>5.105</v>
      </c>
      <c r="T217" s="134" t="n">
        <v>0</v>
      </c>
      <c r="AA217" s="10" t="s">
        <v>116</v>
      </c>
      <c r="AB217" s="12" t="s">
        <v>245</v>
      </c>
    </row>
    <row r="218" customFormat="false" ht="12.75" hidden="false" customHeight="false" outlineLevel="0" collapsed="false">
      <c r="A218" s="10" t="n">
        <v>29</v>
      </c>
      <c r="B218" s="10" t="s">
        <v>283</v>
      </c>
      <c r="C218" s="62" t="n">
        <v>36762</v>
      </c>
      <c r="D218" s="12" t="s">
        <v>151</v>
      </c>
      <c r="E218" s="12" t="s">
        <v>89</v>
      </c>
      <c r="F218" s="12" t="s">
        <v>235</v>
      </c>
      <c r="G218" s="12" t="s">
        <v>239</v>
      </c>
      <c r="H218" s="63" t="n">
        <v>0</v>
      </c>
      <c r="I218" s="14" t="n">
        <f aca="false">+H218*K218</f>
        <v>0</v>
      </c>
      <c r="J218" s="85" t="n">
        <v>36831</v>
      </c>
      <c r="K218" s="13" t="n">
        <f aca="false">+K217</f>
        <v>6000</v>
      </c>
      <c r="L218" s="38" t="s">
        <v>8</v>
      </c>
      <c r="M218" s="63" t="s">
        <v>272</v>
      </c>
      <c r="O218" s="134" t="n">
        <f aca="false">0.005*K218</f>
        <v>30</v>
      </c>
      <c r="Q218" s="135" t="n">
        <v>4.31</v>
      </c>
      <c r="T218" s="134" t="n">
        <v>0</v>
      </c>
      <c r="AA218" s="10" t="s">
        <v>116</v>
      </c>
      <c r="AB218" s="12" t="s">
        <v>245</v>
      </c>
    </row>
    <row r="219" customFormat="false" ht="12.75" hidden="false" customHeight="false" outlineLevel="0" collapsed="false">
      <c r="A219" s="10" t="n">
        <v>29</v>
      </c>
      <c r="B219" s="10" t="s">
        <v>283</v>
      </c>
      <c r="C219" s="62" t="n">
        <v>36762</v>
      </c>
      <c r="D219" s="12" t="s">
        <v>151</v>
      </c>
      <c r="E219" s="12" t="s">
        <v>89</v>
      </c>
      <c r="F219" s="12" t="s">
        <v>235</v>
      </c>
      <c r="G219" s="12" t="s">
        <v>239</v>
      </c>
      <c r="H219" s="63" t="n">
        <v>0</v>
      </c>
      <c r="I219" s="14" t="n">
        <f aca="false">+H219*K219</f>
        <v>0</v>
      </c>
      <c r="J219" s="85" t="n">
        <v>36861</v>
      </c>
      <c r="K219" s="13" t="n">
        <f aca="false">+K218</f>
        <v>6000</v>
      </c>
      <c r="L219" s="38" t="s">
        <v>8</v>
      </c>
      <c r="M219" s="63" t="s">
        <v>272</v>
      </c>
      <c r="O219" s="134" t="n">
        <f aca="false">0.005*K219</f>
        <v>30</v>
      </c>
      <c r="Q219" s="135" t="n">
        <v>5.775</v>
      </c>
      <c r="T219" s="134" t="n">
        <f aca="false">(5.2-Q219)*K219</f>
        <v>-3450</v>
      </c>
      <c r="AA219" s="10" t="s">
        <v>116</v>
      </c>
      <c r="AB219" s="12" t="s">
        <v>245</v>
      </c>
    </row>
    <row r="220" customFormat="false" ht="12.75" hidden="false" customHeight="false" outlineLevel="0" collapsed="false">
      <c r="A220" s="10" t="n">
        <v>29</v>
      </c>
      <c r="B220" s="10" t="s">
        <v>283</v>
      </c>
      <c r="C220" s="62" t="n">
        <v>36762</v>
      </c>
      <c r="D220" s="12" t="s">
        <v>151</v>
      </c>
      <c r="E220" s="12" t="s">
        <v>89</v>
      </c>
      <c r="F220" s="12" t="s">
        <v>235</v>
      </c>
      <c r="G220" s="12" t="s">
        <v>239</v>
      </c>
      <c r="H220" s="63" t="n">
        <v>0</v>
      </c>
      <c r="I220" s="14" t="n">
        <f aca="false">+H220*K220</f>
        <v>0</v>
      </c>
      <c r="J220" s="85" t="n">
        <v>36892</v>
      </c>
      <c r="K220" s="13" t="n">
        <f aca="false">+K219</f>
        <v>6000</v>
      </c>
      <c r="L220" s="38" t="s">
        <v>8</v>
      </c>
      <c r="M220" s="63" t="s">
        <v>272</v>
      </c>
      <c r="O220" s="134" t="n">
        <f aca="false">0.005*K220</f>
        <v>30</v>
      </c>
      <c r="Q220" s="135" t="n">
        <v>9.565</v>
      </c>
      <c r="T220" s="134" t="n">
        <f aca="false">(5.2-Q220)*K220</f>
        <v>-26190</v>
      </c>
      <c r="AA220" s="10" t="s">
        <v>116</v>
      </c>
      <c r="AB220" s="12" t="s">
        <v>245</v>
      </c>
    </row>
    <row r="221" customFormat="false" ht="12.75" hidden="false" customHeight="false" outlineLevel="0" collapsed="false">
      <c r="A221" s="10" t="n">
        <v>29</v>
      </c>
      <c r="B221" s="10" t="s">
        <v>283</v>
      </c>
      <c r="C221" s="62" t="n">
        <v>36762</v>
      </c>
      <c r="D221" s="12" t="s">
        <v>151</v>
      </c>
      <c r="E221" s="12" t="s">
        <v>89</v>
      </c>
      <c r="F221" s="12" t="s">
        <v>235</v>
      </c>
      <c r="G221" s="12" t="s">
        <v>239</v>
      </c>
      <c r="H221" s="63" t="n">
        <v>0</v>
      </c>
      <c r="I221" s="14" t="n">
        <f aca="false">+H221*K221</f>
        <v>0</v>
      </c>
      <c r="J221" s="85" t="n">
        <v>36923</v>
      </c>
      <c r="K221" s="13" t="n">
        <f aca="false">+K220</f>
        <v>6000</v>
      </c>
      <c r="L221" s="38" t="s">
        <v>8</v>
      </c>
      <c r="M221" s="63" t="s">
        <v>272</v>
      </c>
      <c r="O221" s="134" t="n">
        <f aca="false">0.005*K221</f>
        <v>30</v>
      </c>
      <c r="AA221" s="10" t="s">
        <v>116</v>
      </c>
      <c r="AB221" s="12" t="s">
        <v>245</v>
      </c>
    </row>
    <row r="223" customFormat="false" ht="12.75" hidden="false" customHeight="false" outlineLevel="0" collapsed="false">
      <c r="A223" s="10" t="n">
        <v>30</v>
      </c>
      <c r="B223" s="10" t="s">
        <v>284</v>
      </c>
      <c r="C223" s="62" t="n">
        <v>36762</v>
      </c>
      <c r="D223" s="12" t="s">
        <v>152</v>
      </c>
      <c r="E223" s="12" t="s">
        <v>89</v>
      </c>
      <c r="F223" s="12" t="s">
        <v>235</v>
      </c>
      <c r="G223" s="12" t="s">
        <v>239</v>
      </c>
      <c r="H223" s="63" t="n">
        <v>0</v>
      </c>
      <c r="I223" s="14" t="n">
        <f aca="false">+H223*K223</f>
        <v>0</v>
      </c>
      <c r="J223" s="85" t="n">
        <v>36770</v>
      </c>
      <c r="K223" s="13" t="n">
        <v>1000</v>
      </c>
      <c r="L223" s="38" t="s">
        <v>8</v>
      </c>
      <c r="M223" s="63" t="s">
        <v>272</v>
      </c>
      <c r="O223" s="134" t="n">
        <f aca="false">0.005*K223</f>
        <v>5</v>
      </c>
      <c r="Q223" s="135" t="n">
        <v>4.45</v>
      </c>
      <c r="T223" s="134" t="n">
        <v>0</v>
      </c>
      <c r="Y223" s="12" t="s">
        <v>269</v>
      </c>
      <c r="AA223" s="10" t="s">
        <v>116</v>
      </c>
      <c r="AB223" s="12" t="s">
        <v>245</v>
      </c>
    </row>
    <row r="224" customFormat="false" ht="12.75" hidden="false" customHeight="false" outlineLevel="0" collapsed="false">
      <c r="A224" s="10" t="n">
        <v>30</v>
      </c>
      <c r="B224" s="10" t="s">
        <v>284</v>
      </c>
      <c r="C224" s="62" t="n">
        <v>36762</v>
      </c>
      <c r="D224" s="12" t="s">
        <v>152</v>
      </c>
      <c r="E224" s="12" t="s">
        <v>89</v>
      </c>
      <c r="F224" s="12" t="s">
        <v>235</v>
      </c>
      <c r="G224" s="12" t="s">
        <v>239</v>
      </c>
      <c r="H224" s="63" t="n">
        <v>0</v>
      </c>
      <c r="I224" s="14" t="n">
        <f aca="false">+H224*K224</f>
        <v>0</v>
      </c>
      <c r="J224" s="85" t="n">
        <v>36800</v>
      </c>
      <c r="K224" s="13" t="n">
        <f aca="false">+K223</f>
        <v>1000</v>
      </c>
      <c r="L224" s="38" t="s">
        <v>8</v>
      </c>
      <c r="M224" s="63" t="s">
        <v>272</v>
      </c>
      <c r="O224" s="134" t="n">
        <f aca="false">0.005*K224</f>
        <v>5</v>
      </c>
      <c r="Q224" s="135" t="n">
        <v>5.105</v>
      </c>
      <c r="T224" s="134" t="n">
        <v>0</v>
      </c>
      <c r="AA224" s="10" t="s">
        <v>116</v>
      </c>
      <c r="AB224" s="12" t="s">
        <v>245</v>
      </c>
    </row>
    <row r="225" customFormat="false" ht="12.75" hidden="false" customHeight="false" outlineLevel="0" collapsed="false">
      <c r="A225" s="10" t="n">
        <v>30</v>
      </c>
      <c r="B225" s="10" t="s">
        <v>284</v>
      </c>
      <c r="C225" s="62" t="n">
        <v>36762</v>
      </c>
      <c r="D225" s="12" t="s">
        <v>152</v>
      </c>
      <c r="E225" s="12" t="s">
        <v>89</v>
      </c>
      <c r="F225" s="12" t="s">
        <v>235</v>
      </c>
      <c r="G225" s="12" t="s">
        <v>239</v>
      </c>
      <c r="H225" s="63" t="n">
        <v>0</v>
      </c>
      <c r="I225" s="14" t="n">
        <f aca="false">+H225*K225</f>
        <v>0</v>
      </c>
      <c r="J225" s="85" t="n">
        <v>36831</v>
      </c>
      <c r="K225" s="13" t="n">
        <f aca="false">+K224</f>
        <v>1000</v>
      </c>
      <c r="L225" s="38" t="s">
        <v>8</v>
      </c>
      <c r="M225" s="63" t="s">
        <v>272</v>
      </c>
      <c r="O225" s="134" t="n">
        <f aca="false">0.005*K225</f>
        <v>5</v>
      </c>
      <c r="Q225" s="135" t="n">
        <v>4.31</v>
      </c>
      <c r="T225" s="134" t="n">
        <v>0</v>
      </c>
      <c r="AA225" s="10" t="s">
        <v>116</v>
      </c>
      <c r="AB225" s="12" t="s">
        <v>245</v>
      </c>
    </row>
    <row r="226" customFormat="false" ht="12.75" hidden="false" customHeight="false" outlineLevel="0" collapsed="false">
      <c r="A226" s="10" t="n">
        <v>30</v>
      </c>
      <c r="B226" s="10" t="s">
        <v>284</v>
      </c>
      <c r="C226" s="62" t="n">
        <v>36762</v>
      </c>
      <c r="D226" s="12" t="s">
        <v>152</v>
      </c>
      <c r="E226" s="12" t="s">
        <v>89</v>
      </c>
      <c r="F226" s="12" t="s">
        <v>235</v>
      </c>
      <c r="G226" s="12" t="s">
        <v>239</v>
      </c>
      <c r="H226" s="63" t="n">
        <v>0</v>
      </c>
      <c r="I226" s="14" t="n">
        <f aca="false">+H226*K226</f>
        <v>0</v>
      </c>
      <c r="J226" s="85" t="n">
        <v>36861</v>
      </c>
      <c r="K226" s="13" t="n">
        <f aca="false">+K225</f>
        <v>1000</v>
      </c>
      <c r="L226" s="38" t="s">
        <v>8</v>
      </c>
      <c r="M226" s="63" t="s">
        <v>272</v>
      </c>
      <c r="O226" s="134" t="n">
        <f aca="false">0.005*K226</f>
        <v>5</v>
      </c>
      <c r="Q226" s="135" t="n">
        <v>5.775</v>
      </c>
      <c r="T226" s="134" t="n">
        <f aca="false">(5.2-Q226)*K226</f>
        <v>-575</v>
      </c>
      <c r="AA226" s="10" t="s">
        <v>116</v>
      </c>
      <c r="AB226" s="12" t="s">
        <v>245</v>
      </c>
    </row>
    <row r="227" customFormat="false" ht="12.75" hidden="false" customHeight="false" outlineLevel="0" collapsed="false">
      <c r="A227" s="10" t="n">
        <v>30</v>
      </c>
      <c r="B227" s="10" t="s">
        <v>284</v>
      </c>
      <c r="C227" s="62" t="n">
        <v>36762</v>
      </c>
      <c r="D227" s="12" t="s">
        <v>152</v>
      </c>
      <c r="E227" s="12" t="s">
        <v>89</v>
      </c>
      <c r="F227" s="12" t="s">
        <v>235</v>
      </c>
      <c r="G227" s="12" t="s">
        <v>239</v>
      </c>
      <c r="H227" s="63" t="n">
        <v>0</v>
      </c>
      <c r="I227" s="14" t="n">
        <f aca="false">+H227*K227</f>
        <v>0</v>
      </c>
      <c r="J227" s="85" t="n">
        <v>36892</v>
      </c>
      <c r="K227" s="13" t="n">
        <f aca="false">+K226</f>
        <v>1000</v>
      </c>
      <c r="L227" s="38" t="s">
        <v>8</v>
      </c>
      <c r="M227" s="63" t="s">
        <v>272</v>
      </c>
      <c r="O227" s="134" t="n">
        <f aca="false">0.005*K227</f>
        <v>5</v>
      </c>
      <c r="Q227" s="135" t="n">
        <v>9.565</v>
      </c>
      <c r="T227" s="134" t="n">
        <f aca="false">(5.2-Q227)*K227</f>
        <v>-4365</v>
      </c>
      <c r="AA227" s="10" t="s">
        <v>116</v>
      </c>
      <c r="AB227" s="12" t="s">
        <v>245</v>
      </c>
    </row>
    <row r="228" customFormat="false" ht="12.75" hidden="false" customHeight="false" outlineLevel="0" collapsed="false">
      <c r="A228" s="10" t="n">
        <v>30</v>
      </c>
      <c r="B228" s="10" t="s">
        <v>284</v>
      </c>
      <c r="C228" s="62" t="n">
        <v>36762</v>
      </c>
      <c r="D228" s="12" t="s">
        <v>152</v>
      </c>
      <c r="E228" s="12" t="s">
        <v>89</v>
      </c>
      <c r="F228" s="12" t="s">
        <v>235</v>
      </c>
      <c r="G228" s="12" t="s">
        <v>239</v>
      </c>
      <c r="H228" s="63" t="n">
        <v>0</v>
      </c>
      <c r="I228" s="14" t="n">
        <f aca="false">+H228*K228</f>
        <v>0</v>
      </c>
      <c r="J228" s="85" t="n">
        <v>36923</v>
      </c>
      <c r="K228" s="13" t="n">
        <f aca="false">+K227</f>
        <v>1000</v>
      </c>
      <c r="L228" s="38" t="s">
        <v>8</v>
      </c>
      <c r="M228" s="63" t="s">
        <v>272</v>
      </c>
      <c r="O228" s="134" t="n">
        <f aca="false">0.005*K228</f>
        <v>5</v>
      </c>
      <c r="AA228" s="10" t="s">
        <v>116</v>
      </c>
      <c r="AB228" s="12" t="s">
        <v>245</v>
      </c>
    </row>
    <row r="230" customFormat="false" ht="12.75" hidden="false" customHeight="false" outlineLevel="0" collapsed="false">
      <c r="A230" s="10" t="n">
        <v>31</v>
      </c>
      <c r="B230" s="10" t="s">
        <v>285</v>
      </c>
      <c r="C230" s="62" t="n">
        <v>36762</v>
      </c>
      <c r="D230" s="12" t="s">
        <v>153</v>
      </c>
      <c r="E230" s="12" t="s">
        <v>89</v>
      </c>
      <c r="F230" s="12" t="s">
        <v>235</v>
      </c>
      <c r="G230" s="12" t="s">
        <v>239</v>
      </c>
      <c r="H230" s="63" t="n">
        <v>0</v>
      </c>
      <c r="I230" s="14" t="n">
        <f aca="false">+H230*K230</f>
        <v>0</v>
      </c>
      <c r="J230" s="85" t="n">
        <v>36770</v>
      </c>
      <c r="K230" s="13" t="n">
        <v>10000</v>
      </c>
      <c r="L230" s="38" t="s">
        <v>8</v>
      </c>
      <c r="M230" s="63" t="s">
        <v>272</v>
      </c>
      <c r="O230" s="134" t="n">
        <f aca="false">0.005*K230</f>
        <v>50</v>
      </c>
      <c r="Q230" s="135" t="n">
        <v>4.45</v>
      </c>
      <c r="T230" s="134" t="n">
        <v>0</v>
      </c>
      <c r="Y230" s="12" t="s">
        <v>269</v>
      </c>
      <c r="AA230" s="10" t="s">
        <v>116</v>
      </c>
      <c r="AB230" s="12" t="s">
        <v>245</v>
      </c>
    </row>
    <row r="231" customFormat="false" ht="12.75" hidden="false" customHeight="false" outlineLevel="0" collapsed="false">
      <c r="A231" s="10" t="n">
        <v>31</v>
      </c>
      <c r="B231" s="10" t="s">
        <v>285</v>
      </c>
      <c r="C231" s="62" t="n">
        <v>36762</v>
      </c>
      <c r="D231" s="12" t="s">
        <v>153</v>
      </c>
      <c r="E231" s="12" t="s">
        <v>89</v>
      </c>
      <c r="F231" s="12" t="s">
        <v>235</v>
      </c>
      <c r="G231" s="12" t="s">
        <v>239</v>
      </c>
      <c r="H231" s="63" t="n">
        <v>0</v>
      </c>
      <c r="I231" s="14" t="n">
        <f aca="false">+H231*K231</f>
        <v>0</v>
      </c>
      <c r="J231" s="85" t="n">
        <v>36800</v>
      </c>
      <c r="K231" s="13" t="n">
        <f aca="false">+K230</f>
        <v>10000</v>
      </c>
      <c r="L231" s="38" t="s">
        <v>8</v>
      </c>
      <c r="M231" s="63" t="s">
        <v>272</v>
      </c>
      <c r="O231" s="134" t="n">
        <f aca="false">0.005*K231</f>
        <v>50</v>
      </c>
      <c r="Q231" s="135" t="n">
        <v>5.105</v>
      </c>
      <c r="T231" s="134" t="n">
        <v>0</v>
      </c>
      <c r="AA231" s="10" t="s">
        <v>116</v>
      </c>
      <c r="AB231" s="12" t="s">
        <v>245</v>
      </c>
    </row>
    <row r="232" customFormat="false" ht="12.75" hidden="false" customHeight="false" outlineLevel="0" collapsed="false">
      <c r="A232" s="10" t="n">
        <v>31</v>
      </c>
      <c r="B232" s="10" t="s">
        <v>285</v>
      </c>
      <c r="C232" s="62" t="n">
        <v>36762</v>
      </c>
      <c r="D232" s="12" t="s">
        <v>153</v>
      </c>
      <c r="E232" s="12" t="s">
        <v>89</v>
      </c>
      <c r="F232" s="12" t="s">
        <v>235</v>
      </c>
      <c r="G232" s="12" t="s">
        <v>239</v>
      </c>
      <c r="H232" s="63" t="n">
        <v>0</v>
      </c>
      <c r="I232" s="14" t="n">
        <f aca="false">+H232*K232</f>
        <v>0</v>
      </c>
      <c r="J232" s="85" t="n">
        <v>36831</v>
      </c>
      <c r="K232" s="13" t="n">
        <f aca="false">+K231</f>
        <v>10000</v>
      </c>
      <c r="L232" s="38" t="s">
        <v>8</v>
      </c>
      <c r="M232" s="63" t="s">
        <v>272</v>
      </c>
      <c r="O232" s="134" t="n">
        <f aca="false">0.005*K232</f>
        <v>50</v>
      </c>
      <c r="Q232" s="135" t="n">
        <v>4.31</v>
      </c>
      <c r="T232" s="134" t="n">
        <v>0</v>
      </c>
      <c r="AA232" s="10" t="s">
        <v>116</v>
      </c>
      <c r="AB232" s="12" t="s">
        <v>245</v>
      </c>
    </row>
    <row r="233" customFormat="false" ht="12.75" hidden="false" customHeight="false" outlineLevel="0" collapsed="false">
      <c r="A233" s="10" t="n">
        <v>31</v>
      </c>
      <c r="B233" s="10" t="s">
        <v>285</v>
      </c>
      <c r="C233" s="62" t="n">
        <v>36762</v>
      </c>
      <c r="D233" s="12" t="s">
        <v>153</v>
      </c>
      <c r="E233" s="12" t="s">
        <v>89</v>
      </c>
      <c r="F233" s="12" t="s">
        <v>235</v>
      </c>
      <c r="G233" s="12" t="s">
        <v>239</v>
      </c>
      <c r="H233" s="63" t="n">
        <v>0</v>
      </c>
      <c r="I233" s="14" t="n">
        <f aca="false">+H233*K233</f>
        <v>0</v>
      </c>
      <c r="J233" s="85" t="n">
        <v>36861</v>
      </c>
      <c r="K233" s="13" t="n">
        <f aca="false">+K232</f>
        <v>10000</v>
      </c>
      <c r="L233" s="38" t="s">
        <v>8</v>
      </c>
      <c r="M233" s="63" t="s">
        <v>272</v>
      </c>
      <c r="O233" s="134" t="n">
        <f aca="false">0.005*K233</f>
        <v>50</v>
      </c>
      <c r="Q233" s="135" t="n">
        <v>5.775</v>
      </c>
      <c r="T233" s="134" t="n">
        <f aca="false">(5.2-Q233)*K233</f>
        <v>-5750</v>
      </c>
      <c r="AA233" s="10" t="s">
        <v>116</v>
      </c>
      <c r="AB233" s="12" t="s">
        <v>245</v>
      </c>
    </row>
    <row r="234" customFormat="false" ht="12.75" hidden="false" customHeight="false" outlineLevel="0" collapsed="false">
      <c r="A234" s="10" t="n">
        <v>31</v>
      </c>
      <c r="B234" s="10" t="s">
        <v>285</v>
      </c>
      <c r="C234" s="62" t="n">
        <v>36762</v>
      </c>
      <c r="D234" s="12" t="s">
        <v>153</v>
      </c>
      <c r="E234" s="12" t="s">
        <v>89</v>
      </c>
      <c r="F234" s="12" t="s">
        <v>235</v>
      </c>
      <c r="G234" s="12" t="s">
        <v>239</v>
      </c>
      <c r="H234" s="63" t="n">
        <v>0</v>
      </c>
      <c r="I234" s="14" t="n">
        <f aca="false">+H234*K234</f>
        <v>0</v>
      </c>
      <c r="J234" s="85" t="n">
        <v>36892</v>
      </c>
      <c r="K234" s="13" t="n">
        <f aca="false">+K233</f>
        <v>10000</v>
      </c>
      <c r="L234" s="38" t="s">
        <v>8</v>
      </c>
      <c r="M234" s="63" t="s">
        <v>272</v>
      </c>
      <c r="O234" s="134" t="n">
        <f aca="false">0.005*K234</f>
        <v>50</v>
      </c>
      <c r="Q234" s="135" t="n">
        <v>9.565</v>
      </c>
      <c r="T234" s="134" t="n">
        <f aca="false">(5.2-Q234)*K234</f>
        <v>-43650</v>
      </c>
      <c r="AA234" s="10" t="s">
        <v>116</v>
      </c>
      <c r="AB234" s="12" t="s">
        <v>245</v>
      </c>
    </row>
    <row r="235" customFormat="false" ht="12.75" hidden="false" customHeight="false" outlineLevel="0" collapsed="false">
      <c r="A235" s="10" t="n">
        <v>31</v>
      </c>
      <c r="B235" s="10" t="s">
        <v>285</v>
      </c>
      <c r="C235" s="62" t="n">
        <v>36762</v>
      </c>
      <c r="D235" s="12" t="s">
        <v>153</v>
      </c>
      <c r="E235" s="12" t="s">
        <v>89</v>
      </c>
      <c r="F235" s="12" t="s">
        <v>235</v>
      </c>
      <c r="G235" s="12" t="s">
        <v>239</v>
      </c>
      <c r="H235" s="63" t="n">
        <v>0</v>
      </c>
      <c r="I235" s="14" t="n">
        <f aca="false">+H235*K235</f>
        <v>0</v>
      </c>
      <c r="J235" s="85" t="n">
        <v>36923</v>
      </c>
      <c r="K235" s="13" t="n">
        <f aca="false">+K234</f>
        <v>10000</v>
      </c>
      <c r="L235" s="38" t="s">
        <v>8</v>
      </c>
      <c r="M235" s="63" t="s">
        <v>272</v>
      </c>
      <c r="O235" s="134" t="n">
        <f aca="false">0.005*K235</f>
        <v>50</v>
      </c>
      <c r="AA235" s="10" t="s">
        <v>116</v>
      </c>
      <c r="AB235" s="12" t="s">
        <v>245</v>
      </c>
    </row>
    <row r="237" customFormat="false" ht="12.75" hidden="false" customHeight="false" outlineLevel="0" collapsed="false">
      <c r="A237" s="10" t="n">
        <v>32</v>
      </c>
      <c r="B237" s="10" t="s">
        <v>286</v>
      </c>
      <c r="C237" s="62" t="n">
        <v>36762</v>
      </c>
      <c r="D237" s="12" t="s">
        <v>154</v>
      </c>
      <c r="E237" s="12" t="s">
        <v>89</v>
      </c>
      <c r="F237" s="12" t="s">
        <v>235</v>
      </c>
      <c r="G237" s="12" t="s">
        <v>239</v>
      </c>
      <c r="H237" s="63" t="n">
        <v>0</v>
      </c>
      <c r="I237" s="14" t="n">
        <f aca="false">+H237*K237</f>
        <v>0</v>
      </c>
      <c r="J237" s="85" t="n">
        <v>36770</v>
      </c>
      <c r="K237" s="13" t="n">
        <v>3000</v>
      </c>
      <c r="L237" s="38" t="s">
        <v>8</v>
      </c>
      <c r="M237" s="63" t="s">
        <v>272</v>
      </c>
      <c r="O237" s="134" t="n">
        <f aca="false">0.005*K237</f>
        <v>15</v>
      </c>
      <c r="Q237" s="135" t="n">
        <v>4.45</v>
      </c>
      <c r="T237" s="134" t="n">
        <v>0</v>
      </c>
      <c r="Y237" s="12" t="s">
        <v>269</v>
      </c>
      <c r="AA237" s="10" t="s">
        <v>116</v>
      </c>
      <c r="AB237" s="12" t="s">
        <v>245</v>
      </c>
    </row>
    <row r="238" customFormat="false" ht="12.75" hidden="false" customHeight="false" outlineLevel="0" collapsed="false">
      <c r="A238" s="10" t="n">
        <v>32</v>
      </c>
      <c r="B238" s="10" t="s">
        <v>286</v>
      </c>
      <c r="C238" s="62" t="n">
        <v>36762</v>
      </c>
      <c r="D238" s="12" t="s">
        <v>154</v>
      </c>
      <c r="E238" s="12" t="s">
        <v>89</v>
      </c>
      <c r="F238" s="12" t="s">
        <v>235</v>
      </c>
      <c r="G238" s="12" t="s">
        <v>239</v>
      </c>
      <c r="H238" s="63" t="n">
        <v>0</v>
      </c>
      <c r="I238" s="14" t="n">
        <f aca="false">+H238*K238</f>
        <v>0</v>
      </c>
      <c r="J238" s="85" t="n">
        <v>36800</v>
      </c>
      <c r="K238" s="13" t="n">
        <f aca="false">+K237</f>
        <v>3000</v>
      </c>
      <c r="L238" s="38" t="s">
        <v>8</v>
      </c>
      <c r="M238" s="63" t="s">
        <v>272</v>
      </c>
      <c r="O238" s="134" t="n">
        <f aca="false">0.005*K238</f>
        <v>15</v>
      </c>
      <c r="Q238" s="135" t="n">
        <v>5.105</v>
      </c>
      <c r="T238" s="134" t="n">
        <v>0</v>
      </c>
      <c r="AA238" s="10" t="s">
        <v>116</v>
      </c>
      <c r="AB238" s="12" t="s">
        <v>245</v>
      </c>
    </row>
    <row r="239" customFormat="false" ht="12.75" hidden="false" customHeight="false" outlineLevel="0" collapsed="false">
      <c r="A239" s="10" t="n">
        <v>32</v>
      </c>
      <c r="B239" s="10" t="s">
        <v>286</v>
      </c>
      <c r="C239" s="62" t="n">
        <v>36762</v>
      </c>
      <c r="D239" s="12" t="s">
        <v>154</v>
      </c>
      <c r="E239" s="12" t="s">
        <v>89</v>
      </c>
      <c r="F239" s="12" t="s">
        <v>235</v>
      </c>
      <c r="G239" s="12" t="s">
        <v>239</v>
      </c>
      <c r="H239" s="63" t="n">
        <v>0</v>
      </c>
      <c r="I239" s="14" t="n">
        <f aca="false">+H239*K239</f>
        <v>0</v>
      </c>
      <c r="J239" s="85" t="n">
        <v>36831</v>
      </c>
      <c r="K239" s="13" t="n">
        <f aca="false">+K238</f>
        <v>3000</v>
      </c>
      <c r="L239" s="38" t="s">
        <v>8</v>
      </c>
      <c r="M239" s="63" t="s">
        <v>272</v>
      </c>
      <c r="O239" s="134" t="n">
        <f aca="false">0.005*K239</f>
        <v>15</v>
      </c>
      <c r="Q239" s="135" t="n">
        <v>4.31</v>
      </c>
      <c r="T239" s="134" t="n">
        <v>0</v>
      </c>
      <c r="AA239" s="10" t="s">
        <v>116</v>
      </c>
      <c r="AB239" s="12" t="s">
        <v>245</v>
      </c>
    </row>
    <row r="240" customFormat="false" ht="12.75" hidden="false" customHeight="false" outlineLevel="0" collapsed="false">
      <c r="A240" s="10" t="n">
        <v>32</v>
      </c>
      <c r="B240" s="10" t="s">
        <v>286</v>
      </c>
      <c r="C240" s="62" t="n">
        <v>36762</v>
      </c>
      <c r="D240" s="12" t="s">
        <v>154</v>
      </c>
      <c r="E240" s="12" t="s">
        <v>89</v>
      </c>
      <c r="F240" s="12" t="s">
        <v>235</v>
      </c>
      <c r="G240" s="12" t="s">
        <v>239</v>
      </c>
      <c r="H240" s="63" t="n">
        <v>0</v>
      </c>
      <c r="I240" s="14" t="n">
        <f aca="false">+H240*K240</f>
        <v>0</v>
      </c>
      <c r="J240" s="85" t="n">
        <v>36861</v>
      </c>
      <c r="K240" s="13" t="n">
        <f aca="false">+K239</f>
        <v>3000</v>
      </c>
      <c r="L240" s="38" t="s">
        <v>8</v>
      </c>
      <c r="M240" s="63" t="s">
        <v>272</v>
      </c>
      <c r="O240" s="134" t="n">
        <f aca="false">0.005*K240</f>
        <v>15</v>
      </c>
      <c r="Q240" s="135" t="n">
        <v>5.775</v>
      </c>
      <c r="T240" s="134" t="n">
        <f aca="false">(5.2-Q240)*K240</f>
        <v>-1725</v>
      </c>
      <c r="AA240" s="10" t="s">
        <v>116</v>
      </c>
      <c r="AB240" s="12" t="s">
        <v>245</v>
      </c>
    </row>
    <row r="241" customFormat="false" ht="12.75" hidden="false" customHeight="false" outlineLevel="0" collapsed="false">
      <c r="A241" s="10" t="n">
        <v>32</v>
      </c>
      <c r="B241" s="10" t="s">
        <v>286</v>
      </c>
      <c r="C241" s="62" t="n">
        <v>36762</v>
      </c>
      <c r="D241" s="12" t="s">
        <v>154</v>
      </c>
      <c r="E241" s="12" t="s">
        <v>89</v>
      </c>
      <c r="F241" s="12" t="s">
        <v>235</v>
      </c>
      <c r="G241" s="12" t="s">
        <v>239</v>
      </c>
      <c r="H241" s="63" t="n">
        <v>0</v>
      </c>
      <c r="I241" s="14" t="n">
        <f aca="false">+H241*K241</f>
        <v>0</v>
      </c>
      <c r="J241" s="85" t="n">
        <v>36892</v>
      </c>
      <c r="K241" s="13" t="n">
        <f aca="false">+K240</f>
        <v>3000</v>
      </c>
      <c r="L241" s="38" t="s">
        <v>8</v>
      </c>
      <c r="M241" s="63" t="s">
        <v>272</v>
      </c>
      <c r="O241" s="134" t="n">
        <f aca="false">0.005*K241</f>
        <v>15</v>
      </c>
      <c r="Q241" s="135" t="n">
        <v>9.565</v>
      </c>
      <c r="T241" s="134" t="n">
        <f aca="false">(5.2-Q241)*K241</f>
        <v>-13095</v>
      </c>
      <c r="AA241" s="10" t="s">
        <v>116</v>
      </c>
      <c r="AB241" s="12" t="s">
        <v>245</v>
      </c>
    </row>
    <row r="242" customFormat="false" ht="12.75" hidden="false" customHeight="false" outlineLevel="0" collapsed="false">
      <c r="A242" s="10" t="n">
        <v>32</v>
      </c>
      <c r="B242" s="10" t="s">
        <v>286</v>
      </c>
      <c r="C242" s="62" t="n">
        <v>36762</v>
      </c>
      <c r="D242" s="12" t="s">
        <v>154</v>
      </c>
      <c r="E242" s="12" t="s">
        <v>89</v>
      </c>
      <c r="F242" s="12" t="s">
        <v>235</v>
      </c>
      <c r="G242" s="12" t="s">
        <v>239</v>
      </c>
      <c r="H242" s="63" t="n">
        <v>0</v>
      </c>
      <c r="I242" s="14" t="n">
        <f aca="false">+H242*K242</f>
        <v>0</v>
      </c>
      <c r="J242" s="85" t="n">
        <v>36923</v>
      </c>
      <c r="K242" s="13" t="n">
        <f aca="false">+K241</f>
        <v>3000</v>
      </c>
      <c r="L242" s="38" t="s">
        <v>8</v>
      </c>
      <c r="M242" s="63" t="s">
        <v>272</v>
      </c>
      <c r="O242" s="134" t="n">
        <f aca="false">0.005*K242</f>
        <v>15</v>
      </c>
      <c r="AA242" s="10" t="s">
        <v>116</v>
      </c>
      <c r="AB242" s="12" t="s">
        <v>245</v>
      </c>
    </row>
    <row r="244" customFormat="false" ht="12.75" hidden="false" customHeight="false" outlineLevel="0" collapsed="false">
      <c r="A244" s="10" t="n">
        <v>33</v>
      </c>
      <c r="B244" s="10" t="s">
        <v>287</v>
      </c>
      <c r="C244" s="62" t="n">
        <v>36762</v>
      </c>
      <c r="D244" s="12" t="s">
        <v>155</v>
      </c>
      <c r="E244" s="12" t="s">
        <v>89</v>
      </c>
      <c r="F244" s="12" t="s">
        <v>235</v>
      </c>
      <c r="G244" s="12" t="s">
        <v>239</v>
      </c>
      <c r="H244" s="63" t="n">
        <v>0</v>
      </c>
      <c r="I244" s="14" t="n">
        <f aca="false">+H244*K244</f>
        <v>0</v>
      </c>
      <c r="J244" s="85" t="n">
        <v>36770</v>
      </c>
      <c r="K244" s="13" t="n">
        <v>6000</v>
      </c>
      <c r="L244" s="38" t="s">
        <v>8</v>
      </c>
      <c r="M244" s="63" t="s">
        <v>272</v>
      </c>
      <c r="O244" s="134" t="n">
        <f aca="false">0.005*K244</f>
        <v>30</v>
      </c>
      <c r="Q244" s="135" t="n">
        <v>4.45</v>
      </c>
      <c r="T244" s="134" t="n">
        <v>0</v>
      </c>
      <c r="Y244" s="12" t="s">
        <v>269</v>
      </c>
      <c r="AA244" s="10" t="s">
        <v>116</v>
      </c>
      <c r="AB244" s="12" t="s">
        <v>245</v>
      </c>
    </row>
    <row r="245" customFormat="false" ht="12.75" hidden="false" customHeight="false" outlineLevel="0" collapsed="false">
      <c r="A245" s="10" t="n">
        <v>33</v>
      </c>
      <c r="B245" s="10" t="s">
        <v>287</v>
      </c>
      <c r="C245" s="62" t="n">
        <v>36762</v>
      </c>
      <c r="D245" s="12" t="s">
        <v>155</v>
      </c>
      <c r="E245" s="12" t="s">
        <v>89</v>
      </c>
      <c r="F245" s="12" t="s">
        <v>235</v>
      </c>
      <c r="G245" s="12" t="s">
        <v>239</v>
      </c>
      <c r="H245" s="63" t="n">
        <v>0</v>
      </c>
      <c r="I245" s="14" t="n">
        <f aca="false">+H245*K245</f>
        <v>0</v>
      </c>
      <c r="J245" s="85" t="n">
        <v>36800</v>
      </c>
      <c r="K245" s="13" t="n">
        <f aca="false">+K244</f>
        <v>6000</v>
      </c>
      <c r="L245" s="38" t="s">
        <v>8</v>
      </c>
      <c r="M245" s="63" t="s">
        <v>272</v>
      </c>
      <c r="O245" s="134" t="n">
        <f aca="false">0.005*K245</f>
        <v>30</v>
      </c>
      <c r="Q245" s="135" t="n">
        <v>5.105</v>
      </c>
      <c r="T245" s="134" t="n">
        <v>0</v>
      </c>
      <c r="AA245" s="10" t="s">
        <v>116</v>
      </c>
      <c r="AB245" s="12" t="s">
        <v>245</v>
      </c>
    </row>
    <row r="246" customFormat="false" ht="12.75" hidden="false" customHeight="false" outlineLevel="0" collapsed="false">
      <c r="A246" s="10" t="n">
        <v>33</v>
      </c>
      <c r="B246" s="10" t="s">
        <v>287</v>
      </c>
      <c r="C246" s="62" t="n">
        <v>36762</v>
      </c>
      <c r="D246" s="12" t="s">
        <v>155</v>
      </c>
      <c r="E246" s="12" t="s">
        <v>89</v>
      </c>
      <c r="F246" s="12" t="s">
        <v>235</v>
      </c>
      <c r="G246" s="12" t="s">
        <v>239</v>
      </c>
      <c r="H246" s="63" t="n">
        <v>0</v>
      </c>
      <c r="I246" s="14" t="n">
        <f aca="false">+H246*K246</f>
        <v>0</v>
      </c>
      <c r="J246" s="85" t="n">
        <v>36831</v>
      </c>
      <c r="K246" s="13" t="n">
        <f aca="false">+K245</f>
        <v>6000</v>
      </c>
      <c r="L246" s="38" t="s">
        <v>8</v>
      </c>
      <c r="M246" s="63" t="s">
        <v>272</v>
      </c>
      <c r="O246" s="134" t="n">
        <f aca="false">0.005*K246</f>
        <v>30</v>
      </c>
      <c r="Q246" s="135" t="n">
        <v>4.31</v>
      </c>
      <c r="T246" s="134" t="n">
        <v>0</v>
      </c>
      <c r="AA246" s="10" t="s">
        <v>116</v>
      </c>
      <c r="AB246" s="12" t="s">
        <v>245</v>
      </c>
    </row>
    <row r="247" customFormat="false" ht="12.75" hidden="false" customHeight="false" outlineLevel="0" collapsed="false">
      <c r="A247" s="10" t="n">
        <v>33</v>
      </c>
      <c r="B247" s="10" t="s">
        <v>287</v>
      </c>
      <c r="C247" s="62" t="n">
        <v>36762</v>
      </c>
      <c r="D247" s="12" t="s">
        <v>155</v>
      </c>
      <c r="E247" s="12" t="s">
        <v>89</v>
      </c>
      <c r="F247" s="12" t="s">
        <v>235</v>
      </c>
      <c r="G247" s="12" t="s">
        <v>239</v>
      </c>
      <c r="H247" s="63" t="n">
        <v>0</v>
      </c>
      <c r="I247" s="14" t="n">
        <f aca="false">+H247*K247</f>
        <v>0</v>
      </c>
      <c r="J247" s="85" t="n">
        <v>36861</v>
      </c>
      <c r="K247" s="13" t="n">
        <f aca="false">+K246</f>
        <v>6000</v>
      </c>
      <c r="L247" s="38" t="s">
        <v>8</v>
      </c>
      <c r="M247" s="63" t="s">
        <v>272</v>
      </c>
      <c r="O247" s="134" t="n">
        <f aca="false">0.005*K247</f>
        <v>30</v>
      </c>
      <c r="Q247" s="135" t="n">
        <v>5.775</v>
      </c>
      <c r="T247" s="134" t="n">
        <f aca="false">(5.2-Q247)*K247</f>
        <v>-3450</v>
      </c>
      <c r="AA247" s="10" t="s">
        <v>116</v>
      </c>
      <c r="AB247" s="12" t="s">
        <v>245</v>
      </c>
    </row>
    <row r="248" customFormat="false" ht="12.75" hidden="false" customHeight="false" outlineLevel="0" collapsed="false">
      <c r="A248" s="10" t="n">
        <v>33</v>
      </c>
      <c r="B248" s="10" t="s">
        <v>287</v>
      </c>
      <c r="C248" s="62" t="n">
        <v>36762</v>
      </c>
      <c r="D248" s="12" t="s">
        <v>155</v>
      </c>
      <c r="E248" s="12" t="s">
        <v>89</v>
      </c>
      <c r="F248" s="12" t="s">
        <v>235</v>
      </c>
      <c r="G248" s="12" t="s">
        <v>239</v>
      </c>
      <c r="H248" s="63" t="n">
        <v>0</v>
      </c>
      <c r="I248" s="14" t="n">
        <f aca="false">+H248*K248</f>
        <v>0</v>
      </c>
      <c r="J248" s="85" t="n">
        <v>36892</v>
      </c>
      <c r="K248" s="13" t="n">
        <f aca="false">+K247</f>
        <v>6000</v>
      </c>
      <c r="L248" s="38" t="s">
        <v>8</v>
      </c>
      <c r="M248" s="63" t="s">
        <v>272</v>
      </c>
      <c r="O248" s="134" t="n">
        <f aca="false">0.005*K248</f>
        <v>30</v>
      </c>
      <c r="Q248" s="135" t="n">
        <v>9.565</v>
      </c>
      <c r="T248" s="134" t="n">
        <f aca="false">(5.2-Q248)*K248</f>
        <v>-26190</v>
      </c>
      <c r="AA248" s="10" t="s">
        <v>116</v>
      </c>
      <c r="AB248" s="12" t="s">
        <v>245</v>
      </c>
    </row>
    <row r="249" customFormat="false" ht="12.75" hidden="false" customHeight="false" outlineLevel="0" collapsed="false">
      <c r="A249" s="10" t="n">
        <v>33</v>
      </c>
      <c r="B249" s="10" t="s">
        <v>287</v>
      </c>
      <c r="C249" s="62" t="n">
        <v>36762</v>
      </c>
      <c r="D249" s="12" t="s">
        <v>155</v>
      </c>
      <c r="E249" s="12" t="s">
        <v>89</v>
      </c>
      <c r="F249" s="12" t="s">
        <v>235</v>
      </c>
      <c r="G249" s="12" t="s">
        <v>239</v>
      </c>
      <c r="H249" s="63" t="n">
        <v>0</v>
      </c>
      <c r="I249" s="14" t="n">
        <f aca="false">+H249*K249</f>
        <v>0</v>
      </c>
      <c r="J249" s="85" t="n">
        <v>36923</v>
      </c>
      <c r="K249" s="13" t="n">
        <f aca="false">+K248</f>
        <v>6000</v>
      </c>
      <c r="L249" s="38" t="s">
        <v>8</v>
      </c>
      <c r="M249" s="63" t="s">
        <v>272</v>
      </c>
      <c r="O249" s="134" t="n">
        <f aca="false">0.005*K249</f>
        <v>30</v>
      </c>
      <c r="AA249" s="10" t="s">
        <v>116</v>
      </c>
      <c r="AB249" s="12" t="s">
        <v>245</v>
      </c>
    </row>
    <row r="251" customFormat="false" ht="12.75" hidden="false" customHeight="false" outlineLevel="0" collapsed="false">
      <c r="A251" s="10" t="n">
        <v>34</v>
      </c>
      <c r="B251" s="10" t="s">
        <v>288</v>
      </c>
      <c r="C251" s="62" t="n">
        <v>36762</v>
      </c>
      <c r="D251" s="12" t="s">
        <v>156</v>
      </c>
      <c r="E251" s="12" t="s">
        <v>89</v>
      </c>
      <c r="F251" s="12" t="s">
        <v>235</v>
      </c>
      <c r="G251" s="12" t="s">
        <v>239</v>
      </c>
      <c r="H251" s="63" t="n">
        <v>0</v>
      </c>
      <c r="I251" s="14" t="n">
        <f aca="false">+H251*K251</f>
        <v>0</v>
      </c>
      <c r="J251" s="85" t="n">
        <v>36770</v>
      </c>
      <c r="K251" s="13" t="n">
        <v>8000</v>
      </c>
      <c r="L251" s="38" t="s">
        <v>8</v>
      </c>
      <c r="M251" s="63" t="s">
        <v>272</v>
      </c>
      <c r="O251" s="134" t="n">
        <f aca="false">0.005*K251</f>
        <v>40</v>
      </c>
      <c r="Q251" s="135" t="n">
        <v>4.45</v>
      </c>
      <c r="T251" s="134" t="n">
        <v>0</v>
      </c>
      <c r="Y251" s="12" t="s">
        <v>269</v>
      </c>
      <c r="AA251" s="10" t="s">
        <v>116</v>
      </c>
      <c r="AB251" s="12" t="s">
        <v>245</v>
      </c>
    </row>
    <row r="252" customFormat="false" ht="12.75" hidden="false" customHeight="false" outlineLevel="0" collapsed="false">
      <c r="A252" s="10" t="n">
        <v>34</v>
      </c>
      <c r="B252" s="10" t="s">
        <v>288</v>
      </c>
      <c r="C252" s="62" t="n">
        <v>36762</v>
      </c>
      <c r="D252" s="12" t="s">
        <v>156</v>
      </c>
      <c r="E252" s="12" t="s">
        <v>89</v>
      </c>
      <c r="F252" s="12" t="s">
        <v>235</v>
      </c>
      <c r="G252" s="12" t="s">
        <v>239</v>
      </c>
      <c r="H252" s="63" t="n">
        <v>0</v>
      </c>
      <c r="I252" s="14" t="n">
        <f aca="false">+H252*K252</f>
        <v>0</v>
      </c>
      <c r="J252" s="85" t="n">
        <v>36800</v>
      </c>
      <c r="K252" s="13" t="n">
        <f aca="false">+K251</f>
        <v>8000</v>
      </c>
      <c r="L252" s="38" t="s">
        <v>8</v>
      </c>
      <c r="M252" s="63" t="s">
        <v>272</v>
      </c>
      <c r="O252" s="134" t="n">
        <f aca="false">0.005*K252</f>
        <v>40</v>
      </c>
      <c r="Q252" s="135" t="n">
        <v>5.105</v>
      </c>
      <c r="T252" s="134" t="n">
        <v>0</v>
      </c>
      <c r="AA252" s="10" t="s">
        <v>116</v>
      </c>
      <c r="AB252" s="12" t="s">
        <v>245</v>
      </c>
    </row>
    <row r="253" customFormat="false" ht="12.75" hidden="false" customHeight="false" outlineLevel="0" collapsed="false">
      <c r="A253" s="10" t="n">
        <v>34</v>
      </c>
      <c r="B253" s="10" t="s">
        <v>288</v>
      </c>
      <c r="C253" s="62" t="n">
        <v>36762</v>
      </c>
      <c r="D253" s="12" t="s">
        <v>156</v>
      </c>
      <c r="E253" s="12" t="s">
        <v>89</v>
      </c>
      <c r="F253" s="12" t="s">
        <v>235</v>
      </c>
      <c r="G253" s="12" t="s">
        <v>239</v>
      </c>
      <c r="H253" s="63" t="n">
        <v>0</v>
      </c>
      <c r="I253" s="14" t="n">
        <f aca="false">+H253*K253</f>
        <v>0</v>
      </c>
      <c r="J253" s="85" t="n">
        <v>36831</v>
      </c>
      <c r="K253" s="13" t="n">
        <f aca="false">+K252</f>
        <v>8000</v>
      </c>
      <c r="L253" s="38" t="s">
        <v>8</v>
      </c>
      <c r="M253" s="63" t="s">
        <v>272</v>
      </c>
      <c r="O253" s="134" t="n">
        <f aca="false">0.005*K253</f>
        <v>40</v>
      </c>
      <c r="Q253" s="135" t="n">
        <v>4.31</v>
      </c>
      <c r="T253" s="134" t="n">
        <v>0</v>
      </c>
      <c r="AA253" s="10" t="s">
        <v>116</v>
      </c>
      <c r="AB253" s="12" t="s">
        <v>245</v>
      </c>
    </row>
    <row r="254" customFormat="false" ht="12.75" hidden="false" customHeight="false" outlineLevel="0" collapsed="false">
      <c r="A254" s="10" t="n">
        <v>34</v>
      </c>
      <c r="B254" s="10" t="s">
        <v>288</v>
      </c>
      <c r="C254" s="62" t="n">
        <v>36762</v>
      </c>
      <c r="D254" s="12" t="s">
        <v>156</v>
      </c>
      <c r="E254" s="12" t="s">
        <v>89</v>
      </c>
      <c r="F254" s="12" t="s">
        <v>235</v>
      </c>
      <c r="G254" s="12" t="s">
        <v>239</v>
      </c>
      <c r="H254" s="63" t="n">
        <v>0</v>
      </c>
      <c r="I254" s="14" t="n">
        <f aca="false">+H254*K254</f>
        <v>0</v>
      </c>
      <c r="J254" s="85" t="n">
        <v>36861</v>
      </c>
      <c r="K254" s="13" t="n">
        <f aca="false">+K253</f>
        <v>8000</v>
      </c>
      <c r="L254" s="38" t="s">
        <v>8</v>
      </c>
      <c r="M254" s="63" t="s">
        <v>272</v>
      </c>
      <c r="O254" s="134" t="n">
        <f aca="false">0.005*K254</f>
        <v>40</v>
      </c>
      <c r="Q254" s="135" t="n">
        <v>5.775</v>
      </c>
      <c r="T254" s="134" t="n">
        <f aca="false">(5.2-Q254)*K254</f>
        <v>-4600</v>
      </c>
      <c r="AA254" s="10" t="s">
        <v>116</v>
      </c>
      <c r="AB254" s="12" t="s">
        <v>245</v>
      </c>
    </row>
    <row r="255" customFormat="false" ht="12.75" hidden="false" customHeight="false" outlineLevel="0" collapsed="false">
      <c r="A255" s="10" t="n">
        <v>34</v>
      </c>
      <c r="B255" s="10" t="s">
        <v>288</v>
      </c>
      <c r="C255" s="62" t="n">
        <v>36762</v>
      </c>
      <c r="D255" s="12" t="s">
        <v>156</v>
      </c>
      <c r="E255" s="12" t="s">
        <v>89</v>
      </c>
      <c r="F255" s="12" t="s">
        <v>235</v>
      </c>
      <c r="G255" s="12" t="s">
        <v>239</v>
      </c>
      <c r="H255" s="63" t="n">
        <v>0</v>
      </c>
      <c r="I255" s="14" t="n">
        <f aca="false">+H255*K255</f>
        <v>0</v>
      </c>
      <c r="J255" s="85" t="n">
        <v>36892</v>
      </c>
      <c r="K255" s="13" t="n">
        <f aca="false">+K254</f>
        <v>8000</v>
      </c>
      <c r="L255" s="38" t="s">
        <v>8</v>
      </c>
      <c r="M255" s="63" t="s">
        <v>272</v>
      </c>
      <c r="O255" s="134" t="n">
        <f aca="false">0.005*K255</f>
        <v>40</v>
      </c>
      <c r="Q255" s="135" t="n">
        <v>9.565</v>
      </c>
      <c r="T255" s="134" t="n">
        <f aca="false">(5.2-Q255)*K255</f>
        <v>-34920</v>
      </c>
      <c r="AA255" s="10" t="s">
        <v>116</v>
      </c>
      <c r="AB255" s="12" t="s">
        <v>245</v>
      </c>
    </row>
    <row r="256" customFormat="false" ht="12.75" hidden="false" customHeight="false" outlineLevel="0" collapsed="false">
      <c r="A256" s="10" t="n">
        <v>34</v>
      </c>
      <c r="B256" s="10" t="s">
        <v>288</v>
      </c>
      <c r="C256" s="62" t="n">
        <v>36762</v>
      </c>
      <c r="D256" s="12" t="s">
        <v>156</v>
      </c>
      <c r="E256" s="12" t="s">
        <v>89</v>
      </c>
      <c r="F256" s="12" t="s">
        <v>235</v>
      </c>
      <c r="G256" s="12" t="s">
        <v>239</v>
      </c>
      <c r="H256" s="63" t="n">
        <v>0</v>
      </c>
      <c r="I256" s="14" t="n">
        <f aca="false">+H256*K256</f>
        <v>0</v>
      </c>
      <c r="J256" s="85" t="n">
        <v>36923</v>
      </c>
      <c r="K256" s="13" t="n">
        <f aca="false">+K255</f>
        <v>8000</v>
      </c>
      <c r="L256" s="38" t="s">
        <v>8</v>
      </c>
      <c r="M256" s="63" t="s">
        <v>272</v>
      </c>
      <c r="O256" s="134" t="n">
        <f aca="false">0.005*K256</f>
        <v>40</v>
      </c>
      <c r="AA256" s="10" t="s">
        <v>116</v>
      </c>
      <c r="AB256" s="12" t="s">
        <v>245</v>
      </c>
    </row>
    <row r="258" customFormat="false" ht="12.75" hidden="false" customHeight="false" outlineLevel="0" collapsed="false">
      <c r="A258" s="10" t="n">
        <v>35</v>
      </c>
      <c r="B258" s="10" t="s">
        <v>289</v>
      </c>
      <c r="C258" s="62" t="n">
        <v>36762</v>
      </c>
      <c r="D258" s="12" t="s">
        <v>157</v>
      </c>
      <c r="E258" s="12" t="s">
        <v>89</v>
      </c>
      <c r="F258" s="12" t="s">
        <v>235</v>
      </c>
      <c r="G258" s="12" t="s">
        <v>239</v>
      </c>
      <c r="H258" s="63" t="n">
        <v>0</v>
      </c>
      <c r="I258" s="14" t="n">
        <f aca="false">+H258*K258</f>
        <v>0</v>
      </c>
      <c r="J258" s="85" t="n">
        <v>36770</v>
      </c>
      <c r="K258" s="13" t="n">
        <v>2000</v>
      </c>
      <c r="L258" s="38" t="s">
        <v>8</v>
      </c>
      <c r="M258" s="63" t="s">
        <v>272</v>
      </c>
      <c r="O258" s="134" t="n">
        <f aca="false">0.005*K258</f>
        <v>10</v>
      </c>
      <c r="Q258" s="135" t="n">
        <v>4.45</v>
      </c>
      <c r="T258" s="134" t="n">
        <v>0</v>
      </c>
      <c r="Y258" s="12" t="s">
        <v>269</v>
      </c>
      <c r="AA258" s="10" t="s">
        <v>116</v>
      </c>
      <c r="AB258" s="12" t="s">
        <v>245</v>
      </c>
    </row>
    <row r="259" customFormat="false" ht="12.75" hidden="false" customHeight="false" outlineLevel="0" collapsed="false">
      <c r="A259" s="10" t="n">
        <v>35</v>
      </c>
      <c r="B259" s="10" t="s">
        <v>289</v>
      </c>
      <c r="C259" s="62" t="n">
        <v>36762</v>
      </c>
      <c r="D259" s="12" t="s">
        <v>157</v>
      </c>
      <c r="E259" s="12" t="s">
        <v>89</v>
      </c>
      <c r="F259" s="12" t="s">
        <v>235</v>
      </c>
      <c r="G259" s="12" t="s">
        <v>239</v>
      </c>
      <c r="H259" s="63" t="n">
        <v>0</v>
      </c>
      <c r="I259" s="14" t="n">
        <f aca="false">+H259*K259</f>
        <v>0</v>
      </c>
      <c r="J259" s="85" t="n">
        <v>36800</v>
      </c>
      <c r="K259" s="13" t="n">
        <f aca="false">+K258</f>
        <v>2000</v>
      </c>
      <c r="L259" s="38" t="s">
        <v>8</v>
      </c>
      <c r="M259" s="63" t="s">
        <v>272</v>
      </c>
      <c r="O259" s="134" t="n">
        <f aca="false">0.005*K259</f>
        <v>10</v>
      </c>
      <c r="Q259" s="135" t="n">
        <v>5.105</v>
      </c>
      <c r="T259" s="134" t="n">
        <v>0</v>
      </c>
      <c r="AA259" s="10" t="s">
        <v>116</v>
      </c>
      <c r="AB259" s="12" t="s">
        <v>245</v>
      </c>
    </row>
    <row r="260" customFormat="false" ht="12.75" hidden="false" customHeight="false" outlineLevel="0" collapsed="false">
      <c r="A260" s="10" t="n">
        <v>35</v>
      </c>
      <c r="B260" s="10" t="s">
        <v>289</v>
      </c>
      <c r="C260" s="62" t="n">
        <v>36762</v>
      </c>
      <c r="D260" s="12" t="s">
        <v>157</v>
      </c>
      <c r="E260" s="12" t="s">
        <v>89</v>
      </c>
      <c r="F260" s="12" t="s">
        <v>235</v>
      </c>
      <c r="G260" s="12" t="s">
        <v>239</v>
      </c>
      <c r="H260" s="63" t="n">
        <v>0</v>
      </c>
      <c r="I260" s="14" t="n">
        <f aca="false">+H260*K260</f>
        <v>0</v>
      </c>
      <c r="J260" s="85" t="n">
        <v>36831</v>
      </c>
      <c r="K260" s="13" t="n">
        <f aca="false">+K259</f>
        <v>2000</v>
      </c>
      <c r="L260" s="38" t="s">
        <v>8</v>
      </c>
      <c r="M260" s="63" t="s">
        <v>272</v>
      </c>
      <c r="O260" s="134" t="n">
        <f aca="false">0.005*K260</f>
        <v>10</v>
      </c>
      <c r="Q260" s="135" t="n">
        <v>4.31</v>
      </c>
      <c r="T260" s="134" t="n">
        <v>0</v>
      </c>
      <c r="AA260" s="10" t="s">
        <v>116</v>
      </c>
      <c r="AB260" s="12" t="s">
        <v>245</v>
      </c>
    </row>
    <row r="261" customFormat="false" ht="12.75" hidden="false" customHeight="false" outlineLevel="0" collapsed="false">
      <c r="A261" s="10" t="n">
        <v>35</v>
      </c>
      <c r="B261" s="10" t="s">
        <v>289</v>
      </c>
      <c r="C261" s="62" t="n">
        <v>36762</v>
      </c>
      <c r="D261" s="12" t="s">
        <v>157</v>
      </c>
      <c r="E261" s="12" t="s">
        <v>89</v>
      </c>
      <c r="F261" s="12" t="s">
        <v>235</v>
      </c>
      <c r="G261" s="12" t="s">
        <v>239</v>
      </c>
      <c r="H261" s="63" t="n">
        <v>0</v>
      </c>
      <c r="I261" s="14" t="n">
        <f aca="false">+H261*K261</f>
        <v>0</v>
      </c>
      <c r="J261" s="85" t="n">
        <v>36861</v>
      </c>
      <c r="K261" s="13" t="n">
        <f aca="false">+K260</f>
        <v>2000</v>
      </c>
      <c r="L261" s="38" t="s">
        <v>8</v>
      </c>
      <c r="M261" s="63" t="s">
        <v>272</v>
      </c>
      <c r="O261" s="134" t="n">
        <f aca="false">0.005*K261</f>
        <v>10</v>
      </c>
      <c r="Q261" s="135" t="n">
        <v>5.775</v>
      </c>
      <c r="T261" s="134" t="n">
        <f aca="false">(5.2-Q261)*K261</f>
        <v>-1150</v>
      </c>
      <c r="AA261" s="10" t="s">
        <v>116</v>
      </c>
      <c r="AB261" s="12" t="s">
        <v>245</v>
      </c>
    </row>
    <row r="262" customFormat="false" ht="12.75" hidden="false" customHeight="false" outlineLevel="0" collapsed="false">
      <c r="A262" s="10" t="n">
        <v>35</v>
      </c>
      <c r="B262" s="10" t="s">
        <v>289</v>
      </c>
      <c r="C262" s="62" t="n">
        <v>36762</v>
      </c>
      <c r="D262" s="12" t="s">
        <v>157</v>
      </c>
      <c r="E262" s="12" t="s">
        <v>89</v>
      </c>
      <c r="F262" s="12" t="s">
        <v>235</v>
      </c>
      <c r="G262" s="12" t="s">
        <v>239</v>
      </c>
      <c r="H262" s="63" t="n">
        <v>0</v>
      </c>
      <c r="I262" s="14" t="n">
        <f aca="false">+H262*K262</f>
        <v>0</v>
      </c>
      <c r="J262" s="85" t="n">
        <v>36892</v>
      </c>
      <c r="K262" s="13" t="n">
        <f aca="false">+K261</f>
        <v>2000</v>
      </c>
      <c r="L262" s="38" t="s">
        <v>8</v>
      </c>
      <c r="M262" s="63" t="s">
        <v>272</v>
      </c>
      <c r="O262" s="134" t="n">
        <f aca="false">0.005*K262</f>
        <v>10</v>
      </c>
      <c r="Q262" s="135" t="n">
        <v>9.565</v>
      </c>
      <c r="T262" s="134" t="n">
        <f aca="false">(5.2-Q262)*K262</f>
        <v>-8730</v>
      </c>
      <c r="AA262" s="10" t="s">
        <v>116</v>
      </c>
      <c r="AB262" s="12" t="s">
        <v>245</v>
      </c>
    </row>
    <row r="263" customFormat="false" ht="12.75" hidden="false" customHeight="false" outlineLevel="0" collapsed="false">
      <c r="A263" s="10" t="n">
        <v>35</v>
      </c>
      <c r="B263" s="10" t="s">
        <v>289</v>
      </c>
      <c r="C263" s="62" t="n">
        <v>36762</v>
      </c>
      <c r="D263" s="12" t="s">
        <v>157</v>
      </c>
      <c r="E263" s="12" t="s">
        <v>89</v>
      </c>
      <c r="F263" s="12" t="s">
        <v>235</v>
      </c>
      <c r="G263" s="12" t="s">
        <v>239</v>
      </c>
      <c r="H263" s="63" t="n">
        <v>0</v>
      </c>
      <c r="I263" s="14" t="n">
        <f aca="false">+H263*K263</f>
        <v>0</v>
      </c>
      <c r="J263" s="85" t="n">
        <v>36923</v>
      </c>
      <c r="K263" s="13" t="n">
        <f aca="false">+K262</f>
        <v>2000</v>
      </c>
      <c r="L263" s="38" t="s">
        <v>8</v>
      </c>
      <c r="M263" s="63" t="s">
        <v>272</v>
      </c>
      <c r="O263" s="134" t="n">
        <f aca="false">0.005*K263</f>
        <v>10</v>
      </c>
      <c r="AA263" s="10" t="s">
        <v>116</v>
      </c>
      <c r="AB263" s="12" t="s">
        <v>245</v>
      </c>
    </row>
    <row r="265" customFormat="false" ht="12.75" hidden="false" customHeight="false" outlineLevel="0" collapsed="false">
      <c r="A265" s="10" t="n">
        <v>36</v>
      </c>
      <c r="B265" s="10" t="s">
        <v>290</v>
      </c>
      <c r="C265" s="62" t="n">
        <v>36762</v>
      </c>
      <c r="D265" s="12" t="s">
        <v>158</v>
      </c>
      <c r="E265" s="12" t="s">
        <v>89</v>
      </c>
      <c r="F265" s="12" t="s">
        <v>235</v>
      </c>
      <c r="G265" s="12" t="s">
        <v>239</v>
      </c>
      <c r="H265" s="63" t="n">
        <v>0</v>
      </c>
      <c r="I265" s="14" t="n">
        <f aca="false">+H265*K265</f>
        <v>0</v>
      </c>
      <c r="J265" s="85" t="n">
        <v>36770</v>
      </c>
      <c r="K265" s="13" t="n">
        <v>4000</v>
      </c>
      <c r="L265" s="38" t="s">
        <v>8</v>
      </c>
      <c r="M265" s="63" t="s">
        <v>272</v>
      </c>
      <c r="O265" s="134" t="n">
        <f aca="false">0.005*K265</f>
        <v>20</v>
      </c>
      <c r="Q265" s="135" t="n">
        <v>4.45</v>
      </c>
      <c r="T265" s="134" t="n">
        <v>0</v>
      </c>
      <c r="Y265" s="12" t="s">
        <v>269</v>
      </c>
      <c r="AA265" s="10" t="s">
        <v>116</v>
      </c>
      <c r="AB265" s="12" t="s">
        <v>245</v>
      </c>
    </row>
    <row r="266" customFormat="false" ht="12.75" hidden="false" customHeight="false" outlineLevel="0" collapsed="false">
      <c r="A266" s="10" t="n">
        <v>36</v>
      </c>
      <c r="B266" s="10" t="s">
        <v>290</v>
      </c>
      <c r="C266" s="62" t="n">
        <v>36762</v>
      </c>
      <c r="D266" s="12" t="s">
        <v>158</v>
      </c>
      <c r="E266" s="12" t="s">
        <v>89</v>
      </c>
      <c r="F266" s="12" t="s">
        <v>235</v>
      </c>
      <c r="G266" s="12" t="s">
        <v>239</v>
      </c>
      <c r="H266" s="63" t="n">
        <v>0</v>
      </c>
      <c r="I266" s="14" t="n">
        <f aca="false">+H266*K266</f>
        <v>0</v>
      </c>
      <c r="J266" s="85" t="n">
        <v>36800</v>
      </c>
      <c r="K266" s="13" t="n">
        <f aca="false">+K265</f>
        <v>4000</v>
      </c>
      <c r="L266" s="38" t="s">
        <v>8</v>
      </c>
      <c r="M266" s="63" t="s">
        <v>272</v>
      </c>
      <c r="O266" s="134" t="n">
        <f aca="false">0.005*K266</f>
        <v>20</v>
      </c>
      <c r="Q266" s="135" t="n">
        <v>5.105</v>
      </c>
      <c r="T266" s="134" t="n">
        <v>0</v>
      </c>
      <c r="AA266" s="10" t="s">
        <v>116</v>
      </c>
      <c r="AB266" s="12" t="s">
        <v>245</v>
      </c>
    </row>
    <row r="267" customFormat="false" ht="12.75" hidden="false" customHeight="false" outlineLevel="0" collapsed="false">
      <c r="A267" s="10" t="n">
        <v>36</v>
      </c>
      <c r="B267" s="10" t="s">
        <v>290</v>
      </c>
      <c r="C267" s="62" t="n">
        <v>36762</v>
      </c>
      <c r="D267" s="12" t="s">
        <v>158</v>
      </c>
      <c r="E267" s="12" t="s">
        <v>89</v>
      </c>
      <c r="F267" s="12" t="s">
        <v>235</v>
      </c>
      <c r="G267" s="12" t="s">
        <v>239</v>
      </c>
      <c r="H267" s="63" t="n">
        <v>0</v>
      </c>
      <c r="I267" s="14" t="n">
        <f aca="false">+H267*K267</f>
        <v>0</v>
      </c>
      <c r="J267" s="85" t="n">
        <v>36831</v>
      </c>
      <c r="K267" s="13" t="n">
        <f aca="false">+K266</f>
        <v>4000</v>
      </c>
      <c r="L267" s="38" t="s">
        <v>8</v>
      </c>
      <c r="M267" s="63" t="s">
        <v>272</v>
      </c>
      <c r="O267" s="134" t="n">
        <f aca="false">0.005*K267</f>
        <v>20</v>
      </c>
      <c r="Q267" s="135" t="n">
        <v>4.31</v>
      </c>
      <c r="T267" s="134" t="n">
        <v>0</v>
      </c>
      <c r="AA267" s="10" t="s">
        <v>116</v>
      </c>
      <c r="AB267" s="12" t="s">
        <v>245</v>
      </c>
    </row>
    <row r="268" customFormat="false" ht="12.75" hidden="false" customHeight="false" outlineLevel="0" collapsed="false">
      <c r="A268" s="10" t="n">
        <v>36</v>
      </c>
      <c r="B268" s="10" t="s">
        <v>290</v>
      </c>
      <c r="C268" s="62" t="n">
        <v>36762</v>
      </c>
      <c r="D268" s="12" t="s">
        <v>158</v>
      </c>
      <c r="E268" s="12" t="s">
        <v>89</v>
      </c>
      <c r="F268" s="12" t="s">
        <v>235</v>
      </c>
      <c r="G268" s="12" t="s">
        <v>239</v>
      </c>
      <c r="H268" s="63" t="n">
        <v>0</v>
      </c>
      <c r="I268" s="14" t="n">
        <f aca="false">+H268*K268</f>
        <v>0</v>
      </c>
      <c r="J268" s="85" t="n">
        <v>36861</v>
      </c>
      <c r="K268" s="13" t="n">
        <f aca="false">+K267</f>
        <v>4000</v>
      </c>
      <c r="L268" s="38" t="s">
        <v>8</v>
      </c>
      <c r="M268" s="63" t="s">
        <v>272</v>
      </c>
      <c r="O268" s="134" t="n">
        <f aca="false">0.005*K268</f>
        <v>20</v>
      </c>
      <c r="Q268" s="135" t="n">
        <v>5.775</v>
      </c>
      <c r="T268" s="134" t="n">
        <f aca="false">(5.2-Q268)*K268</f>
        <v>-2300</v>
      </c>
      <c r="AA268" s="10" t="s">
        <v>116</v>
      </c>
      <c r="AB268" s="12" t="s">
        <v>245</v>
      </c>
    </row>
    <row r="269" customFormat="false" ht="12.75" hidden="false" customHeight="false" outlineLevel="0" collapsed="false">
      <c r="A269" s="10" t="n">
        <v>36</v>
      </c>
      <c r="B269" s="10" t="s">
        <v>290</v>
      </c>
      <c r="C269" s="62" t="n">
        <v>36762</v>
      </c>
      <c r="D269" s="12" t="s">
        <v>158</v>
      </c>
      <c r="E269" s="12" t="s">
        <v>89</v>
      </c>
      <c r="F269" s="12" t="s">
        <v>235</v>
      </c>
      <c r="G269" s="12" t="s">
        <v>239</v>
      </c>
      <c r="H269" s="63" t="n">
        <v>0</v>
      </c>
      <c r="I269" s="14" t="n">
        <f aca="false">+H269*K269</f>
        <v>0</v>
      </c>
      <c r="J269" s="85" t="n">
        <v>36892</v>
      </c>
      <c r="K269" s="13" t="n">
        <f aca="false">+K268</f>
        <v>4000</v>
      </c>
      <c r="L269" s="38" t="s">
        <v>8</v>
      </c>
      <c r="M269" s="63" t="s">
        <v>272</v>
      </c>
      <c r="O269" s="134" t="n">
        <f aca="false">0.005*K269</f>
        <v>20</v>
      </c>
      <c r="Q269" s="135" t="n">
        <v>9.565</v>
      </c>
      <c r="T269" s="134" t="n">
        <f aca="false">(5.2-Q269)*K269</f>
        <v>-17460</v>
      </c>
      <c r="AA269" s="10" t="s">
        <v>116</v>
      </c>
      <c r="AB269" s="12" t="s">
        <v>245</v>
      </c>
    </row>
    <row r="270" customFormat="false" ht="12.75" hidden="false" customHeight="false" outlineLevel="0" collapsed="false">
      <c r="A270" s="10" t="n">
        <v>36</v>
      </c>
      <c r="B270" s="10" t="s">
        <v>290</v>
      </c>
      <c r="C270" s="62" t="n">
        <v>36762</v>
      </c>
      <c r="D270" s="12" t="s">
        <v>158</v>
      </c>
      <c r="E270" s="12" t="s">
        <v>89</v>
      </c>
      <c r="F270" s="12" t="s">
        <v>235</v>
      </c>
      <c r="G270" s="12" t="s">
        <v>239</v>
      </c>
      <c r="H270" s="63" t="n">
        <v>0</v>
      </c>
      <c r="I270" s="14" t="n">
        <f aca="false">+H270*K270</f>
        <v>0</v>
      </c>
      <c r="J270" s="85" t="n">
        <v>36923</v>
      </c>
      <c r="K270" s="13" t="n">
        <f aca="false">+K269</f>
        <v>4000</v>
      </c>
      <c r="L270" s="38" t="s">
        <v>8</v>
      </c>
      <c r="M270" s="63" t="s">
        <v>272</v>
      </c>
      <c r="O270" s="134" t="n">
        <f aca="false">0.005*K270</f>
        <v>20</v>
      </c>
      <c r="AA270" s="10" t="s">
        <v>116</v>
      </c>
      <c r="AB270" s="12" t="s">
        <v>245</v>
      </c>
    </row>
    <row r="272" customFormat="false" ht="12.75" hidden="false" customHeight="false" outlineLevel="0" collapsed="false">
      <c r="A272" s="10" t="n">
        <v>37</v>
      </c>
      <c r="B272" s="10" t="s">
        <v>291</v>
      </c>
      <c r="C272" s="62" t="n">
        <v>36762</v>
      </c>
      <c r="D272" s="12" t="s">
        <v>159</v>
      </c>
      <c r="E272" s="12" t="s">
        <v>89</v>
      </c>
      <c r="F272" s="12" t="s">
        <v>235</v>
      </c>
      <c r="G272" s="12" t="s">
        <v>239</v>
      </c>
      <c r="H272" s="63" t="n">
        <v>0</v>
      </c>
      <c r="I272" s="14" t="n">
        <f aca="false">+H272*K272</f>
        <v>0</v>
      </c>
      <c r="J272" s="85" t="n">
        <v>36770</v>
      </c>
      <c r="K272" s="13" t="n">
        <v>4000</v>
      </c>
      <c r="L272" s="38" t="s">
        <v>8</v>
      </c>
      <c r="M272" s="63" t="s">
        <v>272</v>
      </c>
      <c r="O272" s="134" t="n">
        <f aca="false">0.005*K272</f>
        <v>20</v>
      </c>
      <c r="Q272" s="135" t="n">
        <v>4.45</v>
      </c>
      <c r="T272" s="134" t="n">
        <v>0</v>
      </c>
      <c r="Y272" s="12" t="s">
        <v>269</v>
      </c>
      <c r="AA272" s="10" t="s">
        <v>116</v>
      </c>
      <c r="AB272" s="12" t="s">
        <v>245</v>
      </c>
    </row>
    <row r="273" customFormat="false" ht="12.75" hidden="false" customHeight="false" outlineLevel="0" collapsed="false">
      <c r="A273" s="10" t="n">
        <v>37</v>
      </c>
      <c r="B273" s="10" t="s">
        <v>291</v>
      </c>
      <c r="C273" s="62" t="n">
        <v>36762</v>
      </c>
      <c r="D273" s="12" t="s">
        <v>159</v>
      </c>
      <c r="E273" s="12" t="s">
        <v>89</v>
      </c>
      <c r="F273" s="12" t="s">
        <v>235</v>
      </c>
      <c r="G273" s="12" t="s">
        <v>239</v>
      </c>
      <c r="H273" s="63" t="n">
        <v>0</v>
      </c>
      <c r="I273" s="14" t="n">
        <f aca="false">+H273*K273</f>
        <v>0</v>
      </c>
      <c r="J273" s="85" t="n">
        <v>36800</v>
      </c>
      <c r="K273" s="13" t="n">
        <f aca="false">+K272</f>
        <v>4000</v>
      </c>
      <c r="L273" s="38" t="s">
        <v>8</v>
      </c>
      <c r="M273" s="63" t="s">
        <v>272</v>
      </c>
      <c r="O273" s="134" t="n">
        <f aca="false">0.005*K273</f>
        <v>20</v>
      </c>
      <c r="Q273" s="135" t="n">
        <v>5.105</v>
      </c>
      <c r="T273" s="134" t="n">
        <v>0</v>
      </c>
      <c r="AA273" s="10" t="s">
        <v>116</v>
      </c>
      <c r="AB273" s="12" t="s">
        <v>245</v>
      </c>
    </row>
    <row r="274" customFormat="false" ht="12.75" hidden="false" customHeight="false" outlineLevel="0" collapsed="false">
      <c r="A274" s="10" t="n">
        <v>37</v>
      </c>
      <c r="B274" s="10" t="s">
        <v>291</v>
      </c>
      <c r="C274" s="62" t="n">
        <v>36762</v>
      </c>
      <c r="D274" s="12" t="s">
        <v>159</v>
      </c>
      <c r="E274" s="12" t="s">
        <v>89</v>
      </c>
      <c r="F274" s="12" t="s">
        <v>235</v>
      </c>
      <c r="G274" s="12" t="s">
        <v>239</v>
      </c>
      <c r="H274" s="63" t="n">
        <v>0</v>
      </c>
      <c r="I274" s="14" t="n">
        <f aca="false">+H274*K274</f>
        <v>0</v>
      </c>
      <c r="J274" s="85" t="n">
        <v>36831</v>
      </c>
      <c r="K274" s="13" t="n">
        <f aca="false">+K273</f>
        <v>4000</v>
      </c>
      <c r="L274" s="38" t="s">
        <v>8</v>
      </c>
      <c r="M274" s="63" t="s">
        <v>272</v>
      </c>
      <c r="O274" s="134" t="n">
        <f aca="false">0.005*K274</f>
        <v>20</v>
      </c>
      <c r="Q274" s="135" t="n">
        <v>4.31</v>
      </c>
      <c r="T274" s="134" t="n">
        <v>0</v>
      </c>
      <c r="AA274" s="10" t="s">
        <v>116</v>
      </c>
      <c r="AB274" s="12" t="s">
        <v>245</v>
      </c>
    </row>
    <row r="275" customFormat="false" ht="12.75" hidden="false" customHeight="false" outlineLevel="0" collapsed="false">
      <c r="A275" s="10" t="n">
        <v>37</v>
      </c>
      <c r="B275" s="10" t="s">
        <v>291</v>
      </c>
      <c r="C275" s="62" t="n">
        <v>36762</v>
      </c>
      <c r="D275" s="12" t="s">
        <v>159</v>
      </c>
      <c r="E275" s="12" t="s">
        <v>89</v>
      </c>
      <c r="F275" s="12" t="s">
        <v>235</v>
      </c>
      <c r="G275" s="12" t="s">
        <v>239</v>
      </c>
      <c r="H275" s="63" t="n">
        <v>0</v>
      </c>
      <c r="I275" s="14" t="n">
        <f aca="false">+H275*K275</f>
        <v>0</v>
      </c>
      <c r="J275" s="85" t="n">
        <v>36861</v>
      </c>
      <c r="K275" s="13" t="n">
        <f aca="false">+K274</f>
        <v>4000</v>
      </c>
      <c r="L275" s="38" t="s">
        <v>8</v>
      </c>
      <c r="M275" s="63" t="s">
        <v>272</v>
      </c>
      <c r="O275" s="134" t="n">
        <f aca="false">0.005*K275</f>
        <v>20</v>
      </c>
      <c r="Q275" s="135" t="n">
        <v>5.775</v>
      </c>
      <c r="T275" s="134" t="n">
        <f aca="false">(5.2-Q275)*K275</f>
        <v>-2300</v>
      </c>
      <c r="AA275" s="10" t="s">
        <v>116</v>
      </c>
      <c r="AB275" s="12" t="s">
        <v>245</v>
      </c>
    </row>
    <row r="276" customFormat="false" ht="12.75" hidden="false" customHeight="false" outlineLevel="0" collapsed="false">
      <c r="A276" s="10" t="n">
        <v>37</v>
      </c>
      <c r="B276" s="10" t="s">
        <v>291</v>
      </c>
      <c r="C276" s="62" t="n">
        <v>36762</v>
      </c>
      <c r="D276" s="12" t="s">
        <v>159</v>
      </c>
      <c r="E276" s="12" t="s">
        <v>89</v>
      </c>
      <c r="F276" s="12" t="s">
        <v>235</v>
      </c>
      <c r="G276" s="12" t="s">
        <v>239</v>
      </c>
      <c r="H276" s="63" t="n">
        <v>0</v>
      </c>
      <c r="I276" s="14" t="n">
        <f aca="false">+H276*K276</f>
        <v>0</v>
      </c>
      <c r="J276" s="85" t="n">
        <v>36892</v>
      </c>
      <c r="K276" s="13" t="n">
        <f aca="false">+K275</f>
        <v>4000</v>
      </c>
      <c r="L276" s="38" t="s">
        <v>8</v>
      </c>
      <c r="M276" s="63" t="s">
        <v>272</v>
      </c>
      <c r="O276" s="134" t="n">
        <f aca="false">0.005*K276</f>
        <v>20</v>
      </c>
      <c r="Q276" s="135" t="n">
        <v>9.565</v>
      </c>
      <c r="T276" s="134" t="n">
        <f aca="false">(5.2-Q276)*K276</f>
        <v>-17460</v>
      </c>
      <c r="AA276" s="10" t="s">
        <v>116</v>
      </c>
      <c r="AB276" s="12" t="s">
        <v>245</v>
      </c>
    </row>
    <row r="277" customFormat="false" ht="12.75" hidden="false" customHeight="false" outlineLevel="0" collapsed="false">
      <c r="A277" s="10" t="n">
        <v>37</v>
      </c>
      <c r="B277" s="10" t="s">
        <v>291</v>
      </c>
      <c r="C277" s="62" t="n">
        <v>36762</v>
      </c>
      <c r="D277" s="12" t="s">
        <v>159</v>
      </c>
      <c r="E277" s="12" t="s">
        <v>89</v>
      </c>
      <c r="F277" s="12" t="s">
        <v>235</v>
      </c>
      <c r="G277" s="12" t="s">
        <v>239</v>
      </c>
      <c r="H277" s="63" t="n">
        <v>0</v>
      </c>
      <c r="I277" s="14" t="n">
        <f aca="false">+H277*K277</f>
        <v>0</v>
      </c>
      <c r="J277" s="85" t="n">
        <v>36923</v>
      </c>
      <c r="K277" s="13" t="n">
        <f aca="false">+K276</f>
        <v>4000</v>
      </c>
      <c r="L277" s="38" t="s">
        <v>8</v>
      </c>
      <c r="M277" s="63" t="s">
        <v>272</v>
      </c>
      <c r="O277" s="134" t="n">
        <f aca="false">0.005*K277</f>
        <v>20</v>
      </c>
      <c r="AA277" s="10" t="s">
        <v>116</v>
      </c>
      <c r="AB277" s="12" t="s">
        <v>245</v>
      </c>
    </row>
    <row r="279" customFormat="false" ht="12.75" hidden="false" customHeight="false" outlineLevel="0" collapsed="false">
      <c r="A279" s="10" t="n">
        <v>38</v>
      </c>
      <c r="B279" s="10" t="s">
        <v>292</v>
      </c>
      <c r="C279" s="62" t="n">
        <v>36762</v>
      </c>
      <c r="D279" s="12" t="s">
        <v>160</v>
      </c>
      <c r="E279" s="12" t="s">
        <v>89</v>
      </c>
      <c r="F279" s="12" t="s">
        <v>235</v>
      </c>
      <c r="G279" s="12" t="s">
        <v>239</v>
      </c>
      <c r="H279" s="63" t="n">
        <v>0</v>
      </c>
      <c r="I279" s="14" t="n">
        <f aca="false">+H279*K279</f>
        <v>0</v>
      </c>
      <c r="J279" s="85" t="n">
        <v>36770</v>
      </c>
      <c r="K279" s="13" t="n">
        <v>38000</v>
      </c>
      <c r="L279" s="38" t="s">
        <v>8</v>
      </c>
      <c r="M279" s="63" t="s">
        <v>272</v>
      </c>
      <c r="O279" s="134" t="n">
        <f aca="false">0.005*K279</f>
        <v>190</v>
      </c>
      <c r="Q279" s="135" t="n">
        <v>4.45</v>
      </c>
      <c r="T279" s="134" t="n">
        <v>0</v>
      </c>
      <c r="Y279" s="12" t="s">
        <v>269</v>
      </c>
      <c r="AA279" s="10" t="s">
        <v>116</v>
      </c>
      <c r="AB279" s="12" t="s">
        <v>245</v>
      </c>
    </row>
    <row r="280" customFormat="false" ht="12.75" hidden="false" customHeight="false" outlineLevel="0" collapsed="false">
      <c r="A280" s="10" t="n">
        <v>38</v>
      </c>
      <c r="B280" s="10" t="s">
        <v>292</v>
      </c>
      <c r="C280" s="62" t="n">
        <v>36762</v>
      </c>
      <c r="D280" s="12" t="s">
        <v>160</v>
      </c>
      <c r="E280" s="12" t="s">
        <v>89</v>
      </c>
      <c r="F280" s="12" t="s">
        <v>235</v>
      </c>
      <c r="G280" s="12" t="s">
        <v>239</v>
      </c>
      <c r="H280" s="63" t="n">
        <v>0</v>
      </c>
      <c r="I280" s="14" t="n">
        <f aca="false">+H280*K280</f>
        <v>0</v>
      </c>
      <c r="J280" s="85" t="n">
        <v>36800</v>
      </c>
      <c r="K280" s="13" t="n">
        <f aca="false">+K279</f>
        <v>38000</v>
      </c>
      <c r="L280" s="38" t="s">
        <v>8</v>
      </c>
      <c r="M280" s="63" t="s">
        <v>272</v>
      </c>
      <c r="O280" s="134" t="n">
        <f aca="false">0.005*K280</f>
        <v>190</v>
      </c>
      <c r="Q280" s="135" t="n">
        <v>5.105</v>
      </c>
      <c r="T280" s="134" t="n">
        <v>0</v>
      </c>
      <c r="AA280" s="10" t="s">
        <v>116</v>
      </c>
      <c r="AB280" s="12" t="s">
        <v>245</v>
      </c>
    </row>
    <row r="281" customFormat="false" ht="12.75" hidden="false" customHeight="false" outlineLevel="0" collapsed="false">
      <c r="A281" s="10" t="n">
        <v>38</v>
      </c>
      <c r="B281" s="10" t="s">
        <v>292</v>
      </c>
      <c r="C281" s="62" t="n">
        <v>36762</v>
      </c>
      <c r="D281" s="12" t="s">
        <v>160</v>
      </c>
      <c r="E281" s="12" t="s">
        <v>89</v>
      </c>
      <c r="F281" s="12" t="s">
        <v>235</v>
      </c>
      <c r="G281" s="12" t="s">
        <v>239</v>
      </c>
      <c r="H281" s="63" t="n">
        <v>0</v>
      </c>
      <c r="I281" s="14" t="n">
        <f aca="false">+H281*K281</f>
        <v>0</v>
      </c>
      <c r="J281" s="85" t="n">
        <v>36831</v>
      </c>
      <c r="K281" s="13" t="n">
        <f aca="false">+K280</f>
        <v>38000</v>
      </c>
      <c r="L281" s="38" t="s">
        <v>8</v>
      </c>
      <c r="M281" s="63" t="s">
        <v>272</v>
      </c>
      <c r="O281" s="134" t="n">
        <f aca="false">0.005*K281</f>
        <v>190</v>
      </c>
      <c r="Q281" s="135" t="n">
        <v>4.31</v>
      </c>
      <c r="T281" s="134" t="n">
        <v>0</v>
      </c>
      <c r="AA281" s="10" t="s">
        <v>116</v>
      </c>
      <c r="AB281" s="12" t="s">
        <v>245</v>
      </c>
    </row>
    <row r="282" customFormat="false" ht="12.75" hidden="false" customHeight="false" outlineLevel="0" collapsed="false">
      <c r="A282" s="10" t="n">
        <v>38</v>
      </c>
      <c r="B282" s="10" t="s">
        <v>292</v>
      </c>
      <c r="C282" s="62" t="n">
        <v>36762</v>
      </c>
      <c r="D282" s="12" t="s">
        <v>160</v>
      </c>
      <c r="E282" s="12" t="s">
        <v>89</v>
      </c>
      <c r="F282" s="12" t="s">
        <v>235</v>
      </c>
      <c r="G282" s="12" t="s">
        <v>239</v>
      </c>
      <c r="H282" s="63" t="n">
        <v>0</v>
      </c>
      <c r="I282" s="14" t="n">
        <f aca="false">+H282*K282</f>
        <v>0</v>
      </c>
      <c r="J282" s="85" t="n">
        <v>36861</v>
      </c>
      <c r="K282" s="13" t="n">
        <f aca="false">+K281</f>
        <v>38000</v>
      </c>
      <c r="L282" s="38" t="s">
        <v>8</v>
      </c>
      <c r="M282" s="63" t="s">
        <v>272</v>
      </c>
      <c r="O282" s="134" t="n">
        <f aca="false">0.005*K282</f>
        <v>190</v>
      </c>
      <c r="Q282" s="135" t="n">
        <v>5.775</v>
      </c>
      <c r="T282" s="134" t="n">
        <f aca="false">(5.2-Q282)*K282</f>
        <v>-21850</v>
      </c>
      <c r="AA282" s="10" t="s">
        <v>116</v>
      </c>
      <c r="AB282" s="12" t="s">
        <v>245</v>
      </c>
    </row>
    <row r="283" customFormat="false" ht="12.75" hidden="false" customHeight="false" outlineLevel="0" collapsed="false">
      <c r="A283" s="10" t="n">
        <v>38</v>
      </c>
      <c r="B283" s="10" t="s">
        <v>292</v>
      </c>
      <c r="C283" s="62" t="n">
        <v>36762</v>
      </c>
      <c r="D283" s="12" t="s">
        <v>160</v>
      </c>
      <c r="E283" s="12" t="s">
        <v>89</v>
      </c>
      <c r="F283" s="12" t="s">
        <v>235</v>
      </c>
      <c r="G283" s="12" t="s">
        <v>239</v>
      </c>
      <c r="H283" s="63" t="n">
        <v>0</v>
      </c>
      <c r="I283" s="14" t="n">
        <f aca="false">+H283*K283</f>
        <v>0</v>
      </c>
      <c r="J283" s="85" t="n">
        <v>36892</v>
      </c>
      <c r="K283" s="13" t="n">
        <f aca="false">+K282</f>
        <v>38000</v>
      </c>
      <c r="L283" s="38" t="s">
        <v>8</v>
      </c>
      <c r="M283" s="63" t="s">
        <v>272</v>
      </c>
      <c r="O283" s="134" t="n">
        <f aca="false">0.005*K283</f>
        <v>190</v>
      </c>
      <c r="Q283" s="135" t="n">
        <v>9.565</v>
      </c>
      <c r="T283" s="134" t="n">
        <f aca="false">(5.2-Q283)*K283</f>
        <v>-165870</v>
      </c>
      <c r="AA283" s="10" t="s">
        <v>116</v>
      </c>
      <c r="AB283" s="12" t="s">
        <v>245</v>
      </c>
    </row>
    <row r="284" customFormat="false" ht="12.75" hidden="false" customHeight="false" outlineLevel="0" collapsed="false">
      <c r="A284" s="10" t="n">
        <v>38</v>
      </c>
      <c r="B284" s="10" t="s">
        <v>292</v>
      </c>
      <c r="C284" s="62" t="n">
        <v>36762</v>
      </c>
      <c r="D284" s="12" t="s">
        <v>160</v>
      </c>
      <c r="E284" s="12" t="s">
        <v>89</v>
      </c>
      <c r="F284" s="12" t="s">
        <v>235</v>
      </c>
      <c r="G284" s="12" t="s">
        <v>239</v>
      </c>
      <c r="H284" s="63" t="n">
        <v>0</v>
      </c>
      <c r="I284" s="14" t="n">
        <f aca="false">+H284*K284</f>
        <v>0</v>
      </c>
      <c r="J284" s="85" t="n">
        <v>36923</v>
      </c>
      <c r="K284" s="13" t="n">
        <f aca="false">+K283</f>
        <v>38000</v>
      </c>
      <c r="L284" s="38" t="s">
        <v>8</v>
      </c>
      <c r="M284" s="63" t="s">
        <v>272</v>
      </c>
      <c r="O284" s="134" t="n">
        <f aca="false">0.005*K284</f>
        <v>190</v>
      </c>
      <c r="AA284" s="10" t="s">
        <v>116</v>
      </c>
      <c r="AB284" s="12" t="s">
        <v>245</v>
      </c>
    </row>
    <row r="286" customFormat="false" ht="12.75" hidden="false" customHeight="false" outlineLevel="0" collapsed="false">
      <c r="A286" s="10" t="n">
        <v>39</v>
      </c>
      <c r="B286" s="10" t="s">
        <v>293</v>
      </c>
      <c r="C286" s="62" t="n">
        <v>36762</v>
      </c>
      <c r="D286" s="12" t="s">
        <v>161</v>
      </c>
      <c r="E286" s="12" t="s">
        <v>89</v>
      </c>
      <c r="F286" s="12" t="s">
        <v>235</v>
      </c>
      <c r="G286" s="12" t="s">
        <v>239</v>
      </c>
      <c r="H286" s="63" t="n">
        <v>0</v>
      </c>
      <c r="I286" s="14" t="n">
        <f aca="false">+H286*K286</f>
        <v>0</v>
      </c>
      <c r="J286" s="85" t="n">
        <v>36770</v>
      </c>
      <c r="K286" s="13" t="n">
        <v>6000</v>
      </c>
      <c r="L286" s="38" t="s">
        <v>8</v>
      </c>
      <c r="M286" s="63" t="s">
        <v>272</v>
      </c>
      <c r="O286" s="134" t="n">
        <f aca="false">0.005*K286</f>
        <v>30</v>
      </c>
      <c r="Q286" s="135" t="n">
        <v>4.45</v>
      </c>
      <c r="T286" s="134" t="n">
        <v>0</v>
      </c>
      <c r="Y286" s="12" t="s">
        <v>269</v>
      </c>
      <c r="AA286" s="10" t="s">
        <v>116</v>
      </c>
      <c r="AB286" s="12" t="s">
        <v>245</v>
      </c>
    </row>
    <row r="287" customFormat="false" ht="12.75" hidden="false" customHeight="false" outlineLevel="0" collapsed="false">
      <c r="A287" s="10" t="n">
        <v>39</v>
      </c>
      <c r="B287" s="10" t="s">
        <v>293</v>
      </c>
      <c r="C287" s="62" t="n">
        <v>36762</v>
      </c>
      <c r="D287" s="12" t="s">
        <v>161</v>
      </c>
      <c r="E287" s="12" t="s">
        <v>89</v>
      </c>
      <c r="F287" s="12" t="s">
        <v>235</v>
      </c>
      <c r="G287" s="12" t="s">
        <v>239</v>
      </c>
      <c r="H287" s="63" t="n">
        <v>0</v>
      </c>
      <c r="I287" s="14" t="n">
        <f aca="false">+H287*K287</f>
        <v>0</v>
      </c>
      <c r="J287" s="85" t="n">
        <v>36800</v>
      </c>
      <c r="K287" s="13" t="n">
        <f aca="false">+K286</f>
        <v>6000</v>
      </c>
      <c r="L287" s="38" t="s">
        <v>8</v>
      </c>
      <c r="M287" s="63" t="s">
        <v>272</v>
      </c>
      <c r="O287" s="134" t="n">
        <f aca="false">0.005*K287</f>
        <v>30</v>
      </c>
      <c r="Q287" s="135" t="n">
        <v>5.105</v>
      </c>
      <c r="T287" s="134" t="n">
        <v>0</v>
      </c>
      <c r="AA287" s="10" t="s">
        <v>116</v>
      </c>
      <c r="AB287" s="12" t="s">
        <v>245</v>
      </c>
    </row>
    <row r="288" customFormat="false" ht="12.75" hidden="false" customHeight="false" outlineLevel="0" collapsed="false">
      <c r="A288" s="10" t="n">
        <v>39</v>
      </c>
      <c r="B288" s="10" t="s">
        <v>293</v>
      </c>
      <c r="C288" s="62" t="n">
        <v>36762</v>
      </c>
      <c r="D288" s="12" t="s">
        <v>161</v>
      </c>
      <c r="E288" s="12" t="s">
        <v>89</v>
      </c>
      <c r="F288" s="12" t="s">
        <v>235</v>
      </c>
      <c r="G288" s="12" t="s">
        <v>239</v>
      </c>
      <c r="H288" s="63" t="n">
        <v>0</v>
      </c>
      <c r="I288" s="14" t="n">
        <f aca="false">+H288*K288</f>
        <v>0</v>
      </c>
      <c r="J288" s="85" t="n">
        <v>36831</v>
      </c>
      <c r="K288" s="13" t="n">
        <f aca="false">+K287</f>
        <v>6000</v>
      </c>
      <c r="L288" s="38" t="s">
        <v>8</v>
      </c>
      <c r="M288" s="63" t="s">
        <v>272</v>
      </c>
      <c r="O288" s="134" t="n">
        <f aca="false">0.005*K288</f>
        <v>30</v>
      </c>
      <c r="Q288" s="135" t="n">
        <v>4.31</v>
      </c>
      <c r="T288" s="134" t="n">
        <v>0</v>
      </c>
      <c r="AA288" s="10" t="s">
        <v>116</v>
      </c>
      <c r="AB288" s="12" t="s">
        <v>245</v>
      </c>
    </row>
    <row r="289" customFormat="false" ht="12.75" hidden="false" customHeight="false" outlineLevel="0" collapsed="false">
      <c r="A289" s="10" t="n">
        <v>39</v>
      </c>
      <c r="B289" s="10" t="s">
        <v>293</v>
      </c>
      <c r="C289" s="62" t="n">
        <v>36762</v>
      </c>
      <c r="D289" s="12" t="s">
        <v>161</v>
      </c>
      <c r="E289" s="12" t="s">
        <v>89</v>
      </c>
      <c r="F289" s="12" t="s">
        <v>235</v>
      </c>
      <c r="G289" s="12" t="s">
        <v>239</v>
      </c>
      <c r="H289" s="63" t="n">
        <v>0</v>
      </c>
      <c r="I289" s="14" t="n">
        <f aca="false">+H289*K289</f>
        <v>0</v>
      </c>
      <c r="J289" s="85" t="n">
        <v>36861</v>
      </c>
      <c r="K289" s="13" t="n">
        <f aca="false">+K288</f>
        <v>6000</v>
      </c>
      <c r="L289" s="38" t="s">
        <v>8</v>
      </c>
      <c r="M289" s="63" t="s">
        <v>272</v>
      </c>
      <c r="O289" s="134" t="n">
        <f aca="false">0.005*K289</f>
        <v>30</v>
      </c>
      <c r="Q289" s="135" t="n">
        <v>5.775</v>
      </c>
      <c r="T289" s="134" t="n">
        <f aca="false">(5.2-Q289)*K289</f>
        <v>-3450</v>
      </c>
      <c r="AA289" s="10" t="s">
        <v>116</v>
      </c>
      <c r="AB289" s="12" t="s">
        <v>245</v>
      </c>
    </row>
    <row r="290" customFormat="false" ht="12.75" hidden="false" customHeight="false" outlineLevel="0" collapsed="false">
      <c r="A290" s="10" t="n">
        <v>39</v>
      </c>
      <c r="B290" s="10" t="s">
        <v>293</v>
      </c>
      <c r="C290" s="62" t="n">
        <v>36762</v>
      </c>
      <c r="D290" s="12" t="s">
        <v>161</v>
      </c>
      <c r="E290" s="12" t="s">
        <v>89</v>
      </c>
      <c r="F290" s="12" t="s">
        <v>235</v>
      </c>
      <c r="G290" s="12" t="s">
        <v>239</v>
      </c>
      <c r="H290" s="63" t="n">
        <v>0</v>
      </c>
      <c r="I290" s="14" t="n">
        <f aca="false">+H290*K290</f>
        <v>0</v>
      </c>
      <c r="J290" s="85" t="n">
        <v>36892</v>
      </c>
      <c r="K290" s="13" t="n">
        <f aca="false">+K289</f>
        <v>6000</v>
      </c>
      <c r="L290" s="38" t="s">
        <v>8</v>
      </c>
      <c r="M290" s="63" t="s">
        <v>272</v>
      </c>
      <c r="O290" s="134" t="n">
        <f aca="false">0.005*K290</f>
        <v>30</v>
      </c>
      <c r="Q290" s="135" t="n">
        <v>9.565</v>
      </c>
      <c r="T290" s="134" t="n">
        <f aca="false">(5.2-Q290)*K290</f>
        <v>-26190</v>
      </c>
      <c r="AA290" s="10" t="s">
        <v>116</v>
      </c>
      <c r="AB290" s="12" t="s">
        <v>245</v>
      </c>
    </row>
    <row r="291" customFormat="false" ht="12.75" hidden="false" customHeight="false" outlineLevel="0" collapsed="false">
      <c r="A291" s="10" t="n">
        <v>39</v>
      </c>
      <c r="B291" s="10" t="s">
        <v>293</v>
      </c>
      <c r="C291" s="62" t="n">
        <v>36762</v>
      </c>
      <c r="D291" s="12" t="s">
        <v>161</v>
      </c>
      <c r="E291" s="12" t="s">
        <v>89</v>
      </c>
      <c r="F291" s="12" t="s">
        <v>235</v>
      </c>
      <c r="G291" s="12" t="s">
        <v>239</v>
      </c>
      <c r="H291" s="63" t="n">
        <v>0</v>
      </c>
      <c r="I291" s="14" t="n">
        <f aca="false">+H291*K291</f>
        <v>0</v>
      </c>
      <c r="J291" s="85" t="n">
        <v>36923</v>
      </c>
      <c r="K291" s="13" t="n">
        <f aca="false">+K290</f>
        <v>6000</v>
      </c>
      <c r="L291" s="38" t="s">
        <v>8</v>
      </c>
      <c r="M291" s="63" t="s">
        <v>272</v>
      </c>
      <c r="O291" s="134" t="n">
        <f aca="false">0.005*K291</f>
        <v>30</v>
      </c>
      <c r="AA291" s="10" t="s">
        <v>116</v>
      </c>
      <c r="AB291" s="12" t="s">
        <v>245</v>
      </c>
    </row>
    <row r="293" customFormat="false" ht="12.75" hidden="false" customHeight="false" outlineLevel="0" collapsed="false">
      <c r="A293" s="10" t="n">
        <v>40</v>
      </c>
      <c r="B293" s="10" t="s">
        <v>294</v>
      </c>
      <c r="C293" s="62" t="n">
        <v>36762</v>
      </c>
      <c r="D293" s="12" t="s">
        <v>162</v>
      </c>
      <c r="E293" s="12" t="s">
        <v>89</v>
      </c>
      <c r="F293" s="12" t="s">
        <v>235</v>
      </c>
      <c r="G293" s="12" t="s">
        <v>239</v>
      </c>
      <c r="H293" s="63" t="n">
        <v>0</v>
      </c>
      <c r="I293" s="14" t="n">
        <f aca="false">+H293*K293</f>
        <v>0</v>
      </c>
      <c r="J293" s="85" t="n">
        <v>36770</v>
      </c>
      <c r="K293" s="13" t="n">
        <v>10000</v>
      </c>
      <c r="L293" s="38" t="s">
        <v>8</v>
      </c>
      <c r="M293" s="63" t="s">
        <v>272</v>
      </c>
      <c r="O293" s="134" t="n">
        <f aca="false">0.005*K293</f>
        <v>50</v>
      </c>
      <c r="Q293" s="135" t="n">
        <v>4.45</v>
      </c>
      <c r="T293" s="134" t="n">
        <v>0</v>
      </c>
      <c r="Y293" s="12" t="s">
        <v>269</v>
      </c>
      <c r="AA293" s="10" t="s">
        <v>116</v>
      </c>
      <c r="AB293" s="12" t="s">
        <v>245</v>
      </c>
    </row>
    <row r="294" customFormat="false" ht="12.75" hidden="false" customHeight="false" outlineLevel="0" collapsed="false">
      <c r="A294" s="10" t="n">
        <v>40</v>
      </c>
      <c r="B294" s="10" t="s">
        <v>294</v>
      </c>
      <c r="C294" s="62" t="n">
        <v>36762</v>
      </c>
      <c r="D294" s="12" t="s">
        <v>162</v>
      </c>
      <c r="E294" s="12" t="s">
        <v>89</v>
      </c>
      <c r="F294" s="12" t="s">
        <v>235</v>
      </c>
      <c r="G294" s="12" t="s">
        <v>239</v>
      </c>
      <c r="H294" s="63" t="n">
        <v>0</v>
      </c>
      <c r="I294" s="14" t="n">
        <f aca="false">+H294*K294</f>
        <v>0</v>
      </c>
      <c r="J294" s="85" t="n">
        <v>36800</v>
      </c>
      <c r="K294" s="13" t="n">
        <f aca="false">+K293</f>
        <v>10000</v>
      </c>
      <c r="L294" s="38" t="s">
        <v>8</v>
      </c>
      <c r="M294" s="63" t="s">
        <v>272</v>
      </c>
      <c r="O294" s="134" t="n">
        <f aca="false">0.005*K294</f>
        <v>50</v>
      </c>
      <c r="Q294" s="135" t="n">
        <v>5.105</v>
      </c>
      <c r="T294" s="134" t="n">
        <v>0</v>
      </c>
      <c r="AA294" s="10" t="s">
        <v>116</v>
      </c>
      <c r="AB294" s="12" t="s">
        <v>245</v>
      </c>
    </row>
    <row r="295" customFormat="false" ht="12.75" hidden="false" customHeight="false" outlineLevel="0" collapsed="false">
      <c r="A295" s="10" t="n">
        <v>40</v>
      </c>
      <c r="B295" s="10" t="s">
        <v>294</v>
      </c>
      <c r="C295" s="62" t="n">
        <v>36762</v>
      </c>
      <c r="D295" s="12" t="s">
        <v>162</v>
      </c>
      <c r="E295" s="12" t="s">
        <v>89</v>
      </c>
      <c r="F295" s="12" t="s">
        <v>235</v>
      </c>
      <c r="G295" s="12" t="s">
        <v>239</v>
      </c>
      <c r="H295" s="63" t="n">
        <v>0</v>
      </c>
      <c r="I295" s="14" t="n">
        <f aca="false">+H295*K295</f>
        <v>0</v>
      </c>
      <c r="J295" s="85" t="n">
        <v>36831</v>
      </c>
      <c r="K295" s="13" t="n">
        <f aca="false">+K294</f>
        <v>10000</v>
      </c>
      <c r="L295" s="38" t="s">
        <v>8</v>
      </c>
      <c r="M295" s="63" t="s">
        <v>272</v>
      </c>
      <c r="O295" s="134" t="n">
        <f aca="false">0.005*K295</f>
        <v>50</v>
      </c>
      <c r="Q295" s="135" t="n">
        <v>4.31</v>
      </c>
      <c r="T295" s="134" t="n">
        <v>0</v>
      </c>
      <c r="AA295" s="10" t="s">
        <v>116</v>
      </c>
      <c r="AB295" s="12" t="s">
        <v>245</v>
      </c>
    </row>
    <row r="296" customFormat="false" ht="12.75" hidden="false" customHeight="false" outlineLevel="0" collapsed="false">
      <c r="A296" s="10" t="n">
        <v>40</v>
      </c>
      <c r="B296" s="10" t="s">
        <v>294</v>
      </c>
      <c r="C296" s="62" t="n">
        <v>36762</v>
      </c>
      <c r="D296" s="12" t="s">
        <v>162</v>
      </c>
      <c r="E296" s="12" t="s">
        <v>89</v>
      </c>
      <c r="F296" s="12" t="s">
        <v>235</v>
      </c>
      <c r="G296" s="12" t="s">
        <v>239</v>
      </c>
      <c r="H296" s="63" t="n">
        <v>0</v>
      </c>
      <c r="I296" s="14" t="n">
        <f aca="false">+H296*K296</f>
        <v>0</v>
      </c>
      <c r="J296" s="85" t="n">
        <v>36861</v>
      </c>
      <c r="K296" s="13" t="n">
        <f aca="false">+K295</f>
        <v>10000</v>
      </c>
      <c r="L296" s="38" t="s">
        <v>8</v>
      </c>
      <c r="M296" s="63" t="s">
        <v>272</v>
      </c>
      <c r="O296" s="134" t="n">
        <f aca="false">0.005*K296</f>
        <v>50</v>
      </c>
      <c r="Q296" s="135" t="n">
        <v>5.775</v>
      </c>
      <c r="T296" s="134" t="n">
        <f aca="false">(5.2-Q296)*K296</f>
        <v>-5750</v>
      </c>
      <c r="AA296" s="10" t="s">
        <v>116</v>
      </c>
      <c r="AB296" s="12" t="s">
        <v>245</v>
      </c>
    </row>
    <row r="297" customFormat="false" ht="12.75" hidden="false" customHeight="false" outlineLevel="0" collapsed="false">
      <c r="A297" s="10" t="n">
        <v>40</v>
      </c>
      <c r="B297" s="10" t="s">
        <v>294</v>
      </c>
      <c r="C297" s="62" t="n">
        <v>36762</v>
      </c>
      <c r="D297" s="12" t="s">
        <v>162</v>
      </c>
      <c r="E297" s="12" t="s">
        <v>89</v>
      </c>
      <c r="F297" s="12" t="s">
        <v>235</v>
      </c>
      <c r="G297" s="12" t="s">
        <v>239</v>
      </c>
      <c r="H297" s="63" t="n">
        <v>0</v>
      </c>
      <c r="I297" s="14" t="n">
        <f aca="false">+H297*K297</f>
        <v>0</v>
      </c>
      <c r="J297" s="85" t="n">
        <v>36892</v>
      </c>
      <c r="K297" s="13" t="n">
        <f aca="false">+K296</f>
        <v>10000</v>
      </c>
      <c r="L297" s="38" t="s">
        <v>8</v>
      </c>
      <c r="M297" s="63" t="s">
        <v>272</v>
      </c>
      <c r="O297" s="134" t="n">
        <f aca="false">0.005*K297</f>
        <v>50</v>
      </c>
      <c r="Q297" s="135" t="n">
        <v>9.565</v>
      </c>
      <c r="T297" s="134" t="n">
        <f aca="false">(5.2-Q297)*K297</f>
        <v>-43650</v>
      </c>
      <c r="AA297" s="10" t="s">
        <v>116</v>
      </c>
      <c r="AB297" s="12" t="s">
        <v>245</v>
      </c>
    </row>
    <row r="298" customFormat="false" ht="12.75" hidden="false" customHeight="false" outlineLevel="0" collapsed="false">
      <c r="A298" s="10" t="n">
        <v>40</v>
      </c>
      <c r="B298" s="10" t="s">
        <v>294</v>
      </c>
      <c r="C298" s="62" t="n">
        <v>36762</v>
      </c>
      <c r="D298" s="12" t="s">
        <v>162</v>
      </c>
      <c r="E298" s="12" t="s">
        <v>89</v>
      </c>
      <c r="F298" s="12" t="s">
        <v>235</v>
      </c>
      <c r="G298" s="12" t="s">
        <v>239</v>
      </c>
      <c r="H298" s="63" t="n">
        <v>0</v>
      </c>
      <c r="I298" s="14" t="n">
        <f aca="false">+H298*K298</f>
        <v>0</v>
      </c>
      <c r="J298" s="85" t="n">
        <v>36923</v>
      </c>
      <c r="K298" s="13" t="n">
        <f aca="false">+K297</f>
        <v>10000</v>
      </c>
      <c r="L298" s="38" t="s">
        <v>8</v>
      </c>
      <c r="M298" s="63" t="s">
        <v>272</v>
      </c>
      <c r="O298" s="134" t="n">
        <f aca="false">0.005*K298</f>
        <v>50</v>
      </c>
      <c r="AA298" s="10" t="s">
        <v>116</v>
      </c>
      <c r="AB298" s="12" t="s">
        <v>245</v>
      </c>
    </row>
    <row r="300" customFormat="false" ht="12.75" hidden="false" customHeight="false" outlineLevel="0" collapsed="false">
      <c r="A300" s="5" t="n">
        <v>41</v>
      </c>
      <c r="B300" s="5" t="s">
        <v>295</v>
      </c>
      <c r="C300" s="153" t="n">
        <v>36762</v>
      </c>
      <c r="D300" s="58" t="s">
        <v>163</v>
      </c>
      <c r="E300" s="58" t="s">
        <v>89</v>
      </c>
      <c r="F300" s="58" t="s">
        <v>235</v>
      </c>
      <c r="G300" s="58" t="s">
        <v>239</v>
      </c>
      <c r="H300" s="154" t="n">
        <v>0</v>
      </c>
      <c r="I300" s="6" t="n">
        <f aca="false">+H300*K300</f>
        <v>0</v>
      </c>
      <c r="J300" s="155" t="n">
        <v>36770</v>
      </c>
      <c r="K300" s="156" t="n">
        <v>40000</v>
      </c>
      <c r="L300" s="157" t="s">
        <v>8</v>
      </c>
      <c r="M300" s="154" t="s">
        <v>296</v>
      </c>
      <c r="N300" s="158"/>
      <c r="O300" s="159" t="n">
        <v>0</v>
      </c>
      <c r="P300" s="58"/>
      <c r="Q300" s="160" t="n">
        <v>4.45</v>
      </c>
      <c r="R300" s="161"/>
      <c r="S300" s="58"/>
      <c r="T300" s="159" t="n">
        <v>0</v>
      </c>
      <c r="U300" s="162"/>
      <c r="V300" s="162"/>
      <c r="W300" s="58"/>
      <c r="X300" s="58"/>
      <c r="Y300" s="58" t="s">
        <v>297</v>
      </c>
      <c r="Z300" s="58"/>
      <c r="AA300" s="5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  <c r="HG300" s="58"/>
      <c r="HH300" s="58"/>
      <c r="HI300" s="58"/>
      <c r="HJ300" s="58"/>
      <c r="HK300" s="58"/>
      <c r="HL300" s="58"/>
      <c r="HM300" s="58"/>
      <c r="HN300" s="58"/>
      <c r="HO300" s="58"/>
      <c r="HP300" s="58"/>
      <c r="HQ300" s="58"/>
      <c r="HR300" s="58"/>
      <c r="HS300" s="58"/>
      <c r="HT300" s="58"/>
      <c r="HU300" s="58"/>
      <c r="HV300" s="58"/>
      <c r="HW300" s="58"/>
      <c r="HX300" s="58"/>
      <c r="HY300" s="58"/>
      <c r="HZ300" s="58"/>
      <c r="IA300" s="58"/>
      <c r="IB300" s="58"/>
      <c r="IC300" s="58"/>
      <c r="ID300" s="58"/>
      <c r="IE300" s="58"/>
      <c r="IF300" s="58"/>
      <c r="IG300" s="58"/>
      <c r="IH300" s="58"/>
      <c r="II300" s="58"/>
      <c r="IJ300" s="58"/>
      <c r="IK300" s="58"/>
      <c r="IL300" s="58"/>
      <c r="IM300" s="58"/>
      <c r="IN300" s="58"/>
      <c r="IO300" s="58"/>
      <c r="IP300" s="58"/>
      <c r="IQ300" s="58"/>
      <c r="IR300" s="58"/>
      <c r="IS300" s="58"/>
      <c r="IT300" s="58"/>
      <c r="IU300" s="58"/>
      <c r="IV300" s="58"/>
      <c r="IW300" s="58"/>
    </row>
    <row r="301" customFormat="false" ht="12.75" hidden="false" customHeight="false" outlineLevel="0" collapsed="false">
      <c r="A301" s="5" t="n">
        <v>41</v>
      </c>
      <c r="B301" s="5" t="s">
        <v>295</v>
      </c>
      <c r="C301" s="153" t="n">
        <v>36762</v>
      </c>
      <c r="D301" s="58" t="s">
        <v>163</v>
      </c>
      <c r="E301" s="58" t="s">
        <v>89</v>
      </c>
      <c r="F301" s="58" t="s">
        <v>235</v>
      </c>
      <c r="G301" s="58" t="s">
        <v>239</v>
      </c>
      <c r="H301" s="154" t="n">
        <v>0</v>
      </c>
      <c r="I301" s="6" t="n">
        <f aca="false">+H301*K301</f>
        <v>0</v>
      </c>
      <c r="J301" s="155" t="n">
        <v>36800</v>
      </c>
      <c r="K301" s="156" t="n">
        <v>40000</v>
      </c>
      <c r="L301" s="157" t="s">
        <v>8</v>
      </c>
      <c r="M301" s="154" t="s">
        <v>296</v>
      </c>
      <c r="N301" s="158"/>
      <c r="O301" s="159" t="n">
        <v>0</v>
      </c>
      <c r="P301" s="58"/>
      <c r="Q301" s="160" t="n">
        <v>5.105</v>
      </c>
      <c r="R301" s="161"/>
      <c r="S301" s="58"/>
      <c r="T301" s="159" t="n">
        <v>0</v>
      </c>
      <c r="U301" s="162"/>
      <c r="V301" s="162"/>
      <c r="W301" s="58"/>
      <c r="X301" s="58"/>
      <c r="Y301" s="58"/>
      <c r="Z301" s="58"/>
      <c r="AA301" s="5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  <c r="DR301" s="58"/>
      <c r="DS301" s="58"/>
      <c r="DT301" s="58"/>
      <c r="DU301" s="58"/>
      <c r="DV301" s="58"/>
      <c r="DW301" s="58"/>
      <c r="DX301" s="58"/>
      <c r="DY301" s="58"/>
      <c r="DZ301" s="58"/>
      <c r="EA301" s="58"/>
      <c r="EB301" s="58"/>
      <c r="EC301" s="58"/>
      <c r="ED301" s="58"/>
      <c r="EE301" s="58"/>
      <c r="EF301" s="58"/>
      <c r="EG301" s="58"/>
      <c r="EH301" s="58"/>
      <c r="EI301" s="58"/>
      <c r="EJ301" s="58"/>
      <c r="EK301" s="58"/>
      <c r="EL301" s="58"/>
      <c r="EM301" s="58"/>
      <c r="EN301" s="58"/>
      <c r="EO301" s="58"/>
      <c r="EP301" s="58"/>
      <c r="EQ301" s="58"/>
      <c r="ER301" s="58"/>
      <c r="ES301" s="58"/>
      <c r="ET301" s="58"/>
      <c r="EU301" s="58"/>
      <c r="EV301" s="58"/>
      <c r="EW301" s="58"/>
      <c r="EX301" s="58"/>
      <c r="EY301" s="58"/>
      <c r="EZ301" s="58"/>
      <c r="FA301" s="58"/>
      <c r="FB301" s="58"/>
      <c r="FC301" s="58"/>
      <c r="FD301" s="58"/>
      <c r="FE301" s="58"/>
      <c r="FF301" s="58"/>
      <c r="FG301" s="58"/>
      <c r="FH301" s="58"/>
      <c r="FI301" s="58"/>
      <c r="FJ301" s="58"/>
      <c r="FK301" s="58"/>
      <c r="FL301" s="58"/>
      <c r="FM301" s="58"/>
      <c r="FN301" s="58"/>
      <c r="FO301" s="58"/>
      <c r="FP301" s="58"/>
      <c r="FQ301" s="58"/>
      <c r="FR301" s="58"/>
      <c r="FS301" s="58"/>
      <c r="FT301" s="58"/>
      <c r="FU301" s="58"/>
      <c r="FV301" s="58"/>
      <c r="FW301" s="58"/>
      <c r="FX301" s="58"/>
      <c r="FY301" s="58"/>
      <c r="FZ301" s="58"/>
      <c r="GA301" s="58"/>
      <c r="GB301" s="58"/>
      <c r="GC301" s="58"/>
      <c r="GD301" s="58"/>
      <c r="GE301" s="58"/>
      <c r="GF301" s="58"/>
      <c r="GG301" s="58"/>
      <c r="GH301" s="58"/>
      <c r="GI301" s="58"/>
      <c r="GJ301" s="58"/>
      <c r="GK301" s="58"/>
      <c r="GL301" s="58"/>
      <c r="GM301" s="58"/>
      <c r="GN301" s="58"/>
      <c r="GO301" s="58"/>
      <c r="GP301" s="58"/>
      <c r="GQ301" s="58"/>
      <c r="GR301" s="58"/>
      <c r="GS301" s="58"/>
      <c r="GT301" s="58"/>
      <c r="GU301" s="58"/>
      <c r="GV301" s="58"/>
      <c r="GW301" s="58"/>
      <c r="GX301" s="58"/>
      <c r="GY301" s="58"/>
      <c r="GZ301" s="58"/>
      <c r="HA301" s="58"/>
      <c r="HB301" s="58"/>
      <c r="HC301" s="58"/>
      <c r="HD301" s="58"/>
      <c r="HE301" s="58"/>
      <c r="HF301" s="58"/>
      <c r="HG301" s="58"/>
      <c r="HH301" s="58"/>
      <c r="HI301" s="58"/>
      <c r="HJ301" s="58"/>
      <c r="HK301" s="58"/>
      <c r="HL301" s="58"/>
      <c r="HM301" s="58"/>
      <c r="HN301" s="58"/>
      <c r="HO301" s="58"/>
      <c r="HP301" s="58"/>
      <c r="HQ301" s="58"/>
      <c r="HR301" s="58"/>
      <c r="HS301" s="58"/>
      <c r="HT301" s="58"/>
      <c r="HU301" s="58"/>
      <c r="HV301" s="58"/>
      <c r="HW301" s="58"/>
      <c r="HX301" s="58"/>
      <c r="HY301" s="58"/>
      <c r="HZ301" s="58"/>
      <c r="IA301" s="58"/>
      <c r="IB301" s="58"/>
      <c r="IC301" s="58"/>
      <c r="ID301" s="58"/>
      <c r="IE301" s="58"/>
      <c r="IF301" s="58"/>
      <c r="IG301" s="58"/>
      <c r="IH301" s="58"/>
      <c r="II301" s="58"/>
      <c r="IJ301" s="58"/>
      <c r="IK301" s="58"/>
      <c r="IL301" s="58"/>
      <c r="IM301" s="58"/>
      <c r="IN301" s="58"/>
      <c r="IO301" s="58"/>
      <c r="IP301" s="58"/>
      <c r="IQ301" s="58"/>
      <c r="IR301" s="58"/>
      <c r="IS301" s="58"/>
      <c r="IT301" s="58"/>
      <c r="IU301" s="58"/>
      <c r="IV301" s="58"/>
      <c r="IW301" s="58"/>
    </row>
    <row r="302" customFormat="false" ht="12.75" hidden="false" customHeight="false" outlineLevel="0" collapsed="false">
      <c r="A302" s="5" t="n">
        <v>41</v>
      </c>
      <c r="B302" s="5" t="s">
        <v>295</v>
      </c>
      <c r="C302" s="153" t="n">
        <v>36762</v>
      </c>
      <c r="D302" s="58" t="s">
        <v>163</v>
      </c>
      <c r="E302" s="58" t="s">
        <v>89</v>
      </c>
      <c r="F302" s="58" t="s">
        <v>235</v>
      </c>
      <c r="G302" s="58" t="s">
        <v>239</v>
      </c>
      <c r="H302" s="154" t="n">
        <v>0</v>
      </c>
      <c r="I302" s="6" t="n">
        <f aca="false">+H302*K302</f>
        <v>0</v>
      </c>
      <c r="J302" s="155" t="n">
        <v>36831</v>
      </c>
      <c r="K302" s="156" t="n">
        <v>40000</v>
      </c>
      <c r="L302" s="157" t="s">
        <v>8</v>
      </c>
      <c r="M302" s="154" t="s">
        <v>296</v>
      </c>
      <c r="N302" s="158"/>
      <c r="O302" s="159" t="n">
        <v>0</v>
      </c>
      <c r="P302" s="58"/>
      <c r="Q302" s="160" t="n">
        <v>4.31</v>
      </c>
      <c r="R302" s="161"/>
      <c r="S302" s="58"/>
      <c r="T302" s="159" t="n">
        <v>0</v>
      </c>
      <c r="U302" s="162"/>
      <c r="V302" s="162"/>
      <c r="W302" s="58"/>
      <c r="X302" s="58"/>
      <c r="Y302" s="58"/>
      <c r="Z302" s="58"/>
      <c r="AA302" s="5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  <c r="DR302" s="58"/>
      <c r="DS302" s="58"/>
      <c r="DT302" s="58"/>
      <c r="DU302" s="58"/>
      <c r="DV302" s="58"/>
      <c r="DW302" s="58"/>
      <c r="DX302" s="58"/>
      <c r="DY302" s="58"/>
      <c r="DZ302" s="58"/>
      <c r="EA302" s="58"/>
      <c r="EB302" s="58"/>
      <c r="EC302" s="58"/>
      <c r="ED302" s="58"/>
      <c r="EE302" s="58"/>
      <c r="EF302" s="58"/>
      <c r="EG302" s="58"/>
      <c r="EH302" s="58"/>
      <c r="EI302" s="58"/>
      <c r="EJ302" s="58"/>
      <c r="EK302" s="58"/>
      <c r="EL302" s="58"/>
      <c r="EM302" s="58"/>
      <c r="EN302" s="58"/>
      <c r="EO302" s="58"/>
      <c r="EP302" s="58"/>
      <c r="EQ302" s="58"/>
      <c r="ER302" s="58"/>
      <c r="ES302" s="58"/>
      <c r="ET302" s="58"/>
      <c r="EU302" s="58"/>
      <c r="EV302" s="58"/>
      <c r="EW302" s="58"/>
      <c r="EX302" s="58"/>
      <c r="EY302" s="58"/>
      <c r="EZ302" s="58"/>
      <c r="FA302" s="58"/>
      <c r="FB302" s="58"/>
      <c r="FC302" s="58"/>
      <c r="FD302" s="58"/>
      <c r="FE302" s="58"/>
      <c r="FF302" s="58"/>
      <c r="FG302" s="58"/>
      <c r="FH302" s="58"/>
      <c r="FI302" s="58"/>
      <c r="FJ302" s="58"/>
      <c r="FK302" s="58"/>
      <c r="FL302" s="58"/>
      <c r="FM302" s="58"/>
      <c r="FN302" s="58"/>
      <c r="FO302" s="58"/>
      <c r="FP302" s="58"/>
      <c r="FQ302" s="58"/>
      <c r="FR302" s="58"/>
      <c r="FS302" s="58"/>
      <c r="FT302" s="58"/>
      <c r="FU302" s="58"/>
      <c r="FV302" s="58"/>
      <c r="FW302" s="58"/>
      <c r="FX302" s="58"/>
      <c r="FY302" s="58"/>
      <c r="FZ302" s="58"/>
      <c r="GA302" s="58"/>
      <c r="GB302" s="58"/>
      <c r="GC302" s="58"/>
      <c r="GD302" s="58"/>
      <c r="GE302" s="58"/>
      <c r="GF302" s="58"/>
      <c r="GG302" s="58"/>
      <c r="GH302" s="58"/>
      <c r="GI302" s="58"/>
      <c r="GJ302" s="58"/>
      <c r="GK302" s="58"/>
      <c r="GL302" s="58"/>
      <c r="GM302" s="58"/>
      <c r="GN302" s="58"/>
      <c r="GO302" s="58"/>
      <c r="GP302" s="58"/>
      <c r="GQ302" s="58"/>
      <c r="GR302" s="58"/>
      <c r="GS302" s="58"/>
      <c r="GT302" s="58"/>
      <c r="GU302" s="58"/>
      <c r="GV302" s="58"/>
      <c r="GW302" s="58"/>
      <c r="GX302" s="58"/>
      <c r="GY302" s="58"/>
      <c r="GZ302" s="58"/>
      <c r="HA302" s="58"/>
      <c r="HB302" s="58"/>
      <c r="HC302" s="58"/>
      <c r="HD302" s="58"/>
      <c r="HE302" s="58"/>
      <c r="HF302" s="58"/>
      <c r="HG302" s="58"/>
      <c r="HH302" s="58"/>
      <c r="HI302" s="58"/>
      <c r="HJ302" s="58"/>
      <c r="HK302" s="58"/>
      <c r="HL302" s="58"/>
      <c r="HM302" s="58"/>
      <c r="HN302" s="58"/>
      <c r="HO302" s="58"/>
      <c r="HP302" s="58"/>
      <c r="HQ302" s="58"/>
      <c r="HR302" s="58"/>
      <c r="HS302" s="58"/>
      <c r="HT302" s="58"/>
      <c r="HU302" s="58"/>
      <c r="HV302" s="58"/>
      <c r="HW302" s="58"/>
      <c r="HX302" s="58"/>
      <c r="HY302" s="58"/>
      <c r="HZ302" s="58"/>
      <c r="IA302" s="58"/>
      <c r="IB302" s="58"/>
      <c r="IC302" s="58"/>
      <c r="ID302" s="58"/>
      <c r="IE302" s="58"/>
      <c r="IF302" s="58"/>
      <c r="IG302" s="58"/>
      <c r="IH302" s="58"/>
      <c r="II302" s="58"/>
      <c r="IJ302" s="58"/>
      <c r="IK302" s="58"/>
      <c r="IL302" s="58"/>
      <c r="IM302" s="58"/>
      <c r="IN302" s="58"/>
      <c r="IO302" s="58"/>
      <c r="IP302" s="58"/>
      <c r="IQ302" s="58"/>
      <c r="IR302" s="58"/>
      <c r="IS302" s="58"/>
      <c r="IT302" s="58"/>
      <c r="IU302" s="58"/>
      <c r="IV302" s="58"/>
      <c r="IW302" s="58"/>
    </row>
    <row r="303" customFormat="false" ht="12.75" hidden="false" customHeight="false" outlineLevel="0" collapsed="false">
      <c r="A303" s="5" t="n">
        <v>41</v>
      </c>
      <c r="B303" s="5" t="s">
        <v>295</v>
      </c>
      <c r="C303" s="153" t="n">
        <v>36762</v>
      </c>
      <c r="D303" s="58" t="s">
        <v>163</v>
      </c>
      <c r="E303" s="58" t="s">
        <v>89</v>
      </c>
      <c r="F303" s="58" t="s">
        <v>235</v>
      </c>
      <c r="G303" s="58" t="s">
        <v>239</v>
      </c>
      <c r="H303" s="154" t="n">
        <v>0</v>
      </c>
      <c r="I303" s="6" t="n">
        <f aca="false">+H303*K303</f>
        <v>0</v>
      </c>
      <c r="J303" s="155" t="n">
        <v>36861</v>
      </c>
      <c r="K303" s="156" t="n">
        <v>40000</v>
      </c>
      <c r="L303" s="157" t="s">
        <v>8</v>
      </c>
      <c r="M303" s="154" t="s">
        <v>296</v>
      </c>
      <c r="N303" s="158"/>
      <c r="O303" s="159" t="n">
        <v>0</v>
      </c>
      <c r="P303" s="58"/>
      <c r="Q303" s="160" t="n">
        <v>5.775</v>
      </c>
      <c r="R303" s="161"/>
      <c r="S303" s="58"/>
      <c r="T303" s="159" t="n">
        <v>0</v>
      </c>
      <c r="U303" s="162"/>
      <c r="V303" s="162"/>
      <c r="W303" s="58"/>
      <c r="X303" s="58"/>
      <c r="Y303" s="58"/>
      <c r="Z303" s="58"/>
      <c r="AA303" s="5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58"/>
      <c r="BP303" s="58"/>
      <c r="BQ303" s="58"/>
      <c r="BR303" s="58"/>
      <c r="BS303" s="58"/>
      <c r="BT303" s="58"/>
      <c r="BU303" s="58"/>
      <c r="BV303" s="58"/>
      <c r="BW303" s="58"/>
      <c r="BX303" s="58"/>
      <c r="BY303" s="58"/>
      <c r="BZ303" s="58"/>
      <c r="CA303" s="58"/>
      <c r="CB303" s="58"/>
      <c r="CC303" s="58"/>
      <c r="CD303" s="58"/>
      <c r="CE303" s="58"/>
      <c r="CF303" s="58"/>
      <c r="CG303" s="58"/>
      <c r="CH303" s="58"/>
      <c r="CI303" s="58"/>
      <c r="CJ303" s="58"/>
      <c r="CK303" s="58"/>
      <c r="CL303" s="58"/>
      <c r="CM303" s="58"/>
      <c r="CN303" s="58"/>
      <c r="CO303" s="58"/>
      <c r="CP303" s="58"/>
      <c r="CQ303" s="58"/>
      <c r="CR303" s="58"/>
      <c r="CS303" s="58"/>
      <c r="CT303" s="58"/>
      <c r="CU303" s="58"/>
      <c r="CV303" s="58"/>
      <c r="CW303" s="58"/>
      <c r="CX303" s="58"/>
      <c r="CY303" s="58"/>
      <c r="CZ303" s="58"/>
      <c r="DA303" s="58"/>
      <c r="DB303" s="58"/>
      <c r="DC303" s="58"/>
      <c r="DD303" s="58"/>
      <c r="DE303" s="58"/>
      <c r="DF303" s="58"/>
      <c r="DG303" s="58"/>
      <c r="DH303" s="58"/>
      <c r="DI303" s="58"/>
      <c r="DJ303" s="58"/>
      <c r="DK303" s="58"/>
      <c r="DL303" s="58"/>
      <c r="DM303" s="58"/>
      <c r="DN303" s="58"/>
      <c r="DO303" s="58"/>
      <c r="DP303" s="58"/>
      <c r="DQ303" s="58"/>
      <c r="DR303" s="58"/>
      <c r="DS303" s="58"/>
      <c r="DT303" s="58"/>
      <c r="DU303" s="58"/>
      <c r="DV303" s="58"/>
      <c r="DW303" s="58"/>
      <c r="DX303" s="58"/>
      <c r="DY303" s="58"/>
      <c r="DZ303" s="58"/>
      <c r="EA303" s="58"/>
      <c r="EB303" s="58"/>
      <c r="EC303" s="58"/>
      <c r="ED303" s="58"/>
      <c r="EE303" s="58"/>
      <c r="EF303" s="58"/>
      <c r="EG303" s="58"/>
      <c r="EH303" s="58"/>
      <c r="EI303" s="58"/>
      <c r="EJ303" s="58"/>
      <c r="EK303" s="58"/>
      <c r="EL303" s="58"/>
      <c r="EM303" s="58"/>
      <c r="EN303" s="58"/>
      <c r="EO303" s="58"/>
      <c r="EP303" s="58"/>
      <c r="EQ303" s="58"/>
      <c r="ER303" s="58"/>
      <c r="ES303" s="58"/>
      <c r="ET303" s="58"/>
      <c r="EU303" s="58"/>
      <c r="EV303" s="58"/>
      <c r="EW303" s="58"/>
      <c r="EX303" s="58"/>
      <c r="EY303" s="58"/>
      <c r="EZ303" s="58"/>
      <c r="FA303" s="58"/>
      <c r="FB303" s="58"/>
      <c r="FC303" s="58"/>
      <c r="FD303" s="58"/>
      <c r="FE303" s="58"/>
      <c r="FF303" s="58"/>
      <c r="FG303" s="58"/>
      <c r="FH303" s="58"/>
      <c r="FI303" s="58"/>
      <c r="FJ303" s="58"/>
      <c r="FK303" s="58"/>
      <c r="FL303" s="58"/>
      <c r="FM303" s="58"/>
      <c r="FN303" s="58"/>
      <c r="FO303" s="58"/>
      <c r="FP303" s="58"/>
      <c r="FQ303" s="58"/>
      <c r="FR303" s="58"/>
      <c r="FS303" s="58"/>
      <c r="FT303" s="58"/>
      <c r="FU303" s="58"/>
      <c r="FV303" s="58"/>
      <c r="FW303" s="58"/>
      <c r="FX303" s="58"/>
      <c r="FY303" s="58"/>
      <c r="FZ303" s="58"/>
      <c r="GA303" s="58"/>
      <c r="GB303" s="58"/>
      <c r="GC303" s="58"/>
      <c r="GD303" s="58"/>
      <c r="GE303" s="58"/>
      <c r="GF303" s="58"/>
      <c r="GG303" s="58"/>
      <c r="GH303" s="58"/>
      <c r="GI303" s="58"/>
      <c r="GJ303" s="58"/>
      <c r="GK303" s="58"/>
      <c r="GL303" s="58"/>
      <c r="GM303" s="58"/>
      <c r="GN303" s="58"/>
      <c r="GO303" s="58"/>
      <c r="GP303" s="58"/>
      <c r="GQ303" s="58"/>
      <c r="GR303" s="58"/>
      <c r="GS303" s="58"/>
      <c r="GT303" s="58"/>
      <c r="GU303" s="58"/>
      <c r="GV303" s="58"/>
      <c r="GW303" s="58"/>
      <c r="GX303" s="58"/>
      <c r="GY303" s="58"/>
      <c r="GZ303" s="58"/>
      <c r="HA303" s="58"/>
      <c r="HB303" s="58"/>
      <c r="HC303" s="58"/>
      <c r="HD303" s="58"/>
      <c r="HE303" s="58"/>
      <c r="HF303" s="58"/>
      <c r="HG303" s="58"/>
      <c r="HH303" s="58"/>
      <c r="HI303" s="58"/>
      <c r="HJ303" s="58"/>
      <c r="HK303" s="58"/>
      <c r="HL303" s="58"/>
      <c r="HM303" s="58"/>
      <c r="HN303" s="58"/>
      <c r="HO303" s="58"/>
      <c r="HP303" s="58"/>
      <c r="HQ303" s="58"/>
      <c r="HR303" s="58"/>
      <c r="HS303" s="58"/>
      <c r="HT303" s="58"/>
      <c r="HU303" s="58"/>
      <c r="HV303" s="58"/>
      <c r="HW303" s="58"/>
      <c r="HX303" s="58"/>
      <c r="HY303" s="58"/>
      <c r="HZ303" s="58"/>
      <c r="IA303" s="58"/>
      <c r="IB303" s="58"/>
      <c r="IC303" s="58"/>
      <c r="ID303" s="58"/>
      <c r="IE303" s="58"/>
      <c r="IF303" s="58"/>
      <c r="IG303" s="58"/>
      <c r="IH303" s="58"/>
      <c r="II303" s="58"/>
      <c r="IJ303" s="58"/>
      <c r="IK303" s="58"/>
      <c r="IL303" s="58"/>
      <c r="IM303" s="58"/>
      <c r="IN303" s="58"/>
      <c r="IO303" s="58"/>
      <c r="IP303" s="58"/>
      <c r="IQ303" s="58"/>
      <c r="IR303" s="58"/>
      <c r="IS303" s="58"/>
      <c r="IT303" s="58"/>
      <c r="IU303" s="58"/>
      <c r="IV303" s="58"/>
      <c r="IW303" s="58"/>
    </row>
    <row r="304" customFormat="false" ht="12.75" hidden="false" customHeight="false" outlineLevel="0" collapsed="false">
      <c r="A304" s="5" t="n">
        <v>41</v>
      </c>
      <c r="B304" s="5" t="s">
        <v>295</v>
      </c>
      <c r="C304" s="153" t="n">
        <v>36762</v>
      </c>
      <c r="D304" s="58" t="s">
        <v>163</v>
      </c>
      <c r="E304" s="58" t="s">
        <v>89</v>
      </c>
      <c r="F304" s="58" t="s">
        <v>235</v>
      </c>
      <c r="G304" s="58" t="s">
        <v>239</v>
      </c>
      <c r="H304" s="154" t="n">
        <v>0</v>
      </c>
      <c r="I304" s="6" t="n">
        <f aca="false">+H304*K304</f>
        <v>0</v>
      </c>
      <c r="J304" s="155" t="n">
        <v>36892</v>
      </c>
      <c r="K304" s="156" t="n">
        <v>40000</v>
      </c>
      <c r="L304" s="157" t="s">
        <v>8</v>
      </c>
      <c r="M304" s="154" t="s">
        <v>296</v>
      </c>
      <c r="N304" s="158"/>
      <c r="O304" s="159" t="n">
        <v>0</v>
      </c>
      <c r="P304" s="58"/>
      <c r="Q304" s="135" t="n">
        <v>9.565</v>
      </c>
      <c r="R304" s="161"/>
      <c r="S304" s="58"/>
      <c r="T304" s="134" t="n">
        <f aca="false">(7.1-Q304)*K304</f>
        <v>-98600</v>
      </c>
      <c r="U304" s="162"/>
      <c r="V304" s="162"/>
      <c r="W304" s="58"/>
      <c r="X304" s="58"/>
      <c r="Y304" s="58"/>
      <c r="Z304" s="58"/>
      <c r="AA304" s="5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58"/>
      <c r="BP304" s="58"/>
      <c r="BQ304" s="58"/>
      <c r="BR304" s="58"/>
      <c r="BS304" s="58"/>
      <c r="BT304" s="58"/>
      <c r="BU304" s="58"/>
      <c r="BV304" s="58"/>
      <c r="BW304" s="58"/>
      <c r="BX304" s="58"/>
      <c r="BY304" s="58"/>
      <c r="BZ304" s="58"/>
      <c r="CA304" s="58"/>
      <c r="CB304" s="58"/>
      <c r="CC304" s="58"/>
      <c r="CD304" s="58"/>
      <c r="CE304" s="58"/>
      <c r="CF304" s="58"/>
      <c r="CG304" s="58"/>
      <c r="CH304" s="58"/>
      <c r="CI304" s="58"/>
      <c r="CJ304" s="58"/>
      <c r="CK304" s="58"/>
      <c r="CL304" s="58"/>
      <c r="CM304" s="58"/>
      <c r="CN304" s="58"/>
      <c r="CO304" s="58"/>
      <c r="CP304" s="58"/>
      <c r="CQ304" s="58"/>
      <c r="CR304" s="58"/>
      <c r="CS304" s="58"/>
      <c r="CT304" s="58"/>
      <c r="CU304" s="58"/>
      <c r="CV304" s="58"/>
      <c r="CW304" s="58"/>
      <c r="CX304" s="58"/>
      <c r="CY304" s="58"/>
      <c r="CZ304" s="58"/>
      <c r="DA304" s="58"/>
      <c r="DB304" s="58"/>
      <c r="DC304" s="58"/>
      <c r="DD304" s="58"/>
      <c r="DE304" s="58"/>
      <c r="DF304" s="58"/>
      <c r="DG304" s="58"/>
      <c r="DH304" s="58"/>
      <c r="DI304" s="58"/>
      <c r="DJ304" s="58"/>
      <c r="DK304" s="58"/>
      <c r="DL304" s="58"/>
      <c r="DM304" s="58"/>
      <c r="DN304" s="58"/>
      <c r="DO304" s="58"/>
      <c r="DP304" s="58"/>
      <c r="DQ304" s="58"/>
      <c r="DR304" s="58"/>
      <c r="DS304" s="58"/>
      <c r="DT304" s="58"/>
      <c r="DU304" s="58"/>
      <c r="DV304" s="58"/>
      <c r="DW304" s="58"/>
      <c r="DX304" s="58"/>
      <c r="DY304" s="58"/>
      <c r="DZ304" s="58"/>
      <c r="EA304" s="58"/>
      <c r="EB304" s="58"/>
      <c r="EC304" s="58"/>
      <c r="ED304" s="58"/>
      <c r="EE304" s="58"/>
      <c r="EF304" s="58"/>
      <c r="EG304" s="58"/>
      <c r="EH304" s="58"/>
      <c r="EI304" s="58"/>
      <c r="EJ304" s="58"/>
      <c r="EK304" s="58"/>
      <c r="EL304" s="58"/>
      <c r="EM304" s="58"/>
      <c r="EN304" s="58"/>
      <c r="EO304" s="58"/>
      <c r="EP304" s="58"/>
      <c r="EQ304" s="58"/>
      <c r="ER304" s="58"/>
      <c r="ES304" s="58"/>
      <c r="ET304" s="58"/>
      <c r="EU304" s="58"/>
      <c r="EV304" s="58"/>
      <c r="EW304" s="58"/>
      <c r="EX304" s="58"/>
      <c r="EY304" s="58"/>
      <c r="EZ304" s="58"/>
      <c r="FA304" s="58"/>
      <c r="FB304" s="58"/>
      <c r="FC304" s="58"/>
      <c r="FD304" s="58"/>
      <c r="FE304" s="58"/>
      <c r="FF304" s="58"/>
      <c r="FG304" s="58"/>
      <c r="FH304" s="58"/>
      <c r="FI304" s="58"/>
      <c r="FJ304" s="58"/>
      <c r="FK304" s="58"/>
      <c r="FL304" s="58"/>
      <c r="FM304" s="58"/>
      <c r="FN304" s="58"/>
      <c r="FO304" s="58"/>
      <c r="FP304" s="58"/>
      <c r="FQ304" s="58"/>
      <c r="FR304" s="58"/>
      <c r="FS304" s="58"/>
      <c r="FT304" s="58"/>
      <c r="FU304" s="58"/>
      <c r="FV304" s="58"/>
      <c r="FW304" s="58"/>
      <c r="FX304" s="58"/>
      <c r="FY304" s="58"/>
      <c r="FZ304" s="58"/>
      <c r="GA304" s="58"/>
      <c r="GB304" s="58"/>
      <c r="GC304" s="58"/>
      <c r="GD304" s="58"/>
      <c r="GE304" s="58"/>
      <c r="GF304" s="58"/>
      <c r="GG304" s="58"/>
      <c r="GH304" s="58"/>
      <c r="GI304" s="58"/>
      <c r="GJ304" s="58"/>
      <c r="GK304" s="58"/>
      <c r="GL304" s="58"/>
      <c r="GM304" s="58"/>
      <c r="GN304" s="58"/>
      <c r="GO304" s="58"/>
      <c r="GP304" s="58"/>
      <c r="GQ304" s="58"/>
      <c r="GR304" s="58"/>
      <c r="GS304" s="58"/>
      <c r="GT304" s="58"/>
      <c r="GU304" s="58"/>
      <c r="GV304" s="58"/>
      <c r="GW304" s="58"/>
      <c r="GX304" s="58"/>
      <c r="GY304" s="58"/>
      <c r="GZ304" s="58"/>
      <c r="HA304" s="58"/>
      <c r="HB304" s="58"/>
      <c r="HC304" s="58"/>
      <c r="HD304" s="58"/>
      <c r="HE304" s="58"/>
      <c r="HF304" s="58"/>
      <c r="HG304" s="58"/>
      <c r="HH304" s="58"/>
      <c r="HI304" s="58"/>
      <c r="HJ304" s="58"/>
      <c r="HK304" s="58"/>
      <c r="HL304" s="58"/>
      <c r="HM304" s="58"/>
      <c r="HN304" s="58"/>
      <c r="HO304" s="58"/>
      <c r="HP304" s="58"/>
      <c r="HQ304" s="58"/>
      <c r="HR304" s="58"/>
      <c r="HS304" s="58"/>
      <c r="HT304" s="58"/>
      <c r="HU304" s="58"/>
      <c r="HV304" s="58"/>
      <c r="HW304" s="58"/>
      <c r="HX304" s="58"/>
      <c r="HY304" s="58"/>
      <c r="HZ304" s="58"/>
      <c r="IA304" s="58"/>
      <c r="IB304" s="58"/>
      <c r="IC304" s="58"/>
      <c r="ID304" s="58"/>
      <c r="IE304" s="58"/>
      <c r="IF304" s="58"/>
      <c r="IG304" s="58"/>
      <c r="IH304" s="58"/>
      <c r="II304" s="58"/>
      <c r="IJ304" s="58"/>
      <c r="IK304" s="58"/>
      <c r="IL304" s="58"/>
      <c r="IM304" s="58"/>
      <c r="IN304" s="58"/>
      <c r="IO304" s="58"/>
      <c r="IP304" s="58"/>
      <c r="IQ304" s="58"/>
      <c r="IR304" s="58"/>
      <c r="IS304" s="58"/>
      <c r="IT304" s="58"/>
      <c r="IU304" s="58"/>
      <c r="IV304" s="58"/>
      <c r="IW304" s="58"/>
    </row>
    <row r="305" customFormat="false" ht="12.75" hidden="false" customHeight="false" outlineLevel="0" collapsed="false">
      <c r="A305" s="5" t="n">
        <v>41</v>
      </c>
      <c r="B305" s="5" t="s">
        <v>295</v>
      </c>
      <c r="C305" s="153" t="n">
        <v>36762</v>
      </c>
      <c r="D305" s="58" t="s">
        <v>163</v>
      </c>
      <c r="E305" s="58" t="s">
        <v>89</v>
      </c>
      <c r="F305" s="58" t="s">
        <v>235</v>
      </c>
      <c r="G305" s="58" t="s">
        <v>239</v>
      </c>
      <c r="H305" s="154" t="n">
        <v>0</v>
      </c>
      <c r="I305" s="6" t="n">
        <f aca="false">+H305*K305</f>
        <v>0</v>
      </c>
      <c r="J305" s="155" t="n">
        <v>36923</v>
      </c>
      <c r="K305" s="156" t="n">
        <v>40000</v>
      </c>
      <c r="L305" s="157" t="s">
        <v>8</v>
      </c>
      <c r="M305" s="154" t="s">
        <v>296</v>
      </c>
      <c r="N305" s="158"/>
      <c r="O305" s="159" t="n">
        <v>0</v>
      </c>
      <c r="P305" s="58"/>
      <c r="Q305" s="160"/>
      <c r="R305" s="161"/>
      <c r="S305" s="58"/>
      <c r="T305" s="159"/>
      <c r="U305" s="162"/>
      <c r="V305" s="162"/>
      <c r="W305" s="58"/>
      <c r="X305" s="58"/>
      <c r="Y305" s="58"/>
      <c r="Z305" s="58"/>
      <c r="AA305" s="5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  <c r="HG305" s="58"/>
      <c r="HH305" s="58"/>
      <c r="HI305" s="58"/>
      <c r="HJ305" s="58"/>
      <c r="HK305" s="58"/>
      <c r="HL305" s="58"/>
      <c r="HM305" s="58"/>
      <c r="HN305" s="58"/>
      <c r="HO305" s="58"/>
      <c r="HP305" s="58"/>
      <c r="HQ305" s="58"/>
      <c r="HR305" s="58"/>
      <c r="HS305" s="58"/>
      <c r="HT305" s="58"/>
      <c r="HU305" s="58"/>
      <c r="HV305" s="58"/>
      <c r="HW305" s="58"/>
      <c r="HX305" s="58"/>
      <c r="HY305" s="58"/>
      <c r="HZ305" s="58"/>
      <c r="IA305" s="58"/>
      <c r="IB305" s="58"/>
      <c r="IC305" s="58"/>
      <c r="ID305" s="58"/>
      <c r="IE305" s="58"/>
      <c r="IF305" s="58"/>
      <c r="IG305" s="58"/>
      <c r="IH305" s="58"/>
      <c r="II305" s="58"/>
      <c r="IJ305" s="58"/>
      <c r="IK305" s="58"/>
      <c r="IL305" s="58"/>
      <c r="IM305" s="58"/>
      <c r="IN305" s="58"/>
      <c r="IO305" s="58"/>
      <c r="IP305" s="58"/>
      <c r="IQ305" s="58"/>
      <c r="IR305" s="58"/>
      <c r="IS305" s="58"/>
      <c r="IT305" s="58"/>
      <c r="IU305" s="58"/>
      <c r="IV305" s="58"/>
      <c r="IW305" s="58"/>
    </row>
    <row r="306" customFormat="false" ht="12.75" hidden="false" customHeight="false" outlineLevel="0" collapsed="false">
      <c r="A306" s="5"/>
      <c r="B306" s="5"/>
      <c r="C306" s="153"/>
      <c r="D306" s="58"/>
      <c r="E306" s="58"/>
      <c r="F306" s="58"/>
      <c r="G306" s="58"/>
      <c r="H306" s="154"/>
      <c r="I306" s="6"/>
      <c r="J306" s="163"/>
      <c r="K306" s="156"/>
      <c r="L306" s="157"/>
      <c r="M306" s="154"/>
      <c r="N306" s="158"/>
      <c r="O306" s="159"/>
      <c r="P306" s="58"/>
      <c r="Q306" s="160"/>
      <c r="R306" s="161"/>
      <c r="S306" s="58"/>
      <c r="T306" s="159"/>
      <c r="U306" s="162"/>
      <c r="V306" s="162"/>
      <c r="W306" s="58"/>
      <c r="X306" s="58"/>
      <c r="Y306" s="58"/>
      <c r="Z306" s="58"/>
      <c r="AA306" s="5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  <c r="CS306" s="58"/>
      <c r="CT306" s="58"/>
      <c r="CU306" s="58"/>
      <c r="CV306" s="58"/>
      <c r="CW306" s="58"/>
      <c r="CX306" s="58"/>
      <c r="CY306" s="58"/>
      <c r="CZ306" s="58"/>
      <c r="DA306" s="58"/>
      <c r="DB306" s="58"/>
      <c r="DC306" s="58"/>
      <c r="DD306" s="58"/>
      <c r="DE306" s="58"/>
      <c r="DF306" s="58"/>
      <c r="DG306" s="58"/>
      <c r="DH306" s="58"/>
      <c r="DI306" s="58"/>
      <c r="DJ306" s="58"/>
      <c r="DK306" s="58"/>
      <c r="DL306" s="58"/>
      <c r="DM306" s="58"/>
      <c r="DN306" s="58"/>
      <c r="DO306" s="58"/>
      <c r="DP306" s="58"/>
      <c r="DQ306" s="58"/>
      <c r="DR306" s="58"/>
      <c r="DS306" s="58"/>
      <c r="DT306" s="58"/>
      <c r="DU306" s="58"/>
      <c r="DV306" s="58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  <c r="GH306" s="58"/>
      <c r="GI306" s="58"/>
      <c r="GJ306" s="58"/>
      <c r="GK306" s="58"/>
      <c r="GL306" s="58"/>
      <c r="GM306" s="58"/>
      <c r="GN306" s="58"/>
      <c r="GO306" s="58"/>
      <c r="GP306" s="58"/>
      <c r="GQ306" s="58"/>
      <c r="GR306" s="58"/>
      <c r="GS306" s="58"/>
      <c r="GT306" s="58"/>
      <c r="GU306" s="58"/>
      <c r="GV306" s="58"/>
      <c r="GW306" s="58"/>
      <c r="GX306" s="58"/>
      <c r="GY306" s="58"/>
      <c r="GZ306" s="58"/>
      <c r="HA306" s="58"/>
      <c r="HB306" s="58"/>
      <c r="HC306" s="58"/>
      <c r="HD306" s="58"/>
      <c r="HE306" s="58"/>
      <c r="HF306" s="58"/>
      <c r="HG306" s="58"/>
      <c r="HH306" s="58"/>
      <c r="HI306" s="58"/>
      <c r="HJ306" s="58"/>
      <c r="HK306" s="58"/>
      <c r="HL306" s="58"/>
      <c r="HM306" s="58"/>
      <c r="HN306" s="58"/>
      <c r="HO306" s="58"/>
      <c r="HP306" s="58"/>
      <c r="HQ306" s="58"/>
      <c r="HR306" s="58"/>
      <c r="HS306" s="58"/>
      <c r="HT306" s="58"/>
      <c r="HU306" s="58"/>
      <c r="HV306" s="58"/>
      <c r="HW306" s="58"/>
      <c r="HX306" s="58"/>
      <c r="HY306" s="58"/>
      <c r="HZ306" s="58"/>
      <c r="IA306" s="58"/>
      <c r="IB306" s="58"/>
      <c r="IC306" s="58"/>
      <c r="ID306" s="58"/>
      <c r="IE306" s="58"/>
      <c r="IF306" s="58"/>
      <c r="IG306" s="58"/>
      <c r="IH306" s="58"/>
      <c r="II306" s="58"/>
      <c r="IJ306" s="58"/>
      <c r="IK306" s="58"/>
      <c r="IL306" s="58"/>
      <c r="IM306" s="58"/>
      <c r="IN306" s="58"/>
      <c r="IO306" s="58"/>
      <c r="IP306" s="58"/>
      <c r="IQ306" s="58"/>
      <c r="IR306" s="58"/>
      <c r="IS306" s="58"/>
      <c r="IT306" s="58"/>
      <c r="IU306" s="58"/>
      <c r="IV306" s="58"/>
      <c r="IW306" s="58"/>
    </row>
    <row r="307" customFormat="false" ht="12.75" hidden="false" customHeight="false" outlineLevel="0" collapsed="false">
      <c r="A307" s="5" t="n">
        <v>42</v>
      </c>
      <c r="B307" s="5" t="s">
        <v>298</v>
      </c>
      <c r="C307" s="153" t="n">
        <v>36763</v>
      </c>
      <c r="D307" s="58" t="s">
        <v>164</v>
      </c>
      <c r="E307" s="58" t="s">
        <v>89</v>
      </c>
      <c r="F307" s="58" t="s">
        <v>235</v>
      </c>
      <c r="G307" s="58" t="s">
        <v>239</v>
      </c>
      <c r="H307" s="154" t="n">
        <v>0</v>
      </c>
      <c r="I307" s="6" t="n">
        <f aca="false">+H307*K307</f>
        <v>0</v>
      </c>
      <c r="J307" s="155" t="n">
        <v>36770</v>
      </c>
      <c r="K307" s="156" t="n">
        <v>45000</v>
      </c>
      <c r="L307" s="157" t="s">
        <v>8</v>
      </c>
      <c r="M307" s="154" t="s">
        <v>299</v>
      </c>
      <c r="N307" s="158"/>
      <c r="O307" s="159" t="n">
        <f aca="false">0.01*K307</f>
        <v>450</v>
      </c>
      <c r="P307" s="58"/>
      <c r="Q307" s="160" t="n">
        <v>4.45</v>
      </c>
      <c r="R307" s="161"/>
      <c r="S307" s="58"/>
      <c r="T307" s="159" t="n">
        <v>0</v>
      </c>
      <c r="U307" s="162"/>
      <c r="V307" s="162"/>
      <c r="W307" s="58"/>
      <c r="X307" s="58"/>
      <c r="Y307" s="58" t="s">
        <v>297</v>
      </c>
      <c r="Z307" s="58"/>
      <c r="AA307" s="5"/>
      <c r="AB307" s="12" t="s">
        <v>245</v>
      </c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  <c r="CS307" s="58"/>
      <c r="CT307" s="58"/>
      <c r="CU307" s="58"/>
      <c r="CV307" s="58"/>
      <c r="CW307" s="58"/>
      <c r="CX307" s="58"/>
      <c r="CY307" s="58"/>
      <c r="CZ307" s="58"/>
      <c r="DA307" s="58"/>
      <c r="DB307" s="58"/>
      <c r="DC307" s="58"/>
      <c r="DD307" s="58"/>
      <c r="DE307" s="58"/>
      <c r="DF307" s="58"/>
      <c r="DG307" s="58"/>
      <c r="DH307" s="58"/>
      <c r="DI307" s="58"/>
      <c r="DJ307" s="58"/>
      <c r="DK307" s="58"/>
      <c r="DL307" s="58"/>
      <c r="DM307" s="58"/>
      <c r="DN307" s="58"/>
      <c r="DO307" s="58"/>
      <c r="DP307" s="58"/>
      <c r="DQ307" s="58"/>
      <c r="DR307" s="58"/>
      <c r="DS307" s="58"/>
      <c r="DT307" s="58"/>
      <c r="DU307" s="58"/>
      <c r="DV307" s="58"/>
      <c r="DW307" s="58"/>
      <c r="DX307" s="58"/>
      <c r="DY307" s="58"/>
      <c r="DZ307" s="58"/>
      <c r="EA307" s="58"/>
      <c r="EB307" s="58"/>
      <c r="EC307" s="58"/>
      <c r="ED307" s="58"/>
      <c r="EE307" s="58"/>
      <c r="EF307" s="58"/>
      <c r="EG307" s="58"/>
      <c r="EH307" s="58"/>
      <c r="EI307" s="58"/>
      <c r="EJ307" s="58"/>
      <c r="EK307" s="58"/>
      <c r="EL307" s="58"/>
      <c r="EM307" s="58"/>
      <c r="EN307" s="58"/>
      <c r="EO307" s="58"/>
      <c r="EP307" s="58"/>
      <c r="EQ307" s="58"/>
      <c r="ER307" s="58"/>
      <c r="ES307" s="58"/>
      <c r="ET307" s="58"/>
      <c r="EU307" s="58"/>
      <c r="EV307" s="58"/>
      <c r="EW307" s="58"/>
      <c r="EX307" s="58"/>
      <c r="EY307" s="58"/>
      <c r="EZ307" s="58"/>
      <c r="FA307" s="58"/>
      <c r="FB307" s="58"/>
      <c r="FC307" s="58"/>
      <c r="FD307" s="58"/>
      <c r="FE307" s="58"/>
      <c r="FF307" s="58"/>
      <c r="FG307" s="58"/>
      <c r="FH307" s="58"/>
      <c r="FI307" s="58"/>
      <c r="FJ307" s="58"/>
      <c r="FK307" s="58"/>
      <c r="FL307" s="58"/>
      <c r="FM307" s="58"/>
      <c r="FN307" s="58"/>
      <c r="FO307" s="58"/>
      <c r="FP307" s="58"/>
      <c r="FQ307" s="58"/>
      <c r="FR307" s="58"/>
      <c r="FS307" s="58"/>
      <c r="FT307" s="58"/>
      <c r="FU307" s="58"/>
      <c r="FV307" s="58"/>
      <c r="FW307" s="58"/>
      <c r="FX307" s="58"/>
      <c r="FY307" s="58"/>
      <c r="FZ307" s="58"/>
      <c r="GA307" s="58"/>
      <c r="GB307" s="58"/>
      <c r="GC307" s="58"/>
      <c r="GD307" s="58"/>
      <c r="GE307" s="58"/>
      <c r="GF307" s="58"/>
      <c r="GG307" s="58"/>
      <c r="GH307" s="58"/>
      <c r="GI307" s="58"/>
      <c r="GJ307" s="58"/>
      <c r="GK307" s="58"/>
      <c r="GL307" s="58"/>
      <c r="GM307" s="58"/>
      <c r="GN307" s="58"/>
      <c r="GO307" s="58"/>
      <c r="GP307" s="58"/>
      <c r="GQ307" s="58"/>
      <c r="GR307" s="58"/>
      <c r="GS307" s="58"/>
      <c r="GT307" s="58"/>
      <c r="GU307" s="58"/>
      <c r="GV307" s="58"/>
      <c r="GW307" s="58"/>
      <c r="GX307" s="58"/>
      <c r="GY307" s="58"/>
      <c r="GZ307" s="58"/>
      <c r="HA307" s="58"/>
      <c r="HB307" s="58"/>
      <c r="HC307" s="58"/>
      <c r="HD307" s="58"/>
      <c r="HE307" s="58"/>
      <c r="HF307" s="58"/>
      <c r="HG307" s="58"/>
      <c r="HH307" s="58"/>
      <c r="HI307" s="58"/>
      <c r="HJ307" s="58"/>
      <c r="HK307" s="58"/>
      <c r="HL307" s="58"/>
      <c r="HM307" s="58"/>
      <c r="HN307" s="58"/>
      <c r="HO307" s="58"/>
      <c r="HP307" s="58"/>
      <c r="HQ307" s="58"/>
      <c r="HR307" s="58"/>
      <c r="HS307" s="58"/>
      <c r="HT307" s="58"/>
      <c r="HU307" s="58"/>
      <c r="HV307" s="58"/>
      <c r="HW307" s="58"/>
      <c r="HX307" s="58"/>
      <c r="HY307" s="58"/>
      <c r="HZ307" s="58"/>
      <c r="IA307" s="58"/>
      <c r="IB307" s="58"/>
      <c r="IC307" s="58"/>
      <c r="ID307" s="58"/>
      <c r="IE307" s="58"/>
      <c r="IF307" s="58"/>
      <c r="IG307" s="58"/>
      <c r="IH307" s="58"/>
      <c r="II307" s="58"/>
      <c r="IJ307" s="58"/>
      <c r="IK307" s="58"/>
      <c r="IL307" s="58"/>
      <c r="IM307" s="58"/>
      <c r="IN307" s="58"/>
      <c r="IO307" s="58"/>
      <c r="IP307" s="58"/>
      <c r="IQ307" s="58"/>
      <c r="IR307" s="58"/>
      <c r="IS307" s="58"/>
      <c r="IT307" s="58"/>
      <c r="IU307" s="58"/>
      <c r="IV307" s="58"/>
      <c r="IW307" s="58"/>
    </row>
    <row r="308" customFormat="false" ht="12.75" hidden="false" customHeight="false" outlineLevel="0" collapsed="false">
      <c r="A308" s="5" t="n">
        <v>42</v>
      </c>
      <c r="B308" s="5" t="s">
        <v>298</v>
      </c>
      <c r="C308" s="153" t="n">
        <v>36763</v>
      </c>
      <c r="D308" s="58" t="s">
        <v>164</v>
      </c>
      <c r="E308" s="58" t="s">
        <v>89</v>
      </c>
      <c r="F308" s="58" t="s">
        <v>235</v>
      </c>
      <c r="G308" s="58" t="s">
        <v>239</v>
      </c>
      <c r="H308" s="154" t="n">
        <v>0</v>
      </c>
      <c r="I308" s="6" t="n">
        <f aca="false">+H308*K308</f>
        <v>0</v>
      </c>
      <c r="J308" s="155" t="n">
        <v>36800</v>
      </c>
      <c r="K308" s="156" t="n">
        <v>45000</v>
      </c>
      <c r="L308" s="157" t="s">
        <v>8</v>
      </c>
      <c r="M308" s="154" t="s">
        <v>299</v>
      </c>
      <c r="N308" s="158"/>
      <c r="O308" s="159" t="n">
        <f aca="false">0.01*K308</f>
        <v>450</v>
      </c>
      <c r="P308" s="58"/>
      <c r="Q308" s="160" t="n">
        <v>5.105</v>
      </c>
      <c r="R308" s="161"/>
      <c r="S308" s="58"/>
      <c r="T308" s="159" t="n">
        <v>0</v>
      </c>
      <c r="U308" s="162"/>
      <c r="V308" s="162"/>
      <c r="W308" s="58"/>
      <c r="X308" s="58"/>
      <c r="Y308" s="58"/>
      <c r="Z308" s="58"/>
      <c r="AA308" s="5"/>
      <c r="AB308" s="12" t="s">
        <v>245</v>
      </c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  <c r="CS308" s="58"/>
      <c r="CT308" s="58"/>
      <c r="CU308" s="58"/>
      <c r="CV308" s="58"/>
      <c r="CW308" s="58"/>
      <c r="CX308" s="58"/>
      <c r="CY308" s="58"/>
      <c r="CZ308" s="58"/>
      <c r="DA308" s="58"/>
      <c r="DB308" s="58"/>
      <c r="DC308" s="58"/>
      <c r="DD308" s="58"/>
      <c r="DE308" s="58"/>
      <c r="DF308" s="58"/>
      <c r="DG308" s="58"/>
      <c r="DH308" s="58"/>
      <c r="DI308" s="58"/>
      <c r="DJ308" s="58"/>
      <c r="DK308" s="58"/>
      <c r="DL308" s="58"/>
      <c r="DM308" s="58"/>
      <c r="DN308" s="58"/>
      <c r="DO308" s="58"/>
      <c r="DP308" s="58"/>
      <c r="DQ308" s="58"/>
      <c r="DR308" s="58"/>
      <c r="DS308" s="58"/>
      <c r="DT308" s="58"/>
      <c r="DU308" s="58"/>
      <c r="DV308" s="58"/>
      <c r="DW308" s="58"/>
      <c r="DX308" s="58"/>
      <c r="DY308" s="58"/>
      <c r="DZ308" s="58"/>
      <c r="EA308" s="58"/>
      <c r="EB308" s="58"/>
      <c r="EC308" s="58"/>
      <c r="ED308" s="58"/>
      <c r="EE308" s="58"/>
      <c r="EF308" s="58"/>
      <c r="EG308" s="58"/>
      <c r="EH308" s="58"/>
      <c r="EI308" s="58"/>
      <c r="EJ308" s="58"/>
      <c r="EK308" s="58"/>
      <c r="EL308" s="58"/>
      <c r="EM308" s="58"/>
      <c r="EN308" s="58"/>
      <c r="EO308" s="58"/>
      <c r="EP308" s="58"/>
      <c r="EQ308" s="58"/>
      <c r="ER308" s="58"/>
      <c r="ES308" s="58"/>
      <c r="ET308" s="58"/>
      <c r="EU308" s="58"/>
      <c r="EV308" s="58"/>
      <c r="EW308" s="58"/>
      <c r="EX308" s="58"/>
      <c r="EY308" s="58"/>
      <c r="EZ308" s="58"/>
      <c r="FA308" s="58"/>
      <c r="FB308" s="58"/>
      <c r="FC308" s="58"/>
      <c r="FD308" s="58"/>
      <c r="FE308" s="58"/>
      <c r="FF308" s="58"/>
      <c r="FG308" s="58"/>
      <c r="FH308" s="58"/>
      <c r="FI308" s="58"/>
      <c r="FJ308" s="58"/>
      <c r="FK308" s="58"/>
      <c r="FL308" s="58"/>
      <c r="FM308" s="58"/>
      <c r="FN308" s="58"/>
      <c r="FO308" s="58"/>
      <c r="FP308" s="58"/>
      <c r="FQ308" s="58"/>
      <c r="FR308" s="58"/>
      <c r="FS308" s="58"/>
      <c r="FT308" s="58"/>
      <c r="FU308" s="58"/>
      <c r="FV308" s="58"/>
      <c r="FW308" s="58"/>
      <c r="FX308" s="58"/>
      <c r="FY308" s="58"/>
      <c r="FZ308" s="58"/>
      <c r="GA308" s="58"/>
      <c r="GB308" s="58"/>
      <c r="GC308" s="58"/>
      <c r="GD308" s="58"/>
      <c r="GE308" s="58"/>
      <c r="GF308" s="58"/>
      <c r="GG308" s="58"/>
      <c r="GH308" s="58"/>
      <c r="GI308" s="58"/>
      <c r="GJ308" s="58"/>
      <c r="GK308" s="58"/>
      <c r="GL308" s="58"/>
      <c r="GM308" s="58"/>
      <c r="GN308" s="58"/>
      <c r="GO308" s="58"/>
      <c r="GP308" s="58"/>
      <c r="GQ308" s="58"/>
      <c r="GR308" s="58"/>
      <c r="GS308" s="58"/>
      <c r="GT308" s="58"/>
      <c r="GU308" s="58"/>
      <c r="GV308" s="58"/>
      <c r="GW308" s="58"/>
      <c r="GX308" s="58"/>
      <c r="GY308" s="58"/>
      <c r="GZ308" s="58"/>
      <c r="HA308" s="58"/>
      <c r="HB308" s="58"/>
      <c r="HC308" s="58"/>
      <c r="HD308" s="58"/>
      <c r="HE308" s="58"/>
      <c r="HF308" s="58"/>
      <c r="HG308" s="58"/>
      <c r="HH308" s="58"/>
      <c r="HI308" s="58"/>
      <c r="HJ308" s="58"/>
      <c r="HK308" s="58"/>
      <c r="HL308" s="58"/>
      <c r="HM308" s="58"/>
      <c r="HN308" s="58"/>
      <c r="HO308" s="58"/>
      <c r="HP308" s="58"/>
      <c r="HQ308" s="58"/>
      <c r="HR308" s="58"/>
      <c r="HS308" s="58"/>
      <c r="HT308" s="58"/>
      <c r="HU308" s="58"/>
      <c r="HV308" s="58"/>
      <c r="HW308" s="58"/>
      <c r="HX308" s="58"/>
      <c r="HY308" s="58"/>
      <c r="HZ308" s="58"/>
      <c r="IA308" s="58"/>
      <c r="IB308" s="58"/>
      <c r="IC308" s="58"/>
      <c r="ID308" s="58"/>
      <c r="IE308" s="58"/>
      <c r="IF308" s="58"/>
      <c r="IG308" s="58"/>
      <c r="IH308" s="58"/>
      <c r="II308" s="58"/>
      <c r="IJ308" s="58"/>
      <c r="IK308" s="58"/>
      <c r="IL308" s="58"/>
      <c r="IM308" s="58"/>
      <c r="IN308" s="58"/>
      <c r="IO308" s="58"/>
      <c r="IP308" s="58"/>
      <c r="IQ308" s="58"/>
      <c r="IR308" s="58"/>
      <c r="IS308" s="58"/>
      <c r="IT308" s="58"/>
      <c r="IU308" s="58"/>
      <c r="IV308" s="58"/>
      <c r="IW308" s="58"/>
    </row>
    <row r="309" customFormat="false" ht="12.75" hidden="false" customHeight="false" outlineLevel="0" collapsed="false">
      <c r="A309" s="5" t="n">
        <v>42</v>
      </c>
      <c r="B309" s="5" t="s">
        <v>298</v>
      </c>
      <c r="C309" s="153" t="n">
        <v>36763</v>
      </c>
      <c r="D309" s="58" t="s">
        <v>164</v>
      </c>
      <c r="E309" s="58" t="s">
        <v>89</v>
      </c>
      <c r="F309" s="58" t="s">
        <v>235</v>
      </c>
      <c r="G309" s="58" t="s">
        <v>239</v>
      </c>
      <c r="H309" s="154" t="n">
        <v>0</v>
      </c>
      <c r="I309" s="6" t="n">
        <f aca="false">+H309*K309</f>
        <v>0</v>
      </c>
      <c r="J309" s="155" t="n">
        <v>36831</v>
      </c>
      <c r="K309" s="156" t="n">
        <v>45000</v>
      </c>
      <c r="L309" s="157" t="s">
        <v>8</v>
      </c>
      <c r="M309" s="154" t="s">
        <v>299</v>
      </c>
      <c r="N309" s="158"/>
      <c r="O309" s="159" t="n">
        <f aca="false">0.01*K309</f>
        <v>450</v>
      </c>
      <c r="P309" s="58"/>
      <c r="Q309" s="160" t="n">
        <v>4.31</v>
      </c>
      <c r="R309" s="161"/>
      <c r="S309" s="58"/>
      <c r="T309" s="159" t="n">
        <v>0</v>
      </c>
      <c r="U309" s="162"/>
      <c r="V309" s="162"/>
      <c r="W309" s="58"/>
      <c r="X309" s="58"/>
      <c r="Y309" s="58"/>
      <c r="Z309" s="58"/>
      <c r="AA309" s="5"/>
      <c r="AB309" s="12" t="s">
        <v>245</v>
      </c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  <c r="CS309" s="58"/>
      <c r="CT309" s="58"/>
      <c r="CU309" s="58"/>
      <c r="CV309" s="58"/>
      <c r="CW309" s="58"/>
      <c r="CX309" s="58"/>
      <c r="CY309" s="58"/>
      <c r="CZ309" s="58"/>
      <c r="DA309" s="58"/>
      <c r="DB309" s="58"/>
      <c r="DC309" s="58"/>
      <c r="DD309" s="58"/>
      <c r="DE309" s="58"/>
      <c r="DF309" s="58"/>
      <c r="DG309" s="58"/>
      <c r="DH309" s="58"/>
      <c r="DI309" s="58"/>
      <c r="DJ309" s="58"/>
      <c r="DK309" s="58"/>
      <c r="DL309" s="58"/>
      <c r="DM309" s="58"/>
      <c r="DN309" s="58"/>
      <c r="DO309" s="58"/>
      <c r="DP309" s="58"/>
      <c r="DQ309" s="58"/>
      <c r="DR309" s="58"/>
      <c r="DS309" s="58"/>
      <c r="DT309" s="58"/>
      <c r="DU309" s="58"/>
      <c r="DV309" s="58"/>
      <c r="DW309" s="58"/>
      <c r="DX309" s="58"/>
      <c r="DY309" s="58"/>
      <c r="DZ309" s="58"/>
      <c r="EA309" s="58"/>
      <c r="EB309" s="58"/>
      <c r="EC309" s="58"/>
      <c r="ED309" s="58"/>
      <c r="EE309" s="58"/>
      <c r="EF309" s="58"/>
      <c r="EG309" s="58"/>
      <c r="EH309" s="58"/>
      <c r="EI309" s="58"/>
      <c r="EJ309" s="58"/>
      <c r="EK309" s="58"/>
      <c r="EL309" s="58"/>
      <c r="EM309" s="58"/>
      <c r="EN309" s="58"/>
      <c r="EO309" s="58"/>
      <c r="EP309" s="58"/>
      <c r="EQ309" s="58"/>
      <c r="ER309" s="58"/>
      <c r="ES309" s="58"/>
      <c r="ET309" s="58"/>
      <c r="EU309" s="58"/>
      <c r="EV309" s="58"/>
      <c r="EW309" s="58"/>
      <c r="EX309" s="58"/>
      <c r="EY309" s="58"/>
      <c r="EZ309" s="58"/>
      <c r="FA309" s="58"/>
      <c r="FB309" s="58"/>
      <c r="FC309" s="58"/>
      <c r="FD309" s="58"/>
      <c r="FE309" s="58"/>
      <c r="FF309" s="58"/>
      <c r="FG309" s="58"/>
      <c r="FH309" s="58"/>
      <c r="FI309" s="58"/>
      <c r="FJ309" s="58"/>
      <c r="FK309" s="58"/>
      <c r="FL309" s="58"/>
      <c r="FM309" s="58"/>
      <c r="FN309" s="58"/>
      <c r="FO309" s="58"/>
      <c r="FP309" s="58"/>
      <c r="FQ309" s="58"/>
      <c r="FR309" s="58"/>
      <c r="FS309" s="58"/>
      <c r="FT309" s="58"/>
      <c r="FU309" s="58"/>
      <c r="FV309" s="58"/>
      <c r="FW309" s="58"/>
      <c r="FX309" s="58"/>
      <c r="FY309" s="58"/>
      <c r="FZ309" s="58"/>
      <c r="GA309" s="58"/>
      <c r="GB309" s="58"/>
      <c r="GC309" s="58"/>
      <c r="GD309" s="58"/>
      <c r="GE309" s="58"/>
      <c r="GF309" s="58"/>
      <c r="GG309" s="58"/>
      <c r="GH309" s="58"/>
      <c r="GI309" s="58"/>
      <c r="GJ309" s="58"/>
      <c r="GK309" s="58"/>
      <c r="GL309" s="58"/>
      <c r="GM309" s="58"/>
      <c r="GN309" s="58"/>
      <c r="GO309" s="58"/>
      <c r="GP309" s="58"/>
      <c r="GQ309" s="58"/>
      <c r="GR309" s="58"/>
      <c r="GS309" s="58"/>
      <c r="GT309" s="58"/>
      <c r="GU309" s="58"/>
      <c r="GV309" s="58"/>
      <c r="GW309" s="58"/>
      <c r="GX309" s="58"/>
      <c r="GY309" s="58"/>
      <c r="GZ309" s="58"/>
      <c r="HA309" s="58"/>
      <c r="HB309" s="58"/>
      <c r="HC309" s="58"/>
      <c r="HD309" s="58"/>
      <c r="HE309" s="58"/>
      <c r="HF309" s="58"/>
      <c r="HG309" s="58"/>
      <c r="HH309" s="58"/>
      <c r="HI309" s="58"/>
      <c r="HJ309" s="58"/>
      <c r="HK309" s="58"/>
      <c r="HL309" s="58"/>
      <c r="HM309" s="58"/>
      <c r="HN309" s="58"/>
      <c r="HO309" s="58"/>
      <c r="HP309" s="58"/>
      <c r="HQ309" s="58"/>
      <c r="HR309" s="58"/>
      <c r="HS309" s="58"/>
      <c r="HT309" s="58"/>
      <c r="HU309" s="58"/>
      <c r="HV309" s="58"/>
      <c r="HW309" s="58"/>
      <c r="HX309" s="58"/>
      <c r="HY309" s="58"/>
      <c r="HZ309" s="58"/>
      <c r="IA309" s="58"/>
      <c r="IB309" s="58"/>
      <c r="IC309" s="58"/>
      <c r="ID309" s="58"/>
      <c r="IE309" s="58"/>
      <c r="IF309" s="58"/>
      <c r="IG309" s="58"/>
      <c r="IH309" s="58"/>
      <c r="II309" s="58"/>
      <c r="IJ309" s="58"/>
      <c r="IK309" s="58"/>
      <c r="IL309" s="58"/>
      <c r="IM309" s="58"/>
      <c r="IN309" s="58"/>
      <c r="IO309" s="58"/>
      <c r="IP309" s="58"/>
      <c r="IQ309" s="58"/>
      <c r="IR309" s="58"/>
      <c r="IS309" s="58"/>
      <c r="IT309" s="58"/>
      <c r="IU309" s="58"/>
      <c r="IV309" s="58"/>
      <c r="IW309" s="58"/>
    </row>
    <row r="310" customFormat="false" ht="12.75" hidden="false" customHeight="false" outlineLevel="0" collapsed="false">
      <c r="A310" s="5" t="n">
        <v>42</v>
      </c>
      <c r="B310" s="5" t="s">
        <v>298</v>
      </c>
      <c r="C310" s="153" t="n">
        <v>36763</v>
      </c>
      <c r="D310" s="58" t="s">
        <v>164</v>
      </c>
      <c r="E310" s="58" t="s">
        <v>89</v>
      </c>
      <c r="F310" s="58" t="s">
        <v>235</v>
      </c>
      <c r="G310" s="58" t="s">
        <v>239</v>
      </c>
      <c r="H310" s="154" t="n">
        <v>0</v>
      </c>
      <c r="I310" s="6" t="n">
        <f aca="false">+H310*K310</f>
        <v>0</v>
      </c>
      <c r="J310" s="155" t="n">
        <v>36861</v>
      </c>
      <c r="K310" s="156" t="n">
        <v>45000</v>
      </c>
      <c r="L310" s="157" t="s">
        <v>8</v>
      </c>
      <c r="M310" s="154" t="s">
        <v>299</v>
      </c>
      <c r="N310" s="158"/>
      <c r="O310" s="159" t="n">
        <f aca="false">0.01*K310</f>
        <v>450</v>
      </c>
      <c r="P310" s="58"/>
      <c r="Q310" s="160" t="n">
        <v>5.775</v>
      </c>
      <c r="R310" s="161"/>
      <c r="S310" s="58"/>
      <c r="T310" s="159" t="n">
        <v>0</v>
      </c>
      <c r="U310" s="162"/>
      <c r="V310" s="162"/>
      <c r="W310" s="58"/>
      <c r="X310" s="58"/>
      <c r="Y310" s="58"/>
      <c r="Z310" s="58"/>
      <c r="AA310" s="5"/>
      <c r="AB310" s="12" t="s">
        <v>245</v>
      </c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  <c r="HG310" s="58"/>
      <c r="HH310" s="58"/>
      <c r="HI310" s="58"/>
      <c r="HJ310" s="58"/>
      <c r="HK310" s="58"/>
      <c r="HL310" s="58"/>
      <c r="HM310" s="58"/>
      <c r="HN310" s="58"/>
      <c r="HO310" s="58"/>
      <c r="HP310" s="58"/>
      <c r="HQ310" s="58"/>
      <c r="HR310" s="58"/>
      <c r="HS310" s="58"/>
      <c r="HT310" s="58"/>
      <c r="HU310" s="58"/>
      <c r="HV310" s="58"/>
      <c r="HW310" s="58"/>
      <c r="HX310" s="58"/>
      <c r="HY310" s="58"/>
      <c r="HZ310" s="58"/>
      <c r="IA310" s="58"/>
      <c r="IB310" s="58"/>
      <c r="IC310" s="58"/>
      <c r="ID310" s="58"/>
      <c r="IE310" s="58"/>
      <c r="IF310" s="58"/>
      <c r="IG310" s="58"/>
      <c r="IH310" s="58"/>
      <c r="II310" s="58"/>
      <c r="IJ310" s="58"/>
      <c r="IK310" s="58"/>
      <c r="IL310" s="58"/>
      <c r="IM310" s="58"/>
      <c r="IN310" s="58"/>
      <c r="IO310" s="58"/>
      <c r="IP310" s="58"/>
      <c r="IQ310" s="58"/>
      <c r="IR310" s="58"/>
      <c r="IS310" s="58"/>
      <c r="IT310" s="58"/>
      <c r="IU310" s="58"/>
      <c r="IV310" s="58"/>
      <c r="IW310" s="58"/>
    </row>
    <row r="311" customFormat="false" ht="12.75" hidden="false" customHeight="false" outlineLevel="0" collapsed="false">
      <c r="A311" s="5" t="n">
        <v>42</v>
      </c>
      <c r="B311" s="5" t="s">
        <v>298</v>
      </c>
      <c r="C311" s="153" t="n">
        <v>36763</v>
      </c>
      <c r="D311" s="58" t="s">
        <v>164</v>
      </c>
      <c r="E311" s="58" t="s">
        <v>89</v>
      </c>
      <c r="F311" s="58" t="s">
        <v>235</v>
      </c>
      <c r="G311" s="58" t="s">
        <v>239</v>
      </c>
      <c r="H311" s="154" t="n">
        <v>0</v>
      </c>
      <c r="I311" s="6" t="n">
        <f aca="false">+H311*K311</f>
        <v>0</v>
      </c>
      <c r="J311" s="155" t="n">
        <v>36892</v>
      </c>
      <c r="K311" s="156" t="n">
        <v>45000</v>
      </c>
      <c r="L311" s="157" t="s">
        <v>8</v>
      </c>
      <c r="M311" s="154" t="s">
        <v>299</v>
      </c>
      <c r="N311" s="158"/>
      <c r="O311" s="159" t="n">
        <f aca="false">0.01*K311</f>
        <v>450</v>
      </c>
      <c r="P311" s="58"/>
      <c r="Q311" s="135" t="n">
        <v>9.565</v>
      </c>
      <c r="R311" s="161"/>
      <c r="S311" s="58"/>
      <c r="T311" s="134" t="n">
        <f aca="false">(8.3-Q311)*K311</f>
        <v>-56925</v>
      </c>
      <c r="U311" s="162"/>
      <c r="V311" s="162"/>
      <c r="W311" s="58"/>
      <c r="X311" s="58"/>
      <c r="Y311" s="58"/>
      <c r="Z311" s="58"/>
      <c r="AA311" s="5"/>
      <c r="AB311" s="12" t="s">
        <v>245</v>
      </c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  <c r="CS311" s="58"/>
      <c r="CT311" s="58"/>
      <c r="CU311" s="58"/>
      <c r="CV311" s="58"/>
      <c r="CW311" s="58"/>
      <c r="CX311" s="58"/>
      <c r="CY311" s="58"/>
      <c r="CZ311" s="58"/>
      <c r="DA311" s="58"/>
      <c r="DB311" s="58"/>
      <c r="DC311" s="58"/>
      <c r="DD311" s="58"/>
      <c r="DE311" s="58"/>
      <c r="DF311" s="58"/>
      <c r="DG311" s="58"/>
      <c r="DH311" s="58"/>
      <c r="DI311" s="58"/>
      <c r="DJ311" s="58"/>
      <c r="DK311" s="58"/>
      <c r="DL311" s="58"/>
      <c r="DM311" s="58"/>
      <c r="DN311" s="58"/>
      <c r="DO311" s="58"/>
      <c r="DP311" s="58"/>
      <c r="DQ311" s="58"/>
      <c r="DR311" s="58"/>
      <c r="DS311" s="58"/>
      <c r="DT311" s="58"/>
      <c r="DU311" s="58"/>
      <c r="DV311" s="58"/>
      <c r="DW311" s="58"/>
      <c r="DX311" s="58"/>
      <c r="DY311" s="58"/>
      <c r="DZ311" s="58"/>
      <c r="EA311" s="58"/>
      <c r="EB311" s="58"/>
      <c r="EC311" s="58"/>
      <c r="ED311" s="58"/>
      <c r="EE311" s="58"/>
      <c r="EF311" s="58"/>
      <c r="EG311" s="58"/>
      <c r="EH311" s="58"/>
      <c r="EI311" s="58"/>
      <c r="EJ311" s="58"/>
      <c r="EK311" s="58"/>
      <c r="EL311" s="58"/>
      <c r="EM311" s="58"/>
      <c r="EN311" s="58"/>
      <c r="EO311" s="58"/>
      <c r="EP311" s="58"/>
      <c r="EQ311" s="58"/>
      <c r="ER311" s="58"/>
      <c r="ES311" s="58"/>
      <c r="ET311" s="58"/>
      <c r="EU311" s="58"/>
      <c r="EV311" s="58"/>
      <c r="EW311" s="58"/>
      <c r="EX311" s="58"/>
      <c r="EY311" s="58"/>
      <c r="EZ311" s="58"/>
      <c r="FA311" s="58"/>
      <c r="FB311" s="58"/>
      <c r="FC311" s="58"/>
      <c r="FD311" s="58"/>
      <c r="FE311" s="58"/>
      <c r="FF311" s="58"/>
      <c r="FG311" s="58"/>
      <c r="FH311" s="58"/>
      <c r="FI311" s="58"/>
      <c r="FJ311" s="58"/>
      <c r="FK311" s="58"/>
      <c r="FL311" s="58"/>
      <c r="FM311" s="58"/>
      <c r="FN311" s="58"/>
      <c r="FO311" s="58"/>
      <c r="FP311" s="58"/>
      <c r="FQ311" s="58"/>
      <c r="FR311" s="58"/>
      <c r="FS311" s="58"/>
      <c r="FT311" s="58"/>
      <c r="FU311" s="58"/>
      <c r="FV311" s="58"/>
      <c r="FW311" s="58"/>
      <c r="FX311" s="58"/>
      <c r="FY311" s="58"/>
      <c r="FZ311" s="58"/>
      <c r="GA311" s="58"/>
      <c r="GB311" s="58"/>
      <c r="GC311" s="58"/>
      <c r="GD311" s="58"/>
      <c r="GE311" s="58"/>
      <c r="GF311" s="58"/>
      <c r="GG311" s="58"/>
      <c r="GH311" s="58"/>
      <c r="GI311" s="58"/>
      <c r="GJ311" s="58"/>
      <c r="GK311" s="58"/>
      <c r="GL311" s="58"/>
      <c r="GM311" s="58"/>
      <c r="GN311" s="58"/>
      <c r="GO311" s="58"/>
      <c r="GP311" s="58"/>
      <c r="GQ311" s="58"/>
      <c r="GR311" s="58"/>
      <c r="GS311" s="58"/>
      <c r="GT311" s="58"/>
      <c r="GU311" s="58"/>
      <c r="GV311" s="58"/>
      <c r="GW311" s="58"/>
      <c r="GX311" s="58"/>
      <c r="GY311" s="58"/>
      <c r="GZ311" s="58"/>
      <c r="HA311" s="58"/>
      <c r="HB311" s="58"/>
      <c r="HC311" s="58"/>
      <c r="HD311" s="58"/>
      <c r="HE311" s="58"/>
      <c r="HF311" s="58"/>
      <c r="HG311" s="58"/>
      <c r="HH311" s="58"/>
      <c r="HI311" s="58"/>
      <c r="HJ311" s="58"/>
      <c r="HK311" s="58"/>
      <c r="HL311" s="58"/>
      <c r="HM311" s="58"/>
      <c r="HN311" s="58"/>
      <c r="HO311" s="58"/>
      <c r="HP311" s="58"/>
      <c r="HQ311" s="58"/>
      <c r="HR311" s="58"/>
      <c r="HS311" s="58"/>
      <c r="HT311" s="58"/>
      <c r="HU311" s="58"/>
      <c r="HV311" s="58"/>
      <c r="HW311" s="58"/>
      <c r="HX311" s="58"/>
      <c r="HY311" s="58"/>
      <c r="HZ311" s="58"/>
      <c r="IA311" s="58"/>
      <c r="IB311" s="58"/>
      <c r="IC311" s="58"/>
      <c r="ID311" s="58"/>
      <c r="IE311" s="58"/>
      <c r="IF311" s="58"/>
      <c r="IG311" s="58"/>
      <c r="IH311" s="58"/>
      <c r="II311" s="58"/>
      <c r="IJ311" s="58"/>
      <c r="IK311" s="58"/>
      <c r="IL311" s="58"/>
      <c r="IM311" s="58"/>
      <c r="IN311" s="58"/>
      <c r="IO311" s="58"/>
      <c r="IP311" s="58"/>
      <c r="IQ311" s="58"/>
      <c r="IR311" s="58"/>
      <c r="IS311" s="58"/>
      <c r="IT311" s="58"/>
      <c r="IU311" s="58"/>
      <c r="IV311" s="58"/>
      <c r="IW311" s="58"/>
    </row>
    <row r="312" customFormat="false" ht="12.75" hidden="false" customHeight="false" outlineLevel="0" collapsed="false">
      <c r="A312" s="5" t="n">
        <v>42</v>
      </c>
      <c r="B312" s="5" t="s">
        <v>298</v>
      </c>
      <c r="C312" s="153" t="n">
        <v>36763</v>
      </c>
      <c r="D312" s="58" t="s">
        <v>164</v>
      </c>
      <c r="E312" s="58" t="s">
        <v>89</v>
      </c>
      <c r="F312" s="58" t="s">
        <v>235</v>
      </c>
      <c r="G312" s="58" t="s">
        <v>239</v>
      </c>
      <c r="H312" s="154" t="n">
        <v>0</v>
      </c>
      <c r="I312" s="6" t="n">
        <f aca="false">+H312*K312</f>
        <v>0</v>
      </c>
      <c r="J312" s="155" t="n">
        <v>36923</v>
      </c>
      <c r="K312" s="156" t="n">
        <v>45000</v>
      </c>
      <c r="L312" s="157" t="s">
        <v>8</v>
      </c>
      <c r="M312" s="154" t="s">
        <v>299</v>
      </c>
      <c r="N312" s="158"/>
      <c r="O312" s="159" t="n">
        <f aca="false">0.01*K312</f>
        <v>450</v>
      </c>
      <c r="P312" s="58"/>
      <c r="Q312" s="160"/>
      <c r="R312" s="161"/>
      <c r="S312" s="58"/>
      <c r="T312" s="159"/>
      <c r="U312" s="162"/>
      <c r="V312" s="162"/>
      <c r="W312" s="58"/>
      <c r="X312" s="58"/>
      <c r="Y312" s="58"/>
      <c r="Z312" s="58"/>
      <c r="AA312" s="5"/>
      <c r="AB312" s="12" t="s">
        <v>245</v>
      </c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  <c r="CS312" s="58"/>
      <c r="CT312" s="58"/>
      <c r="CU312" s="58"/>
      <c r="CV312" s="58"/>
      <c r="CW312" s="58"/>
      <c r="CX312" s="58"/>
      <c r="CY312" s="58"/>
      <c r="CZ312" s="58"/>
      <c r="DA312" s="58"/>
      <c r="DB312" s="58"/>
      <c r="DC312" s="58"/>
      <c r="DD312" s="58"/>
      <c r="DE312" s="58"/>
      <c r="DF312" s="58"/>
      <c r="DG312" s="58"/>
      <c r="DH312" s="58"/>
      <c r="DI312" s="58"/>
      <c r="DJ312" s="58"/>
      <c r="DK312" s="58"/>
      <c r="DL312" s="58"/>
      <c r="DM312" s="58"/>
      <c r="DN312" s="58"/>
      <c r="DO312" s="58"/>
      <c r="DP312" s="58"/>
      <c r="DQ312" s="58"/>
      <c r="DR312" s="58"/>
      <c r="DS312" s="58"/>
      <c r="DT312" s="58"/>
      <c r="DU312" s="58"/>
      <c r="DV312" s="58"/>
      <c r="DW312" s="58"/>
      <c r="DX312" s="58"/>
      <c r="DY312" s="58"/>
      <c r="DZ312" s="58"/>
      <c r="EA312" s="58"/>
      <c r="EB312" s="58"/>
      <c r="EC312" s="58"/>
      <c r="ED312" s="58"/>
      <c r="EE312" s="58"/>
      <c r="EF312" s="58"/>
      <c r="EG312" s="58"/>
      <c r="EH312" s="58"/>
      <c r="EI312" s="58"/>
      <c r="EJ312" s="58"/>
      <c r="EK312" s="58"/>
      <c r="EL312" s="58"/>
      <c r="EM312" s="58"/>
      <c r="EN312" s="58"/>
      <c r="EO312" s="58"/>
      <c r="EP312" s="58"/>
      <c r="EQ312" s="58"/>
      <c r="ER312" s="58"/>
      <c r="ES312" s="58"/>
      <c r="ET312" s="58"/>
      <c r="EU312" s="58"/>
      <c r="EV312" s="58"/>
      <c r="EW312" s="58"/>
      <c r="EX312" s="58"/>
      <c r="EY312" s="58"/>
      <c r="EZ312" s="58"/>
      <c r="FA312" s="58"/>
      <c r="FB312" s="58"/>
      <c r="FC312" s="58"/>
      <c r="FD312" s="58"/>
      <c r="FE312" s="58"/>
      <c r="FF312" s="58"/>
      <c r="FG312" s="58"/>
      <c r="FH312" s="58"/>
      <c r="FI312" s="58"/>
      <c r="FJ312" s="58"/>
      <c r="FK312" s="58"/>
      <c r="FL312" s="58"/>
      <c r="FM312" s="58"/>
      <c r="FN312" s="58"/>
      <c r="FO312" s="58"/>
      <c r="FP312" s="58"/>
      <c r="FQ312" s="58"/>
      <c r="FR312" s="58"/>
      <c r="FS312" s="58"/>
      <c r="FT312" s="58"/>
      <c r="FU312" s="58"/>
      <c r="FV312" s="58"/>
      <c r="FW312" s="58"/>
      <c r="FX312" s="58"/>
      <c r="FY312" s="58"/>
      <c r="FZ312" s="58"/>
      <c r="GA312" s="58"/>
      <c r="GB312" s="58"/>
      <c r="GC312" s="58"/>
      <c r="GD312" s="58"/>
      <c r="GE312" s="58"/>
      <c r="GF312" s="58"/>
      <c r="GG312" s="58"/>
      <c r="GH312" s="58"/>
      <c r="GI312" s="58"/>
      <c r="GJ312" s="58"/>
      <c r="GK312" s="58"/>
      <c r="GL312" s="58"/>
      <c r="GM312" s="58"/>
      <c r="GN312" s="58"/>
      <c r="GO312" s="58"/>
      <c r="GP312" s="58"/>
      <c r="GQ312" s="58"/>
      <c r="GR312" s="58"/>
      <c r="GS312" s="58"/>
      <c r="GT312" s="58"/>
      <c r="GU312" s="58"/>
      <c r="GV312" s="58"/>
      <c r="GW312" s="58"/>
      <c r="GX312" s="58"/>
      <c r="GY312" s="58"/>
      <c r="GZ312" s="58"/>
      <c r="HA312" s="58"/>
      <c r="HB312" s="58"/>
      <c r="HC312" s="58"/>
      <c r="HD312" s="58"/>
      <c r="HE312" s="58"/>
      <c r="HF312" s="58"/>
      <c r="HG312" s="58"/>
      <c r="HH312" s="58"/>
      <c r="HI312" s="58"/>
      <c r="HJ312" s="58"/>
      <c r="HK312" s="58"/>
      <c r="HL312" s="58"/>
      <c r="HM312" s="58"/>
      <c r="HN312" s="58"/>
      <c r="HO312" s="58"/>
      <c r="HP312" s="58"/>
      <c r="HQ312" s="58"/>
      <c r="HR312" s="58"/>
      <c r="HS312" s="58"/>
      <c r="HT312" s="58"/>
      <c r="HU312" s="58"/>
      <c r="HV312" s="58"/>
      <c r="HW312" s="58"/>
      <c r="HX312" s="58"/>
      <c r="HY312" s="58"/>
      <c r="HZ312" s="58"/>
      <c r="IA312" s="58"/>
      <c r="IB312" s="58"/>
      <c r="IC312" s="58"/>
      <c r="ID312" s="58"/>
      <c r="IE312" s="58"/>
      <c r="IF312" s="58"/>
      <c r="IG312" s="58"/>
      <c r="IH312" s="58"/>
      <c r="II312" s="58"/>
      <c r="IJ312" s="58"/>
      <c r="IK312" s="58"/>
      <c r="IL312" s="58"/>
      <c r="IM312" s="58"/>
      <c r="IN312" s="58"/>
      <c r="IO312" s="58"/>
      <c r="IP312" s="58"/>
      <c r="IQ312" s="58"/>
      <c r="IR312" s="58"/>
      <c r="IS312" s="58"/>
      <c r="IT312" s="58"/>
      <c r="IU312" s="58"/>
      <c r="IV312" s="58"/>
      <c r="IW312" s="58"/>
    </row>
    <row r="314" customFormat="false" ht="12.75" hidden="false" customHeight="false" outlineLevel="0" collapsed="false">
      <c r="A314" s="10" t="n">
        <v>43</v>
      </c>
      <c r="B314" s="10" t="s">
        <v>300</v>
      </c>
      <c r="C314" s="62" t="n">
        <v>36763</v>
      </c>
      <c r="D314" s="12" t="s">
        <v>51</v>
      </c>
      <c r="E314" s="12" t="s">
        <v>89</v>
      </c>
      <c r="F314" s="12" t="s">
        <v>235</v>
      </c>
      <c r="G314" s="12" t="s">
        <v>92</v>
      </c>
      <c r="H314" s="63" t="n">
        <v>0.44</v>
      </c>
      <c r="I314" s="14" t="n">
        <f aca="false">+H314*K314</f>
        <v>13200</v>
      </c>
      <c r="J314" s="85" t="n">
        <v>36770</v>
      </c>
      <c r="K314" s="13" t="n">
        <v>30000</v>
      </c>
      <c r="L314" s="38" t="s">
        <v>8</v>
      </c>
      <c r="M314" s="63" t="n">
        <v>4.5</v>
      </c>
      <c r="N314" s="133" t="n">
        <f aca="false">K314*M314</f>
        <v>135000</v>
      </c>
      <c r="O314" s="134" t="n">
        <f aca="false">0.01*K314</f>
        <v>300</v>
      </c>
      <c r="Q314" s="135" t="n">
        <v>4.45</v>
      </c>
      <c r="T314" s="134" t="n">
        <v>0</v>
      </c>
      <c r="Y314" s="12" t="s">
        <v>99</v>
      </c>
      <c r="AA314" s="10" t="s">
        <v>116</v>
      </c>
      <c r="AB314" s="12" t="s">
        <v>95</v>
      </c>
    </row>
    <row r="315" customFormat="false" ht="12.75" hidden="false" customHeight="false" outlineLevel="0" collapsed="false">
      <c r="A315" s="10" t="n">
        <v>43</v>
      </c>
      <c r="B315" s="10" t="s">
        <v>300</v>
      </c>
      <c r="C315" s="62" t="n">
        <v>36763</v>
      </c>
      <c r="D315" s="12" t="s">
        <v>51</v>
      </c>
      <c r="E315" s="12" t="s">
        <v>89</v>
      </c>
      <c r="F315" s="12" t="s">
        <v>235</v>
      </c>
      <c r="G315" s="12" t="s">
        <v>92</v>
      </c>
      <c r="H315" s="63" t="n">
        <v>0.44</v>
      </c>
      <c r="I315" s="14" t="n">
        <f aca="false">+H315*K315</f>
        <v>13200</v>
      </c>
      <c r="J315" s="85" t="n">
        <v>36800</v>
      </c>
      <c r="K315" s="13" t="n">
        <v>30000</v>
      </c>
      <c r="L315" s="38" t="s">
        <v>8</v>
      </c>
      <c r="M315" s="63" t="n">
        <v>4.5</v>
      </c>
      <c r="N315" s="133" t="n">
        <f aca="false">K315*M315</f>
        <v>135000</v>
      </c>
      <c r="O315" s="134" t="n">
        <f aca="false">0.01*K315</f>
        <v>300</v>
      </c>
      <c r="Q315" s="135" t="n">
        <v>5.105</v>
      </c>
      <c r="T315" s="134" t="n">
        <f aca="false">(M315-Q315)*K315</f>
        <v>-18150</v>
      </c>
      <c r="AA315" s="10" t="s">
        <v>116</v>
      </c>
      <c r="AB315" s="12" t="s">
        <v>95</v>
      </c>
    </row>
    <row r="316" customFormat="false" ht="12.75" hidden="false" customHeight="false" outlineLevel="0" collapsed="false">
      <c r="A316" s="10" t="n">
        <v>43</v>
      </c>
      <c r="B316" s="10" t="s">
        <v>300</v>
      </c>
      <c r="C316" s="62" t="n">
        <v>36763</v>
      </c>
      <c r="D316" s="12" t="s">
        <v>51</v>
      </c>
      <c r="E316" s="12" t="s">
        <v>89</v>
      </c>
      <c r="F316" s="12" t="s">
        <v>235</v>
      </c>
      <c r="G316" s="12" t="s">
        <v>92</v>
      </c>
      <c r="H316" s="63" t="n">
        <v>0.44</v>
      </c>
      <c r="I316" s="14" t="n">
        <f aca="false">+H316*K316</f>
        <v>13200</v>
      </c>
      <c r="J316" s="85" t="n">
        <v>36831</v>
      </c>
      <c r="K316" s="13" t="n">
        <v>30000</v>
      </c>
      <c r="L316" s="38" t="s">
        <v>8</v>
      </c>
      <c r="M316" s="63" t="n">
        <v>4.5</v>
      </c>
      <c r="N316" s="133" t="n">
        <f aca="false">K316*M316</f>
        <v>135000</v>
      </c>
      <c r="O316" s="134" t="n">
        <f aca="false">0.01*K316</f>
        <v>300</v>
      </c>
      <c r="Q316" s="135" t="n">
        <v>4.31</v>
      </c>
      <c r="T316" s="134" t="n">
        <v>0</v>
      </c>
      <c r="AA316" s="10" t="s">
        <v>116</v>
      </c>
      <c r="AB316" s="12" t="s">
        <v>95</v>
      </c>
    </row>
    <row r="317" customFormat="false" ht="12.75" hidden="false" customHeight="false" outlineLevel="0" collapsed="false">
      <c r="A317" s="10" t="n">
        <v>43</v>
      </c>
      <c r="B317" s="10" t="s">
        <v>300</v>
      </c>
      <c r="C317" s="62" t="n">
        <v>36763</v>
      </c>
      <c r="D317" s="12" t="s">
        <v>51</v>
      </c>
      <c r="E317" s="12" t="s">
        <v>89</v>
      </c>
      <c r="F317" s="12" t="s">
        <v>235</v>
      </c>
      <c r="G317" s="12" t="s">
        <v>92</v>
      </c>
      <c r="H317" s="63" t="n">
        <v>0.44</v>
      </c>
      <c r="I317" s="14" t="n">
        <f aca="false">+H317*K317</f>
        <v>13200</v>
      </c>
      <c r="J317" s="85" t="n">
        <v>36861</v>
      </c>
      <c r="K317" s="13" t="n">
        <v>30000</v>
      </c>
      <c r="L317" s="38" t="s">
        <v>8</v>
      </c>
      <c r="M317" s="63" t="n">
        <v>4.5</v>
      </c>
      <c r="N317" s="133" t="n">
        <f aca="false">K317*M317</f>
        <v>135000</v>
      </c>
      <c r="O317" s="134" t="n">
        <f aca="false">0.01*K317</f>
        <v>300</v>
      </c>
      <c r="Q317" s="135" t="n">
        <v>5.775</v>
      </c>
      <c r="T317" s="134" t="n">
        <f aca="false">(M317-Q317)*K317</f>
        <v>-38250</v>
      </c>
      <c r="AA317" s="10" t="s">
        <v>116</v>
      </c>
      <c r="AB317" s="12" t="s">
        <v>95</v>
      </c>
    </row>
    <row r="318" customFormat="false" ht="12.75" hidden="false" customHeight="false" outlineLevel="0" collapsed="false">
      <c r="A318" s="10" t="n">
        <v>43</v>
      </c>
      <c r="B318" s="10" t="s">
        <v>300</v>
      </c>
      <c r="C318" s="62" t="n">
        <v>36763</v>
      </c>
      <c r="D318" s="12" t="s">
        <v>51</v>
      </c>
      <c r="E318" s="12" t="s">
        <v>89</v>
      </c>
      <c r="F318" s="12" t="s">
        <v>235</v>
      </c>
      <c r="G318" s="12" t="s">
        <v>92</v>
      </c>
      <c r="H318" s="63" t="n">
        <v>0.44</v>
      </c>
      <c r="I318" s="14" t="n">
        <f aca="false">+H318*K318</f>
        <v>13200</v>
      </c>
      <c r="J318" s="85" t="n">
        <v>36892</v>
      </c>
      <c r="K318" s="13" t="n">
        <v>30000</v>
      </c>
      <c r="L318" s="38" t="s">
        <v>8</v>
      </c>
      <c r="M318" s="63" t="n">
        <v>4.5</v>
      </c>
      <c r="N318" s="133" t="n">
        <f aca="false">K318*M318</f>
        <v>135000</v>
      </c>
      <c r="O318" s="134" t="n">
        <f aca="false">0.01*K318</f>
        <v>300</v>
      </c>
      <c r="Q318" s="135" t="n">
        <v>9.565</v>
      </c>
      <c r="T318" s="134" t="n">
        <f aca="false">(4.5-Q318)*K318</f>
        <v>-151950</v>
      </c>
      <c r="AA318" s="10" t="s">
        <v>116</v>
      </c>
      <c r="AB318" s="12" t="s">
        <v>95</v>
      </c>
    </row>
    <row r="319" customFormat="false" ht="12.75" hidden="false" customHeight="false" outlineLevel="0" collapsed="false">
      <c r="A319" s="10" t="n">
        <v>43</v>
      </c>
      <c r="B319" s="10" t="s">
        <v>300</v>
      </c>
      <c r="C319" s="62" t="n">
        <v>36763</v>
      </c>
      <c r="D319" s="12" t="s">
        <v>51</v>
      </c>
      <c r="E319" s="12" t="s">
        <v>89</v>
      </c>
      <c r="F319" s="12" t="s">
        <v>235</v>
      </c>
      <c r="G319" s="12" t="s">
        <v>92</v>
      </c>
      <c r="H319" s="63" t="n">
        <v>0.44</v>
      </c>
      <c r="I319" s="14" t="n">
        <f aca="false">+H319*K319</f>
        <v>13200</v>
      </c>
      <c r="J319" s="85" t="n">
        <v>36923</v>
      </c>
      <c r="K319" s="13" t="n">
        <v>30000</v>
      </c>
      <c r="L319" s="38" t="s">
        <v>8</v>
      </c>
      <c r="M319" s="63" t="n">
        <v>4.5</v>
      </c>
      <c r="N319" s="133" t="n">
        <f aca="false">K319*M319</f>
        <v>135000</v>
      </c>
      <c r="O319" s="134" t="n">
        <f aca="false">0.01*K319</f>
        <v>300</v>
      </c>
      <c r="AA319" s="10" t="s">
        <v>116</v>
      </c>
      <c r="AB319" s="12" t="s">
        <v>95</v>
      </c>
    </row>
    <row r="321" customFormat="false" ht="12.75" hidden="false" customHeight="false" outlineLevel="0" collapsed="false">
      <c r="A321" s="10" t="n">
        <v>44</v>
      </c>
      <c r="B321" s="10" t="s">
        <v>301</v>
      </c>
      <c r="C321" s="62" t="n">
        <v>36763</v>
      </c>
      <c r="D321" s="12" t="s">
        <v>166</v>
      </c>
      <c r="E321" s="12" t="s">
        <v>89</v>
      </c>
      <c r="F321" s="12" t="s">
        <v>235</v>
      </c>
      <c r="G321" s="12" t="s">
        <v>239</v>
      </c>
      <c r="H321" s="63" t="n">
        <v>0.15</v>
      </c>
      <c r="I321" s="14" t="n">
        <f aca="false">+H321*K321</f>
        <v>1200</v>
      </c>
      <c r="J321" s="85" t="n">
        <v>36770</v>
      </c>
      <c r="K321" s="13" t="n">
        <v>8000</v>
      </c>
      <c r="L321" s="38" t="s">
        <v>8</v>
      </c>
      <c r="M321" s="63" t="s">
        <v>302</v>
      </c>
      <c r="O321" s="134" t="n">
        <f aca="false">0*K321</f>
        <v>0</v>
      </c>
      <c r="Q321" s="135" t="n">
        <v>4.45</v>
      </c>
      <c r="T321" s="134" t="n">
        <v>0</v>
      </c>
      <c r="Y321" s="12" t="s">
        <v>93</v>
      </c>
      <c r="AA321" s="10" t="s">
        <v>94</v>
      </c>
      <c r="AB321" s="12" t="s">
        <v>245</v>
      </c>
    </row>
    <row r="322" customFormat="false" ht="12.75" hidden="false" customHeight="false" outlineLevel="0" collapsed="false">
      <c r="A322" s="10" t="n">
        <v>44</v>
      </c>
      <c r="B322" s="10" t="s">
        <v>301</v>
      </c>
      <c r="C322" s="62" t="n">
        <v>36763</v>
      </c>
      <c r="D322" s="12" t="s">
        <v>166</v>
      </c>
      <c r="E322" s="12" t="s">
        <v>89</v>
      </c>
      <c r="F322" s="12" t="s">
        <v>235</v>
      </c>
      <c r="G322" s="12" t="s">
        <v>239</v>
      </c>
      <c r="H322" s="63" t="n">
        <v>0.15</v>
      </c>
      <c r="I322" s="14" t="n">
        <f aca="false">+H322*K322</f>
        <v>1200</v>
      </c>
      <c r="J322" s="85" t="n">
        <v>36800</v>
      </c>
      <c r="K322" s="13" t="n">
        <v>8000</v>
      </c>
      <c r="L322" s="38" t="s">
        <v>8</v>
      </c>
      <c r="M322" s="63" t="s">
        <v>302</v>
      </c>
      <c r="O322" s="134" t="n">
        <f aca="false">0*K322</f>
        <v>0</v>
      </c>
      <c r="Q322" s="135" t="n">
        <v>5.105</v>
      </c>
      <c r="T322" s="134" t="n">
        <f aca="false">(5.1-Q322)*K322</f>
        <v>-40.0000000000063</v>
      </c>
      <c r="AA322" s="10" t="s">
        <v>94</v>
      </c>
      <c r="AB322" s="12" t="s">
        <v>245</v>
      </c>
    </row>
    <row r="323" customFormat="false" ht="12.75" hidden="false" customHeight="false" outlineLevel="0" collapsed="false">
      <c r="A323" s="10" t="n">
        <v>44</v>
      </c>
      <c r="B323" s="10" t="s">
        <v>301</v>
      </c>
      <c r="C323" s="62" t="n">
        <v>36763</v>
      </c>
      <c r="D323" s="12" t="s">
        <v>166</v>
      </c>
      <c r="E323" s="12" t="s">
        <v>89</v>
      </c>
      <c r="F323" s="12" t="s">
        <v>235</v>
      </c>
      <c r="G323" s="12" t="s">
        <v>239</v>
      </c>
      <c r="H323" s="63" t="n">
        <v>0.15</v>
      </c>
      <c r="I323" s="14" t="n">
        <f aca="false">+H323*K323</f>
        <v>1200</v>
      </c>
      <c r="J323" s="85" t="n">
        <v>36831</v>
      </c>
      <c r="K323" s="13" t="n">
        <v>8000</v>
      </c>
      <c r="L323" s="38" t="s">
        <v>8</v>
      </c>
      <c r="M323" s="63" t="s">
        <v>302</v>
      </c>
      <c r="O323" s="134" t="n">
        <f aca="false">0*K323</f>
        <v>0</v>
      </c>
      <c r="Q323" s="135" t="n">
        <v>4.31</v>
      </c>
      <c r="T323" s="134" t="n">
        <v>0</v>
      </c>
      <c r="AA323" s="10" t="s">
        <v>94</v>
      </c>
      <c r="AB323" s="12" t="s">
        <v>245</v>
      </c>
    </row>
    <row r="324" customFormat="false" ht="12.75" hidden="false" customHeight="false" outlineLevel="0" collapsed="false">
      <c r="A324" s="10" t="n">
        <v>44</v>
      </c>
      <c r="B324" s="10" t="s">
        <v>301</v>
      </c>
      <c r="C324" s="62" t="n">
        <v>36763</v>
      </c>
      <c r="D324" s="12" t="s">
        <v>166</v>
      </c>
      <c r="E324" s="12" t="s">
        <v>89</v>
      </c>
      <c r="F324" s="12" t="s">
        <v>235</v>
      </c>
      <c r="G324" s="12" t="s">
        <v>239</v>
      </c>
      <c r="H324" s="63" t="n">
        <v>0.15</v>
      </c>
      <c r="I324" s="14" t="n">
        <f aca="false">+H324*K324</f>
        <v>1200</v>
      </c>
      <c r="J324" s="85" t="n">
        <v>36861</v>
      </c>
      <c r="K324" s="13" t="n">
        <v>8000</v>
      </c>
      <c r="L324" s="38" t="s">
        <v>8</v>
      </c>
      <c r="M324" s="63" t="s">
        <v>302</v>
      </c>
      <c r="O324" s="134" t="n">
        <f aca="false">0*K324</f>
        <v>0</v>
      </c>
      <c r="Q324" s="135" t="n">
        <v>5.775</v>
      </c>
      <c r="T324" s="134" t="n">
        <f aca="false">(5.1-Q324)*K324</f>
        <v>-5400.00000000001</v>
      </c>
      <c r="AA324" s="10" t="s">
        <v>94</v>
      </c>
      <c r="AB324" s="12" t="s">
        <v>245</v>
      </c>
    </row>
    <row r="325" customFormat="false" ht="12.75" hidden="false" customHeight="false" outlineLevel="0" collapsed="false">
      <c r="A325" s="10" t="n">
        <v>44</v>
      </c>
      <c r="B325" s="10" t="s">
        <v>301</v>
      </c>
      <c r="C325" s="62" t="n">
        <v>36763</v>
      </c>
      <c r="D325" s="12" t="s">
        <v>166</v>
      </c>
      <c r="E325" s="12" t="s">
        <v>89</v>
      </c>
      <c r="F325" s="12" t="s">
        <v>235</v>
      </c>
      <c r="G325" s="12" t="s">
        <v>239</v>
      </c>
      <c r="H325" s="63" t="n">
        <v>0.15</v>
      </c>
      <c r="I325" s="14" t="n">
        <f aca="false">+H325*K325</f>
        <v>1200</v>
      </c>
      <c r="J325" s="85" t="n">
        <v>36892</v>
      </c>
      <c r="K325" s="13" t="n">
        <v>8000</v>
      </c>
      <c r="L325" s="38" t="s">
        <v>8</v>
      </c>
      <c r="M325" s="63" t="s">
        <v>302</v>
      </c>
      <c r="O325" s="134" t="n">
        <f aca="false">0*K325</f>
        <v>0</v>
      </c>
      <c r="Q325" s="135" t="n">
        <v>9.565</v>
      </c>
      <c r="T325" s="134" t="n">
        <f aca="false">(5.1-Q325)*K325</f>
        <v>-35720</v>
      </c>
      <c r="AA325" s="10" t="s">
        <v>94</v>
      </c>
      <c r="AB325" s="12" t="s">
        <v>245</v>
      </c>
    </row>
    <row r="326" customFormat="false" ht="12.75" hidden="false" customHeight="false" outlineLevel="0" collapsed="false">
      <c r="A326" s="10" t="n">
        <v>44</v>
      </c>
      <c r="B326" s="10" t="s">
        <v>301</v>
      </c>
      <c r="C326" s="62" t="n">
        <v>36763</v>
      </c>
      <c r="D326" s="12" t="s">
        <v>166</v>
      </c>
      <c r="E326" s="12" t="s">
        <v>89</v>
      </c>
      <c r="F326" s="12" t="s">
        <v>235</v>
      </c>
      <c r="G326" s="12" t="s">
        <v>239</v>
      </c>
      <c r="H326" s="63" t="n">
        <v>0.15</v>
      </c>
      <c r="I326" s="14" t="n">
        <f aca="false">+H326*K326</f>
        <v>1200</v>
      </c>
      <c r="J326" s="85" t="n">
        <v>36923</v>
      </c>
      <c r="K326" s="13" t="n">
        <v>8000</v>
      </c>
      <c r="L326" s="38" t="s">
        <v>8</v>
      </c>
      <c r="M326" s="63" t="s">
        <v>302</v>
      </c>
      <c r="O326" s="134" t="n">
        <f aca="false">0*K326</f>
        <v>0</v>
      </c>
      <c r="AA326" s="10" t="s">
        <v>94</v>
      </c>
      <c r="AB326" s="12" t="s">
        <v>245</v>
      </c>
    </row>
    <row r="328" customFormat="false" ht="12.75" hidden="false" customHeight="false" outlineLevel="0" collapsed="false">
      <c r="A328" s="10" t="n">
        <v>45</v>
      </c>
      <c r="B328" s="10" t="s">
        <v>303</v>
      </c>
      <c r="C328" s="62" t="n">
        <v>36763</v>
      </c>
      <c r="D328" s="12" t="s">
        <v>167</v>
      </c>
      <c r="E328" s="12" t="s">
        <v>89</v>
      </c>
      <c r="F328" s="12" t="s">
        <v>235</v>
      </c>
      <c r="G328" s="12" t="s">
        <v>239</v>
      </c>
      <c r="H328" s="63" t="n">
        <v>0.15</v>
      </c>
      <c r="I328" s="14" t="n">
        <f aca="false">+H328*K328</f>
        <v>150</v>
      </c>
      <c r="J328" s="85" t="n">
        <v>36770</v>
      </c>
      <c r="K328" s="13" t="n">
        <v>1000</v>
      </c>
      <c r="L328" s="38" t="s">
        <v>8</v>
      </c>
      <c r="M328" s="63" t="s">
        <v>302</v>
      </c>
      <c r="O328" s="134" t="n">
        <f aca="false">0*K328</f>
        <v>0</v>
      </c>
      <c r="Q328" s="135" t="n">
        <v>4.45</v>
      </c>
      <c r="T328" s="134" t="n">
        <v>0</v>
      </c>
      <c r="Y328" s="12" t="s">
        <v>93</v>
      </c>
      <c r="AA328" s="10" t="s">
        <v>94</v>
      </c>
      <c r="AB328" s="12" t="s">
        <v>245</v>
      </c>
    </row>
    <row r="329" customFormat="false" ht="12.75" hidden="false" customHeight="false" outlineLevel="0" collapsed="false">
      <c r="A329" s="10" t="n">
        <v>45</v>
      </c>
      <c r="B329" s="10" t="s">
        <v>303</v>
      </c>
      <c r="C329" s="62" t="n">
        <v>36763</v>
      </c>
      <c r="D329" s="12" t="s">
        <v>167</v>
      </c>
      <c r="E329" s="12" t="s">
        <v>89</v>
      </c>
      <c r="F329" s="12" t="s">
        <v>235</v>
      </c>
      <c r="G329" s="12" t="s">
        <v>239</v>
      </c>
      <c r="H329" s="63" t="n">
        <v>0.15</v>
      </c>
      <c r="I329" s="14" t="n">
        <f aca="false">+H329*K329</f>
        <v>150</v>
      </c>
      <c r="J329" s="85" t="n">
        <v>36800</v>
      </c>
      <c r="K329" s="13" t="n">
        <v>1000</v>
      </c>
      <c r="L329" s="38" t="s">
        <v>8</v>
      </c>
      <c r="M329" s="63" t="s">
        <v>302</v>
      </c>
      <c r="O329" s="134" t="n">
        <f aca="false">0*K329</f>
        <v>0</v>
      </c>
      <c r="Q329" s="135" t="n">
        <v>5.105</v>
      </c>
      <c r="T329" s="134" t="n">
        <f aca="false">(5.1-Q329)*K329</f>
        <v>-5.00000000000078</v>
      </c>
      <c r="AA329" s="10" t="s">
        <v>94</v>
      </c>
      <c r="AB329" s="12" t="s">
        <v>245</v>
      </c>
    </row>
    <row r="330" customFormat="false" ht="12.75" hidden="false" customHeight="false" outlineLevel="0" collapsed="false">
      <c r="A330" s="10" t="n">
        <v>45</v>
      </c>
      <c r="B330" s="10" t="s">
        <v>303</v>
      </c>
      <c r="C330" s="62" t="n">
        <v>36763</v>
      </c>
      <c r="D330" s="12" t="s">
        <v>167</v>
      </c>
      <c r="E330" s="12" t="s">
        <v>89</v>
      </c>
      <c r="F330" s="12" t="s">
        <v>235</v>
      </c>
      <c r="G330" s="12" t="s">
        <v>239</v>
      </c>
      <c r="H330" s="63" t="n">
        <v>0.15</v>
      </c>
      <c r="I330" s="14" t="n">
        <f aca="false">+H330*K330</f>
        <v>150</v>
      </c>
      <c r="J330" s="85" t="n">
        <v>36831</v>
      </c>
      <c r="K330" s="13" t="n">
        <v>1000</v>
      </c>
      <c r="L330" s="38" t="s">
        <v>8</v>
      </c>
      <c r="M330" s="63" t="s">
        <v>302</v>
      </c>
      <c r="O330" s="134" t="n">
        <f aca="false">0*K330</f>
        <v>0</v>
      </c>
      <c r="Q330" s="135" t="n">
        <v>4.31</v>
      </c>
      <c r="T330" s="134" t="n">
        <v>0</v>
      </c>
      <c r="AA330" s="10" t="s">
        <v>94</v>
      </c>
      <c r="AB330" s="12" t="s">
        <v>245</v>
      </c>
    </row>
    <row r="331" customFormat="false" ht="12.75" hidden="false" customHeight="false" outlineLevel="0" collapsed="false">
      <c r="A331" s="10" t="n">
        <v>45</v>
      </c>
      <c r="B331" s="10" t="s">
        <v>303</v>
      </c>
      <c r="C331" s="62" t="n">
        <v>36763</v>
      </c>
      <c r="D331" s="12" t="s">
        <v>167</v>
      </c>
      <c r="E331" s="12" t="s">
        <v>89</v>
      </c>
      <c r="F331" s="12" t="s">
        <v>235</v>
      </c>
      <c r="G331" s="12" t="s">
        <v>239</v>
      </c>
      <c r="H331" s="63" t="n">
        <v>0.15</v>
      </c>
      <c r="I331" s="14" t="n">
        <f aca="false">+H331*K331</f>
        <v>150</v>
      </c>
      <c r="J331" s="85" t="n">
        <v>36861</v>
      </c>
      <c r="K331" s="13" t="n">
        <v>1000</v>
      </c>
      <c r="L331" s="38" t="s">
        <v>8</v>
      </c>
      <c r="M331" s="63" t="s">
        <v>302</v>
      </c>
      <c r="O331" s="134" t="n">
        <f aca="false">0*K331</f>
        <v>0</v>
      </c>
      <c r="Q331" s="135" t="n">
        <v>5.775</v>
      </c>
      <c r="T331" s="134" t="n">
        <f aca="false">(5.1-Q331)*K331</f>
        <v>-675.000000000001</v>
      </c>
      <c r="AA331" s="10" t="s">
        <v>94</v>
      </c>
      <c r="AB331" s="12" t="s">
        <v>245</v>
      </c>
    </row>
    <row r="332" customFormat="false" ht="12.75" hidden="false" customHeight="false" outlineLevel="0" collapsed="false">
      <c r="A332" s="10" t="n">
        <v>45</v>
      </c>
      <c r="B332" s="10" t="s">
        <v>303</v>
      </c>
      <c r="C332" s="62" t="n">
        <v>36763</v>
      </c>
      <c r="D332" s="12" t="s">
        <v>167</v>
      </c>
      <c r="E332" s="12" t="s">
        <v>89</v>
      </c>
      <c r="F332" s="12" t="s">
        <v>235</v>
      </c>
      <c r="G332" s="12" t="s">
        <v>239</v>
      </c>
      <c r="H332" s="63" t="n">
        <v>0.15</v>
      </c>
      <c r="I332" s="14" t="n">
        <f aca="false">+H332*K332</f>
        <v>150</v>
      </c>
      <c r="J332" s="85" t="n">
        <v>36892</v>
      </c>
      <c r="K332" s="13" t="n">
        <v>1000</v>
      </c>
      <c r="L332" s="38" t="s">
        <v>8</v>
      </c>
      <c r="M332" s="63" t="s">
        <v>302</v>
      </c>
      <c r="O332" s="134" t="n">
        <f aca="false">0*K332</f>
        <v>0</v>
      </c>
      <c r="Q332" s="135" t="n">
        <v>9.565</v>
      </c>
      <c r="T332" s="134" t="n">
        <f aca="false">(5.1-Q332)*K332</f>
        <v>-4465</v>
      </c>
      <c r="AA332" s="10" t="s">
        <v>94</v>
      </c>
      <c r="AB332" s="12" t="s">
        <v>245</v>
      </c>
    </row>
    <row r="333" customFormat="false" ht="12.75" hidden="false" customHeight="false" outlineLevel="0" collapsed="false">
      <c r="A333" s="10" t="n">
        <v>45</v>
      </c>
      <c r="B333" s="10" t="s">
        <v>303</v>
      </c>
      <c r="C333" s="62" t="n">
        <v>36763</v>
      </c>
      <c r="D333" s="12" t="s">
        <v>167</v>
      </c>
      <c r="E333" s="12" t="s">
        <v>89</v>
      </c>
      <c r="F333" s="12" t="s">
        <v>235</v>
      </c>
      <c r="G333" s="12" t="s">
        <v>239</v>
      </c>
      <c r="H333" s="63" t="n">
        <v>0.15</v>
      </c>
      <c r="I333" s="14" t="n">
        <f aca="false">+H333*K333</f>
        <v>150</v>
      </c>
      <c r="J333" s="85" t="n">
        <v>36923</v>
      </c>
      <c r="K333" s="13" t="n">
        <v>1000</v>
      </c>
      <c r="L333" s="38" t="s">
        <v>8</v>
      </c>
      <c r="M333" s="63" t="s">
        <v>302</v>
      </c>
      <c r="O333" s="134" t="n">
        <f aca="false">0*K333</f>
        <v>0</v>
      </c>
      <c r="AA333" s="10" t="s">
        <v>94</v>
      </c>
      <c r="AB333" s="12" t="s">
        <v>245</v>
      </c>
    </row>
    <row r="335" customFormat="false" ht="12.75" hidden="false" customHeight="false" outlineLevel="0" collapsed="false">
      <c r="A335" s="10" t="n">
        <v>46</v>
      </c>
      <c r="B335" s="10" t="s">
        <v>304</v>
      </c>
      <c r="C335" s="62" t="n">
        <v>36763</v>
      </c>
      <c r="D335" s="12" t="s">
        <v>168</v>
      </c>
      <c r="E335" s="12" t="s">
        <v>89</v>
      </c>
      <c r="F335" s="12" t="s">
        <v>235</v>
      </c>
      <c r="G335" s="12" t="s">
        <v>239</v>
      </c>
      <c r="H335" s="63" t="n">
        <v>0.15</v>
      </c>
      <c r="I335" s="14" t="n">
        <f aca="false">+H335*K335</f>
        <v>150</v>
      </c>
      <c r="J335" s="85" t="n">
        <v>36770</v>
      </c>
      <c r="K335" s="13" t="n">
        <v>1000</v>
      </c>
      <c r="L335" s="38" t="s">
        <v>8</v>
      </c>
      <c r="M335" s="63" t="s">
        <v>302</v>
      </c>
      <c r="O335" s="134" t="n">
        <f aca="false">0*K335</f>
        <v>0</v>
      </c>
      <c r="Q335" s="135" t="n">
        <v>4.45</v>
      </c>
      <c r="T335" s="134" t="n">
        <v>0</v>
      </c>
      <c r="Y335" s="12" t="s">
        <v>93</v>
      </c>
      <c r="AA335" s="10" t="s">
        <v>94</v>
      </c>
      <c r="AB335" s="12" t="s">
        <v>245</v>
      </c>
    </row>
    <row r="336" customFormat="false" ht="12.75" hidden="false" customHeight="false" outlineLevel="0" collapsed="false">
      <c r="A336" s="10" t="n">
        <v>46</v>
      </c>
      <c r="B336" s="10" t="s">
        <v>304</v>
      </c>
      <c r="C336" s="62" t="n">
        <v>36763</v>
      </c>
      <c r="D336" s="12" t="s">
        <v>168</v>
      </c>
      <c r="E336" s="12" t="s">
        <v>89</v>
      </c>
      <c r="F336" s="12" t="s">
        <v>235</v>
      </c>
      <c r="G336" s="12" t="s">
        <v>239</v>
      </c>
      <c r="H336" s="63" t="n">
        <v>0.15</v>
      </c>
      <c r="I336" s="14" t="n">
        <f aca="false">+H336*K336</f>
        <v>150</v>
      </c>
      <c r="J336" s="85" t="n">
        <v>36800</v>
      </c>
      <c r="K336" s="13" t="n">
        <v>1000</v>
      </c>
      <c r="L336" s="38" t="s">
        <v>8</v>
      </c>
      <c r="M336" s="63" t="s">
        <v>302</v>
      </c>
      <c r="O336" s="134" t="n">
        <f aca="false">0*K336</f>
        <v>0</v>
      </c>
      <c r="Q336" s="135" t="n">
        <v>5.105</v>
      </c>
      <c r="T336" s="134" t="n">
        <f aca="false">(5.1-Q336)*K336</f>
        <v>-5.00000000000078</v>
      </c>
      <c r="AA336" s="10" t="s">
        <v>94</v>
      </c>
      <c r="AB336" s="12" t="s">
        <v>245</v>
      </c>
    </row>
    <row r="337" customFormat="false" ht="12.75" hidden="false" customHeight="false" outlineLevel="0" collapsed="false">
      <c r="A337" s="10" t="n">
        <v>46</v>
      </c>
      <c r="B337" s="10" t="s">
        <v>304</v>
      </c>
      <c r="C337" s="62" t="n">
        <v>36763</v>
      </c>
      <c r="D337" s="12" t="s">
        <v>168</v>
      </c>
      <c r="E337" s="12" t="s">
        <v>89</v>
      </c>
      <c r="F337" s="12" t="s">
        <v>235</v>
      </c>
      <c r="G337" s="12" t="s">
        <v>239</v>
      </c>
      <c r="H337" s="63" t="n">
        <v>0.15</v>
      </c>
      <c r="I337" s="14" t="n">
        <f aca="false">+H337*K337</f>
        <v>150</v>
      </c>
      <c r="J337" s="85" t="n">
        <v>36831</v>
      </c>
      <c r="K337" s="13" t="n">
        <v>1000</v>
      </c>
      <c r="L337" s="38" t="s">
        <v>8</v>
      </c>
      <c r="M337" s="63" t="s">
        <v>302</v>
      </c>
      <c r="O337" s="134" t="n">
        <f aca="false">0*K337</f>
        <v>0</v>
      </c>
      <c r="Q337" s="135" t="n">
        <v>4.31</v>
      </c>
      <c r="T337" s="134" t="n">
        <v>0</v>
      </c>
      <c r="AA337" s="10" t="s">
        <v>94</v>
      </c>
      <c r="AB337" s="12" t="s">
        <v>245</v>
      </c>
    </row>
    <row r="338" customFormat="false" ht="12.75" hidden="false" customHeight="false" outlineLevel="0" collapsed="false">
      <c r="A338" s="10" t="n">
        <v>46</v>
      </c>
      <c r="B338" s="10" t="s">
        <v>304</v>
      </c>
      <c r="C338" s="62" t="n">
        <v>36763</v>
      </c>
      <c r="D338" s="12" t="s">
        <v>168</v>
      </c>
      <c r="E338" s="12" t="s">
        <v>89</v>
      </c>
      <c r="F338" s="12" t="s">
        <v>235</v>
      </c>
      <c r="G338" s="12" t="s">
        <v>239</v>
      </c>
      <c r="H338" s="63" t="n">
        <v>0.15</v>
      </c>
      <c r="I338" s="14" t="n">
        <f aca="false">+H338*K338</f>
        <v>150</v>
      </c>
      <c r="J338" s="85" t="n">
        <v>36861</v>
      </c>
      <c r="K338" s="13" t="n">
        <v>1000</v>
      </c>
      <c r="L338" s="38" t="s">
        <v>8</v>
      </c>
      <c r="M338" s="63" t="s">
        <v>302</v>
      </c>
      <c r="O338" s="134" t="n">
        <f aca="false">0*K338</f>
        <v>0</v>
      </c>
      <c r="Q338" s="135" t="n">
        <v>5.775</v>
      </c>
      <c r="T338" s="134" t="n">
        <f aca="false">(5.1-Q338)*K338</f>
        <v>-675.000000000001</v>
      </c>
      <c r="AA338" s="10" t="s">
        <v>94</v>
      </c>
      <c r="AB338" s="12" t="s">
        <v>245</v>
      </c>
    </row>
    <row r="339" customFormat="false" ht="12.75" hidden="false" customHeight="false" outlineLevel="0" collapsed="false">
      <c r="A339" s="10" t="n">
        <v>46</v>
      </c>
      <c r="B339" s="10" t="s">
        <v>304</v>
      </c>
      <c r="C339" s="62" t="n">
        <v>36763</v>
      </c>
      <c r="D339" s="12" t="s">
        <v>168</v>
      </c>
      <c r="E339" s="12" t="s">
        <v>89</v>
      </c>
      <c r="F339" s="12" t="s">
        <v>235</v>
      </c>
      <c r="G339" s="12" t="s">
        <v>239</v>
      </c>
      <c r="H339" s="63" t="n">
        <v>0.15</v>
      </c>
      <c r="I339" s="14" t="n">
        <f aca="false">+H339*K339</f>
        <v>150</v>
      </c>
      <c r="J339" s="85" t="n">
        <v>36892</v>
      </c>
      <c r="K339" s="13" t="n">
        <v>1000</v>
      </c>
      <c r="L339" s="38" t="s">
        <v>8</v>
      </c>
      <c r="M339" s="63" t="s">
        <v>302</v>
      </c>
      <c r="O339" s="134" t="n">
        <f aca="false">0*K339</f>
        <v>0</v>
      </c>
      <c r="Q339" s="135" t="n">
        <v>9.565</v>
      </c>
      <c r="T339" s="134" t="n">
        <f aca="false">(5.1-Q339)*K339</f>
        <v>-4465</v>
      </c>
      <c r="AA339" s="10" t="s">
        <v>94</v>
      </c>
      <c r="AB339" s="12" t="s">
        <v>245</v>
      </c>
    </row>
    <row r="340" customFormat="false" ht="12.75" hidden="false" customHeight="false" outlineLevel="0" collapsed="false">
      <c r="A340" s="10" t="n">
        <v>46</v>
      </c>
      <c r="B340" s="10" t="s">
        <v>304</v>
      </c>
      <c r="C340" s="62" t="n">
        <v>36763</v>
      </c>
      <c r="D340" s="12" t="s">
        <v>168</v>
      </c>
      <c r="E340" s="12" t="s">
        <v>89</v>
      </c>
      <c r="F340" s="12" t="s">
        <v>235</v>
      </c>
      <c r="G340" s="12" t="s">
        <v>239</v>
      </c>
      <c r="H340" s="63" t="n">
        <v>0.15</v>
      </c>
      <c r="I340" s="14" t="n">
        <f aca="false">+H340*K340</f>
        <v>150</v>
      </c>
      <c r="J340" s="85" t="n">
        <v>36923</v>
      </c>
      <c r="K340" s="13" t="n">
        <v>1000</v>
      </c>
      <c r="L340" s="38" t="s">
        <v>8</v>
      </c>
      <c r="M340" s="63" t="s">
        <v>302</v>
      </c>
      <c r="O340" s="134" t="n">
        <f aca="false">0*K340</f>
        <v>0</v>
      </c>
      <c r="AA340" s="10" t="s">
        <v>94</v>
      </c>
      <c r="AB340" s="12" t="s">
        <v>245</v>
      </c>
    </row>
    <row r="342" customFormat="false" ht="12.75" hidden="false" customHeight="false" outlineLevel="0" collapsed="false">
      <c r="A342" s="5" t="n">
        <v>47</v>
      </c>
      <c r="B342" s="5" t="s">
        <v>305</v>
      </c>
      <c r="C342" s="153" t="n">
        <v>36763</v>
      </c>
      <c r="D342" s="58" t="s">
        <v>169</v>
      </c>
      <c r="E342" s="58" t="s">
        <v>89</v>
      </c>
      <c r="F342" s="58" t="s">
        <v>235</v>
      </c>
      <c r="G342" s="58" t="s">
        <v>239</v>
      </c>
      <c r="H342" s="154" t="n">
        <v>0</v>
      </c>
      <c r="I342" s="6" t="n">
        <f aca="false">+H342*K342</f>
        <v>0</v>
      </c>
      <c r="J342" s="155" t="n">
        <v>36770</v>
      </c>
      <c r="K342" s="156" t="n">
        <v>142500</v>
      </c>
      <c r="L342" s="157" t="s">
        <v>8</v>
      </c>
      <c r="M342" s="154" t="s">
        <v>306</v>
      </c>
      <c r="N342" s="158"/>
      <c r="O342" s="159" t="n">
        <f aca="false">0*K342</f>
        <v>0</v>
      </c>
      <c r="P342" s="58"/>
      <c r="Q342" s="160" t="n">
        <v>4.45</v>
      </c>
      <c r="R342" s="161"/>
      <c r="S342" s="58"/>
      <c r="T342" s="159" t="n">
        <v>0</v>
      </c>
      <c r="U342" s="162"/>
      <c r="V342" s="162"/>
      <c r="W342" s="58"/>
      <c r="X342" s="58"/>
      <c r="Y342" s="58" t="s">
        <v>307</v>
      </c>
      <c r="Z342" s="58"/>
      <c r="AA342" s="5"/>
      <c r="AB342" s="12" t="s">
        <v>245</v>
      </c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  <c r="CS342" s="58"/>
      <c r="CT342" s="58"/>
      <c r="CU342" s="58"/>
      <c r="CV342" s="58"/>
      <c r="CW342" s="58"/>
      <c r="CX342" s="58"/>
      <c r="CY342" s="58"/>
      <c r="CZ342" s="58"/>
      <c r="DA342" s="58"/>
      <c r="DB342" s="58"/>
      <c r="DC342" s="58"/>
      <c r="DD342" s="58"/>
      <c r="DE342" s="58"/>
      <c r="DF342" s="58"/>
      <c r="DG342" s="58"/>
      <c r="DH342" s="58"/>
      <c r="DI342" s="58"/>
      <c r="DJ342" s="58"/>
      <c r="DK342" s="58"/>
      <c r="DL342" s="58"/>
      <c r="DM342" s="58"/>
      <c r="DN342" s="58"/>
      <c r="DO342" s="58"/>
      <c r="DP342" s="58"/>
      <c r="DQ342" s="58"/>
      <c r="DR342" s="58"/>
      <c r="DS342" s="58"/>
      <c r="DT342" s="58"/>
      <c r="DU342" s="58"/>
      <c r="DV342" s="58"/>
      <c r="DW342" s="58"/>
      <c r="DX342" s="58"/>
      <c r="DY342" s="58"/>
      <c r="DZ342" s="58"/>
      <c r="EA342" s="58"/>
      <c r="EB342" s="58"/>
      <c r="EC342" s="58"/>
      <c r="ED342" s="58"/>
      <c r="EE342" s="58"/>
      <c r="EF342" s="58"/>
      <c r="EG342" s="58"/>
      <c r="EH342" s="58"/>
      <c r="EI342" s="58"/>
      <c r="EJ342" s="58"/>
      <c r="EK342" s="58"/>
      <c r="EL342" s="58"/>
      <c r="EM342" s="58"/>
      <c r="EN342" s="58"/>
      <c r="EO342" s="58"/>
      <c r="EP342" s="58"/>
      <c r="EQ342" s="58"/>
      <c r="ER342" s="58"/>
      <c r="ES342" s="58"/>
      <c r="ET342" s="58"/>
      <c r="EU342" s="58"/>
      <c r="EV342" s="58"/>
      <c r="EW342" s="58"/>
      <c r="EX342" s="58"/>
      <c r="EY342" s="58"/>
      <c r="EZ342" s="58"/>
      <c r="FA342" s="58"/>
      <c r="FB342" s="58"/>
      <c r="FC342" s="58"/>
      <c r="FD342" s="58"/>
      <c r="FE342" s="58"/>
      <c r="FF342" s="58"/>
      <c r="FG342" s="58"/>
      <c r="FH342" s="58"/>
      <c r="FI342" s="58"/>
      <c r="FJ342" s="58"/>
      <c r="FK342" s="58"/>
      <c r="FL342" s="58"/>
      <c r="FM342" s="58"/>
      <c r="FN342" s="58"/>
      <c r="FO342" s="58"/>
      <c r="FP342" s="58"/>
      <c r="FQ342" s="58"/>
      <c r="FR342" s="58"/>
      <c r="FS342" s="58"/>
      <c r="FT342" s="58"/>
      <c r="FU342" s="58"/>
      <c r="FV342" s="58"/>
      <c r="FW342" s="58"/>
      <c r="FX342" s="58"/>
      <c r="FY342" s="58"/>
      <c r="FZ342" s="58"/>
      <c r="GA342" s="58"/>
      <c r="GB342" s="58"/>
      <c r="GC342" s="58"/>
      <c r="GD342" s="58"/>
      <c r="GE342" s="58"/>
      <c r="GF342" s="58"/>
      <c r="GG342" s="58"/>
      <c r="GH342" s="58"/>
      <c r="GI342" s="58"/>
      <c r="GJ342" s="58"/>
      <c r="GK342" s="58"/>
      <c r="GL342" s="58"/>
      <c r="GM342" s="58"/>
      <c r="GN342" s="58"/>
      <c r="GO342" s="58"/>
      <c r="GP342" s="58"/>
      <c r="GQ342" s="58"/>
      <c r="GR342" s="58"/>
      <c r="GS342" s="58"/>
      <c r="GT342" s="58"/>
      <c r="GU342" s="58"/>
      <c r="GV342" s="58"/>
      <c r="GW342" s="58"/>
      <c r="GX342" s="58"/>
      <c r="GY342" s="58"/>
      <c r="GZ342" s="58"/>
      <c r="HA342" s="58"/>
      <c r="HB342" s="58"/>
      <c r="HC342" s="58"/>
      <c r="HD342" s="58"/>
      <c r="HE342" s="58"/>
      <c r="HF342" s="58"/>
      <c r="HG342" s="58"/>
      <c r="HH342" s="58"/>
      <c r="HI342" s="58"/>
      <c r="HJ342" s="58"/>
      <c r="HK342" s="58"/>
      <c r="HL342" s="58"/>
      <c r="HM342" s="58"/>
      <c r="HN342" s="58"/>
      <c r="HO342" s="58"/>
      <c r="HP342" s="58"/>
      <c r="HQ342" s="58"/>
      <c r="HR342" s="58"/>
      <c r="HS342" s="58"/>
      <c r="HT342" s="58"/>
      <c r="HU342" s="58"/>
      <c r="HV342" s="58"/>
      <c r="HW342" s="58"/>
      <c r="HX342" s="58"/>
      <c r="HY342" s="58"/>
      <c r="HZ342" s="58"/>
      <c r="IA342" s="58"/>
      <c r="IB342" s="58"/>
      <c r="IC342" s="58"/>
      <c r="ID342" s="58"/>
      <c r="IE342" s="58"/>
      <c r="IF342" s="58"/>
      <c r="IG342" s="58"/>
      <c r="IH342" s="58"/>
      <c r="II342" s="58"/>
      <c r="IJ342" s="58"/>
      <c r="IK342" s="58"/>
      <c r="IL342" s="58"/>
      <c r="IM342" s="58"/>
      <c r="IN342" s="58"/>
      <c r="IO342" s="58"/>
      <c r="IP342" s="58"/>
      <c r="IQ342" s="58"/>
      <c r="IR342" s="58"/>
      <c r="IS342" s="58"/>
      <c r="IT342" s="58"/>
      <c r="IU342" s="58"/>
      <c r="IV342" s="58"/>
      <c r="IW342" s="58"/>
    </row>
    <row r="343" customFormat="false" ht="12.75" hidden="false" customHeight="false" outlineLevel="0" collapsed="false">
      <c r="A343" s="5" t="n">
        <v>47</v>
      </c>
      <c r="B343" s="5" t="s">
        <v>305</v>
      </c>
      <c r="C343" s="153" t="n">
        <v>36763</v>
      </c>
      <c r="D343" s="58" t="s">
        <v>169</v>
      </c>
      <c r="E343" s="58" t="s">
        <v>89</v>
      </c>
      <c r="F343" s="58" t="s">
        <v>235</v>
      </c>
      <c r="G343" s="58" t="s">
        <v>239</v>
      </c>
      <c r="H343" s="154" t="n">
        <v>0</v>
      </c>
      <c r="I343" s="6" t="n">
        <f aca="false">+H343*K343</f>
        <v>0</v>
      </c>
      <c r="J343" s="155" t="n">
        <v>36800</v>
      </c>
      <c r="K343" s="156" t="n">
        <v>142500</v>
      </c>
      <c r="L343" s="157" t="s">
        <v>8</v>
      </c>
      <c r="M343" s="154" t="s">
        <v>306</v>
      </c>
      <c r="N343" s="158"/>
      <c r="O343" s="159" t="n">
        <f aca="false">0*K343</f>
        <v>0</v>
      </c>
      <c r="P343" s="58"/>
      <c r="Q343" s="160" t="n">
        <v>5.105</v>
      </c>
      <c r="R343" s="161"/>
      <c r="S343" s="58"/>
      <c r="T343" s="159" t="n">
        <v>0</v>
      </c>
      <c r="U343" s="162"/>
      <c r="V343" s="162"/>
      <c r="W343" s="58"/>
      <c r="X343" s="58"/>
      <c r="Y343" s="58"/>
      <c r="Z343" s="58"/>
      <c r="AA343" s="5"/>
      <c r="AB343" s="12" t="s">
        <v>245</v>
      </c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  <c r="CS343" s="58"/>
      <c r="CT343" s="58"/>
      <c r="CU343" s="58"/>
      <c r="CV343" s="58"/>
      <c r="CW343" s="58"/>
      <c r="CX343" s="58"/>
      <c r="CY343" s="58"/>
      <c r="CZ343" s="58"/>
      <c r="DA343" s="58"/>
      <c r="DB343" s="58"/>
      <c r="DC343" s="58"/>
      <c r="DD343" s="58"/>
      <c r="DE343" s="58"/>
      <c r="DF343" s="58"/>
      <c r="DG343" s="58"/>
      <c r="DH343" s="58"/>
      <c r="DI343" s="58"/>
      <c r="DJ343" s="58"/>
      <c r="DK343" s="58"/>
      <c r="DL343" s="58"/>
      <c r="DM343" s="58"/>
      <c r="DN343" s="58"/>
      <c r="DO343" s="58"/>
      <c r="DP343" s="58"/>
      <c r="DQ343" s="58"/>
      <c r="DR343" s="58"/>
      <c r="DS343" s="58"/>
      <c r="DT343" s="58"/>
      <c r="DU343" s="58"/>
      <c r="DV343" s="58"/>
      <c r="DW343" s="58"/>
      <c r="DX343" s="58"/>
      <c r="DY343" s="58"/>
      <c r="DZ343" s="58"/>
      <c r="EA343" s="58"/>
      <c r="EB343" s="58"/>
      <c r="EC343" s="58"/>
      <c r="ED343" s="58"/>
      <c r="EE343" s="58"/>
      <c r="EF343" s="58"/>
      <c r="EG343" s="58"/>
      <c r="EH343" s="58"/>
      <c r="EI343" s="58"/>
      <c r="EJ343" s="58"/>
      <c r="EK343" s="58"/>
      <c r="EL343" s="58"/>
      <c r="EM343" s="58"/>
      <c r="EN343" s="58"/>
      <c r="EO343" s="58"/>
      <c r="EP343" s="58"/>
      <c r="EQ343" s="58"/>
      <c r="ER343" s="58"/>
      <c r="ES343" s="58"/>
      <c r="ET343" s="58"/>
      <c r="EU343" s="58"/>
      <c r="EV343" s="58"/>
      <c r="EW343" s="58"/>
      <c r="EX343" s="58"/>
      <c r="EY343" s="58"/>
      <c r="EZ343" s="58"/>
      <c r="FA343" s="58"/>
      <c r="FB343" s="58"/>
      <c r="FC343" s="58"/>
      <c r="FD343" s="58"/>
      <c r="FE343" s="58"/>
      <c r="FF343" s="58"/>
      <c r="FG343" s="58"/>
      <c r="FH343" s="58"/>
      <c r="FI343" s="58"/>
      <c r="FJ343" s="58"/>
      <c r="FK343" s="58"/>
      <c r="FL343" s="58"/>
      <c r="FM343" s="58"/>
      <c r="FN343" s="58"/>
      <c r="FO343" s="58"/>
      <c r="FP343" s="58"/>
      <c r="FQ343" s="58"/>
      <c r="FR343" s="58"/>
      <c r="FS343" s="58"/>
      <c r="FT343" s="58"/>
      <c r="FU343" s="58"/>
      <c r="FV343" s="58"/>
      <c r="FW343" s="58"/>
      <c r="FX343" s="58"/>
      <c r="FY343" s="58"/>
      <c r="FZ343" s="58"/>
      <c r="GA343" s="58"/>
      <c r="GB343" s="58"/>
      <c r="GC343" s="58"/>
      <c r="GD343" s="58"/>
      <c r="GE343" s="58"/>
      <c r="GF343" s="58"/>
      <c r="GG343" s="58"/>
      <c r="GH343" s="58"/>
      <c r="GI343" s="58"/>
      <c r="GJ343" s="58"/>
      <c r="GK343" s="58"/>
      <c r="GL343" s="58"/>
      <c r="GM343" s="58"/>
      <c r="GN343" s="58"/>
      <c r="GO343" s="58"/>
      <c r="GP343" s="58"/>
      <c r="GQ343" s="58"/>
      <c r="GR343" s="58"/>
      <c r="GS343" s="58"/>
      <c r="GT343" s="58"/>
      <c r="GU343" s="58"/>
      <c r="GV343" s="58"/>
      <c r="GW343" s="58"/>
      <c r="GX343" s="58"/>
      <c r="GY343" s="58"/>
      <c r="GZ343" s="58"/>
      <c r="HA343" s="58"/>
      <c r="HB343" s="58"/>
      <c r="HC343" s="58"/>
      <c r="HD343" s="58"/>
      <c r="HE343" s="58"/>
      <c r="HF343" s="58"/>
      <c r="HG343" s="58"/>
      <c r="HH343" s="58"/>
      <c r="HI343" s="58"/>
      <c r="HJ343" s="58"/>
      <c r="HK343" s="58"/>
      <c r="HL343" s="58"/>
      <c r="HM343" s="58"/>
      <c r="HN343" s="58"/>
      <c r="HO343" s="58"/>
      <c r="HP343" s="58"/>
      <c r="HQ343" s="58"/>
      <c r="HR343" s="58"/>
      <c r="HS343" s="58"/>
      <c r="HT343" s="58"/>
      <c r="HU343" s="58"/>
      <c r="HV343" s="58"/>
      <c r="HW343" s="58"/>
      <c r="HX343" s="58"/>
      <c r="HY343" s="58"/>
      <c r="HZ343" s="58"/>
      <c r="IA343" s="58"/>
      <c r="IB343" s="58"/>
      <c r="IC343" s="58"/>
      <c r="ID343" s="58"/>
      <c r="IE343" s="58"/>
      <c r="IF343" s="58"/>
      <c r="IG343" s="58"/>
      <c r="IH343" s="58"/>
      <c r="II343" s="58"/>
      <c r="IJ343" s="58"/>
      <c r="IK343" s="58"/>
      <c r="IL343" s="58"/>
      <c r="IM343" s="58"/>
      <c r="IN343" s="58"/>
      <c r="IO343" s="58"/>
      <c r="IP343" s="58"/>
      <c r="IQ343" s="58"/>
      <c r="IR343" s="58"/>
      <c r="IS343" s="58"/>
      <c r="IT343" s="58"/>
      <c r="IU343" s="58"/>
      <c r="IV343" s="58"/>
      <c r="IW343" s="58"/>
    </row>
    <row r="344" customFormat="false" ht="12.75" hidden="false" customHeight="false" outlineLevel="0" collapsed="false">
      <c r="A344" s="5" t="n">
        <v>47</v>
      </c>
      <c r="B344" s="5" t="s">
        <v>305</v>
      </c>
      <c r="C344" s="153" t="n">
        <v>36763</v>
      </c>
      <c r="D344" s="58" t="s">
        <v>169</v>
      </c>
      <c r="E344" s="58" t="s">
        <v>89</v>
      </c>
      <c r="F344" s="58" t="s">
        <v>235</v>
      </c>
      <c r="G344" s="58" t="s">
        <v>239</v>
      </c>
      <c r="H344" s="154" t="n">
        <v>0</v>
      </c>
      <c r="I344" s="6" t="n">
        <f aca="false">+H344*K344</f>
        <v>0</v>
      </c>
      <c r="J344" s="155" t="n">
        <v>36831</v>
      </c>
      <c r="K344" s="156" t="n">
        <v>142500</v>
      </c>
      <c r="L344" s="157" t="s">
        <v>8</v>
      </c>
      <c r="M344" s="154" t="s">
        <v>306</v>
      </c>
      <c r="N344" s="158"/>
      <c r="O344" s="159" t="n">
        <f aca="false">0*K344</f>
        <v>0</v>
      </c>
      <c r="P344" s="58"/>
      <c r="Q344" s="160" t="n">
        <v>4.31</v>
      </c>
      <c r="R344" s="161"/>
      <c r="S344" s="58"/>
      <c r="T344" s="159" t="n">
        <v>0</v>
      </c>
      <c r="U344" s="162"/>
      <c r="V344" s="162"/>
      <c r="W344" s="58"/>
      <c r="X344" s="58"/>
      <c r="Y344" s="58"/>
      <c r="Z344" s="58"/>
      <c r="AA344" s="5"/>
      <c r="AB344" s="12" t="s">
        <v>245</v>
      </c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  <c r="CS344" s="58"/>
      <c r="CT344" s="58"/>
      <c r="CU344" s="58"/>
      <c r="CV344" s="58"/>
      <c r="CW344" s="58"/>
      <c r="CX344" s="58"/>
      <c r="CY344" s="58"/>
      <c r="CZ344" s="58"/>
      <c r="DA344" s="58"/>
      <c r="DB344" s="58"/>
      <c r="DC344" s="58"/>
      <c r="DD344" s="58"/>
      <c r="DE344" s="58"/>
      <c r="DF344" s="58"/>
      <c r="DG344" s="58"/>
      <c r="DH344" s="58"/>
      <c r="DI344" s="58"/>
      <c r="DJ344" s="58"/>
      <c r="DK344" s="58"/>
      <c r="DL344" s="58"/>
      <c r="DM344" s="58"/>
      <c r="DN344" s="58"/>
      <c r="DO344" s="58"/>
      <c r="DP344" s="58"/>
      <c r="DQ344" s="58"/>
      <c r="DR344" s="58"/>
      <c r="DS344" s="58"/>
      <c r="DT344" s="58"/>
      <c r="DU344" s="58"/>
      <c r="DV344" s="58"/>
      <c r="DW344" s="58"/>
      <c r="DX344" s="58"/>
      <c r="DY344" s="58"/>
      <c r="DZ344" s="58"/>
      <c r="EA344" s="58"/>
      <c r="EB344" s="58"/>
      <c r="EC344" s="58"/>
      <c r="ED344" s="58"/>
      <c r="EE344" s="58"/>
      <c r="EF344" s="58"/>
      <c r="EG344" s="58"/>
      <c r="EH344" s="58"/>
      <c r="EI344" s="58"/>
      <c r="EJ344" s="58"/>
      <c r="EK344" s="58"/>
      <c r="EL344" s="58"/>
      <c r="EM344" s="58"/>
      <c r="EN344" s="58"/>
      <c r="EO344" s="58"/>
      <c r="EP344" s="58"/>
      <c r="EQ344" s="58"/>
      <c r="ER344" s="58"/>
      <c r="ES344" s="58"/>
      <c r="ET344" s="58"/>
      <c r="EU344" s="58"/>
      <c r="EV344" s="58"/>
      <c r="EW344" s="58"/>
      <c r="EX344" s="58"/>
      <c r="EY344" s="58"/>
      <c r="EZ344" s="58"/>
      <c r="FA344" s="58"/>
      <c r="FB344" s="58"/>
      <c r="FC344" s="58"/>
      <c r="FD344" s="58"/>
      <c r="FE344" s="58"/>
      <c r="FF344" s="58"/>
      <c r="FG344" s="58"/>
      <c r="FH344" s="58"/>
      <c r="FI344" s="58"/>
      <c r="FJ344" s="58"/>
      <c r="FK344" s="58"/>
      <c r="FL344" s="58"/>
      <c r="FM344" s="58"/>
      <c r="FN344" s="58"/>
      <c r="FO344" s="58"/>
      <c r="FP344" s="58"/>
      <c r="FQ344" s="58"/>
      <c r="FR344" s="58"/>
      <c r="FS344" s="58"/>
      <c r="FT344" s="58"/>
      <c r="FU344" s="58"/>
      <c r="FV344" s="58"/>
      <c r="FW344" s="58"/>
      <c r="FX344" s="58"/>
      <c r="FY344" s="58"/>
      <c r="FZ344" s="58"/>
      <c r="GA344" s="58"/>
      <c r="GB344" s="58"/>
      <c r="GC344" s="58"/>
      <c r="GD344" s="58"/>
      <c r="GE344" s="58"/>
      <c r="GF344" s="58"/>
      <c r="GG344" s="58"/>
      <c r="GH344" s="58"/>
      <c r="GI344" s="58"/>
      <c r="GJ344" s="58"/>
      <c r="GK344" s="58"/>
      <c r="GL344" s="58"/>
      <c r="GM344" s="58"/>
      <c r="GN344" s="58"/>
      <c r="GO344" s="58"/>
      <c r="GP344" s="58"/>
      <c r="GQ344" s="58"/>
      <c r="GR344" s="58"/>
      <c r="GS344" s="58"/>
      <c r="GT344" s="58"/>
      <c r="GU344" s="58"/>
      <c r="GV344" s="58"/>
      <c r="GW344" s="58"/>
      <c r="GX344" s="58"/>
      <c r="GY344" s="58"/>
      <c r="GZ344" s="58"/>
      <c r="HA344" s="58"/>
      <c r="HB344" s="58"/>
      <c r="HC344" s="58"/>
      <c r="HD344" s="58"/>
      <c r="HE344" s="58"/>
      <c r="HF344" s="58"/>
      <c r="HG344" s="58"/>
      <c r="HH344" s="58"/>
      <c r="HI344" s="58"/>
      <c r="HJ344" s="58"/>
      <c r="HK344" s="58"/>
      <c r="HL344" s="58"/>
      <c r="HM344" s="58"/>
      <c r="HN344" s="58"/>
      <c r="HO344" s="58"/>
      <c r="HP344" s="58"/>
      <c r="HQ344" s="58"/>
      <c r="HR344" s="58"/>
      <c r="HS344" s="58"/>
      <c r="HT344" s="58"/>
      <c r="HU344" s="58"/>
      <c r="HV344" s="58"/>
      <c r="HW344" s="58"/>
      <c r="HX344" s="58"/>
      <c r="HY344" s="58"/>
      <c r="HZ344" s="58"/>
      <c r="IA344" s="58"/>
      <c r="IB344" s="58"/>
      <c r="IC344" s="58"/>
      <c r="ID344" s="58"/>
      <c r="IE344" s="58"/>
      <c r="IF344" s="58"/>
      <c r="IG344" s="58"/>
      <c r="IH344" s="58"/>
      <c r="II344" s="58"/>
      <c r="IJ344" s="58"/>
      <c r="IK344" s="58"/>
      <c r="IL344" s="58"/>
      <c r="IM344" s="58"/>
      <c r="IN344" s="58"/>
      <c r="IO344" s="58"/>
      <c r="IP344" s="58"/>
      <c r="IQ344" s="58"/>
      <c r="IR344" s="58"/>
      <c r="IS344" s="58"/>
      <c r="IT344" s="58"/>
      <c r="IU344" s="58"/>
      <c r="IV344" s="58"/>
      <c r="IW344" s="58"/>
    </row>
    <row r="345" customFormat="false" ht="12.75" hidden="false" customHeight="false" outlineLevel="0" collapsed="false">
      <c r="A345" s="5" t="n">
        <v>47</v>
      </c>
      <c r="B345" s="5" t="s">
        <v>305</v>
      </c>
      <c r="C345" s="153" t="n">
        <v>36763</v>
      </c>
      <c r="D345" s="58" t="s">
        <v>169</v>
      </c>
      <c r="E345" s="58" t="s">
        <v>89</v>
      </c>
      <c r="F345" s="58" t="s">
        <v>235</v>
      </c>
      <c r="G345" s="58" t="s">
        <v>239</v>
      </c>
      <c r="H345" s="154" t="n">
        <v>0</v>
      </c>
      <c r="I345" s="6" t="n">
        <f aca="false">+H345*K345</f>
        <v>0</v>
      </c>
      <c r="J345" s="155" t="n">
        <v>36861</v>
      </c>
      <c r="K345" s="156" t="n">
        <v>142500</v>
      </c>
      <c r="L345" s="157" t="s">
        <v>8</v>
      </c>
      <c r="M345" s="154" t="s">
        <v>306</v>
      </c>
      <c r="N345" s="158"/>
      <c r="O345" s="159" t="n">
        <f aca="false">0*K345</f>
        <v>0</v>
      </c>
      <c r="P345" s="58"/>
      <c r="Q345" s="160" t="n">
        <v>5.775</v>
      </c>
      <c r="R345" s="161"/>
      <c r="S345" s="58"/>
      <c r="T345" s="159" t="n">
        <v>0</v>
      </c>
      <c r="U345" s="162"/>
      <c r="V345" s="162"/>
      <c r="W345" s="58"/>
      <c r="X345" s="58"/>
      <c r="Y345" s="58"/>
      <c r="Z345" s="58"/>
      <c r="AA345" s="5"/>
      <c r="AB345" s="12" t="s">
        <v>245</v>
      </c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8"/>
      <c r="BS345" s="58"/>
      <c r="BT345" s="58"/>
      <c r="BU345" s="58"/>
      <c r="BV345" s="58"/>
      <c r="BW345" s="58"/>
      <c r="BX345" s="58"/>
      <c r="BY345" s="58"/>
      <c r="BZ345" s="58"/>
      <c r="CA345" s="58"/>
      <c r="CB345" s="58"/>
      <c r="CC345" s="58"/>
      <c r="CD345" s="58"/>
      <c r="CE345" s="58"/>
      <c r="CF345" s="58"/>
      <c r="CG345" s="58"/>
      <c r="CH345" s="58"/>
      <c r="CI345" s="58"/>
      <c r="CJ345" s="58"/>
      <c r="CK345" s="58"/>
      <c r="CL345" s="58"/>
      <c r="CM345" s="58"/>
      <c r="CN345" s="58"/>
      <c r="CO345" s="58"/>
      <c r="CP345" s="58"/>
      <c r="CQ345" s="58"/>
      <c r="CR345" s="58"/>
      <c r="CS345" s="58"/>
      <c r="CT345" s="58"/>
      <c r="CU345" s="58"/>
      <c r="CV345" s="58"/>
      <c r="CW345" s="58"/>
      <c r="CX345" s="58"/>
      <c r="CY345" s="58"/>
      <c r="CZ345" s="58"/>
      <c r="DA345" s="58"/>
      <c r="DB345" s="58"/>
      <c r="DC345" s="58"/>
      <c r="DD345" s="58"/>
      <c r="DE345" s="58"/>
      <c r="DF345" s="58"/>
      <c r="DG345" s="58"/>
      <c r="DH345" s="58"/>
      <c r="DI345" s="58"/>
      <c r="DJ345" s="58"/>
      <c r="DK345" s="58"/>
      <c r="DL345" s="58"/>
      <c r="DM345" s="58"/>
      <c r="DN345" s="58"/>
      <c r="DO345" s="58"/>
      <c r="DP345" s="58"/>
      <c r="DQ345" s="58"/>
      <c r="DR345" s="58"/>
      <c r="DS345" s="58"/>
      <c r="DT345" s="58"/>
      <c r="DU345" s="58"/>
      <c r="DV345" s="58"/>
      <c r="DW345" s="58"/>
      <c r="DX345" s="58"/>
      <c r="DY345" s="58"/>
      <c r="DZ345" s="58"/>
      <c r="EA345" s="58"/>
      <c r="EB345" s="58"/>
      <c r="EC345" s="58"/>
      <c r="ED345" s="58"/>
      <c r="EE345" s="58"/>
      <c r="EF345" s="58"/>
      <c r="EG345" s="58"/>
      <c r="EH345" s="58"/>
      <c r="EI345" s="58"/>
      <c r="EJ345" s="58"/>
      <c r="EK345" s="58"/>
      <c r="EL345" s="58"/>
      <c r="EM345" s="58"/>
      <c r="EN345" s="58"/>
      <c r="EO345" s="58"/>
      <c r="EP345" s="58"/>
      <c r="EQ345" s="58"/>
      <c r="ER345" s="58"/>
      <c r="ES345" s="58"/>
      <c r="ET345" s="58"/>
      <c r="EU345" s="58"/>
      <c r="EV345" s="58"/>
      <c r="EW345" s="58"/>
      <c r="EX345" s="58"/>
      <c r="EY345" s="58"/>
      <c r="EZ345" s="58"/>
      <c r="FA345" s="58"/>
      <c r="FB345" s="58"/>
      <c r="FC345" s="58"/>
      <c r="FD345" s="58"/>
      <c r="FE345" s="58"/>
      <c r="FF345" s="58"/>
      <c r="FG345" s="58"/>
      <c r="FH345" s="58"/>
      <c r="FI345" s="58"/>
      <c r="FJ345" s="58"/>
      <c r="FK345" s="58"/>
      <c r="FL345" s="58"/>
      <c r="FM345" s="58"/>
      <c r="FN345" s="58"/>
      <c r="FO345" s="58"/>
      <c r="FP345" s="58"/>
      <c r="FQ345" s="58"/>
      <c r="FR345" s="58"/>
      <c r="FS345" s="58"/>
      <c r="FT345" s="58"/>
      <c r="FU345" s="58"/>
      <c r="FV345" s="58"/>
      <c r="FW345" s="58"/>
      <c r="FX345" s="58"/>
      <c r="FY345" s="58"/>
      <c r="FZ345" s="58"/>
      <c r="GA345" s="58"/>
      <c r="GB345" s="58"/>
      <c r="GC345" s="58"/>
      <c r="GD345" s="58"/>
      <c r="GE345" s="58"/>
      <c r="GF345" s="58"/>
      <c r="GG345" s="58"/>
      <c r="GH345" s="58"/>
      <c r="GI345" s="58"/>
      <c r="GJ345" s="58"/>
      <c r="GK345" s="58"/>
      <c r="GL345" s="58"/>
      <c r="GM345" s="58"/>
      <c r="GN345" s="58"/>
      <c r="GO345" s="58"/>
      <c r="GP345" s="58"/>
      <c r="GQ345" s="58"/>
      <c r="GR345" s="58"/>
      <c r="GS345" s="58"/>
      <c r="GT345" s="58"/>
      <c r="GU345" s="58"/>
      <c r="GV345" s="58"/>
      <c r="GW345" s="58"/>
      <c r="GX345" s="58"/>
      <c r="GY345" s="58"/>
      <c r="GZ345" s="58"/>
      <c r="HA345" s="58"/>
      <c r="HB345" s="58"/>
      <c r="HC345" s="58"/>
      <c r="HD345" s="58"/>
      <c r="HE345" s="58"/>
      <c r="HF345" s="58"/>
      <c r="HG345" s="58"/>
      <c r="HH345" s="58"/>
      <c r="HI345" s="58"/>
      <c r="HJ345" s="58"/>
      <c r="HK345" s="58"/>
      <c r="HL345" s="58"/>
      <c r="HM345" s="58"/>
      <c r="HN345" s="58"/>
      <c r="HO345" s="58"/>
      <c r="HP345" s="58"/>
      <c r="HQ345" s="58"/>
      <c r="HR345" s="58"/>
      <c r="HS345" s="58"/>
      <c r="HT345" s="58"/>
      <c r="HU345" s="58"/>
      <c r="HV345" s="58"/>
      <c r="HW345" s="58"/>
      <c r="HX345" s="58"/>
      <c r="HY345" s="58"/>
      <c r="HZ345" s="58"/>
      <c r="IA345" s="58"/>
      <c r="IB345" s="58"/>
      <c r="IC345" s="58"/>
      <c r="ID345" s="58"/>
      <c r="IE345" s="58"/>
      <c r="IF345" s="58"/>
      <c r="IG345" s="58"/>
      <c r="IH345" s="58"/>
      <c r="II345" s="58"/>
      <c r="IJ345" s="58"/>
      <c r="IK345" s="58"/>
      <c r="IL345" s="58"/>
      <c r="IM345" s="58"/>
      <c r="IN345" s="58"/>
      <c r="IO345" s="58"/>
      <c r="IP345" s="58"/>
      <c r="IQ345" s="58"/>
      <c r="IR345" s="58"/>
      <c r="IS345" s="58"/>
      <c r="IT345" s="58"/>
      <c r="IU345" s="58"/>
      <c r="IV345" s="58"/>
      <c r="IW345" s="58"/>
    </row>
    <row r="346" customFormat="false" ht="12.75" hidden="false" customHeight="false" outlineLevel="0" collapsed="false">
      <c r="A346" s="5" t="n">
        <v>47</v>
      </c>
      <c r="B346" s="5" t="s">
        <v>305</v>
      </c>
      <c r="C346" s="153" t="n">
        <v>36763</v>
      </c>
      <c r="D346" s="58" t="s">
        <v>169</v>
      </c>
      <c r="E346" s="58" t="s">
        <v>89</v>
      </c>
      <c r="F346" s="58" t="s">
        <v>235</v>
      </c>
      <c r="G346" s="58" t="s">
        <v>239</v>
      </c>
      <c r="H346" s="154" t="n">
        <v>0</v>
      </c>
      <c r="I346" s="6" t="n">
        <f aca="false">+H346*K346</f>
        <v>0</v>
      </c>
      <c r="J346" s="155" t="n">
        <v>36892</v>
      </c>
      <c r="K346" s="156" t="n">
        <v>142500</v>
      </c>
      <c r="L346" s="157" t="s">
        <v>8</v>
      </c>
      <c r="M346" s="154" t="s">
        <v>306</v>
      </c>
      <c r="N346" s="158"/>
      <c r="O346" s="159" t="n">
        <f aca="false">0*K346</f>
        <v>0</v>
      </c>
      <c r="P346" s="58"/>
      <c r="Q346" s="135" t="n">
        <v>9.565</v>
      </c>
      <c r="R346" s="161"/>
      <c r="S346" s="58"/>
      <c r="T346" s="134" t="n">
        <f aca="false">(8.22-Q346)*K346</f>
        <v>-191662.5</v>
      </c>
      <c r="U346" s="162"/>
      <c r="V346" s="162"/>
      <c r="W346" s="58"/>
      <c r="X346" s="58"/>
      <c r="Y346" s="58"/>
      <c r="Z346" s="58"/>
      <c r="AA346" s="5"/>
      <c r="AB346" s="12" t="s">
        <v>245</v>
      </c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8"/>
      <c r="BS346" s="58"/>
      <c r="BT346" s="58"/>
      <c r="BU346" s="58"/>
      <c r="BV346" s="58"/>
      <c r="BW346" s="58"/>
      <c r="BX346" s="58"/>
      <c r="BY346" s="58"/>
      <c r="BZ346" s="58"/>
      <c r="CA346" s="58"/>
      <c r="CB346" s="58"/>
      <c r="CC346" s="58"/>
      <c r="CD346" s="58"/>
      <c r="CE346" s="58"/>
      <c r="CF346" s="58"/>
      <c r="CG346" s="58"/>
      <c r="CH346" s="58"/>
      <c r="CI346" s="58"/>
      <c r="CJ346" s="58"/>
      <c r="CK346" s="58"/>
      <c r="CL346" s="58"/>
      <c r="CM346" s="58"/>
      <c r="CN346" s="58"/>
      <c r="CO346" s="58"/>
      <c r="CP346" s="58"/>
      <c r="CQ346" s="58"/>
      <c r="CR346" s="58"/>
      <c r="CS346" s="58"/>
      <c r="CT346" s="58"/>
      <c r="CU346" s="58"/>
      <c r="CV346" s="58"/>
      <c r="CW346" s="58"/>
      <c r="CX346" s="58"/>
      <c r="CY346" s="58"/>
      <c r="CZ346" s="58"/>
      <c r="DA346" s="58"/>
      <c r="DB346" s="58"/>
      <c r="DC346" s="58"/>
      <c r="DD346" s="58"/>
      <c r="DE346" s="58"/>
      <c r="DF346" s="58"/>
      <c r="DG346" s="58"/>
      <c r="DH346" s="58"/>
      <c r="DI346" s="58"/>
      <c r="DJ346" s="58"/>
      <c r="DK346" s="58"/>
      <c r="DL346" s="58"/>
      <c r="DM346" s="58"/>
      <c r="DN346" s="58"/>
      <c r="DO346" s="58"/>
      <c r="DP346" s="58"/>
      <c r="DQ346" s="58"/>
      <c r="DR346" s="58"/>
      <c r="DS346" s="58"/>
      <c r="DT346" s="58"/>
      <c r="DU346" s="58"/>
      <c r="DV346" s="58"/>
      <c r="DW346" s="58"/>
      <c r="DX346" s="58"/>
      <c r="DY346" s="58"/>
      <c r="DZ346" s="58"/>
      <c r="EA346" s="58"/>
      <c r="EB346" s="58"/>
      <c r="EC346" s="58"/>
      <c r="ED346" s="58"/>
      <c r="EE346" s="58"/>
      <c r="EF346" s="58"/>
      <c r="EG346" s="58"/>
      <c r="EH346" s="58"/>
      <c r="EI346" s="58"/>
      <c r="EJ346" s="58"/>
      <c r="EK346" s="58"/>
      <c r="EL346" s="58"/>
      <c r="EM346" s="58"/>
      <c r="EN346" s="58"/>
      <c r="EO346" s="58"/>
      <c r="EP346" s="58"/>
      <c r="EQ346" s="58"/>
      <c r="ER346" s="58"/>
      <c r="ES346" s="58"/>
      <c r="ET346" s="58"/>
      <c r="EU346" s="58"/>
      <c r="EV346" s="58"/>
      <c r="EW346" s="58"/>
      <c r="EX346" s="58"/>
      <c r="EY346" s="58"/>
      <c r="EZ346" s="58"/>
      <c r="FA346" s="58"/>
      <c r="FB346" s="58"/>
      <c r="FC346" s="58"/>
      <c r="FD346" s="58"/>
      <c r="FE346" s="58"/>
      <c r="FF346" s="58"/>
      <c r="FG346" s="58"/>
      <c r="FH346" s="58"/>
      <c r="FI346" s="58"/>
      <c r="FJ346" s="58"/>
      <c r="FK346" s="58"/>
      <c r="FL346" s="58"/>
      <c r="FM346" s="58"/>
      <c r="FN346" s="58"/>
      <c r="FO346" s="58"/>
      <c r="FP346" s="58"/>
      <c r="FQ346" s="58"/>
      <c r="FR346" s="58"/>
      <c r="FS346" s="58"/>
      <c r="FT346" s="58"/>
      <c r="FU346" s="58"/>
      <c r="FV346" s="58"/>
      <c r="FW346" s="58"/>
      <c r="FX346" s="58"/>
      <c r="FY346" s="58"/>
      <c r="FZ346" s="58"/>
      <c r="GA346" s="58"/>
      <c r="GB346" s="58"/>
      <c r="GC346" s="58"/>
      <c r="GD346" s="58"/>
      <c r="GE346" s="58"/>
      <c r="GF346" s="58"/>
      <c r="GG346" s="58"/>
      <c r="GH346" s="58"/>
      <c r="GI346" s="58"/>
      <c r="GJ346" s="58"/>
      <c r="GK346" s="58"/>
      <c r="GL346" s="58"/>
      <c r="GM346" s="58"/>
      <c r="GN346" s="58"/>
      <c r="GO346" s="58"/>
      <c r="GP346" s="58"/>
      <c r="GQ346" s="58"/>
      <c r="GR346" s="58"/>
      <c r="GS346" s="58"/>
      <c r="GT346" s="58"/>
      <c r="GU346" s="58"/>
      <c r="GV346" s="58"/>
      <c r="GW346" s="58"/>
      <c r="GX346" s="58"/>
      <c r="GY346" s="58"/>
      <c r="GZ346" s="58"/>
      <c r="HA346" s="58"/>
      <c r="HB346" s="58"/>
      <c r="HC346" s="58"/>
      <c r="HD346" s="58"/>
      <c r="HE346" s="58"/>
      <c r="HF346" s="58"/>
      <c r="HG346" s="58"/>
      <c r="HH346" s="58"/>
      <c r="HI346" s="58"/>
      <c r="HJ346" s="58"/>
      <c r="HK346" s="58"/>
      <c r="HL346" s="58"/>
      <c r="HM346" s="58"/>
      <c r="HN346" s="58"/>
      <c r="HO346" s="58"/>
      <c r="HP346" s="58"/>
      <c r="HQ346" s="58"/>
      <c r="HR346" s="58"/>
      <c r="HS346" s="58"/>
      <c r="HT346" s="58"/>
      <c r="HU346" s="58"/>
      <c r="HV346" s="58"/>
      <c r="HW346" s="58"/>
      <c r="HX346" s="58"/>
      <c r="HY346" s="58"/>
      <c r="HZ346" s="58"/>
      <c r="IA346" s="58"/>
      <c r="IB346" s="58"/>
      <c r="IC346" s="58"/>
      <c r="ID346" s="58"/>
      <c r="IE346" s="58"/>
      <c r="IF346" s="58"/>
      <c r="IG346" s="58"/>
      <c r="IH346" s="58"/>
      <c r="II346" s="58"/>
      <c r="IJ346" s="58"/>
      <c r="IK346" s="58"/>
      <c r="IL346" s="58"/>
      <c r="IM346" s="58"/>
      <c r="IN346" s="58"/>
      <c r="IO346" s="58"/>
      <c r="IP346" s="58"/>
      <c r="IQ346" s="58"/>
      <c r="IR346" s="58"/>
      <c r="IS346" s="58"/>
      <c r="IT346" s="58"/>
      <c r="IU346" s="58"/>
      <c r="IV346" s="58"/>
      <c r="IW346" s="58"/>
    </row>
    <row r="347" customFormat="false" ht="12.75" hidden="false" customHeight="false" outlineLevel="0" collapsed="false">
      <c r="A347" s="5" t="n">
        <v>47</v>
      </c>
      <c r="B347" s="5" t="s">
        <v>305</v>
      </c>
      <c r="C347" s="153" t="n">
        <v>36763</v>
      </c>
      <c r="D347" s="58" t="s">
        <v>169</v>
      </c>
      <c r="E347" s="58" t="s">
        <v>89</v>
      </c>
      <c r="F347" s="58" t="s">
        <v>235</v>
      </c>
      <c r="G347" s="58" t="s">
        <v>239</v>
      </c>
      <c r="H347" s="154" t="n">
        <v>0</v>
      </c>
      <c r="I347" s="6" t="n">
        <f aca="false">+H347*K347</f>
        <v>0</v>
      </c>
      <c r="J347" s="155" t="n">
        <v>36923</v>
      </c>
      <c r="K347" s="156" t="n">
        <v>142500</v>
      </c>
      <c r="L347" s="157" t="s">
        <v>8</v>
      </c>
      <c r="M347" s="154" t="s">
        <v>306</v>
      </c>
      <c r="N347" s="158"/>
      <c r="O347" s="159" t="n">
        <f aca="false">0*K347</f>
        <v>0</v>
      </c>
      <c r="P347" s="58"/>
      <c r="Q347" s="160"/>
      <c r="R347" s="161"/>
      <c r="S347" s="58"/>
      <c r="T347" s="159"/>
      <c r="U347" s="162"/>
      <c r="V347" s="162"/>
      <c r="W347" s="58"/>
      <c r="X347" s="58"/>
      <c r="Y347" s="58"/>
      <c r="Z347" s="58"/>
      <c r="AA347" s="5"/>
      <c r="AB347" s="12" t="s">
        <v>245</v>
      </c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8"/>
      <c r="BS347" s="58"/>
      <c r="BT347" s="58"/>
      <c r="BU347" s="58"/>
      <c r="BV347" s="58"/>
      <c r="BW347" s="58"/>
      <c r="BX347" s="58"/>
      <c r="BY347" s="58"/>
      <c r="BZ347" s="58"/>
      <c r="CA347" s="58"/>
      <c r="CB347" s="58"/>
      <c r="CC347" s="58"/>
      <c r="CD347" s="58"/>
      <c r="CE347" s="58"/>
      <c r="CF347" s="58"/>
      <c r="CG347" s="58"/>
      <c r="CH347" s="58"/>
      <c r="CI347" s="58"/>
      <c r="CJ347" s="58"/>
      <c r="CK347" s="58"/>
      <c r="CL347" s="58"/>
      <c r="CM347" s="58"/>
      <c r="CN347" s="58"/>
      <c r="CO347" s="58"/>
      <c r="CP347" s="58"/>
      <c r="CQ347" s="58"/>
      <c r="CR347" s="58"/>
      <c r="CS347" s="58"/>
      <c r="CT347" s="58"/>
      <c r="CU347" s="58"/>
      <c r="CV347" s="58"/>
      <c r="CW347" s="58"/>
      <c r="CX347" s="58"/>
      <c r="CY347" s="58"/>
      <c r="CZ347" s="58"/>
      <c r="DA347" s="58"/>
      <c r="DB347" s="58"/>
      <c r="DC347" s="58"/>
      <c r="DD347" s="58"/>
      <c r="DE347" s="58"/>
      <c r="DF347" s="58"/>
      <c r="DG347" s="58"/>
      <c r="DH347" s="58"/>
      <c r="DI347" s="58"/>
      <c r="DJ347" s="58"/>
      <c r="DK347" s="58"/>
      <c r="DL347" s="58"/>
      <c r="DM347" s="58"/>
      <c r="DN347" s="58"/>
      <c r="DO347" s="58"/>
      <c r="DP347" s="58"/>
      <c r="DQ347" s="58"/>
      <c r="DR347" s="58"/>
      <c r="DS347" s="58"/>
      <c r="DT347" s="58"/>
      <c r="DU347" s="58"/>
      <c r="DV347" s="58"/>
      <c r="DW347" s="58"/>
      <c r="DX347" s="58"/>
      <c r="DY347" s="58"/>
      <c r="DZ347" s="58"/>
      <c r="EA347" s="58"/>
      <c r="EB347" s="58"/>
      <c r="EC347" s="58"/>
      <c r="ED347" s="58"/>
      <c r="EE347" s="58"/>
      <c r="EF347" s="58"/>
      <c r="EG347" s="58"/>
      <c r="EH347" s="58"/>
      <c r="EI347" s="58"/>
      <c r="EJ347" s="58"/>
      <c r="EK347" s="58"/>
      <c r="EL347" s="58"/>
      <c r="EM347" s="58"/>
      <c r="EN347" s="58"/>
      <c r="EO347" s="58"/>
      <c r="EP347" s="58"/>
      <c r="EQ347" s="58"/>
      <c r="ER347" s="58"/>
      <c r="ES347" s="58"/>
      <c r="ET347" s="58"/>
      <c r="EU347" s="58"/>
      <c r="EV347" s="58"/>
      <c r="EW347" s="58"/>
      <c r="EX347" s="58"/>
      <c r="EY347" s="58"/>
      <c r="EZ347" s="58"/>
      <c r="FA347" s="58"/>
      <c r="FB347" s="58"/>
      <c r="FC347" s="58"/>
      <c r="FD347" s="58"/>
      <c r="FE347" s="58"/>
      <c r="FF347" s="58"/>
      <c r="FG347" s="58"/>
      <c r="FH347" s="58"/>
      <c r="FI347" s="58"/>
      <c r="FJ347" s="58"/>
      <c r="FK347" s="58"/>
      <c r="FL347" s="58"/>
      <c r="FM347" s="58"/>
      <c r="FN347" s="58"/>
      <c r="FO347" s="58"/>
      <c r="FP347" s="58"/>
      <c r="FQ347" s="58"/>
      <c r="FR347" s="58"/>
      <c r="FS347" s="58"/>
      <c r="FT347" s="58"/>
      <c r="FU347" s="58"/>
      <c r="FV347" s="58"/>
      <c r="FW347" s="58"/>
      <c r="FX347" s="58"/>
      <c r="FY347" s="58"/>
      <c r="FZ347" s="58"/>
      <c r="GA347" s="58"/>
      <c r="GB347" s="58"/>
      <c r="GC347" s="58"/>
      <c r="GD347" s="58"/>
      <c r="GE347" s="58"/>
      <c r="GF347" s="58"/>
      <c r="GG347" s="58"/>
      <c r="GH347" s="58"/>
      <c r="GI347" s="58"/>
      <c r="GJ347" s="58"/>
      <c r="GK347" s="58"/>
      <c r="GL347" s="58"/>
      <c r="GM347" s="58"/>
      <c r="GN347" s="58"/>
      <c r="GO347" s="58"/>
      <c r="GP347" s="58"/>
      <c r="GQ347" s="58"/>
      <c r="GR347" s="58"/>
      <c r="GS347" s="58"/>
      <c r="GT347" s="58"/>
      <c r="GU347" s="58"/>
      <c r="GV347" s="58"/>
      <c r="GW347" s="58"/>
      <c r="GX347" s="58"/>
      <c r="GY347" s="58"/>
      <c r="GZ347" s="58"/>
      <c r="HA347" s="58"/>
      <c r="HB347" s="58"/>
      <c r="HC347" s="58"/>
      <c r="HD347" s="58"/>
      <c r="HE347" s="58"/>
      <c r="HF347" s="58"/>
      <c r="HG347" s="58"/>
      <c r="HH347" s="58"/>
      <c r="HI347" s="58"/>
      <c r="HJ347" s="58"/>
      <c r="HK347" s="58"/>
      <c r="HL347" s="58"/>
      <c r="HM347" s="58"/>
      <c r="HN347" s="58"/>
      <c r="HO347" s="58"/>
      <c r="HP347" s="58"/>
      <c r="HQ347" s="58"/>
      <c r="HR347" s="58"/>
      <c r="HS347" s="58"/>
      <c r="HT347" s="58"/>
      <c r="HU347" s="58"/>
      <c r="HV347" s="58"/>
      <c r="HW347" s="58"/>
      <c r="HX347" s="58"/>
      <c r="HY347" s="58"/>
      <c r="HZ347" s="58"/>
      <c r="IA347" s="58"/>
      <c r="IB347" s="58"/>
      <c r="IC347" s="58"/>
      <c r="ID347" s="58"/>
      <c r="IE347" s="58"/>
      <c r="IF347" s="58"/>
      <c r="IG347" s="58"/>
      <c r="IH347" s="58"/>
      <c r="II347" s="58"/>
      <c r="IJ347" s="58"/>
      <c r="IK347" s="58"/>
      <c r="IL347" s="58"/>
      <c r="IM347" s="58"/>
      <c r="IN347" s="58"/>
      <c r="IO347" s="58"/>
      <c r="IP347" s="58"/>
      <c r="IQ347" s="58"/>
      <c r="IR347" s="58"/>
      <c r="IS347" s="58"/>
      <c r="IT347" s="58"/>
      <c r="IU347" s="58"/>
      <c r="IV347" s="58"/>
      <c r="IW347" s="58"/>
    </row>
    <row r="348" customFormat="false" ht="12.75" hidden="false" customHeight="false" outlineLevel="0" collapsed="false">
      <c r="A348" s="5"/>
      <c r="B348" s="5"/>
      <c r="C348" s="153"/>
      <c r="D348" s="58"/>
      <c r="E348" s="58"/>
      <c r="F348" s="58"/>
      <c r="G348" s="58"/>
      <c r="H348" s="154"/>
      <c r="I348" s="6"/>
      <c r="J348" s="163"/>
      <c r="K348" s="156"/>
      <c r="L348" s="157"/>
      <c r="M348" s="154"/>
      <c r="N348" s="158"/>
      <c r="O348" s="159"/>
      <c r="P348" s="58"/>
      <c r="Q348" s="160"/>
      <c r="R348" s="161"/>
      <c r="S348" s="58"/>
      <c r="T348" s="159"/>
      <c r="U348" s="162"/>
      <c r="V348" s="162"/>
      <c r="W348" s="58"/>
      <c r="X348" s="58"/>
      <c r="Y348" s="58"/>
      <c r="Z348" s="58"/>
      <c r="AA348" s="5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8"/>
      <c r="BS348" s="58"/>
      <c r="BT348" s="58"/>
      <c r="BU348" s="58"/>
      <c r="BV348" s="58"/>
      <c r="BW348" s="58"/>
      <c r="BX348" s="58"/>
      <c r="BY348" s="58"/>
      <c r="BZ348" s="58"/>
      <c r="CA348" s="58"/>
      <c r="CB348" s="58"/>
      <c r="CC348" s="58"/>
      <c r="CD348" s="58"/>
      <c r="CE348" s="58"/>
      <c r="CF348" s="58"/>
      <c r="CG348" s="58"/>
      <c r="CH348" s="58"/>
      <c r="CI348" s="58"/>
      <c r="CJ348" s="58"/>
      <c r="CK348" s="58"/>
      <c r="CL348" s="58"/>
      <c r="CM348" s="58"/>
      <c r="CN348" s="58"/>
      <c r="CO348" s="58"/>
      <c r="CP348" s="58"/>
      <c r="CQ348" s="58"/>
      <c r="CR348" s="58"/>
      <c r="CS348" s="58"/>
      <c r="CT348" s="58"/>
      <c r="CU348" s="58"/>
      <c r="CV348" s="58"/>
      <c r="CW348" s="58"/>
      <c r="CX348" s="58"/>
      <c r="CY348" s="58"/>
      <c r="CZ348" s="58"/>
      <c r="DA348" s="58"/>
      <c r="DB348" s="58"/>
      <c r="DC348" s="58"/>
      <c r="DD348" s="58"/>
      <c r="DE348" s="58"/>
      <c r="DF348" s="58"/>
      <c r="DG348" s="58"/>
      <c r="DH348" s="58"/>
      <c r="DI348" s="58"/>
      <c r="DJ348" s="58"/>
      <c r="DK348" s="58"/>
      <c r="DL348" s="58"/>
      <c r="DM348" s="58"/>
      <c r="DN348" s="58"/>
      <c r="DO348" s="58"/>
      <c r="DP348" s="58"/>
      <c r="DQ348" s="58"/>
      <c r="DR348" s="58"/>
      <c r="DS348" s="58"/>
      <c r="DT348" s="58"/>
      <c r="DU348" s="58"/>
      <c r="DV348" s="58"/>
      <c r="DW348" s="58"/>
      <c r="DX348" s="58"/>
      <c r="DY348" s="58"/>
      <c r="DZ348" s="58"/>
      <c r="EA348" s="58"/>
      <c r="EB348" s="58"/>
      <c r="EC348" s="58"/>
      <c r="ED348" s="58"/>
      <c r="EE348" s="58"/>
      <c r="EF348" s="58"/>
      <c r="EG348" s="58"/>
      <c r="EH348" s="58"/>
      <c r="EI348" s="58"/>
      <c r="EJ348" s="58"/>
      <c r="EK348" s="58"/>
      <c r="EL348" s="58"/>
      <c r="EM348" s="58"/>
      <c r="EN348" s="58"/>
      <c r="EO348" s="58"/>
      <c r="EP348" s="58"/>
      <c r="EQ348" s="58"/>
      <c r="ER348" s="58"/>
      <c r="ES348" s="58"/>
      <c r="ET348" s="58"/>
      <c r="EU348" s="58"/>
      <c r="EV348" s="58"/>
      <c r="EW348" s="58"/>
      <c r="EX348" s="58"/>
      <c r="EY348" s="58"/>
      <c r="EZ348" s="58"/>
      <c r="FA348" s="58"/>
      <c r="FB348" s="58"/>
      <c r="FC348" s="58"/>
      <c r="FD348" s="58"/>
      <c r="FE348" s="58"/>
      <c r="FF348" s="58"/>
      <c r="FG348" s="58"/>
      <c r="FH348" s="58"/>
      <c r="FI348" s="58"/>
      <c r="FJ348" s="58"/>
      <c r="FK348" s="58"/>
      <c r="FL348" s="58"/>
      <c r="FM348" s="58"/>
      <c r="FN348" s="58"/>
      <c r="FO348" s="58"/>
      <c r="FP348" s="58"/>
      <c r="FQ348" s="58"/>
      <c r="FR348" s="58"/>
      <c r="FS348" s="58"/>
      <c r="FT348" s="58"/>
      <c r="FU348" s="58"/>
      <c r="FV348" s="58"/>
      <c r="FW348" s="58"/>
      <c r="FX348" s="58"/>
      <c r="FY348" s="58"/>
      <c r="FZ348" s="58"/>
      <c r="GA348" s="58"/>
      <c r="GB348" s="58"/>
      <c r="GC348" s="58"/>
      <c r="GD348" s="58"/>
      <c r="GE348" s="58"/>
      <c r="GF348" s="58"/>
      <c r="GG348" s="58"/>
      <c r="GH348" s="58"/>
      <c r="GI348" s="58"/>
      <c r="GJ348" s="58"/>
      <c r="GK348" s="58"/>
      <c r="GL348" s="58"/>
      <c r="GM348" s="58"/>
      <c r="GN348" s="58"/>
      <c r="GO348" s="58"/>
      <c r="GP348" s="58"/>
      <c r="GQ348" s="58"/>
      <c r="GR348" s="58"/>
      <c r="GS348" s="58"/>
      <c r="GT348" s="58"/>
      <c r="GU348" s="58"/>
      <c r="GV348" s="58"/>
      <c r="GW348" s="58"/>
      <c r="GX348" s="58"/>
      <c r="GY348" s="58"/>
      <c r="GZ348" s="58"/>
      <c r="HA348" s="58"/>
      <c r="HB348" s="58"/>
      <c r="HC348" s="58"/>
      <c r="HD348" s="58"/>
      <c r="HE348" s="58"/>
      <c r="HF348" s="58"/>
      <c r="HG348" s="58"/>
      <c r="HH348" s="58"/>
      <c r="HI348" s="58"/>
      <c r="HJ348" s="58"/>
      <c r="HK348" s="58"/>
      <c r="HL348" s="58"/>
      <c r="HM348" s="58"/>
      <c r="HN348" s="58"/>
      <c r="HO348" s="58"/>
      <c r="HP348" s="58"/>
      <c r="HQ348" s="58"/>
      <c r="HR348" s="58"/>
      <c r="HS348" s="58"/>
      <c r="HT348" s="58"/>
      <c r="HU348" s="58"/>
      <c r="HV348" s="58"/>
      <c r="HW348" s="58"/>
      <c r="HX348" s="58"/>
      <c r="HY348" s="58"/>
      <c r="HZ348" s="58"/>
      <c r="IA348" s="58"/>
      <c r="IB348" s="58"/>
      <c r="IC348" s="58"/>
      <c r="ID348" s="58"/>
      <c r="IE348" s="58"/>
      <c r="IF348" s="58"/>
      <c r="IG348" s="58"/>
      <c r="IH348" s="58"/>
      <c r="II348" s="58"/>
      <c r="IJ348" s="58"/>
      <c r="IK348" s="58"/>
      <c r="IL348" s="58"/>
      <c r="IM348" s="58"/>
      <c r="IN348" s="58"/>
      <c r="IO348" s="58"/>
      <c r="IP348" s="58"/>
      <c r="IQ348" s="58"/>
      <c r="IR348" s="58"/>
      <c r="IS348" s="58"/>
      <c r="IT348" s="58"/>
      <c r="IU348" s="58"/>
      <c r="IV348" s="58"/>
      <c r="IW348" s="58"/>
    </row>
    <row r="349" customFormat="false" ht="12.75" hidden="false" customHeight="false" outlineLevel="0" collapsed="false">
      <c r="A349" s="5" t="n">
        <v>48</v>
      </c>
      <c r="B349" s="5" t="s">
        <v>308</v>
      </c>
      <c r="C349" s="153" t="n">
        <v>36763</v>
      </c>
      <c r="D349" s="58" t="s">
        <v>170</v>
      </c>
      <c r="E349" s="58" t="s">
        <v>89</v>
      </c>
      <c r="F349" s="58" t="s">
        <v>235</v>
      </c>
      <c r="G349" s="58" t="s">
        <v>239</v>
      </c>
      <c r="H349" s="154" t="n">
        <v>0</v>
      </c>
      <c r="I349" s="6" t="n">
        <f aca="false">+H349*K349</f>
        <v>0</v>
      </c>
      <c r="J349" s="155" t="n">
        <v>36770</v>
      </c>
      <c r="K349" s="156" t="n">
        <v>47500</v>
      </c>
      <c r="L349" s="157" t="s">
        <v>8</v>
      </c>
      <c r="M349" s="154" t="s">
        <v>306</v>
      </c>
      <c r="N349" s="158"/>
      <c r="O349" s="159" t="n">
        <f aca="false">0*K349</f>
        <v>0</v>
      </c>
      <c r="P349" s="58"/>
      <c r="Q349" s="160" t="n">
        <v>4.45</v>
      </c>
      <c r="R349" s="161"/>
      <c r="S349" s="58"/>
      <c r="T349" s="159" t="n">
        <v>0</v>
      </c>
      <c r="U349" s="162"/>
      <c r="V349" s="162"/>
      <c r="W349" s="58"/>
      <c r="X349" s="58"/>
      <c r="Y349" s="58" t="s">
        <v>307</v>
      </c>
      <c r="Z349" s="58"/>
      <c r="AA349" s="5"/>
      <c r="AB349" s="12" t="s">
        <v>245</v>
      </c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  <c r="CS349" s="58"/>
      <c r="CT349" s="58"/>
      <c r="CU349" s="58"/>
      <c r="CV349" s="58"/>
      <c r="CW349" s="58"/>
      <c r="CX349" s="58"/>
      <c r="CY349" s="58"/>
      <c r="CZ349" s="58"/>
      <c r="DA349" s="58"/>
      <c r="DB349" s="58"/>
      <c r="DC349" s="58"/>
      <c r="DD349" s="58"/>
      <c r="DE349" s="58"/>
      <c r="DF349" s="58"/>
      <c r="DG349" s="58"/>
      <c r="DH349" s="58"/>
      <c r="DI349" s="58"/>
      <c r="DJ349" s="58"/>
      <c r="DK349" s="58"/>
      <c r="DL349" s="58"/>
      <c r="DM349" s="58"/>
      <c r="DN349" s="58"/>
      <c r="DO349" s="58"/>
      <c r="DP349" s="58"/>
      <c r="DQ349" s="58"/>
      <c r="DR349" s="58"/>
      <c r="DS349" s="58"/>
      <c r="DT349" s="58"/>
      <c r="DU349" s="58"/>
      <c r="DV349" s="58"/>
      <c r="DW349" s="58"/>
      <c r="DX349" s="58"/>
      <c r="DY349" s="58"/>
      <c r="DZ349" s="58"/>
      <c r="EA349" s="58"/>
      <c r="EB349" s="58"/>
      <c r="EC349" s="58"/>
      <c r="ED349" s="58"/>
      <c r="EE349" s="58"/>
      <c r="EF349" s="58"/>
      <c r="EG349" s="58"/>
      <c r="EH349" s="58"/>
      <c r="EI349" s="58"/>
      <c r="EJ349" s="58"/>
      <c r="EK349" s="58"/>
      <c r="EL349" s="58"/>
      <c r="EM349" s="58"/>
      <c r="EN349" s="58"/>
      <c r="EO349" s="58"/>
      <c r="EP349" s="58"/>
      <c r="EQ349" s="58"/>
      <c r="ER349" s="58"/>
      <c r="ES349" s="58"/>
      <c r="ET349" s="58"/>
      <c r="EU349" s="58"/>
      <c r="EV349" s="58"/>
      <c r="EW349" s="58"/>
      <c r="EX349" s="58"/>
      <c r="EY349" s="58"/>
      <c r="EZ349" s="58"/>
      <c r="FA349" s="58"/>
      <c r="FB349" s="58"/>
      <c r="FC349" s="58"/>
      <c r="FD349" s="58"/>
      <c r="FE349" s="58"/>
      <c r="FF349" s="58"/>
      <c r="FG349" s="58"/>
      <c r="FH349" s="58"/>
      <c r="FI349" s="58"/>
      <c r="FJ349" s="58"/>
      <c r="FK349" s="58"/>
      <c r="FL349" s="58"/>
      <c r="FM349" s="58"/>
      <c r="FN349" s="58"/>
      <c r="FO349" s="58"/>
      <c r="FP349" s="58"/>
      <c r="FQ349" s="58"/>
      <c r="FR349" s="58"/>
      <c r="FS349" s="58"/>
      <c r="FT349" s="58"/>
      <c r="FU349" s="58"/>
      <c r="FV349" s="58"/>
      <c r="FW349" s="58"/>
      <c r="FX349" s="58"/>
      <c r="FY349" s="58"/>
      <c r="FZ349" s="58"/>
      <c r="GA349" s="58"/>
      <c r="GB349" s="58"/>
      <c r="GC349" s="58"/>
      <c r="GD349" s="58"/>
      <c r="GE349" s="58"/>
      <c r="GF349" s="58"/>
      <c r="GG349" s="58"/>
      <c r="GH349" s="58"/>
      <c r="GI349" s="58"/>
      <c r="GJ349" s="58"/>
      <c r="GK349" s="58"/>
      <c r="GL349" s="58"/>
      <c r="GM349" s="58"/>
      <c r="GN349" s="58"/>
      <c r="GO349" s="58"/>
      <c r="GP349" s="58"/>
      <c r="GQ349" s="58"/>
      <c r="GR349" s="58"/>
      <c r="GS349" s="58"/>
      <c r="GT349" s="58"/>
      <c r="GU349" s="58"/>
      <c r="GV349" s="58"/>
      <c r="GW349" s="58"/>
      <c r="GX349" s="58"/>
      <c r="GY349" s="58"/>
      <c r="GZ349" s="58"/>
      <c r="HA349" s="58"/>
      <c r="HB349" s="58"/>
      <c r="HC349" s="58"/>
      <c r="HD349" s="58"/>
      <c r="HE349" s="58"/>
      <c r="HF349" s="58"/>
      <c r="HG349" s="58"/>
      <c r="HH349" s="58"/>
      <c r="HI349" s="58"/>
      <c r="HJ349" s="58"/>
      <c r="HK349" s="58"/>
      <c r="HL349" s="58"/>
      <c r="HM349" s="58"/>
      <c r="HN349" s="58"/>
      <c r="HO349" s="58"/>
      <c r="HP349" s="58"/>
      <c r="HQ349" s="58"/>
      <c r="HR349" s="58"/>
      <c r="HS349" s="58"/>
      <c r="HT349" s="58"/>
      <c r="HU349" s="58"/>
      <c r="HV349" s="58"/>
      <c r="HW349" s="58"/>
      <c r="HX349" s="58"/>
      <c r="HY349" s="58"/>
      <c r="HZ349" s="58"/>
      <c r="IA349" s="58"/>
      <c r="IB349" s="58"/>
      <c r="IC349" s="58"/>
      <c r="ID349" s="58"/>
      <c r="IE349" s="58"/>
      <c r="IF349" s="58"/>
      <c r="IG349" s="58"/>
      <c r="IH349" s="58"/>
      <c r="II349" s="58"/>
      <c r="IJ349" s="58"/>
      <c r="IK349" s="58"/>
      <c r="IL349" s="58"/>
      <c r="IM349" s="58"/>
      <c r="IN349" s="58"/>
      <c r="IO349" s="58"/>
      <c r="IP349" s="58"/>
      <c r="IQ349" s="58"/>
      <c r="IR349" s="58"/>
      <c r="IS349" s="58"/>
      <c r="IT349" s="58"/>
      <c r="IU349" s="58"/>
      <c r="IV349" s="58"/>
      <c r="IW349" s="58"/>
    </row>
    <row r="350" customFormat="false" ht="12.75" hidden="false" customHeight="false" outlineLevel="0" collapsed="false">
      <c r="A350" s="5" t="n">
        <v>48</v>
      </c>
      <c r="B350" s="5" t="s">
        <v>308</v>
      </c>
      <c r="C350" s="153" t="n">
        <v>36763</v>
      </c>
      <c r="D350" s="58" t="s">
        <v>170</v>
      </c>
      <c r="E350" s="58" t="s">
        <v>89</v>
      </c>
      <c r="F350" s="58" t="s">
        <v>235</v>
      </c>
      <c r="G350" s="58" t="s">
        <v>239</v>
      </c>
      <c r="H350" s="154" t="n">
        <v>0</v>
      </c>
      <c r="I350" s="6" t="n">
        <f aca="false">+H350*K350</f>
        <v>0</v>
      </c>
      <c r="J350" s="155" t="n">
        <v>36800</v>
      </c>
      <c r="K350" s="156" t="n">
        <v>47500</v>
      </c>
      <c r="L350" s="157" t="s">
        <v>8</v>
      </c>
      <c r="M350" s="154" t="s">
        <v>306</v>
      </c>
      <c r="N350" s="158"/>
      <c r="O350" s="159" t="n">
        <f aca="false">0*K350</f>
        <v>0</v>
      </c>
      <c r="P350" s="58"/>
      <c r="Q350" s="160" t="n">
        <v>5.105</v>
      </c>
      <c r="R350" s="161"/>
      <c r="S350" s="58"/>
      <c r="T350" s="159" t="n">
        <v>0</v>
      </c>
      <c r="U350" s="162"/>
      <c r="V350" s="162"/>
      <c r="W350" s="58"/>
      <c r="X350" s="58"/>
      <c r="Y350" s="58"/>
      <c r="Z350" s="58"/>
      <c r="AA350" s="5"/>
      <c r="AB350" s="12" t="s">
        <v>245</v>
      </c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8"/>
      <c r="BS350" s="58"/>
      <c r="BT350" s="58"/>
      <c r="BU350" s="58"/>
      <c r="BV350" s="58"/>
      <c r="BW350" s="58"/>
      <c r="BX350" s="58"/>
      <c r="BY350" s="58"/>
      <c r="BZ350" s="58"/>
      <c r="CA350" s="58"/>
      <c r="CB350" s="58"/>
      <c r="CC350" s="58"/>
      <c r="CD350" s="58"/>
      <c r="CE350" s="58"/>
      <c r="CF350" s="58"/>
      <c r="CG350" s="58"/>
      <c r="CH350" s="58"/>
      <c r="CI350" s="58"/>
      <c r="CJ350" s="58"/>
      <c r="CK350" s="58"/>
      <c r="CL350" s="58"/>
      <c r="CM350" s="58"/>
      <c r="CN350" s="58"/>
      <c r="CO350" s="58"/>
      <c r="CP350" s="58"/>
      <c r="CQ350" s="58"/>
      <c r="CR350" s="58"/>
      <c r="CS350" s="58"/>
      <c r="CT350" s="58"/>
      <c r="CU350" s="58"/>
      <c r="CV350" s="58"/>
      <c r="CW350" s="58"/>
      <c r="CX350" s="58"/>
      <c r="CY350" s="58"/>
      <c r="CZ350" s="58"/>
      <c r="DA350" s="58"/>
      <c r="DB350" s="58"/>
      <c r="DC350" s="58"/>
      <c r="DD350" s="58"/>
      <c r="DE350" s="58"/>
      <c r="DF350" s="58"/>
      <c r="DG350" s="58"/>
      <c r="DH350" s="58"/>
      <c r="DI350" s="58"/>
      <c r="DJ350" s="58"/>
      <c r="DK350" s="58"/>
      <c r="DL350" s="58"/>
      <c r="DM350" s="58"/>
      <c r="DN350" s="58"/>
      <c r="DO350" s="58"/>
      <c r="DP350" s="58"/>
      <c r="DQ350" s="58"/>
      <c r="DR350" s="58"/>
      <c r="DS350" s="58"/>
      <c r="DT350" s="58"/>
      <c r="DU350" s="58"/>
      <c r="DV350" s="58"/>
      <c r="DW350" s="58"/>
      <c r="DX350" s="58"/>
      <c r="DY350" s="58"/>
      <c r="DZ350" s="58"/>
      <c r="EA350" s="58"/>
      <c r="EB350" s="58"/>
      <c r="EC350" s="58"/>
      <c r="ED350" s="58"/>
      <c r="EE350" s="58"/>
      <c r="EF350" s="58"/>
      <c r="EG350" s="58"/>
      <c r="EH350" s="58"/>
      <c r="EI350" s="58"/>
      <c r="EJ350" s="58"/>
      <c r="EK350" s="58"/>
      <c r="EL350" s="58"/>
      <c r="EM350" s="58"/>
      <c r="EN350" s="58"/>
      <c r="EO350" s="58"/>
      <c r="EP350" s="58"/>
      <c r="EQ350" s="58"/>
      <c r="ER350" s="58"/>
      <c r="ES350" s="58"/>
      <c r="ET350" s="58"/>
      <c r="EU350" s="58"/>
      <c r="EV350" s="58"/>
      <c r="EW350" s="58"/>
      <c r="EX350" s="58"/>
      <c r="EY350" s="58"/>
      <c r="EZ350" s="58"/>
      <c r="FA350" s="58"/>
      <c r="FB350" s="58"/>
      <c r="FC350" s="58"/>
      <c r="FD350" s="58"/>
      <c r="FE350" s="58"/>
      <c r="FF350" s="58"/>
      <c r="FG350" s="58"/>
      <c r="FH350" s="58"/>
      <c r="FI350" s="58"/>
      <c r="FJ350" s="58"/>
      <c r="FK350" s="58"/>
      <c r="FL350" s="58"/>
      <c r="FM350" s="58"/>
      <c r="FN350" s="58"/>
      <c r="FO350" s="58"/>
      <c r="FP350" s="58"/>
      <c r="FQ350" s="58"/>
      <c r="FR350" s="58"/>
      <c r="FS350" s="58"/>
      <c r="FT350" s="58"/>
      <c r="FU350" s="58"/>
      <c r="FV350" s="58"/>
      <c r="FW350" s="58"/>
      <c r="FX350" s="58"/>
      <c r="FY350" s="58"/>
      <c r="FZ350" s="58"/>
      <c r="GA350" s="58"/>
      <c r="GB350" s="58"/>
      <c r="GC350" s="58"/>
      <c r="GD350" s="58"/>
      <c r="GE350" s="58"/>
      <c r="GF350" s="58"/>
      <c r="GG350" s="58"/>
      <c r="GH350" s="58"/>
      <c r="GI350" s="58"/>
      <c r="GJ350" s="58"/>
      <c r="GK350" s="58"/>
      <c r="GL350" s="58"/>
      <c r="GM350" s="58"/>
      <c r="GN350" s="58"/>
      <c r="GO350" s="58"/>
      <c r="GP350" s="58"/>
      <c r="GQ350" s="58"/>
      <c r="GR350" s="58"/>
      <c r="GS350" s="58"/>
      <c r="GT350" s="58"/>
      <c r="GU350" s="58"/>
      <c r="GV350" s="58"/>
      <c r="GW350" s="58"/>
      <c r="GX350" s="58"/>
      <c r="GY350" s="58"/>
      <c r="GZ350" s="58"/>
      <c r="HA350" s="58"/>
      <c r="HB350" s="58"/>
      <c r="HC350" s="58"/>
      <c r="HD350" s="58"/>
      <c r="HE350" s="58"/>
      <c r="HF350" s="58"/>
      <c r="HG350" s="58"/>
      <c r="HH350" s="58"/>
      <c r="HI350" s="58"/>
      <c r="HJ350" s="58"/>
      <c r="HK350" s="58"/>
      <c r="HL350" s="58"/>
      <c r="HM350" s="58"/>
      <c r="HN350" s="58"/>
      <c r="HO350" s="58"/>
      <c r="HP350" s="58"/>
      <c r="HQ350" s="58"/>
      <c r="HR350" s="58"/>
      <c r="HS350" s="58"/>
      <c r="HT350" s="58"/>
      <c r="HU350" s="58"/>
      <c r="HV350" s="58"/>
      <c r="HW350" s="58"/>
      <c r="HX350" s="58"/>
      <c r="HY350" s="58"/>
      <c r="HZ350" s="58"/>
      <c r="IA350" s="58"/>
      <c r="IB350" s="58"/>
      <c r="IC350" s="58"/>
      <c r="ID350" s="58"/>
      <c r="IE350" s="58"/>
      <c r="IF350" s="58"/>
      <c r="IG350" s="58"/>
      <c r="IH350" s="58"/>
      <c r="II350" s="58"/>
      <c r="IJ350" s="58"/>
      <c r="IK350" s="58"/>
      <c r="IL350" s="58"/>
      <c r="IM350" s="58"/>
      <c r="IN350" s="58"/>
      <c r="IO350" s="58"/>
      <c r="IP350" s="58"/>
      <c r="IQ350" s="58"/>
      <c r="IR350" s="58"/>
      <c r="IS350" s="58"/>
      <c r="IT350" s="58"/>
      <c r="IU350" s="58"/>
      <c r="IV350" s="58"/>
      <c r="IW350" s="58"/>
    </row>
    <row r="351" customFormat="false" ht="12.75" hidden="false" customHeight="false" outlineLevel="0" collapsed="false">
      <c r="A351" s="5" t="n">
        <v>48</v>
      </c>
      <c r="B351" s="5" t="s">
        <v>308</v>
      </c>
      <c r="C351" s="153" t="n">
        <v>36763</v>
      </c>
      <c r="D351" s="58" t="s">
        <v>170</v>
      </c>
      <c r="E351" s="58" t="s">
        <v>89</v>
      </c>
      <c r="F351" s="58" t="s">
        <v>235</v>
      </c>
      <c r="G351" s="58" t="s">
        <v>239</v>
      </c>
      <c r="H351" s="154" t="n">
        <v>0</v>
      </c>
      <c r="I351" s="6" t="n">
        <f aca="false">+H351*K351</f>
        <v>0</v>
      </c>
      <c r="J351" s="155" t="n">
        <v>36831</v>
      </c>
      <c r="K351" s="156" t="n">
        <v>47500</v>
      </c>
      <c r="L351" s="157" t="s">
        <v>8</v>
      </c>
      <c r="M351" s="154" t="s">
        <v>306</v>
      </c>
      <c r="N351" s="158"/>
      <c r="O351" s="159" t="n">
        <f aca="false">0*K351</f>
        <v>0</v>
      </c>
      <c r="P351" s="58"/>
      <c r="Q351" s="160" t="n">
        <v>4.31</v>
      </c>
      <c r="R351" s="161"/>
      <c r="S351" s="58"/>
      <c r="T351" s="159" t="n">
        <v>0</v>
      </c>
      <c r="U351" s="162"/>
      <c r="V351" s="162"/>
      <c r="W351" s="58"/>
      <c r="X351" s="58"/>
      <c r="Y351" s="58"/>
      <c r="Z351" s="58"/>
      <c r="AA351" s="5"/>
      <c r="AB351" s="12" t="s">
        <v>245</v>
      </c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8"/>
      <c r="BS351" s="58"/>
      <c r="BT351" s="58"/>
      <c r="BU351" s="58"/>
      <c r="BV351" s="58"/>
      <c r="BW351" s="58"/>
      <c r="BX351" s="58"/>
      <c r="BY351" s="58"/>
      <c r="BZ351" s="58"/>
      <c r="CA351" s="58"/>
      <c r="CB351" s="58"/>
      <c r="CC351" s="58"/>
      <c r="CD351" s="58"/>
      <c r="CE351" s="58"/>
      <c r="CF351" s="58"/>
      <c r="CG351" s="58"/>
      <c r="CH351" s="58"/>
      <c r="CI351" s="58"/>
      <c r="CJ351" s="58"/>
      <c r="CK351" s="58"/>
      <c r="CL351" s="58"/>
      <c r="CM351" s="58"/>
      <c r="CN351" s="58"/>
      <c r="CO351" s="58"/>
      <c r="CP351" s="58"/>
      <c r="CQ351" s="58"/>
      <c r="CR351" s="58"/>
      <c r="CS351" s="58"/>
      <c r="CT351" s="58"/>
      <c r="CU351" s="58"/>
      <c r="CV351" s="58"/>
      <c r="CW351" s="58"/>
      <c r="CX351" s="58"/>
      <c r="CY351" s="58"/>
      <c r="CZ351" s="58"/>
      <c r="DA351" s="58"/>
      <c r="DB351" s="58"/>
      <c r="DC351" s="58"/>
      <c r="DD351" s="58"/>
      <c r="DE351" s="58"/>
      <c r="DF351" s="58"/>
      <c r="DG351" s="58"/>
      <c r="DH351" s="58"/>
      <c r="DI351" s="58"/>
      <c r="DJ351" s="58"/>
      <c r="DK351" s="58"/>
      <c r="DL351" s="58"/>
      <c r="DM351" s="58"/>
      <c r="DN351" s="58"/>
      <c r="DO351" s="58"/>
      <c r="DP351" s="58"/>
      <c r="DQ351" s="58"/>
      <c r="DR351" s="58"/>
      <c r="DS351" s="58"/>
      <c r="DT351" s="58"/>
      <c r="DU351" s="58"/>
      <c r="DV351" s="58"/>
      <c r="DW351" s="58"/>
      <c r="DX351" s="58"/>
      <c r="DY351" s="58"/>
      <c r="DZ351" s="58"/>
      <c r="EA351" s="58"/>
      <c r="EB351" s="58"/>
      <c r="EC351" s="58"/>
      <c r="ED351" s="58"/>
      <c r="EE351" s="58"/>
      <c r="EF351" s="58"/>
      <c r="EG351" s="58"/>
      <c r="EH351" s="58"/>
      <c r="EI351" s="58"/>
      <c r="EJ351" s="58"/>
      <c r="EK351" s="58"/>
      <c r="EL351" s="58"/>
      <c r="EM351" s="58"/>
      <c r="EN351" s="58"/>
      <c r="EO351" s="58"/>
      <c r="EP351" s="58"/>
      <c r="EQ351" s="58"/>
      <c r="ER351" s="58"/>
      <c r="ES351" s="58"/>
      <c r="ET351" s="58"/>
      <c r="EU351" s="58"/>
      <c r="EV351" s="58"/>
      <c r="EW351" s="58"/>
      <c r="EX351" s="58"/>
      <c r="EY351" s="58"/>
      <c r="EZ351" s="58"/>
      <c r="FA351" s="58"/>
      <c r="FB351" s="58"/>
      <c r="FC351" s="58"/>
      <c r="FD351" s="58"/>
      <c r="FE351" s="58"/>
      <c r="FF351" s="58"/>
      <c r="FG351" s="58"/>
      <c r="FH351" s="58"/>
      <c r="FI351" s="58"/>
      <c r="FJ351" s="58"/>
      <c r="FK351" s="58"/>
      <c r="FL351" s="58"/>
      <c r="FM351" s="58"/>
      <c r="FN351" s="58"/>
      <c r="FO351" s="58"/>
      <c r="FP351" s="58"/>
      <c r="FQ351" s="58"/>
      <c r="FR351" s="58"/>
      <c r="FS351" s="58"/>
      <c r="FT351" s="58"/>
      <c r="FU351" s="58"/>
      <c r="FV351" s="58"/>
      <c r="FW351" s="58"/>
      <c r="FX351" s="58"/>
      <c r="FY351" s="58"/>
      <c r="FZ351" s="58"/>
      <c r="GA351" s="58"/>
      <c r="GB351" s="58"/>
      <c r="GC351" s="58"/>
      <c r="GD351" s="58"/>
      <c r="GE351" s="58"/>
      <c r="GF351" s="58"/>
      <c r="GG351" s="58"/>
      <c r="GH351" s="58"/>
      <c r="GI351" s="58"/>
      <c r="GJ351" s="58"/>
      <c r="GK351" s="58"/>
      <c r="GL351" s="58"/>
      <c r="GM351" s="58"/>
      <c r="GN351" s="58"/>
      <c r="GO351" s="58"/>
      <c r="GP351" s="58"/>
      <c r="GQ351" s="58"/>
      <c r="GR351" s="58"/>
      <c r="GS351" s="58"/>
      <c r="GT351" s="58"/>
      <c r="GU351" s="58"/>
      <c r="GV351" s="58"/>
      <c r="GW351" s="58"/>
      <c r="GX351" s="58"/>
      <c r="GY351" s="58"/>
      <c r="GZ351" s="58"/>
      <c r="HA351" s="58"/>
      <c r="HB351" s="58"/>
      <c r="HC351" s="58"/>
      <c r="HD351" s="58"/>
      <c r="HE351" s="58"/>
      <c r="HF351" s="58"/>
      <c r="HG351" s="58"/>
      <c r="HH351" s="58"/>
      <c r="HI351" s="58"/>
      <c r="HJ351" s="58"/>
      <c r="HK351" s="58"/>
      <c r="HL351" s="58"/>
      <c r="HM351" s="58"/>
      <c r="HN351" s="58"/>
      <c r="HO351" s="58"/>
      <c r="HP351" s="58"/>
      <c r="HQ351" s="58"/>
      <c r="HR351" s="58"/>
      <c r="HS351" s="58"/>
      <c r="HT351" s="58"/>
      <c r="HU351" s="58"/>
      <c r="HV351" s="58"/>
      <c r="HW351" s="58"/>
      <c r="HX351" s="58"/>
      <c r="HY351" s="58"/>
      <c r="HZ351" s="58"/>
      <c r="IA351" s="58"/>
      <c r="IB351" s="58"/>
      <c r="IC351" s="58"/>
      <c r="ID351" s="58"/>
      <c r="IE351" s="58"/>
      <c r="IF351" s="58"/>
      <c r="IG351" s="58"/>
      <c r="IH351" s="58"/>
      <c r="II351" s="58"/>
      <c r="IJ351" s="58"/>
      <c r="IK351" s="58"/>
      <c r="IL351" s="58"/>
      <c r="IM351" s="58"/>
      <c r="IN351" s="58"/>
      <c r="IO351" s="58"/>
      <c r="IP351" s="58"/>
      <c r="IQ351" s="58"/>
      <c r="IR351" s="58"/>
      <c r="IS351" s="58"/>
      <c r="IT351" s="58"/>
      <c r="IU351" s="58"/>
      <c r="IV351" s="58"/>
      <c r="IW351" s="58"/>
    </row>
    <row r="352" customFormat="false" ht="12.75" hidden="false" customHeight="false" outlineLevel="0" collapsed="false">
      <c r="A352" s="5" t="n">
        <v>48</v>
      </c>
      <c r="B352" s="5" t="s">
        <v>308</v>
      </c>
      <c r="C352" s="153" t="n">
        <v>36763</v>
      </c>
      <c r="D352" s="58" t="s">
        <v>170</v>
      </c>
      <c r="E352" s="58" t="s">
        <v>89</v>
      </c>
      <c r="F352" s="58" t="s">
        <v>235</v>
      </c>
      <c r="G352" s="58" t="s">
        <v>239</v>
      </c>
      <c r="H352" s="154" t="n">
        <v>0</v>
      </c>
      <c r="I352" s="6" t="n">
        <f aca="false">+H352*K352</f>
        <v>0</v>
      </c>
      <c r="J352" s="155" t="n">
        <v>36861</v>
      </c>
      <c r="K352" s="156" t="n">
        <v>47500</v>
      </c>
      <c r="L352" s="157" t="s">
        <v>8</v>
      </c>
      <c r="M352" s="154" t="s">
        <v>306</v>
      </c>
      <c r="N352" s="158"/>
      <c r="O352" s="159" t="n">
        <f aca="false">0*K352</f>
        <v>0</v>
      </c>
      <c r="P352" s="58"/>
      <c r="Q352" s="160" t="n">
        <v>5.775</v>
      </c>
      <c r="R352" s="161"/>
      <c r="S352" s="58"/>
      <c r="T352" s="159" t="n">
        <v>0</v>
      </c>
      <c r="U352" s="162"/>
      <c r="V352" s="162"/>
      <c r="W352" s="58"/>
      <c r="X352" s="58"/>
      <c r="Y352" s="58"/>
      <c r="Z352" s="58"/>
      <c r="AA352" s="5"/>
      <c r="AB352" s="12" t="s">
        <v>245</v>
      </c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8"/>
      <c r="BS352" s="58"/>
      <c r="BT352" s="58"/>
      <c r="BU352" s="58"/>
      <c r="BV352" s="58"/>
      <c r="BW352" s="58"/>
      <c r="BX352" s="58"/>
      <c r="BY352" s="58"/>
      <c r="BZ352" s="58"/>
      <c r="CA352" s="58"/>
      <c r="CB352" s="58"/>
      <c r="CC352" s="58"/>
      <c r="CD352" s="58"/>
      <c r="CE352" s="58"/>
      <c r="CF352" s="58"/>
      <c r="CG352" s="58"/>
      <c r="CH352" s="58"/>
      <c r="CI352" s="58"/>
      <c r="CJ352" s="58"/>
      <c r="CK352" s="58"/>
      <c r="CL352" s="58"/>
      <c r="CM352" s="58"/>
      <c r="CN352" s="58"/>
      <c r="CO352" s="58"/>
      <c r="CP352" s="58"/>
      <c r="CQ352" s="58"/>
      <c r="CR352" s="58"/>
      <c r="CS352" s="58"/>
      <c r="CT352" s="58"/>
      <c r="CU352" s="58"/>
      <c r="CV352" s="58"/>
      <c r="CW352" s="58"/>
      <c r="CX352" s="58"/>
      <c r="CY352" s="58"/>
      <c r="CZ352" s="58"/>
      <c r="DA352" s="58"/>
      <c r="DB352" s="58"/>
      <c r="DC352" s="58"/>
      <c r="DD352" s="58"/>
      <c r="DE352" s="58"/>
      <c r="DF352" s="58"/>
      <c r="DG352" s="58"/>
      <c r="DH352" s="58"/>
      <c r="DI352" s="58"/>
      <c r="DJ352" s="58"/>
      <c r="DK352" s="58"/>
      <c r="DL352" s="58"/>
      <c r="DM352" s="58"/>
      <c r="DN352" s="58"/>
      <c r="DO352" s="58"/>
      <c r="DP352" s="58"/>
      <c r="DQ352" s="58"/>
      <c r="DR352" s="58"/>
      <c r="DS352" s="58"/>
      <c r="DT352" s="58"/>
      <c r="DU352" s="58"/>
      <c r="DV352" s="58"/>
      <c r="DW352" s="58"/>
      <c r="DX352" s="58"/>
      <c r="DY352" s="58"/>
      <c r="DZ352" s="58"/>
      <c r="EA352" s="58"/>
      <c r="EB352" s="58"/>
      <c r="EC352" s="58"/>
      <c r="ED352" s="58"/>
      <c r="EE352" s="58"/>
      <c r="EF352" s="58"/>
      <c r="EG352" s="58"/>
      <c r="EH352" s="58"/>
      <c r="EI352" s="58"/>
      <c r="EJ352" s="58"/>
      <c r="EK352" s="58"/>
      <c r="EL352" s="58"/>
      <c r="EM352" s="58"/>
      <c r="EN352" s="58"/>
      <c r="EO352" s="58"/>
      <c r="EP352" s="58"/>
      <c r="EQ352" s="58"/>
      <c r="ER352" s="58"/>
      <c r="ES352" s="58"/>
      <c r="ET352" s="58"/>
      <c r="EU352" s="58"/>
      <c r="EV352" s="58"/>
      <c r="EW352" s="58"/>
      <c r="EX352" s="58"/>
      <c r="EY352" s="58"/>
      <c r="EZ352" s="58"/>
      <c r="FA352" s="58"/>
      <c r="FB352" s="58"/>
      <c r="FC352" s="58"/>
      <c r="FD352" s="58"/>
      <c r="FE352" s="58"/>
      <c r="FF352" s="58"/>
      <c r="FG352" s="58"/>
      <c r="FH352" s="58"/>
      <c r="FI352" s="58"/>
      <c r="FJ352" s="58"/>
      <c r="FK352" s="58"/>
      <c r="FL352" s="58"/>
      <c r="FM352" s="58"/>
      <c r="FN352" s="58"/>
      <c r="FO352" s="58"/>
      <c r="FP352" s="58"/>
      <c r="FQ352" s="58"/>
      <c r="FR352" s="58"/>
      <c r="FS352" s="58"/>
      <c r="FT352" s="58"/>
      <c r="FU352" s="58"/>
      <c r="FV352" s="58"/>
      <c r="FW352" s="58"/>
      <c r="FX352" s="58"/>
      <c r="FY352" s="58"/>
      <c r="FZ352" s="58"/>
      <c r="GA352" s="58"/>
      <c r="GB352" s="58"/>
      <c r="GC352" s="58"/>
      <c r="GD352" s="58"/>
      <c r="GE352" s="58"/>
      <c r="GF352" s="58"/>
      <c r="GG352" s="58"/>
      <c r="GH352" s="58"/>
      <c r="GI352" s="58"/>
      <c r="GJ352" s="58"/>
      <c r="GK352" s="58"/>
      <c r="GL352" s="58"/>
      <c r="GM352" s="58"/>
      <c r="GN352" s="58"/>
      <c r="GO352" s="58"/>
      <c r="GP352" s="58"/>
      <c r="GQ352" s="58"/>
      <c r="GR352" s="58"/>
      <c r="GS352" s="58"/>
      <c r="GT352" s="58"/>
      <c r="GU352" s="58"/>
      <c r="GV352" s="58"/>
      <c r="GW352" s="58"/>
      <c r="GX352" s="58"/>
      <c r="GY352" s="58"/>
      <c r="GZ352" s="58"/>
      <c r="HA352" s="58"/>
      <c r="HB352" s="58"/>
      <c r="HC352" s="58"/>
      <c r="HD352" s="58"/>
      <c r="HE352" s="58"/>
      <c r="HF352" s="58"/>
      <c r="HG352" s="58"/>
      <c r="HH352" s="58"/>
      <c r="HI352" s="58"/>
      <c r="HJ352" s="58"/>
      <c r="HK352" s="58"/>
      <c r="HL352" s="58"/>
      <c r="HM352" s="58"/>
      <c r="HN352" s="58"/>
      <c r="HO352" s="58"/>
      <c r="HP352" s="58"/>
      <c r="HQ352" s="58"/>
      <c r="HR352" s="58"/>
      <c r="HS352" s="58"/>
      <c r="HT352" s="58"/>
      <c r="HU352" s="58"/>
      <c r="HV352" s="58"/>
      <c r="HW352" s="58"/>
      <c r="HX352" s="58"/>
      <c r="HY352" s="58"/>
      <c r="HZ352" s="58"/>
      <c r="IA352" s="58"/>
      <c r="IB352" s="58"/>
      <c r="IC352" s="58"/>
      <c r="ID352" s="58"/>
      <c r="IE352" s="58"/>
      <c r="IF352" s="58"/>
      <c r="IG352" s="58"/>
      <c r="IH352" s="58"/>
      <c r="II352" s="58"/>
      <c r="IJ352" s="58"/>
      <c r="IK352" s="58"/>
      <c r="IL352" s="58"/>
      <c r="IM352" s="58"/>
      <c r="IN352" s="58"/>
      <c r="IO352" s="58"/>
      <c r="IP352" s="58"/>
      <c r="IQ352" s="58"/>
      <c r="IR352" s="58"/>
      <c r="IS352" s="58"/>
      <c r="IT352" s="58"/>
      <c r="IU352" s="58"/>
      <c r="IV352" s="58"/>
      <c r="IW352" s="58"/>
    </row>
    <row r="353" customFormat="false" ht="12.75" hidden="false" customHeight="false" outlineLevel="0" collapsed="false">
      <c r="A353" s="5" t="n">
        <v>48</v>
      </c>
      <c r="B353" s="5" t="s">
        <v>308</v>
      </c>
      <c r="C353" s="153" t="n">
        <v>36763</v>
      </c>
      <c r="D353" s="58" t="s">
        <v>170</v>
      </c>
      <c r="E353" s="58" t="s">
        <v>89</v>
      </c>
      <c r="F353" s="58" t="s">
        <v>235</v>
      </c>
      <c r="G353" s="58" t="s">
        <v>239</v>
      </c>
      <c r="H353" s="154" t="n">
        <v>0</v>
      </c>
      <c r="I353" s="6" t="n">
        <f aca="false">+H353*K353</f>
        <v>0</v>
      </c>
      <c r="J353" s="155" t="n">
        <v>36892</v>
      </c>
      <c r="K353" s="156" t="n">
        <v>47500</v>
      </c>
      <c r="L353" s="157" t="s">
        <v>8</v>
      </c>
      <c r="M353" s="154" t="s">
        <v>306</v>
      </c>
      <c r="N353" s="158"/>
      <c r="O353" s="159" t="n">
        <f aca="false">0*K353</f>
        <v>0</v>
      </c>
      <c r="P353" s="58"/>
      <c r="Q353" s="135" t="n">
        <v>9.565</v>
      </c>
      <c r="R353" s="161"/>
      <c r="S353" s="58"/>
      <c r="T353" s="134" t="n">
        <f aca="false">(8.22-Q353)*K353</f>
        <v>-63887.5</v>
      </c>
      <c r="U353" s="162"/>
      <c r="V353" s="162"/>
      <c r="W353" s="58"/>
      <c r="X353" s="58"/>
      <c r="Y353" s="58"/>
      <c r="Z353" s="58"/>
      <c r="AA353" s="5"/>
      <c r="AB353" s="12" t="s">
        <v>245</v>
      </c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8"/>
      <c r="BS353" s="58"/>
      <c r="BT353" s="58"/>
      <c r="BU353" s="58"/>
      <c r="BV353" s="58"/>
      <c r="BW353" s="58"/>
      <c r="BX353" s="58"/>
      <c r="BY353" s="58"/>
      <c r="BZ353" s="58"/>
      <c r="CA353" s="58"/>
      <c r="CB353" s="58"/>
      <c r="CC353" s="58"/>
      <c r="CD353" s="58"/>
      <c r="CE353" s="58"/>
      <c r="CF353" s="58"/>
      <c r="CG353" s="58"/>
      <c r="CH353" s="58"/>
      <c r="CI353" s="58"/>
      <c r="CJ353" s="58"/>
      <c r="CK353" s="58"/>
      <c r="CL353" s="58"/>
      <c r="CM353" s="58"/>
      <c r="CN353" s="58"/>
      <c r="CO353" s="58"/>
      <c r="CP353" s="58"/>
      <c r="CQ353" s="58"/>
      <c r="CR353" s="58"/>
      <c r="CS353" s="58"/>
      <c r="CT353" s="58"/>
      <c r="CU353" s="58"/>
      <c r="CV353" s="58"/>
      <c r="CW353" s="58"/>
      <c r="CX353" s="58"/>
      <c r="CY353" s="58"/>
      <c r="CZ353" s="58"/>
      <c r="DA353" s="58"/>
      <c r="DB353" s="58"/>
      <c r="DC353" s="58"/>
      <c r="DD353" s="58"/>
      <c r="DE353" s="58"/>
      <c r="DF353" s="58"/>
      <c r="DG353" s="58"/>
      <c r="DH353" s="58"/>
      <c r="DI353" s="58"/>
      <c r="DJ353" s="58"/>
      <c r="DK353" s="58"/>
      <c r="DL353" s="58"/>
      <c r="DM353" s="58"/>
      <c r="DN353" s="58"/>
      <c r="DO353" s="58"/>
      <c r="DP353" s="58"/>
      <c r="DQ353" s="58"/>
      <c r="DR353" s="58"/>
      <c r="DS353" s="58"/>
      <c r="DT353" s="58"/>
      <c r="DU353" s="58"/>
      <c r="DV353" s="58"/>
      <c r="DW353" s="58"/>
      <c r="DX353" s="58"/>
      <c r="DY353" s="58"/>
      <c r="DZ353" s="58"/>
      <c r="EA353" s="58"/>
      <c r="EB353" s="58"/>
      <c r="EC353" s="58"/>
      <c r="ED353" s="58"/>
      <c r="EE353" s="58"/>
      <c r="EF353" s="58"/>
      <c r="EG353" s="58"/>
      <c r="EH353" s="58"/>
      <c r="EI353" s="58"/>
      <c r="EJ353" s="58"/>
      <c r="EK353" s="58"/>
      <c r="EL353" s="58"/>
      <c r="EM353" s="58"/>
      <c r="EN353" s="58"/>
      <c r="EO353" s="58"/>
      <c r="EP353" s="58"/>
      <c r="EQ353" s="58"/>
      <c r="ER353" s="58"/>
      <c r="ES353" s="58"/>
      <c r="ET353" s="58"/>
      <c r="EU353" s="58"/>
      <c r="EV353" s="58"/>
      <c r="EW353" s="58"/>
      <c r="EX353" s="58"/>
      <c r="EY353" s="58"/>
      <c r="EZ353" s="58"/>
      <c r="FA353" s="58"/>
      <c r="FB353" s="58"/>
      <c r="FC353" s="58"/>
      <c r="FD353" s="58"/>
      <c r="FE353" s="58"/>
      <c r="FF353" s="58"/>
      <c r="FG353" s="58"/>
      <c r="FH353" s="58"/>
      <c r="FI353" s="58"/>
      <c r="FJ353" s="58"/>
      <c r="FK353" s="58"/>
      <c r="FL353" s="58"/>
      <c r="FM353" s="58"/>
      <c r="FN353" s="58"/>
      <c r="FO353" s="58"/>
      <c r="FP353" s="58"/>
      <c r="FQ353" s="58"/>
      <c r="FR353" s="58"/>
      <c r="FS353" s="58"/>
      <c r="FT353" s="58"/>
      <c r="FU353" s="58"/>
      <c r="FV353" s="58"/>
      <c r="FW353" s="58"/>
      <c r="FX353" s="58"/>
      <c r="FY353" s="58"/>
      <c r="FZ353" s="58"/>
      <c r="GA353" s="58"/>
      <c r="GB353" s="58"/>
      <c r="GC353" s="58"/>
      <c r="GD353" s="58"/>
      <c r="GE353" s="58"/>
      <c r="GF353" s="58"/>
      <c r="GG353" s="58"/>
      <c r="GH353" s="58"/>
      <c r="GI353" s="58"/>
      <c r="GJ353" s="58"/>
      <c r="GK353" s="58"/>
      <c r="GL353" s="58"/>
      <c r="GM353" s="58"/>
      <c r="GN353" s="58"/>
      <c r="GO353" s="58"/>
      <c r="GP353" s="58"/>
      <c r="GQ353" s="58"/>
      <c r="GR353" s="58"/>
      <c r="GS353" s="58"/>
      <c r="GT353" s="58"/>
      <c r="GU353" s="58"/>
      <c r="GV353" s="58"/>
      <c r="GW353" s="58"/>
      <c r="GX353" s="58"/>
      <c r="GY353" s="58"/>
      <c r="GZ353" s="58"/>
      <c r="HA353" s="58"/>
      <c r="HB353" s="58"/>
      <c r="HC353" s="58"/>
      <c r="HD353" s="58"/>
      <c r="HE353" s="58"/>
      <c r="HF353" s="58"/>
      <c r="HG353" s="58"/>
      <c r="HH353" s="58"/>
      <c r="HI353" s="58"/>
      <c r="HJ353" s="58"/>
      <c r="HK353" s="58"/>
      <c r="HL353" s="58"/>
      <c r="HM353" s="58"/>
      <c r="HN353" s="58"/>
      <c r="HO353" s="58"/>
      <c r="HP353" s="58"/>
      <c r="HQ353" s="58"/>
      <c r="HR353" s="58"/>
      <c r="HS353" s="58"/>
      <c r="HT353" s="58"/>
      <c r="HU353" s="58"/>
      <c r="HV353" s="58"/>
      <c r="HW353" s="58"/>
      <c r="HX353" s="58"/>
      <c r="HY353" s="58"/>
      <c r="HZ353" s="58"/>
      <c r="IA353" s="58"/>
      <c r="IB353" s="58"/>
      <c r="IC353" s="58"/>
      <c r="ID353" s="58"/>
      <c r="IE353" s="58"/>
      <c r="IF353" s="58"/>
      <c r="IG353" s="58"/>
      <c r="IH353" s="58"/>
      <c r="II353" s="58"/>
      <c r="IJ353" s="58"/>
      <c r="IK353" s="58"/>
      <c r="IL353" s="58"/>
      <c r="IM353" s="58"/>
      <c r="IN353" s="58"/>
      <c r="IO353" s="58"/>
      <c r="IP353" s="58"/>
      <c r="IQ353" s="58"/>
      <c r="IR353" s="58"/>
      <c r="IS353" s="58"/>
      <c r="IT353" s="58"/>
      <c r="IU353" s="58"/>
      <c r="IV353" s="58"/>
      <c r="IW353" s="58"/>
    </row>
    <row r="354" customFormat="false" ht="12.75" hidden="false" customHeight="false" outlineLevel="0" collapsed="false">
      <c r="A354" s="5" t="n">
        <v>48</v>
      </c>
      <c r="B354" s="5" t="s">
        <v>308</v>
      </c>
      <c r="C354" s="153" t="n">
        <v>36763</v>
      </c>
      <c r="D354" s="58" t="s">
        <v>170</v>
      </c>
      <c r="E354" s="58" t="s">
        <v>89</v>
      </c>
      <c r="F354" s="58" t="s">
        <v>235</v>
      </c>
      <c r="G354" s="58" t="s">
        <v>239</v>
      </c>
      <c r="H354" s="154" t="n">
        <v>0</v>
      </c>
      <c r="I354" s="6" t="n">
        <f aca="false">+H354*K354</f>
        <v>0</v>
      </c>
      <c r="J354" s="155" t="n">
        <v>36923</v>
      </c>
      <c r="K354" s="156" t="n">
        <v>47500</v>
      </c>
      <c r="L354" s="157" t="s">
        <v>8</v>
      </c>
      <c r="M354" s="154" t="s">
        <v>306</v>
      </c>
      <c r="N354" s="158"/>
      <c r="O354" s="159" t="n">
        <f aca="false">0*K354</f>
        <v>0</v>
      </c>
      <c r="P354" s="58"/>
      <c r="Q354" s="160"/>
      <c r="R354" s="161"/>
      <c r="S354" s="58"/>
      <c r="T354" s="159"/>
      <c r="U354" s="162"/>
      <c r="V354" s="162"/>
      <c r="W354" s="58"/>
      <c r="X354" s="58"/>
      <c r="Y354" s="58"/>
      <c r="Z354" s="58"/>
      <c r="AA354" s="5"/>
      <c r="AB354" s="12" t="s">
        <v>245</v>
      </c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  <c r="EJ354" s="58"/>
      <c r="EK354" s="58"/>
      <c r="EL354" s="58"/>
      <c r="EM354" s="58"/>
      <c r="EN354" s="58"/>
      <c r="EO354" s="58"/>
      <c r="EP354" s="58"/>
      <c r="EQ354" s="58"/>
      <c r="ER354" s="58"/>
      <c r="ES354" s="58"/>
      <c r="ET354" s="58"/>
      <c r="EU354" s="58"/>
      <c r="EV354" s="58"/>
      <c r="EW354" s="58"/>
      <c r="EX354" s="58"/>
      <c r="EY354" s="58"/>
      <c r="EZ354" s="58"/>
      <c r="FA354" s="58"/>
      <c r="FB354" s="58"/>
      <c r="FC354" s="58"/>
      <c r="FD354" s="58"/>
      <c r="FE354" s="58"/>
      <c r="FF354" s="58"/>
      <c r="FG354" s="58"/>
      <c r="FH354" s="58"/>
      <c r="FI354" s="58"/>
      <c r="FJ354" s="58"/>
      <c r="FK354" s="58"/>
      <c r="FL354" s="58"/>
      <c r="FM354" s="58"/>
      <c r="FN354" s="58"/>
      <c r="FO354" s="58"/>
      <c r="FP354" s="58"/>
      <c r="FQ354" s="58"/>
      <c r="FR354" s="58"/>
      <c r="FS354" s="58"/>
      <c r="FT354" s="58"/>
      <c r="FU354" s="58"/>
      <c r="FV354" s="58"/>
      <c r="FW354" s="58"/>
      <c r="FX354" s="58"/>
      <c r="FY354" s="58"/>
      <c r="FZ354" s="58"/>
      <c r="GA354" s="58"/>
      <c r="GB354" s="58"/>
      <c r="GC354" s="58"/>
      <c r="GD354" s="58"/>
      <c r="GE354" s="58"/>
      <c r="GF354" s="58"/>
      <c r="GG354" s="58"/>
      <c r="GH354" s="58"/>
      <c r="GI354" s="58"/>
      <c r="GJ354" s="58"/>
      <c r="GK354" s="58"/>
      <c r="GL354" s="58"/>
      <c r="GM354" s="58"/>
      <c r="GN354" s="58"/>
      <c r="GO354" s="58"/>
      <c r="GP354" s="58"/>
      <c r="GQ354" s="58"/>
      <c r="GR354" s="58"/>
      <c r="GS354" s="58"/>
      <c r="GT354" s="58"/>
      <c r="GU354" s="58"/>
      <c r="GV354" s="58"/>
      <c r="GW354" s="58"/>
      <c r="GX354" s="58"/>
      <c r="GY354" s="58"/>
      <c r="GZ354" s="58"/>
      <c r="HA354" s="58"/>
      <c r="HB354" s="58"/>
      <c r="HC354" s="58"/>
      <c r="HD354" s="58"/>
      <c r="HE354" s="58"/>
      <c r="HF354" s="58"/>
      <c r="HG354" s="58"/>
      <c r="HH354" s="58"/>
      <c r="HI354" s="58"/>
      <c r="HJ354" s="58"/>
      <c r="HK354" s="58"/>
      <c r="HL354" s="58"/>
      <c r="HM354" s="58"/>
      <c r="HN354" s="58"/>
      <c r="HO354" s="58"/>
      <c r="HP354" s="58"/>
      <c r="HQ354" s="58"/>
      <c r="HR354" s="58"/>
      <c r="HS354" s="58"/>
      <c r="HT354" s="58"/>
      <c r="HU354" s="58"/>
      <c r="HV354" s="58"/>
      <c r="HW354" s="58"/>
      <c r="HX354" s="58"/>
      <c r="HY354" s="58"/>
      <c r="HZ354" s="58"/>
      <c r="IA354" s="58"/>
      <c r="IB354" s="58"/>
      <c r="IC354" s="58"/>
      <c r="ID354" s="58"/>
      <c r="IE354" s="58"/>
      <c r="IF354" s="58"/>
      <c r="IG354" s="58"/>
      <c r="IH354" s="58"/>
      <c r="II354" s="58"/>
      <c r="IJ354" s="58"/>
      <c r="IK354" s="58"/>
      <c r="IL354" s="58"/>
      <c r="IM354" s="58"/>
      <c r="IN354" s="58"/>
      <c r="IO354" s="58"/>
      <c r="IP354" s="58"/>
      <c r="IQ354" s="58"/>
      <c r="IR354" s="58"/>
      <c r="IS354" s="58"/>
      <c r="IT354" s="58"/>
      <c r="IU354" s="58"/>
      <c r="IV354" s="58"/>
      <c r="IW354" s="58"/>
    </row>
    <row r="356" customFormat="false" ht="12.75" hidden="false" customHeight="false" outlineLevel="0" collapsed="false">
      <c r="A356" s="10" t="n">
        <v>49</v>
      </c>
      <c r="B356" s="10" t="s">
        <v>309</v>
      </c>
      <c r="C356" s="62" t="n">
        <v>36763</v>
      </c>
      <c r="D356" s="12" t="s">
        <v>136</v>
      </c>
      <c r="E356" s="12" t="s">
        <v>89</v>
      </c>
      <c r="F356" s="12" t="s">
        <v>235</v>
      </c>
      <c r="G356" s="12" t="s">
        <v>236</v>
      </c>
      <c r="H356" s="63" t="n">
        <v>0</v>
      </c>
      <c r="I356" s="14" t="n">
        <f aca="false">+H356*K356</f>
        <v>0</v>
      </c>
      <c r="J356" s="85" t="n">
        <v>36770</v>
      </c>
      <c r="K356" s="13" t="n">
        <v>180000</v>
      </c>
      <c r="L356" s="38" t="s">
        <v>8</v>
      </c>
      <c r="M356" s="63" t="n">
        <v>4.51</v>
      </c>
      <c r="N356" s="133" t="n">
        <f aca="false">K356*M356</f>
        <v>811800</v>
      </c>
      <c r="O356" s="134" t="n">
        <f aca="false">0.0058*K356</f>
        <v>1044</v>
      </c>
      <c r="Q356" s="135" t="n">
        <v>4.45</v>
      </c>
      <c r="T356" s="134" t="n">
        <f aca="false">(M356-Q356)*K356</f>
        <v>10799.9999999999</v>
      </c>
      <c r="Y356" s="12" t="s">
        <v>102</v>
      </c>
      <c r="AA356" s="10" t="s">
        <v>94</v>
      </c>
      <c r="AB356" s="12" t="s">
        <v>95</v>
      </c>
    </row>
    <row r="357" customFormat="false" ht="12.75" hidden="false" customHeight="false" outlineLevel="0" collapsed="false">
      <c r="A357" s="10" t="n">
        <v>49</v>
      </c>
      <c r="B357" s="10" t="s">
        <v>309</v>
      </c>
      <c r="C357" s="62" t="n">
        <v>36763</v>
      </c>
      <c r="D357" s="12" t="s">
        <v>136</v>
      </c>
      <c r="E357" s="12" t="s">
        <v>89</v>
      </c>
      <c r="F357" s="12" t="s">
        <v>235</v>
      </c>
      <c r="G357" s="12" t="s">
        <v>236</v>
      </c>
      <c r="H357" s="63" t="n">
        <v>0</v>
      </c>
      <c r="I357" s="14" t="n">
        <f aca="false">+H357*K357</f>
        <v>0</v>
      </c>
      <c r="J357" s="85" t="n">
        <v>36800</v>
      </c>
      <c r="K357" s="13" t="n">
        <v>200000</v>
      </c>
      <c r="L357" s="38" t="s">
        <v>8</v>
      </c>
      <c r="M357" s="63" t="n">
        <v>4.51</v>
      </c>
      <c r="N357" s="133" t="n">
        <f aca="false">K357*M357</f>
        <v>902000</v>
      </c>
      <c r="O357" s="134" t="n">
        <f aca="false">0.0058*K357</f>
        <v>1160</v>
      </c>
      <c r="Q357" s="135" t="n">
        <v>5.105</v>
      </c>
      <c r="T357" s="134" t="n">
        <f aca="false">(M357-Q357)*K357</f>
        <v>-119000</v>
      </c>
      <c r="AA357" s="10" t="s">
        <v>94</v>
      </c>
      <c r="AB357" s="12" t="s">
        <v>95</v>
      </c>
    </row>
    <row r="358" customFormat="false" ht="12.75" hidden="false" customHeight="false" outlineLevel="0" collapsed="false">
      <c r="A358" s="10" t="n">
        <v>49</v>
      </c>
      <c r="B358" s="10" t="s">
        <v>309</v>
      </c>
      <c r="C358" s="62" t="n">
        <v>36763</v>
      </c>
      <c r="D358" s="12" t="s">
        <v>136</v>
      </c>
      <c r="E358" s="12" t="s">
        <v>89</v>
      </c>
      <c r="F358" s="12" t="s">
        <v>235</v>
      </c>
      <c r="G358" s="12" t="s">
        <v>236</v>
      </c>
      <c r="H358" s="63" t="n">
        <v>0</v>
      </c>
      <c r="I358" s="14" t="n">
        <f aca="false">+H358*K358</f>
        <v>0</v>
      </c>
      <c r="J358" s="85" t="n">
        <v>36831</v>
      </c>
      <c r="K358" s="13" t="n">
        <v>220000</v>
      </c>
      <c r="L358" s="38" t="s">
        <v>8</v>
      </c>
      <c r="M358" s="63" t="n">
        <v>4.51</v>
      </c>
      <c r="N358" s="133" t="n">
        <f aca="false">K358*M358</f>
        <v>992200</v>
      </c>
      <c r="O358" s="134" t="n">
        <f aca="false">0.0058*K358</f>
        <v>1276</v>
      </c>
      <c r="Q358" s="135" t="n">
        <v>4.31</v>
      </c>
      <c r="T358" s="134" t="n">
        <f aca="false">(M358-Q358)*K358</f>
        <v>44000</v>
      </c>
      <c r="AA358" s="10" t="s">
        <v>94</v>
      </c>
      <c r="AB358" s="12" t="s">
        <v>95</v>
      </c>
    </row>
    <row r="359" customFormat="false" ht="12.75" hidden="false" customHeight="false" outlineLevel="0" collapsed="false">
      <c r="A359" s="10" t="n">
        <v>49</v>
      </c>
      <c r="B359" s="10" t="s">
        <v>309</v>
      </c>
      <c r="C359" s="62" t="n">
        <v>36763</v>
      </c>
      <c r="D359" s="12" t="s">
        <v>136</v>
      </c>
      <c r="E359" s="12" t="s">
        <v>89</v>
      </c>
      <c r="F359" s="12" t="s">
        <v>235</v>
      </c>
      <c r="G359" s="12" t="s">
        <v>236</v>
      </c>
      <c r="H359" s="63" t="n">
        <v>0</v>
      </c>
      <c r="I359" s="14" t="n">
        <f aca="false">+H359*K359</f>
        <v>0</v>
      </c>
      <c r="J359" s="85" t="n">
        <v>36861</v>
      </c>
      <c r="K359" s="13" t="n">
        <v>260000</v>
      </c>
      <c r="L359" s="38" t="s">
        <v>8</v>
      </c>
      <c r="M359" s="63" t="n">
        <v>4.51</v>
      </c>
      <c r="N359" s="133" t="n">
        <f aca="false">K359*M359</f>
        <v>1172600</v>
      </c>
      <c r="O359" s="134" t="n">
        <f aca="false">0.0058*K359</f>
        <v>1508</v>
      </c>
      <c r="Q359" s="135" t="n">
        <v>5.775</v>
      </c>
      <c r="T359" s="134" t="n">
        <f aca="false">(M359-Q359)*K359</f>
        <v>-328900</v>
      </c>
      <c r="AA359" s="10" t="s">
        <v>94</v>
      </c>
      <c r="AB359" s="12" t="s">
        <v>95</v>
      </c>
    </row>
    <row r="360" customFormat="false" ht="12.75" hidden="false" customHeight="false" outlineLevel="0" collapsed="false">
      <c r="A360" s="10" t="n">
        <v>49</v>
      </c>
      <c r="B360" s="10" t="s">
        <v>309</v>
      </c>
      <c r="C360" s="62" t="n">
        <v>36763</v>
      </c>
      <c r="D360" s="12" t="s">
        <v>136</v>
      </c>
      <c r="E360" s="12" t="s">
        <v>89</v>
      </c>
      <c r="F360" s="12" t="s">
        <v>235</v>
      </c>
      <c r="G360" s="12" t="s">
        <v>236</v>
      </c>
      <c r="H360" s="63" t="n">
        <v>0</v>
      </c>
      <c r="I360" s="14" t="n">
        <f aca="false">+H360*K360</f>
        <v>0</v>
      </c>
      <c r="J360" s="85" t="n">
        <v>36892</v>
      </c>
      <c r="K360" s="13" t="n">
        <v>270000</v>
      </c>
      <c r="L360" s="38" t="s">
        <v>8</v>
      </c>
      <c r="M360" s="63" t="n">
        <v>4.51</v>
      </c>
      <c r="N360" s="133" t="n">
        <f aca="false">K360*M360</f>
        <v>1217700</v>
      </c>
      <c r="O360" s="134" t="n">
        <f aca="false">0.0058*K360</f>
        <v>1566</v>
      </c>
      <c r="Q360" s="135" t="n">
        <v>9.565</v>
      </c>
      <c r="T360" s="134" t="n">
        <f aca="false">(M360-Q360)*K360</f>
        <v>-1364850</v>
      </c>
      <c r="U360" s="134"/>
      <c r="AA360" s="10" t="s">
        <v>94</v>
      </c>
      <c r="AB360" s="12" t="s">
        <v>95</v>
      </c>
    </row>
    <row r="361" customFormat="false" ht="12.75" hidden="false" customHeight="false" outlineLevel="0" collapsed="false">
      <c r="A361" s="10" t="n">
        <v>49</v>
      </c>
      <c r="B361" s="10" t="s">
        <v>309</v>
      </c>
      <c r="C361" s="62" t="n">
        <v>36763</v>
      </c>
      <c r="D361" s="12" t="s">
        <v>136</v>
      </c>
      <c r="E361" s="12" t="s">
        <v>89</v>
      </c>
      <c r="F361" s="12" t="s">
        <v>235</v>
      </c>
      <c r="G361" s="12" t="s">
        <v>236</v>
      </c>
      <c r="H361" s="63" t="n">
        <v>0</v>
      </c>
      <c r="I361" s="14" t="n">
        <f aca="false">+H361*K361</f>
        <v>0</v>
      </c>
      <c r="J361" s="85" t="n">
        <v>36923</v>
      </c>
      <c r="K361" s="13" t="n">
        <v>250000</v>
      </c>
      <c r="L361" s="38" t="s">
        <v>8</v>
      </c>
      <c r="M361" s="63" t="n">
        <v>4.51</v>
      </c>
      <c r="N361" s="133" t="n">
        <f aca="false">K361*M361</f>
        <v>1127500</v>
      </c>
      <c r="O361" s="134" t="n">
        <f aca="false">0.0058*K361</f>
        <v>1450</v>
      </c>
      <c r="R361" s="136" t="n">
        <v>8.26</v>
      </c>
      <c r="U361" s="134" t="n">
        <f aca="false">(M361-R361)*K361</f>
        <v>-937500</v>
      </c>
      <c r="AA361" s="10" t="s">
        <v>94</v>
      </c>
      <c r="AB361" s="12" t="s">
        <v>95</v>
      </c>
    </row>
    <row r="363" customFormat="false" ht="12.75" hidden="false" customHeight="false" outlineLevel="0" collapsed="false">
      <c r="A363" s="10" t="n">
        <v>50</v>
      </c>
      <c r="B363" s="10" t="s">
        <v>310</v>
      </c>
      <c r="C363" s="62" t="n">
        <v>36763</v>
      </c>
      <c r="D363" s="12" t="s">
        <v>172</v>
      </c>
      <c r="E363" s="12" t="s">
        <v>89</v>
      </c>
      <c r="F363" s="12" t="s">
        <v>235</v>
      </c>
      <c r="G363" s="12" t="s">
        <v>236</v>
      </c>
      <c r="H363" s="63" t="n">
        <v>0</v>
      </c>
      <c r="I363" s="14" t="n">
        <f aca="false">+H363*K363</f>
        <v>0</v>
      </c>
      <c r="J363" s="85" t="n">
        <v>36770</v>
      </c>
      <c r="K363" s="13" t="n">
        <v>20000</v>
      </c>
      <c r="L363" s="38" t="s">
        <v>8</v>
      </c>
      <c r="M363" s="63" t="n">
        <v>4.5025</v>
      </c>
      <c r="N363" s="133" t="n">
        <f aca="false">K363*M363</f>
        <v>90050</v>
      </c>
      <c r="O363" s="134" t="n">
        <f aca="false">0.0055*K363</f>
        <v>110</v>
      </c>
      <c r="Q363" s="135" t="n">
        <v>4.45</v>
      </c>
      <c r="T363" s="134" t="n">
        <f aca="false">(M363-Q363)*K363</f>
        <v>1050</v>
      </c>
      <c r="Y363" s="12" t="s">
        <v>102</v>
      </c>
      <c r="AA363" s="10" t="s">
        <v>94</v>
      </c>
      <c r="AB363" s="12" t="s">
        <v>95</v>
      </c>
    </row>
    <row r="364" customFormat="false" ht="12.75" hidden="false" customHeight="false" outlineLevel="0" collapsed="false">
      <c r="A364" s="10" t="n">
        <v>50</v>
      </c>
      <c r="B364" s="10" t="s">
        <v>310</v>
      </c>
      <c r="C364" s="62" t="n">
        <v>36763</v>
      </c>
      <c r="D364" s="12" t="s">
        <v>172</v>
      </c>
      <c r="E364" s="12" t="s">
        <v>89</v>
      </c>
      <c r="F364" s="12" t="s">
        <v>235</v>
      </c>
      <c r="G364" s="12" t="s">
        <v>236</v>
      </c>
      <c r="H364" s="63" t="n">
        <v>0</v>
      </c>
      <c r="I364" s="14" t="n">
        <f aca="false">+H364*K364</f>
        <v>0</v>
      </c>
      <c r="J364" s="85" t="n">
        <v>36800</v>
      </c>
      <c r="K364" s="13" t="n">
        <v>20000</v>
      </c>
      <c r="L364" s="38" t="s">
        <v>8</v>
      </c>
      <c r="M364" s="63" t="n">
        <v>4.5025</v>
      </c>
      <c r="N364" s="133" t="n">
        <f aca="false">K364*M364</f>
        <v>90050</v>
      </c>
      <c r="O364" s="134" t="n">
        <f aca="false">0.0055*K364</f>
        <v>110</v>
      </c>
      <c r="Q364" s="135" t="n">
        <v>5.105</v>
      </c>
      <c r="T364" s="134" t="n">
        <f aca="false">(M364-Q364)*K364</f>
        <v>-12050</v>
      </c>
      <c r="AA364" s="10" t="s">
        <v>94</v>
      </c>
      <c r="AB364" s="12" t="s">
        <v>95</v>
      </c>
    </row>
    <row r="365" customFormat="false" ht="12.75" hidden="false" customHeight="false" outlineLevel="0" collapsed="false">
      <c r="A365" s="10" t="n">
        <v>50</v>
      </c>
      <c r="B365" s="10" t="s">
        <v>310</v>
      </c>
      <c r="C365" s="62" t="n">
        <v>36763</v>
      </c>
      <c r="D365" s="12" t="s">
        <v>172</v>
      </c>
      <c r="E365" s="12" t="s">
        <v>89</v>
      </c>
      <c r="F365" s="12" t="s">
        <v>235</v>
      </c>
      <c r="G365" s="12" t="s">
        <v>236</v>
      </c>
      <c r="H365" s="63" t="n">
        <v>0</v>
      </c>
      <c r="I365" s="14" t="n">
        <f aca="false">+H365*K365</f>
        <v>0</v>
      </c>
      <c r="J365" s="85" t="n">
        <v>36831</v>
      </c>
      <c r="K365" s="13" t="n">
        <v>20000</v>
      </c>
      <c r="L365" s="38" t="s">
        <v>8</v>
      </c>
      <c r="M365" s="63" t="n">
        <v>4.5025</v>
      </c>
      <c r="N365" s="133" t="n">
        <f aca="false">K365*M365</f>
        <v>90050</v>
      </c>
      <c r="O365" s="134" t="n">
        <f aca="false">0.0055*K365</f>
        <v>110</v>
      </c>
      <c r="Q365" s="135" t="n">
        <v>4.31</v>
      </c>
      <c r="T365" s="134" t="n">
        <f aca="false">(M365-Q365)*K365</f>
        <v>3850.00000000002</v>
      </c>
      <c r="AA365" s="10" t="s">
        <v>94</v>
      </c>
      <c r="AB365" s="12" t="s">
        <v>95</v>
      </c>
    </row>
    <row r="366" customFormat="false" ht="12.75" hidden="false" customHeight="false" outlineLevel="0" collapsed="false">
      <c r="A366" s="10" t="n">
        <v>50</v>
      </c>
      <c r="B366" s="10" t="s">
        <v>310</v>
      </c>
      <c r="C366" s="62" t="n">
        <v>36763</v>
      </c>
      <c r="D366" s="12" t="s">
        <v>172</v>
      </c>
      <c r="E366" s="12" t="s">
        <v>89</v>
      </c>
      <c r="F366" s="12" t="s">
        <v>235</v>
      </c>
      <c r="G366" s="12" t="s">
        <v>236</v>
      </c>
      <c r="H366" s="63" t="n">
        <v>0</v>
      </c>
      <c r="I366" s="14" t="n">
        <f aca="false">+H366*K366</f>
        <v>0</v>
      </c>
      <c r="J366" s="85" t="n">
        <v>36861</v>
      </c>
      <c r="K366" s="13" t="n">
        <v>20000</v>
      </c>
      <c r="L366" s="38" t="s">
        <v>8</v>
      </c>
      <c r="M366" s="63" t="n">
        <v>4.5025</v>
      </c>
      <c r="N366" s="133" t="n">
        <f aca="false">K366*M366</f>
        <v>90050</v>
      </c>
      <c r="O366" s="134" t="n">
        <f aca="false">0.0055*K366</f>
        <v>110</v>
      </c>
      <c r="Q366" s="135" t="n">
        <v>5.775</v>
      </c>
      <c r="T366" s="134" t="n">
        <f aca="false">(M366-Q366)*K366</f>
        <v>-25450</v>
      </c>
      <c r="AA366" s="10" t="s">
        <v>94</v>
      </c>
      <c r="AB366" s="12" t="s">
        <v>95</v>
      </c>
    </row>
    <row r="367" customFormat="false" ht="12.75" hidden="false" customHeight="false" outlineLevel="0" collapsed="false">
      <c r="A367" s="10" t="n">
        <v>50</v>
      </c>
      <c r="B367" s="10" t="s">
        <v>310</v>
      </c>
      <c r="C367" s="62" t="n">
        <v>36763</v>
      </c>
      <c r="D367" s="12" t="s">
        <v>172</v>
      </c>
      <c r="E367" s="12" t="s">
        <v>89</v>
      </c>
      <c r="F367" s="12" t="s">
        <v>235</v>
      </c>
      <c r="G367" s="12" t="s">
        <v>236</v>
      </c>
      <c r="H367" s="63" t="n">
        <v>0</v>
      </c>
      <c r="I367" s="14" t="n">
        <f aca="false">+H367*K367</f>
        <v>0</v>
      </c>
      <c r="J367" s="85" t="n">
        <v>36892</v>
      </c>
      <c r="K367" s="13" t="n">
        <v>40000</v>
      </c>
      <c r="L367" s="38" t="s">
        <v>8</v>
      </c>
      <c r="M367" s="63" t="n">
        <v>4.5025</v>
      </c>
      <c r="N367" s="133" t="n">
        <f aca="false">K367*M367</f>
        <v>180100</v>
      </c>
      <c r="O367" s="134" t="n">
        <f aca="false">0.0055*K367</f>
        <v>220</v>
      </c>
      <c r="Q367" s="135" t="n">
        <v>9.565</v>
      </c>
      <c r="T367" s="134" t="n">
        <f aca="false">(M367-Q367)*K367</f>
        <v>-202500</v>
      </c>
      <c r="U367" s="134"/>
      <c r="AA367" s="10" t="s">
        <v>94</v>
      </c>
      <c r="AB367" s="12" t="s">
        <v>95</v>
      </c>
    </row>
    <row r="368" customFormat="false" ht="12.75" hidden="false" customHeight="false" outlineLevel="0" collapsed="false">
      <c r="A368" s="10" t="n">
        <v>50</v>
      </c>
      <c r="B368" s="10" t="s">
        <v>310</v>
      </c>
      <c r="C368" s="62" t="n">
        <v>36763</v>
      </c>
      <c r="D368" s="12" t="s">
        <v>172</v>
      </c>
      <c r="E368" s="12" t="s">
        <v>89</v>
      </c>
      <c r="F368" s="12" t="s">
        <v>235</v>
      </c>
      <c r="G368" s="12" t="s">
        <v>236</v>
      </c>
      <c r="H368" s="63" t="n">
        <v>0</v>
      </c>
      <c r="I368" s="14" t="n">
        <f aca="false">+H368*K368</f>
        <v>0</v>
      </c>
      <c r="J368" s="85" t="n">
        <v>36923</v>
      </c>
      <c r="K368" s="13" t="n">
        <v>30000</v>
      </c>
      <c r="L368" s="38" t="s">
        <v>8</v>
      </c>
      <c r="M368" s="63" t="n">
        <v>4.5025</v>
      </c>
      <c r="N368" s="133" t="n">
        <f aca="false">K368*M368</f>
        <v>135075</v>
      </c>
      <c r="O368" s="134" t="n">
        <f aca="false">0.0055*K368</f>
        <v>165</v>
      </c>
      <c r="R368" s="136" t="n">
        <v>8.26</v>
      </c>
      <c r="U368" s="134" t="n">
        <f aca="false">(M368-R368)*K368</f>
        <v>-112725</v>
      </c>
      <c r="AA368" s="10" t="s">
        <v>94</v>
      </c>
      <c r="AB368" s="12" t="s">
        <v>95</v>
      </c>
    </row>
    <row r="370" customFormat="false" ht="12.75" hidden="false" customHeight="false" outlineLevel="0" collapsed="false">
      <c r="A370" s="5" t="n">
        <v>51</v>
      </c>
      <c r="B370" s="5" t="s">
        <v>311</v>
      </c>
      <c r="C370" s="153" t="n">
        <v>36766</v>
      </c>
      <c r="D370" s="58" t="s">
        <v>173</v>
      </c>
      <c r="E370" s="58" t="s">
        <v>89</v>
      </c>
      <c r="F370" s="58" t="s">
        <v>235</v>
      </c>
      <c r="G370" s="58" t="s">
        <v>239</v>
      </c>
      <c r="H370" s="154" t="n">
        <v>0</v>
      </c>
      <c r="I370" s="6" t="n">
        <f aca="false">+H370*K370</f>
        <v>0</v>
      </c>
      <c r="J370" s="155" t="n">
        <v>36770</v>
      </c>
      <c r="K370" s="156" t="n">
        <v>130000</v>
      </c>
      <c r="L370" s="157" t="s">
        <v>8</v>
      </c>
      <c r="M370" s="154" t="s">
        <v>312</v>
      </c>
      <c r="N370" s="158"/>
      <c r="O370" s="159" t="n">
        <f aca="false">0.005*K370</f>
        <v>650</v>
      </c>
      <c r="P370" s="58"/>
      <c r="Q370" s="160" t="n">
        <v>4.45</v>
      </c>
      <c r="R370" s="161"/>
      <c r="S370" s="58"/>
      <c r="T370" s="159" t="n">
        <v>0</v>
      </c>
      <c r="U370" s="162"/>
      <c r="V370" s="162"/>
      <c r="W370" s="58"/>
      <c r="X370" s="58"/>
      <c r="Y370" s="58" t="s">
        <v>99</v>
      </c>
      <c r="Z370" s="58"/>
      <c r="AA370" s="5"/>
      <c r="AB370" s="12" t="s">
        <v>245</v>
      </c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  <c r="GJ370" s="58"/>
      <c r="GK370" s="58"/>
      <c r="GL370" s="58"/>
      <c r="GM370" s="58"/>
      <c r="GN370" s="58"/>
      <c r="GO370" s="58"/>
      <c r="GP370" s="58"/>
      <c r="GQ370" s="58"/>
      <c r="GR370" s="58"/>
      <c r="GS370" s="58"/>
      <c r="GT370" s="58"/>
      <c r="GU370" s="58"/>
      <c r="GV370" s="58"/>
      <c r="GW370" s="58"/>
      <c r="GX370" s="58"/>
      <c r="GY370" s="58"/>
      <c r="GZ370" s="58"/>
      <c r="HA370" s="58"/>
      <c r="HB370" s="58"/>
      <c r="HC370" s="58"/>
      <c r="HD370" s="58"/>
      <c r="HE370" s="58"/>
      <c r="HF370" s="58"/>
      <c r="HG370" s="58"/>
      <c r="HH370" s="58"/>
      <c r="HI370" s="58"/>
      <c r="HJ370" s="58"/>
      <c r="HK370" s="58"/>
      <c r="HL370" s="58"/>
      <c r="HM370" s="58"/>
      <c r="HN370" s="58"/>
      <c r="HO370" s="58"/>
      <c r="HP370" s="58"/>
      <c r="HQ370" s="58"/>
      <c r="HR370" s="58"/>
      <c r="HS370" s="58"/>
      <c r="HT370" s="58"/>
      <c r="HU370" s="58"/>
      <c r="HV370" s="58"/>
      <c r="HW370" s="58"/>
      <c r="HX370" s="58"/>
      <c r="HY370" s="58"/>
      <c r="HZ370" s="58"/>
      <c r="IA370" s="58"/>
      <c r="IB370" s="58"/>
      <c r="IC370" s="58"/>
      <c r="ID370" s="58"/>
      <c r="IE370" s="58"/>
      <c r="IF370" s="58"/>
      <c r="IG370" s="58"/>
      <c r="IH370" s="58"/>
      <c r="II370" s="58"/>
      <c r="IJ370" s="58"/>
      <c r="IK370" s="58"/>
      <c r="IL370" s="58"/>
      <c r="IM370" s="58"/>
      <c r="IN370" s="58"/>
      <c r="IO370" s="58"/>
      <c r="IP370" s="58"/>
      <c r="IQ370" s="58"/>
      <c r="IR370" s="58"/>
      <c r="IS370" s="58"/>
      <c r="IT370" s="58"/>
      <c r="IU370" s="58"/>
      <c r="IV370" s="58"/>
      <c r="IW370" s="58"/>
    </row>
    <row r="371" customFormat="false" ht="12.75" hidden="false" customHeight="false" outlineLevel="0" collapsed="false">
      <c r="A371" s="5" t="n">
        <v>51</v>
      </c>
      <c r="B371" s="5" t="s">
        <v>311</v>
      </c>
      <c r="C371" s="153" t="n">
        <v>36766</v>
      </c>
      <c r="D371" s="58" t="s">
        <v>173</v>
      </c>
      <c r="E371" s="58" t="s">
        <v>89</v>
      </c>
      <c r="F371" s="58" t="s">
        <v>235</v>
      </c>
      <c r="G371" s="58" t="s">
        <v>239</v>
      </c>
      <c r="H371" s="154" t="n">
        <v>0</v>
      </c>
      <c r="I371" s="6" t="n">
        <f aca="false">+H371*K371</f>
        <v>0</v>
      </c>
      <c r="J371" s="155" t="n">
        <v>36800</v>
      </c>
      <c r="K371" s="156" t="n">
        <v>130000</v>
      </c>
      <c r="L371" s="157" t="s">
        <v>8</v>
      </c>
      <c r="M371" s="154" t="s">
        <v>312</v>
      </c>
      <c r="N371" s="158"/>
      <c r="O371" s="159" t="n">
        <f aca="false">0.005*K371</f>
        <v>650</v>
      </c>
      <c r="P371" s="58"/>
      <c r="Q371" s="160" t="n">
        <v>5.105</v>
      </c>
      <c r="R371" s="161"/>
      <c r="S371" s="58"/>
      <c r="T371" s="159" t="n">
        <v>0</v>
      </c>
      <c r="U371" s="162"/>
      <c r="V371" s="162"/>
      <c r="W371" s="58"/>
      <c r="X371" s="58"/>
      <c r="Y371" s="58"/>
      <c r="Z371" s="58"/>
      <c r="AA371" s="5"/>
      <c r="AB371" s="12" t="s">
        <v>245</v>
      </c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  <c r="CG371" s="58"/>
      <c r="CH371" s="58"/>
      <c r="CI371" s="58"/>
      <c r="CJ371" s="58"/>
      <c r="CK371" s="58"/>
      <c r="CL371" s="58"/>
      <c r="CM371" s="58"/>
      <c r="CN371" s="58"/>
      <c r="CO371" s="58"/>
      <c r="CP371" s="58"/>
      <c r="CQ371" s="58"/>
      <c r="CR371" s="58"/>
      <c r="CS371" s="58"/>
      <c r="CT371" s="58"/>
      <c r="CU371" s="58"/>
      <c r="CV371" s="58"/>
      <c r="CW371" s="58"/>
      <c r="CX371" s="58"/>
      <c r="CY371" s="58"/>
      <c r="CZ371" s="58"/>
      <c r="DA371" s="58"/>
      <c r="DB371" s="58"/>
      <c r="DC371" s="58"/>
      <c r="DD371" s="58"/>
      <c r="DE371" s="58"/>
      <c r="DF371" s="58"/>
      <c r="DG371" s="58"/>
      <c r="DH371" s="58"/>
      <c r="DI371" s="58"/>
      <c r="DJ371" s="58"/>
      <c r="DK371" s="58"/>
      <c r="DL371" s="58"/>
      <c r="DM371" s="58"/>
      <c r="DN371" s="58"/>
      <c r="DO371" s="58"/>
      <c r="DP371" s="58"/>
      <c r="DQ371" s="58"/>
      <c r="DR371" s="58"/>
      <c r="DS371" s="58"/>
      <c r="DT371" s="58"/>
      <c r="DU371" s="58"/>
      <c r="DV371" s="58"/>
      <c r="DW371" s="58"/>
      <c r="DX371" s="58"/>
      <c r="DY371" s="58"/>
      <c r="DZ371" s="58"/>
      <c r="EA371" s="58"/>
      <c r="EB371" s="58"/>
      <c r="EC371" s="58"/>
      <c r="ED371" s="58"/>
      <c r="EE371" s="58"/>
      <c r="EF371" s="58"/>
      <c r="EG371" s="58"/>
      <c r="EH371" s="58"/>
      <c r="EI371" s="58"/>
      <c r="EJ371" s="58"/>
      <c r="EK371" s="58"/>
      <c r="EL371" s="58"/>
      <c r="EM371" s="58"/>
      <c r="EN371" s="58"/>
      <c r="EO371" s="58"/>
      <c r="EP371" s="58"/>
      <c r="EQ371" s="58"/>
      <c r="ER371" s="58"/>
      <c r="ES371" s="58"/>
      <c r="ET371" s="58"/>
      <c r="EU371" s="58"/>
      <c r="EV371" s="58"/>
      <c r="EW371" s="58"/>
      <c r="EX371" s="58"/>
      <c r="EY371" s="58"/>
      <c r="EZ371" s="58"/>
      <c r="FA371" s="58"/>
      <c r="FB371" s="58"/>
      <c r="FC371" s="58"/>
      <c r="FD371" s="58"/>
      <c r="FE371" s="58"/>
      <c r="FF371" s="58"/>
      <c r="FG371" s="58"/>
      <c r="FH371" s="58"/>
      <c r="FI371" s="58"/>
      <c r="FJ371" s="58"/>
      <c r="FK371" s="58"/>
      <c r="FL371" s="58"/>
      <c r="FM371" s="58"/>
      <c r="FN371" s="58"/>
      <c r="FO371" s="58"/>
      <c r="FP371" s="58"/>
      <c r="FQ371" s="58"/>
      <c r="FR371" s="58"/>
      <c r="FS371" s="58"/>
      <c r="FT371" s="58"/>
      <c r="FU371" s="58"/>
      <c r="FV371" s="58"/>
      <c r="FW371" s="58"/>
      <c r="FX371" s="58"/>
      <c r="FY371" s="58"/>
      <c r="FZ371" s="58"/>
      <c r="GA371" s="58"/>
      <c r="GB371" s="58"/>
      <c r="GC371" s="58"/>
      <c r="GD371" s="58"/>
      <c r="GE371" s="58"/>
      <c r="GF371" s="58"/>
      <c r="GG371" s="58"/>
      <c r="GH371" s="58"/>
      <c r="GI371" s="58"/>
      <c r="GJ371" s="58"/>
      <c r="GK371" s="58"/>
      <c r="GL371" s="58"/>
      <c r="GM371" s="58"/>
      <c r="GN371" s="58"/>
      <c r="GO371" s="58"/>
      <c r="GP371" s="58"/>
      <c r="GQ371" s="58"/>
      <c r="GR371" s="58"/>
      <c r="GS371" s="58"/>
      <c r="GT371" s="58"/>
      <c r="GU371" s="58"/>
      <c r="GV371" s="58"/>
      <c r="GW371" s="58"/>
      <c r="GX371" s="58"/>
      <c r="GY371" s="58"/>
      <c r="GZ371" s="58"/>
      <c r="HA371" s="58"/>
      <c r="HB371" s="58"/>
      <c r="HC371" s="58"/>
      <c r="HD371" s="58"/>
      <c r="HE371" s="58"/>
      <c r="HF371" s="58"/>
      <c r="HG371" s="58"/>
      <c r="HH371" s="58"/>
      <c r="HI371" s="58"/>
      <c r="HJ371" s="58"/>
      <c r="HK371" s="58"/>
      <c r="HL371" s="58"/>
      <c r="HM371" s="58"/>
      <c r="HN371" s="58"/>
      <c r="HO371" s="58"/>
      <c r="HP371" s="58"/>
      <c r="HQ371" s="58"/>
      <c r="HR371" s="58"/>
      <c r="HS371" s="58"/>
      <c r="HT371" s="58"/>
      <c r="HU371" s="58"/>
      <c r="HV371" s="58"/>
      <c r="HW371" s="58"/>
      <c r="HX371" s="58"/>
      <c r="HY371" s="58"/>
      <c r="HZ371" s="58"/>
      <c r="IA371" s="58"/>
      <c r="IB371" s="58"/>
      <c r="IC371" s="58"/>
      <c r="ID371" s="58"/>
      <c r="IE371" s="58"/>
      <c r="IF371" s="58"/>
      <c r="IG371" s="58"/>
      <c r="IH371" s="58"/>
      <c r="II371" s="58"/>
      <c r="IJ371" s="58"/>
      <c r="IK371" s="58"/>
      <c r="IL371" s="58"/>
      <c r="IM371" s="58"/>
      <c r="IN371" s="58"/>
      <c r="IO371" s="58"/>
      <c r="IP371" s="58"/>
      <c r="IQ371" s="58"/>
      <c r="IR371" s="58"/>
      <c r="IS371" s="58"/>
      <c r="IT371" s="58"/>
      <c r="IU371" s="58"/>
      <c r="IV371" s="58"/>
      <c r="IW371" s="58"/>
    </row>
    <row r="372" customFormat="false" ht="12.75" hidden="false" customHeight="false" outlineLevel="0" collapsed="false">
      <c r="A372" s="5" t="n">
        <v>51</v>
      </c>
      <c r="B372" s="5" t="s">
        <v>311</v>
      </c>
      <c r="C372" s="153" t="n">
        <v>36766</v>
      </c>
      <c r="D372" s="58" t="s">
        <v>173</v>
      </c>
      <c r="E372" s="58" t="s">
        <v>89</v>
      </c>
      <c r="F372" s="58" t="s">
        <v>235</v>
      </c>
      <c r="G372" s="58" t="s">
        <v>239</v>
      </c>
      <c r="H372" s="154" t="n">
        <v>0</v>
      </c>
      <c r="I372" s="6" t="n">
        <f aca="false">+H372*K372</f>
        <v>0</v>
      </c>
      <c r="J372" s="155" t="n">
        <v>36831</v>
      </c>
      <c r="K372" s="156" t="n">
        <v>130000</v>
      </c>
      <c r="L372" s="157" t="s">
        <v>8</v>
      </c>
      <c r="M372" s="154" t="s">
        <v>312</v>
      </c>
      <c r="N372" s="158"/>
      <c r="O372" s="159" t="n">
        <f aca="false">0.005*K372</f>
        <v>650</v>
      </c>
      <c r="P372" s="58"/>
      <c r="Q372" s="160" t="n">
        <v>4.31</v>
      </c>
      <c r="R372" s="161"/>
      <c r="S372" s="58"/>
      <c r="T372" s="159" t="n">
        <v>0</v>
      </c>
      <c r="U372" s="162"/>
      <c r="V372" s="162"/>
      <c r="W372" s="58"/>
      <c r="X372" s="58"/>
      <c r="Y372" s="58"/>
      <c r="Z372" s="58"/>
      <c r="AA372" s="5"/>
      <c r="AB372" s="12" t="s">
        <v>245</v>
      </c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  <c r="HG372" s="58"/>
      <c r="HH372" s="58"/>
      <c r="HI372" s="58"/>
      <c r="HJ372" s="58"/>
      <c r="HK372" s="58"/>
      <c r="HL372" s="58"/>
      <c r="HM372" s="58"/>
      <c r="HN372" s="58"/>
      <c r="HO372" s="58"/>
      <c r="HP372" s="58"/>
      <c r="HQ372" s="58"/>
      <c r="HR372" s="58"/>
      <c r="HS372" s="58"/>
      <c r="HT372" s="58"/>
      <c r="HU372" s="58"/>
      <c r="HV372" s="58"/>
      <c r="HW372" s="58"/>
      <c r="HX372" s="58"/>
      <c r="HY372" s="58"/>
      <c r="HZ372" s="58"/>
      <c r="IA372" s="58"/>
      <c r="IB372" s="58"/>
      <c r="IC372" s="58"/>
      <c r="ID372" s="58"/>
      <c r="IE372" s="58"/>
      <c r="IF372" s="58"/>
      <c r="IG372" s="58"/>
      <c r="IH372" s="58"/>
      <c r="II372" s="58"/>
      <c r="IJ372" s="58"/>
      <c r="IK372" s="58"/>
      <c r="IL372" s="58"/>
      <c r="IM372" s="58"/>
      <c r="IN372" s="58"/>
      <c r="IO372" s="58"/>
      <c r="IP372" s="58"/>
      <c r="IQ372" s="58"/>
      <c r="IR372" s="58"/>
      <c r="IS372" s="58"/>
      <c r="IT372" s="58"/>
      <c r="IU372" s="58"/>
      <c r="IV372" s="58"/>
      <c r="IW372" s="58"/>
    </row>
    <row r="373" customFormat="false" ht="12.75" hidden="false" customHeight="false" outlineLevel="0" collapsed="false">
      <c r="A373" s="5" t="n">
        <v>51</v>
      </c>
      <c r="B373" s="5" t="s">
        <v>311</v>
      </c>
      <c r="C373" s="153" t="n">
        <v>36766</v>
      </c>
      <c r="D373" s="58" t="s">
        <v>173</v>
      </c>
      <c r="E373" s="58" t="s">
        <v>89</v>
      </c>
      <c r="F373" s="58" t="s">
        <v>235</v>
      </c>
      <c r="G373" s="58" t="s">
        <v>239</v>
      </c>
      <c r="H373" s="154" t="n">
        <v>0</v>
      </c>
      <c r="I373" s="6" t="n">
        <f aca="false">+H373*K373</f>
        <v>0</v>
      </c>
      <c r="J373" s="155" t="n">
        <v>36861</v>
      </c>
      <c r="K373" s="156" t="n">
        <v>130000</v>
      </c>
      <c r="L373" s="157" t="s">
        <v>8</v>
      </c>
      <c r="M373" s="154" t="s">
        <v>312</v>
      </c>
      <c r="N373" s="158"/>
      <c r="O373" s="159" t="n">
        <f aca="false">0.005*K373</f>
        <v>650</v>
      </c>
      <c r="P373" s="58"/>
      <c r="Q373" s="160" t="n">
        <v>5.775</v>
      </c>
      <c r="R373" s="161"/>
      <c r="S373" s="58"/>
      <c r="T373" s="159" t="n">
        <v>0</v>
      </c>
      <c r="U373" s="162"/>
      <c r="V373" s="162"/>
      <c r="W373" s="58"/>
      <c r="X373" s="58"/>
      <c r="Y373" s="58"/>
      <c r="Z373" s="58"/>
      <c r="AA373" s="5"/>
      <c r="AB373" s="12" t="s">
        <v>245</v>
      </c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  <c r="HG373" s="58"/>
      <c r="HH373" s="58"/>
      <c r="HI373" s="58"/>
      <c r="HJ373" s="58"/>
      <c r="HK373" s="58"/>
      <c r="HL373" s="58"/>
      <c r="HM373" s="58"/>
      <c r="HN373" s="58"/>
      <c r="HO373" s="58"/>
      <c r="HP373" s="58"/>
      <c r="HQ373" s="58"/>
      <c r="HR373" s="58"/>
      <c r="HS373" s="58"/>
      <c r="HT373" s="58"/>
      <c r="HU373" s="58"/>
      <c r="HV373" s="58"/>
      <c r="HW373" s="58"/>
      <c r="HX373" s="58"/>
      <c r="HY373" s="58"/>
      <c r="HZ373" s="58"/>
      <c r="IA373" s="58"/>
      <c r="IB373" s="58"/>
      <c r="IC373" s="58"/>
      <c r="ID373" s="58"/>
      <c r="IE373" s="58"/>
      <c r="IF373" s="58"/>
      <c r="IG373" s="58"/>
      <c r="IH373" s="58"/>
      <c r="II373" s="58"/>
      <c r="IJ373" s="58"/>
      <c r="IK373" s="58"/>
      <c r="IL373" s="58"/>
      <c r="IM373" s="58"/>
      <c r="IN373" s="58"/>
      <c r="IO373" s="58"/>
      <c r="IP373" s="58"/>
      <c r="IQ373" s="58"/>
      <c r="IR373" s="58"/>
      <c r="IS373" s="58"/>
      <c r="IT373" s="58"/>
      <c r="IU373" s="58"/>
      <c r="IV373" s="58"/>
      <c r="IW373" s="58"/>
    </row>
    <row r="374" customFormat="false" ht="12.75" hidden="false" customHeight="false" outlineLevel="0" collapsed="false">
      <c r="A374" s="5" t="n">
        <v>51</v>
      </c>
      <c r="B374" s="5" t="s">
        <v>311</v>
      </c>
      <c r="C374" s="153" t="n">
        <v>36766</v>
      </c>
      <c r="D374" s="58" t="s">
        <v>173</v>
      </c>
      <c r="E374" s="58" t="s">
        <v>89</v>
      </c>
      <c r="F374" s="58" t="s">
        <v>235</v>
      </c>
      <c r="G374" s="58" t="s">
        <v>239</v>
      </c>
      <c r="H374" s="154" t="n">
        <v>0</v>
      </c>
      <c r="I374" s="6" t="n">
        <f aca="false">+H374*K374</f>
        <v>0</v>
      </c>
      <c r="J374" s="155" t="n">
        <v>36892</v>
      </c>
      <c r="K374" s="156" t="n">
        <v>130000</v>
      </c>
      <c r="L374" s="157" t="s">
        <v>8</v>
      </c>
      <c r="M374" s="154" t="s">
        <v>312</v>
      </c>
      <c r="N374" s="158"/>
      <c r="O374" s="159" t="n">
        <f aca="false">0.005*K374</f>
        <v>650</v>
      </c>
      <c r="P374" s="58"/>
      <c r="Q374" s="135" t="n">
        <v>9.565</v>
      </c>
      <c r="R374" s="161"/>
      <c r="S374" s="58"/>
      <c r="T374" s="134" t="n">
        <f aca="false">(8.22-Q374)*K374</f>
        <v>-174850</v>
      </c>
      <c r="U374" s="162"/>
      <c r="V374" s="162"/>
      <c r="W374" s="58"/>
      <c r="X374" s="58"/>
      <c r="Y374" s="58"/>
      <c r="Z374" s="58"/>
      <c r="AA374" s="5"/>
      <c r="AB374" s="12" t="s">
        <v>245</v>
      </c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  <c r="HG374" s="58"/>
      <c r="HH374" s="58"/>
      <c r="HI374" s="58"/>
      <c r="HJ374" s="58"/>
      <c r="HK374" s="58"/>
      <c r="HL374" s="58"/>
      <c r="HM374" s="58"/>
      <c r="HN374" s="58"/>
      <c r="HO374" s="58"/>
      <c r="HP374" s="58"/>
      <c r="HQ374" s="58"/>
      <c r="HR374" s="58"/>
      <c r="HS374" s="58"/>
      <c r="HT374" s="58"/>
      <c r="HU374" s="58"/>
      <c r="HV374" s="58"/>
      <c r="HW374" s="58"/>
      <c r="HX374" s="58"/>
      <c r="HY374" s="58"/>
      <c r="HZ374" s="58"/>
      <c r="IA374" s="58"/>
      <c r="IB374" s="58"/>
      <c r="IC374" s="58"/>
      <c r="ID374" s="58"/>
      <c r="IE374" s="58"/>
      <c r="IF374" s="58"/>
      <c r="IG374" s="58"/>
      <c r="IH374" s="58"/>
      <c r="II374" s="58"/>
      <c r="IJ374" s="58"/>
      <c r="IK374" s="58"/>
      <c r="IL374" s="58"/>
      <c r="IM374" s="58"/>
      <c r="IN374" s="58"/>
      <c r="IO374" s="58"/>
      <c r="IP374" s="58"/>
      <c r="IQ374" s="58"/>
      <c r="IR374" s="58"/>
      <c r="IS374" s="58"/>
      <c r="IT374" s="58"/>
      <c r="IU374" s="58"/>
      <c r="IV374" s="58"/>
      <c r="IW374" s="58"/>
    </row>
    <row r="375" customFormat="false" ht="12.75" hidden="false" customHeight="false" outlineLevel="0" collapsed="false">
      <c r="A375" s="5" t="n">
        <v>51</v>
      </c>
      <c r="B375" s="5" t="s">
        <v>311</v>
      </c>
      <c r="C375" s="153" t="n">
        <v>36766</v>
      </c>
      <c r="D375" s="58" t="s">
        <v>173</v>
      </c>
      <c r="E375" s="58" t="s">
        <v>89</v>
      </c>
      <c r="F375" s="58" t="s">
        <v>235</v>
      </c>
      <c r="G375" s="58" t="s">
        <v>239</v>
      </c>
      <c r="H375" s="154" t="n">
        <v>0</v>
      </c>
      <c r="I375" s="6" t="n">
        <f aca="false">+H375*K375</f>
        <v>0</v>
      </c>
      <c r="J375" s="155" t="n">
        <v>36923</v>
      </c>
      <c r="K375" s="156" t="n">
        <v>130000</v>
      </c>
      <c r="L375" s="157" t="s">
        <v>8</v>
      </c>
      <c r="M375" s="154" t="s">
        <v>312</v>
      </c>
      <c r="N375" s="158"/>
      <c r="O375" s="159" t="n">
        <f aca="false">0.005*K375</f>
        <v>650</v>
      </c>
      <c r="P375" s="58"/>
      <c r="Q375" s="160"/>
      <c r="R375" s="161"/>
      <c r="S375" s="58"/>
      <c r="T375" s="159"/>
      <c r="U375" s="162"/>
      <c r="V375" s="162"/>
      <c r="W375" s="58"/>
      <c r="X375" s="58"/>
      <c r="Y375" s="58"/>
      <c r="Z375" s="58"/>
      <c r="AA375" s="5"/>
      <c r="AB375" s="12" t="s">
        <v>245</v>
      </c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  <c r="HG375" s="58"/>
      <c r="HH375" s="58"/>
      <c r="HI375" s="58"/>
      <c r="HJ375" s="58"/>
      <c r="HK375" s="58"/>
      <c r="HL375" s="58"/>
      <c r="HM375" s="58"/>
      <c r="HN375" s="58"/>
      <c r="HO375" s="58"/>
      <c r="HP375" s="58"/>
      <c r="HQ375" s="58"/>
      <c r="HR375" s="58"/>
      <c r="HS375" s="58"/>
      <c r="HT375" s="58"/>
      <c r="HU375" s="58"/>
      <c r="HV375" s="58"/>
      <c r="HW375" s="58"/>
      <c r="HX375" s="58"/>
      <c r="HY375" s="58"/>
      <c r="HZ375" s="58"/>
      <c r="IA375" s="58"/>
      <c r="IB375" s="58"/>
      <c r="IC375" s="58"/>
      <c r="ID375" s="58"/>
      <c r="IE375" s="58"/>
      <c r="IF375" s="58"/>
      <c r="IG375" s="58"/>
      <c r="IH375" s="58"/>
      <c r="II375" s="58"/>
      <c r="IJ375" s="58"/>
      <c r="IK375" s="58"/>
      <c r="IL375" s="58"/>
      <c r="IM375" s="58"/>
      <c r="IN375" s="58"/>
      <c r="IO375" s="58"/>
      <c r="IP375" s="58"/>
      <c r="IQ375" s="58"/>
      <c r="IR375" s="58"/>
      <c r="IS375" s="58"/>
      <c r="IT375" s="58"/>
      <c r="IU375" s="58"/>
      <c r="IV375" s="58"/>
      <c r="IW375" s="58"/>
    </row>
    <row r="377" customFormat="false" ht="12.75" hidden="false" customHeight="false" outlineLevel="0" collapsed="false">
      <c r="A377" s="10" t="n">
        <v>52</v>
      </c>
      <c r="C377" s="62" t="n">
        <v>36766</v>
      </c>
      <c r="D377" s="12" t="s">
        <v>174</v>
      </c>
      <c r="E377" s="12" t="s">
        <v>89</v>
      </c>
      <c r="F377" s="12" t="s">
        <v>109</v>
      </c>
      <c r="G377" s="12" t="s">
        <v>313</v>
      </c>
      <c r="H377" s="63" t="n">
        <v>0</v>
      </c>
      <c r="I377" s="14" t="n">
        <f aca="false">+H377*K377</f>
        <v>0</v>
      </c>
      <c r="J377" s="85" t="n">
        <v>36770</v>
      </c>
      <c r="K377" s="13" t="n">
        <v>20000</v>
      </c>
      <c r="L377" s="38" t="s">
        <v>8</v>
      </c>
      <c r="M377" s="63" t="n">
        <v>-0.03</v>
      </c>
      <c r="N377" s="133" t="n">
        <f aca="false">K377*M377</f>
        <v>-600</v>
      </c>
      <c r="O377" s="134" t="n">
        <f aca="false">0.0025*K377</f>
        <v>50</v>
      </c>
      <c r="Q377" s="135" t="n">
        <f aca="false">(4.64-4.618)</f>
        <v>0.0219999999999994</v>
      </c>
      <c r="T377" s="134" t="n">
        <f aca="false">(M377-Q377)*K377</f>
        <v>-1039.99999999999</v>
      </c>
    </row>
    <row r="378" customFormat="false" ht="12.75" hidden="false" customHeight="false" outlineLevel="0" collapsed="false">
      <c r="A378" s="10" t="n">
        <v>52</v>
      </c>
      <c r="C378" s="62" t="n">
        <v>36766</v>
      </c>
      <c r="D378" s="12" t="s">
        <v>174</v>
      </c>
      <c r="E378" s="12" t="s">
        <v>89</v>
      </c>
      <c r="F378" s="12" t="s">
        <v>109</v>
      </c>
      <c r="G378" s="12" t="s">
        <v>313</v>
      </c>
      <c r="H378" s="63" t="n">
        <v>0</v>
      </c>
      <c r="I378" s="14" t="n">
        <f aca="false">+H378*K378</f>
        <v>0</v>
      </c>
      <c r="J378" s="85" t="n">
        <v>36800</v>
      </c>
      <c r="K378" s="13" t="n">
        <v>20000</v>
      </c>
      <c r="L378" s="38" t="s">
        <v>8</v>
      </c>
      <c r="M378" s="63" t="n">
        <v>-0.03</v>
      </c>
      <c r="N378" s="133" t="n">
        <f aca="false">K378*M378</f>
        <v>-600</v>
      </c>
      <c r="O378" s="134" t="n">
        <f aca="false">0.0025*K378</f>
        <v>50</v>
      </c>
    </row>
    <row r="379" customFormat="false" ht="12.75" hidden="false" customHeight="false" outlineLevel="0" collapsed="false">
      <c r="A379" s="10" t="n">
        <v>52</v>
      </c>
      <c r="C379" s="62" t="n">
        <v>36766</v>
      </c>
      <c r="D379" s="12" t="s">
        <v>174</v>
      </c>
      <c r="E379" s="12" t="s">
        <v>89</v>
      </c>
      <c r="F379" s="12" t="s">
        <v>109</v>
      </c>
      <c r="G379" s="12" t="s">
        <v>313</v>
      </c>
      <c r="H379" s="63" t="n">
        <v>0</v>
      </c>
      <c r="I379" s="14" t="n">
        <f aca="false">+H379*K379</f>
        <v>0</v>
      </c>
      <c r="J379" s="85" t="n">
        <v>36831</v>
      </c>
      <c r="K379" s="13" t="n">
        <v>20000</v>
      </c>
      <c r="L379" s="38" t="s">
        <v>8</v>
      </c>
      <c r="M379" s="63" t="n">
        <v>-0.03</v>
      </c>
      <c r="N379" s="133" t="n">
        <f aca="false">K379*M379</f>
        <v>-600</v>
      </c>
      <c r="O379" s="134" t="n">
        <f aca="false">0.0025*K379</f>
        <v>50</v>
      </c>
    </row>
    <row r="380" customFormat="false" ht="12.75" hidden="false" customHeight="false" outlineLevel="0" collapsed="false">
      <c r="A380" s="10" t="n">
        <v>52</v>
      </c>
      <c r="C380" s="62" t="n">
        <v>36766</v>
      </c>
      <c r="D380" s="12" t="s">
        <v>174</v>
      </c>
      <c r="E380" s="12" t="s">
        <v>89</v>
      </c>
      <c r="F380" s="12" t="s">
        <v>109</v>
      </c>
      <c r="G380" s="12" t="s">
        <v>313</v>
      </c>
      <c r="H380" s="63" t="n">
        <v>0</v>
      </c>
      <c r="I380" s="14" t="n">
        <f aca="false">+H380*K380</f>
        <v>0</v>
      </c>
      <c r="J380" s="85" t="n">
        <v>36861</v>
      </c>
      <c r="K380" s="13" t="n">
        <v>20000</v>
      </c>
      <c r="L380" s="38" t="s">
        <v>8</v>
      </c>
      <c r="M380" s="63" t="n">
        <v>-0.03</v>
      </c>
      <c r="N380" s="133" t="n">
        <f aca="false">K380*M380</f>
        <v>-600</v>
      </c>
      <c r="O380" s="134" t="n">
        <f aca="false">0.0025*K380</f>
        <v>50</v>
      </c>
    </row>
    <row r="381" customFormat="false" ht="12.75" hidden="false" customHeight="false" outlineLevel="0" collapsed="false">
      <c r="A381" s="10" t="n">
        <v>52</v>
      </c>
      <c r="C381" s="62" t="n">
        <v>36766</v>
      </c>
      <c r="D381" s="12" t="s">
        <v>174</v>
      </c>
      <c r="E381" s="12" t="s">
        <v>89</v>
      </c>
      <c r="F381" s="12" t="s">
        <v>109</v>
      </c>
      <c r="G381" s="12" t="s">
        <v>313</v>
      </c>
      <c r="H381" s="63" t="n">
        <v>0</v>
      </c>
      <c r="I381" s="14" t="n">
        <f aca="false">+H381*K381</f>
        <v>0</v>
      </c>
      <c r="J381" s="85" t="n">
        <v>36892</v>
      </c>
      <c r="K381" s="13" t="n">
        <v>20000</v>
      </c>
      <c r="L381" s="38" t="s">
        <v>8</v>
      </c>
      <c r="M381" s="63" t="n">
        <v>-0.03</v>
      </c>
      <c r="N381" s="133" t="n">
        <f aca="false">K381*M381</f>
        <v>-600</v>
      </c>
      <c r="O381" s="134" t="n">
        <f aca="false">0.0025*K381</f>
        <v>50</v>
      </c>
    </row>
    <row r="382" customFormat="false" ht="12.75" hidden="false" customHeight="false" outlineLevel="0" collapsed="false">
      <c r="A382" s="10" t="n">
        <v>52</v>
      </c>
      <c r="C382" s="62" t="n">
        <v>36766</v>
      </c>
      <c r="D382" s="12" t="s">
        <v>174</v>
      </c>
      <c r="E382" s="12" t="s">
        <v>89</v>
      </c>
      <c r="F382" s="12" t="s">
        <v>109</v>
      </c>
      <c r="G382" s="12" t="s">
        <v>313</v>
      </c>
      <c r="H382" s="63" t="n">
        <v>0</v>
      </c>
      <c r="I382" s="14" t="n">
        <f aca="false">+H382*K382</f>
        <v>0</v>
      </c>
      <c r="J382" s="85" t="n">
        <v>36923</v>
      </c>
      <c r="K382" s="13" t="n">
        <v>20000</v>
      </c>
      <c r="L382" s="38" t="s">
        <v>8</v>
      </c>
      <c r="M382" s="63" t="n">
        <v>-0.03</v>
      </c>
      <c r="N382" s="133" t="n">
        <f aca="false">K382*M382</f>
        <v>-600</v>
      </c>
      <c r="O382" s="134" t="n">
        <f aca="false">0.0025*K382</f>
        <v>50</v>
      </c>
    </row>
    <row r="384" customFormat="false" ht="12.75" hidden="false" customHeight="false" outlineLevel="0" collapsed="false">
      <c r="A384" s="10" t="n">
        <v>53</v>
      </c>
      <c r="B384" s="10" t="s">
        <v>314</v>
      </c>
      <c r="C384" s="62" t="n">
        <v>36766</v>
      </c>
      <c r="D384" s="12" t="s">
        <v>14</v>
      </c>
      <c r="E384" s="12" t="s">
        <v>89</v>
      </c>
      <c r="F384" s="12" t="s">
        <v>235</v>
      </c>
      <c r="G384" s="12" t="s">
        <v>239</v>
      </c>
      <c r="H384" s="63" t="n">
        <v>0.265</v>
      </c>
      <c r="I384" s="14" t="n">
        <f aca="false">+H384*K384</f>
        <v>12455</v>
      </c>
      <c r="J384" s="85" t="n">
        <v>36770</v>
      </c>
      <c r="K384" s="13" t="n">
        <v>47000</v>
      </c>
      <c r="L384" s="38" t="s">
        <v>8</v>
      </c>
      <c r="M384" s="63" t="s">
        <v>315</v>
      </c>
      <c r="O384" s="134" t="n">
        <f aca="false">0.01*K384</f>
        <v>470</v>
      </c>
      <c r="Q384" s="135" t="n">
        <v>4.45</v>
      </c>
      <c r="T384" s="134" t="n">
        <v>0</v>
      </c>
      <c r="Y384" s="12" t="s">
        <v>93</v>
      </c>
      <c r="AA384" s="10" t="s">
        <v>94</v>
      </c>
      <c r="AB384" s="12" t="s">
        <v>95</v>
      </c>
    </row>
    <row r="385" customFormat="false" ht="12.75" hidden="false" customHeight="false" outlineLevel="0" collapsed="false">
      <c r="A385" s="10" t="n">
        <v>53</v>
      </c>
      <c r="B385" s="10" t="s">
        <v>314</v>
      </c>
      <c r="C385" s="62" t="n">
        <v>36766</v>
      </c>
      <c r="D385" s="12" t="s">
        <v>14</v>
      </c>
      <c r="E385" s="12" t="s">
        <v>89</v>
      </c>
      <c r="F385" s="12" t="s">
        <v>235</v>
      </c>
      <c r="G385" s="12" t="s">
        <v>239</v>
      </c>
      <c r="H385" s="63" t="n">
        <v>0.265</v>
      </c>
      <c r="I385" s="14" t="n">
        <f aca="false">+H385*K385</f>
        <v>12455</v>
      </c>
      <c r="J385" s="85" t="n">
        <v>36800</v>
      </c>
      <c r="K385" s="13" t="n">
        <v>47000</v>
      </c>
      <c r="L385" s="38" t="s">
        <v>8</v>
      </c>
      <c r="M385" s="63" t="s">
        <v>315</v>
      </c>
      <c r="O385" s="134" t="n">
        <f aca="false">0.01*K385</f>
        <v>470</v>
      </c>
      <c r="Q385" s="135" t="n">
        <v>5.105</v>
      </c>
      <c r="T385" s="134" t="n">
        <f aca="false">(4.7-Q385)*K385</f>
        <v>-19035</v>
      </c>
      <c r="AA385" s="10" t="s">
        <v>94</v>
      </c>
      <c r="AB385" s="12" t="s">
        <v>95</v>
      </c>
    </row>
    <row r="386" customFormat="false" ht="12.75" hidden="false" customHeight="false" outlineLevel="0" collapsed="false">
      <c r="A386" s="10" t="n">
        <v>53</v>
      </c>
      <c r="B386" s="10" t="s">
        <v>314</v>
      </c>
      <c r="C386" s="62" t="n">
        <v>36766</v>
      </c>
      <c r="D386" s="12" t="s">
        <v>14</v>
      </c>
      <c r="E386" s="12" t="s">
        <v>89</v>
      </c>
      <c r="F386" s="12" t="s">
        <v>235</v>
      </c>
      <c r="G386" s="12" t="s">
        <v>239</v>
      </c>
      <c r="H386" s="63" t="n">
        <v>0.265</v>
      </c>
      <c r="I386" s="14" t="n">
        <f aca="false">+H386*K386</f>
        <v>12455</v>
      </c>
      <c r="J386" s="85" t="n">
        <v>36831</v>
      </c>
      <c r="K386" s="13" t="n">
        <v>47000</v>
      </c>
      <c r="L386" s="38" t="s">
        <v>8</v>
      </c>
      <c r="M386" s="63" t="s">
        <v>315</v>
      </c>
      <c r="O386" s="134" t="n">
        <f aca="false">0.01*K386</f>
        <v>470</v>
      </c>
      <c r="Q386" s="135" t="n">
        <v>4.31</v>
      </c>
      <c r="T386" s="134" t="n">
        <v>0</v>
      </c>
      <c r="AA386" s="10" t="s">
        <v>94</v>
      </c>
      <c r="AB386" s="12" t="s">
        <v>95</v>
      </c>
    </row>
    <row r="387" customFormat="false" ht="12.75" hidden="false" customHeight="false" outlineLevel="0" collapsed="false">
      <c r="A387" s="10" t="n">
        <v>53</v>
      </c>
      <c r="B387" s="10" t="s">
        <v>314</v>
      </c>
      <c r="C387" s="62" t="n">
        <v>36766</v>
      </c>
      <c r="D387" s="12" t="s">
        <v>14</v>
      </c>
      <c r="E387" s="12" t="s">
        <v>89</v>
      </c>
      <c r="F387" s="12" t="s">
        <v>235</v>
      </c>
      <c r="G387" s="12" t="s">
        <v>239</v>
      </c>
      <c r="H387" s="63" t="n">
        <v>0.265</v>
      </c>
      <c r="I387" s="14" t="n">
        <f aca="false">+H387*K387</f>
        <v>12455</v>
      </c>
      <c r="J387" s="85" t="n">
        <v>36861</v>
      </c>
      <c r="K387" s="13" t="n">
        <v>47000</v>
      </c>
      <c r="L387" s="38" t="s">
        <v>8</v>
      </c>
      <c r="M387" s="63" t="s">
        <v>315</v>
      </c>
      <c r="O387" s="134" t="n">
        <f aca="false">0.01*K387</f>
        <v>470</v>
      </c>
      <c r="Q387" s="135" t="n">
        <v>5.775</v>
      </c>
      <c r="T387" s="134" t="n">
        <f aca="false">(4.7-Q387)*K387</f>
        <v>-50525</v>
      </c>
      <c r="AA387" s="10" t="s">
        <v>94</v>
      </c>
      <c r="AB387" s="12" t="s">
        <v>95</v>
      </c>
    </row>
    <row r="388" customFormat="false" ht="12.75" hidden="false" customHeight="false" outlineLevel="0" collapsed="false">
      <c r="A388" s="10" t="n">
        <v>53</v>
      </c>
      <c r="B388" s="10" t="s">
        <v>314</v>
      </c>
      <c r="C388" s="62" t="n">
        <v>36766</v>
      </c>
      <c r="D388" s="12" t="s">
        <v>14</v>
      </c>
      <c r="E388" s="12" t="s">
        <v>89</v>
      </c>
      <c r="F388" s="12" t="s">
        <v>235</v>
      </c>
      <c r="G388" s="12" t="s">
        <v>239</v>
      </c>
      <c r="H388" s="63" t="n">
        <v>0.265</v>
      </c>
      <c r="I388" s="14" t="n">
        <f aca="false">+H388*K388</f>
        <v>12455</v>
      </c>
      <c r="J388" s="85" t="n">
        <v>36892</v>
      </c>
      <c r="K388" s="13" t="n">
        <v>47000</v>
      </c>
      <c r="L388" s="38" t="s">
        <v>8</v>
      </c>
      <c r="M388" s="63" t="s">
        <v>315</v>
      </c>
      <c r="O388" s="134" t="n">
        <f aca="false">0.01*K388</f>
        <v>470</v>
      </c>
      <c r="Q388" s="135" t="n">
        <v>9.565</v>
      </c>
      <c r="T388" s="134" t="n">
        <f aca="false">(4.7-Q388)*K388</f>
        <v>-228655</v>
      </c>
      <c r="AA388" s="10" t="s">
        <v>94</v>
      </c>
      <c r="AB388" s="12" t="s">
        <v>95</v>
      </c>
    </row>
    <row r="389" customFormat="false" ht="12.75" hidden="false" customHeight="false" outlineLevel="0" collapsed="false">
      <c r="A389" s="10" t="n">
        <v>53</v>
      </c>
      <c r="B389" s="10" t="s">
        <v>314</v>
      </c>
      <c r="C389" s="62" t="n">
        <v>36766</v>
      </c>
      <c r="D389" s="12" t="s">
        <v>14</v>
      </c>
      <c r="E389" s="12" t="s">
        <v>89</v>
      </c>
      <c r="F389" s="12" t="s">
        <v>235</v>
      </c>
      <c r="G389" s="12" t="s">
        <v>239</v>
      </c>
      <c r="H389" s="63" t="n">
        <v>0.265</v>
      </c>
      <c r="I389" s="14" t="n">
        <f aca="false">+H389*K389</f>
        <v>12455</v>
      </c>
      <c r="J389" s="85" t="n">
        <v>36923</v>
      </c>
      <c r="K389" s="13" t="n">
        <v>47000</v>
      </c>
      <c r="L389" s="38" t="s">
        <v>8</v>
      </c>
      <c r="M389" s="63" t="s">
        <v>315</v>
      </c>
      <c r="O389" s="134" t="n">
        <f aca="false">0.01*K389</f>
        <v>470</v>
      </c>
      <c r="AA389" s="10" t="s">
        <v>94</v>
      </c>
      <c r="AB389" s="12" t="s">
        <v>95</v>
      </c>
    </row>
    <row r="391" customFormat="false" ht="12.75" hidden="false" customHeight="false" outlineLevel="0" collapsed="false">
      <c r="A391" s="10" t="n">
        <v>54</v>
      </c>
      <c r="B391" s="10" t="s">
        <v>316</v>
      </c>
      <c r="C391" s="62" t="n">
        <v>36766</v>
      </c>
      <c r="D391" s="12" t="s">
        <v>14</v>
      </c>
      <c r="E391" s="12" t="s">
        <v>89</v>
      </c>
      <c r="F391" s="12" t="s">
        <v>235</v>
      </c>
      <c r="G391" s="12" t="s">
        <v>92</v>
      </c>
      <c r="H391" s="63" t="n">
        <v>0.47</v>
      </c>
      <c r="I391" s="14" t="n">
        <f aca="false">+H391*K391</f>
        <v>11045</v>
      </c>
      <c r="J391" s="85" t="n">
        <v>36770</v>
      </c>
      <c r="K391" s="13" t="n">
        <v>23500</v>
      </c>
      <c r="L391" s="38" t="s">
        <v>8</v>
      </c>
      <c r="M391" s="63" t="n">
        <v>4.64</v>
      </c>
      <c r="N391" s="133" t="n">
        <f aca="false">K391*M391</f>
        <v>109040</v>
      </c>
      <c r="O391" s="134" t="n">
        <f aca="false">0.025*K391</f>
        <v>587.5</v>
      </c>
      <c r="Q391" s="135" t="n">
        <v>4.45</v>
      </c>
      <c r="T391" s="134" t="n">
        <v>0</v>
      </c>
      <c r="Y391" s="12" t="s">
        <v>93</v>
      </c>
      <c r="AA391" s="10" t="s">
        <v>94</v>
      </c>
      <c r="AB391" s="12" t="s">
        <v>95</v>
      </c>
    </row>
    <row r="392" customFormat="false" ht="12.75" hidden="false" customHeight="false" outlineLevel="0" collapsed="false">
      <c r="A392" s="10" t="n">
        <v>54</v>
      </c>
      <c r="B392" s="10" t="s">
        <v>316</v>
      </c>
      <c r="C392" s="62" t="n">
        <v>36766</v>
      </c>
      <c r="D392" s="12" t="s">
        <v>14</v>
      </c>
      <c r="E392" s="12" t="s">
        <v>89</v>
      </c>
      <c r="F392" s="12" t="s">
        <v>235</v>
      </c>
      <c r="G392" s="12" t="s">
        <v>92</v>
      </c>
      <c r="H392" s="63" t="n">
        <v>0.47</v>
      </c>
      <c r="I392" s="14" t="n">
        <f aca="false">+H392*K392</f>
        <v>11045</v>
      </c>
      <c r="J392" s="85" t="n">
        <v>36800</v>
      </c>
      <c r="K392" s="13" t="n">
        <v>23500</v>
      </c>
      <c r="L392" s="38" t="s">
        <v>8</v>
      </c>
      <c r="M392" s="63" t="n">
        <v>4.64</v>
      </c>
      <c r="N392" s="133" t="n">
        <f aca="false">K392*M392</f>
        <v>109040</v>
      </c>
      <c r="O392" s="134" t="n">
        <f aca="false">0.025*K392</f>
        <v>587.5</v>
      </c>
      <c r="Q392" s="135" t="n">
        <f aca="false">+Q385</f>
        <v>5.105</v>
      </c>
      <c r="T392" s="134" t="n">
        <f aca="false">(M392-Q392)*K392</f>
        <v>-10927.5</v>
      </c>
      <c r="AA392" s="10" t="s">
        <v>94</v>
      </c>
      <c r="AB392" s="12" t="s">
        <v>95</v>
      </c>
    </row>
    <row r="393" customFormat="false" ht="12.75" hidden="false" customHeight="false" outlineLevel="0" collapsed="false">
      <c r="A393" s="10" t="n">
        <v>54</v>
      </c>
      <c r="B393" s="10" t="s">
        <v>316</v>
      </c>
      <c r="C393" s="62" t="n">
        <v>36766</v>
      </c>
      <c r="D393" s="12" t="s">
        <v>14</v>
      </c>
      <c r="E393" s="12" t="s">
        <v>89</v>
      </c>
      <c r="F393" s="12" t="s">
        <v>235</v>
      </c>
      <c r="G393" s="12" t="s">
        <v>92</v>
      </c>
      <c r="H393" s="63" t="n">
        <v>0.47</v>
      </c>
      <c r="I393" s="14" t="n">
        <f aca="false">+H393*K393</f>
        <v>11045</v>
      </c>
      <c r="J393" s="85" t="n">
        <v>36831</v>
      </c>
      <c r="K393" s="13" t="n">
        <v>23500</v>
      </c>
      <c r="L393" s="38" t="s">
        <v>8</v>
      </c>
      <c r="M393" s="63" t="n">
        <v>4.64</v>
      </c>
      <c r="N393" s="133" t="n">
        <f aca="false">K393*M393</f>
        <v>109040</v>
      </c>
      <c r="O393" s="134" t="n">
        <f aca="false">0.025*K393</f>
        <v>587.5</v>
      </c>
      <c r="Q393" s="135" t="n">
        <v>4.31</v>
      </c>
      <c r="T393" s="134" t="n">
        <v>0</v>
      </c>
      <c r="AA393" s="10" t="s">
        <v>94</v>
      </c>
      <c r="AB393" s="12" t="s">
        <v>95</v>
      </c>
    </row>
    <row r="394" customFormat="false" ht="12.75" hidden="false" customHeight="false" outlineLevel="0" collapsed="false">
      <c r="A394" s="10" t="n">
        <v>54</v>
      </c>
      <c r="B394" s="10" t="s">
        <v>316</v>
      </c>
      <c r="C394" s="62" t="n">
        <v>36766</v>
      </c>
      <c r="D394" s="12" t="s">
        <v>14</v>
      </c>
      <c r="E394" s="12" t="s">
        <v>89</v>
      </c>
      <c r="F394" s="12" t="s">
        <v>235</v>
      </c>
      <c r="G394" s="12" t="s">
        <v>92</v>
      </c>
      <c r="H394" s="63" t="n">
        <v>0.47</v>
      </c>
      <c r="I394" s="14" t="n">
        <f aca="false">+H394*K394</f>
        <v>11045</v>
      </c>
      <c r="J394" s="85" t="n">
        <v>36861</v>
      </c>
      <c r="K394" s="13" t="n">
        <v>23500</v>
      </c>
      <c r="L394" s="38" t="s">
        <v>8</v>
      </c>
      <c r="M394" s="63" t="n">
        <v>4.64</v>
      </c>
      <c r="N394" s="133" t="n">
        <f aca="false">K394*M394</f>
        <v>109040</v>
      </c>
      <c r="O394" s="134" t="n">
        <f aca="false">0.025*K394</f>
        <v>587.5</v>
      </c>
      <c r="Q394" s="135" t="n">
        <v>5.775</v>
      </c>
      <c r="T394" s="134" t="n">
        <f aca="false">(M394-Q394)*K394</f>
        <v>-26672.5</v>
      </c>
      <c r="AA394" s="10" t="s">
        <v>94</v>
      </c>
      <c r="AB394" s="12" t="s">
        <v>95</v>
      </c>
    </row>
    <row r="395" customFormat="false" ht="12.75" hidden="false" customHeight="false" outlineLevel="0" collapsed="false">
      <c r="A395" s="10" t="n">
        <v>54</v>
      </c>
      <c r="B395" s="10" t="s">
        <v>316</v>
      </c>
      <c r="C395" s="62" t="n">
        <v>36766</v>
      </c>
      <c r="D395" s="12" t="s">
        <v>14</v>
      </c>
      <c r="E395" s="12" t="s">
        <v>89</v>
      </c>
      <c r="F395" s="12" t="s">
        <v>235</v>
      </c>
      <c r="G395" s="12" t="s">
        <v>92</v>
      </c>
      <c r="H395" s="63" t="n">
        <v>0.47</v>
      </c>
      <c r="I395" s="14" t="n">
        <f aca="false">+H395*K395</f>
        <v>11045</v>
      </c>
      <c r="J395" s="85" t="n">
        <v>36892</v>
      </c>
      <c r="K395" s="13" t="n">
        <v>23500</v>
      </c>
      <c r="L395" s="38" t="s">
        <v>8</v>
      </c>
      <c r="M395" s="63" t="n">
        <v>4.64</v>
      </c>
      <c r="N395" s="133" t="n">
        <f aca="false">K395*M395</f>
        <v>109040</v>
      </c>
      <c r="O395" s="134" t="n">
        <f aca="false">0.025*K395</f>
        <v>587.5</v>
      </c>
      <c r="Q395" s="135" t="n">
        <v>9.565</v>
      </c>
      <c r="T395" s="134" t="n">
        <f aca="false">(4.64-Q395)*K395</f>
        <v>-115737.5</v>
      </c>
      <c r="AA395" s="10" t="s">
        <v>94</v>
      </c>
      <c r="AB395" s="12" t="s">
        <v>95</v>
      </c>
    </row>
    <row r="396" customFormat="false" ht="12.75" hidden="false" customHeight="false" outlineLevel="0" collapsed="false">
      <c r="A396" s="10" t="n">
        <v>54</v>
      </c>
      <c r="B396" s="10" t="s">
        <v>316</v>
      </c>
      <c r="C396" s="62" t="n">
        <v>36766</v>
      </c>
      <c r="D396" s="12" t="s">
        <v>14</v>
      </c>
      <c r="E396" s="12" t="s">
        <v>89</v>
      </c>
      <c r="F396" s="12" t="s">
        <v>235</v>
      </c>
      <c r="G396" s="12" t="s">
        <v>92</v>
      </c>
      <c r="H396" s="63" t="n">
        <v>0.47</v>
      </c>
      <c r="I396" s="14" t="n">
        <f aca="false">+H396*K396</f>
        <v>11045</v>
      </c>
      <c r="J396" s="85" t="n">
        <v>36923</v>
      </c>
      <c r="K396" s="13" t="n">
        <v>23500</v>
      </c>
      <c r="L396" s="38" t="s">
        <v>8</v>
      </c>
      <c r="M396" s="63" t="n">
        <v>4.64</v>
      </c>
      <c r="N396" s="133" t="n">
        <f aca="false">K396*M396</f>
        <v>109040</v>
      </c>
      <c r="O396" s="134" t="n">
        <f aca="false">0.025*K396</f>
        <v>587.5</v>
      </c>
      <c r="AA396" s="10" t="s">
        <v>94</v>
      </c>
      <c r="AB396" s="12" t="s">
        <v>95</v>
      </c>
    </row>
    <row r="398" customFormat="false" ht="12.75" hidden="false" customHeight="false" outlineLevel="0" collapsed="false">
      <c r="A398" s="10" t="n">
        <v>55</v>
      </c>
      <c r="B398" s="10" t="s">
        <v>317</v>
      </c>
      <c r="C398" s="62" t="n">
        <v>36766</v>
      </c>
      <c r="D398" s="12" t="s">
        <v>14</v>
      </c>
      <c r="E398" s="12" t="s">
        <v>89</v>
      </c>
      <c r="F398" s="12" t="s">
        <v>235</v>
      </c>
      <c r="G398" s="12" t="s">
        <v>236</v>
      </c>
      <c r="H398" s="63" t="n">
        <v>0</v>
      </c>
      <c r="I398" s="14" t="n">
        <f aca="false">+H398*K398</f>
        <v>0</v>
      </c>
      <c r="J398" s="85" t="n">
        <v>36770</v>
      </c>
      <c r="K398" s="13" t="n">
        <v>23500</v>
      </c>
      <c r="L398" s="38" t="s">
        <v>8</v>
      </c>
      <c r="M398" s="63" t="n">
        <v>4.64</v>
      </c>
      <c r="N398" s="133" t="n">
        <f aca="false">K398*M398</f>
        <v>109040</v>
      </c>
      <c r="O398" s="134" t="n">
        <f aca="false">0.01*K398</f>
        <v>235</v>
      </c>
      <c r="Q398" s="135" t="n">
        <v>4.45</v>
      </c>
      <c r="T398" s="134" t="n">
        <f aca="false">(M398-Q398)*K398</f>
        <v>4464.99999999999</v>
      </c>
      <c r="Y398" s="12" t="s">
        <v>93</v>
      </c>
      <c r="AA398" s="10" t="s">
        <v>94</v>
      </c>
      <c r="AB398" s="12" t="s">
        <v>95</v>
      </c>
    </row>
    <row r="399" customFormat="false" ht="12.75" hidden="false" customHeight="false" outlineLevel="0" collapsed="false">
      <c r="A399" s="10" t="n">
        <v>55</v>
      </c>
      <c r="B399" s="10" t="s">
        <v>317</v>
      </c>
      <c r="C399" s="62" t="n">
        <v>36766</v>
      </c>
      <c r="D399" s="12" t="s">
        <v>14</v>
      </c>
      <c r="E399" s="12" t="s">
        <v>89</v>
      </c>
      <c r="F399" s="12" t="s">
        <v>235</v>
      </c>
      <c r="G399" s="12" t="s">
        <v>236</v>
      </c>
      <c r="H399" s="63" t="n">
        <v>0</v>
      </c>
      <c r="I399" s="14" t="n">
        <f aca="false">+H399*K399</f>
        <v>0</v>
      </c>
      <c r="J399" s="85" t="n">
        <v>36800</v>
      </c>
      <c r="K399" s="13" t="n">
        <v>23500</v>
      </c>
      <c r="L399" s="38" t="s">
        <v>8</v>
      </c>
      <c r="M399" s="63" t="n">
        <v>4.64</v>
      </c>
      <c r="N399" s="133" t="n">
        <f aca="false">K399*M399</f>
        <v>109040</v>
      </c>
      <c r="O399" s="134" t="n">
        <f aca="false">0.01*K399</f>
        <v>235</v>
      </c>
      <c r="Q399" s="135" t="n">
        <v>5.105</v>
      </c>
      <c r="T399" s="134" t="n">
        <f aca="false">(M399-Q399)*K399</f>
        <v>-10927.5</v>
      </c>
      <c r="AA399" s="10" t="s">
        <v>94</v>
      </c>
      <c r="AB399" s="12" t="s">
        <v>95</v>
      </c>
    </row>
    <row r="400" customFormat="false" ht="12.75" hidden="false" customHeight="false" outlineLevel="0" collapsed="false">
      <c r="A400" s="10" t="n">
        <v>55</v>
      </c>
      <c r="B400" s="10" t="s">
        <v>317</v>
      </c>
      <c r="C400" s="62" t="n">
        <v>36766</v>
      </c>
      <c r="D400" s="12" t="s">
        <v>14</v>
      </c>
      <c r="E400" s="12" t="s">
        <v>89</v>
      </c>
      <c r="F400" s="12" t="s">
        <v>235</v>
      </c>
      <c r="G400" s="12" t="s">
        <v>236</v>
      </c>
      <c r="H400" s="63" t="n">
        <v>0</v>
      </c>
      <c r="I400" s="14" t="n">
        <f aca="false">+H400*K400</f>
        <v>0</v>
      </c>
      <c r="J400" s="85" t="n">
        <v>36831</v>
      </c>
      <c r="K400" s="13" t="n">
        <v>23500</v>
      </c>
      <c r="L400" s="38" t="s">
        <v>8</v>
      </c>
      <c r="M400" s="63" t="n">
        <v>4.64</v>
      </c>
      <c r="N400" s="133" t="n">
        <f aca="false">K400*M400</f>
        <v>109040</v>
      </c>
      <c r="O400" s="134" t="n">
        <f aca="false">0.01*K400</f>
        <v>235</v>
      </c>
      <c r="Q400" s="135" t="n">
        <v>4.31</v>
      </c>
      <c r="T400" s="134" t="n">
        <f aca="false">(M400-Q400)*K400</f>
        <v>7755</v>
      </c>
      <c r="AA400" s="10" t="s">
        <v>94</v>
      </c>
      <c r="AB400" s="12" t="s">
        <v>95</v>
      </c>
    </row>
    <row r="401" customFormat="false" ht="12.75" hidden="false" customHeight="false" outlineLevel="0" collapsed="false">
      <c r="A401" s="10" t="n">
        <v>55</v>
      </c>
      <c r="B401" s="10" t="s">
        <v>317</v>
      </c>
      <c r="C401" s="62" t="n">
        <v>36766</v>
      </c>
      <c r="D401" s="12" t="s">
        <v>14</v>
      </c>
      <c r="E401" s="12" t="s">
        <v>89</v>
      </c>
      <c r="F401" s="12" t="s">
        <v>235</v>
      </c>
      <c r="G401" s="12" t="s">
        <v>236</v>
      </c>
      <c r="H401" s="63" t="n">
        <v>0</v>
      </c>
      <c r="I401" s="14" t="n">
        <f aca="false">+H401*K401</f>
        <v>0</v>
      </c>
      <c r="J401" s="85" t="n">
        <v>36861</v>
      </c>
      <c r="K401" s="13" t="n">
        <v>23500</v>
      </c>
      <c r="L401" s="38" t="s">
        <v>8</v>
      </c>
      <c r="M401" s="63" t="n">
        <v>4.64</v>
      </c>
      <c r="N401" s="133" t="n">
        <f aca="false">K401*M401</f>
        <v>109040</v>
      </c>
      <c r="O401" s="134" t="n">
        <f aca="false">0.01*K401</f>
        <v>235</v>
      </c>
      <c r="Q401" s="135" t="n">
        <v>5.775</v>
      </c>
      <c r="T401" s="134" t="n">
        <f aca="false">(M401-Q401)*K401</f>
        <v>-26672.5</v>
      </c>
      <c r="AA401" s="10" t="s">
        <v>94</v>
      </c>
      <c r="AB401" s="12" t="s">
        <v>95</v>
      </c>
    </row>
    <row r="402" customFormat="false" ht="12.75" hidden="false" customHeight="false" outlineLevel="0" collapsed="false">
      <c r="A402" s="10" t="n">
        <v>55</v>
      </c>
      <c r="B402" s="10" t="s">
        <v>317</v>
      </c>
      <c r="C402" s="62" t="n">
        <v>36766</v>
      </c>
      <c r="D402" s="12" t="s">
        <v>14</v>
      </c>
      <c r="E402" s="12" t="s">
        <v>89</v>
      </c>
      <c r="F402" s="12" t="s">
        <v>235</v>
      </c>
      <c r="G402" s="12" t="s">
        <v>236</v>
      </c>
      <c r="H402" s="63" t="n">
        <v>0</v>
      </c>
      <c r="I402" s="14" t="n">
        <f aca="false">+H402*K402</f>
        <v>0</v>
      </c>
      <c r="J402" s="85" t="n">
        <v>36892</v>
      </c>
      <c r="K402" s="13" t="n">
        <v>23500</v>
      </c>
      <c r="L402" s="38" t="s">
        <v>8</v>
      </c>
      <c r="M402" s="63" t="n">
        <v>4.64</v>
      </c>
      <c r="N402" s="133" t="n">
        <f aca="false">K402*M402</f>
        <v>109040</v>
      </c>
      <c r="O402" s="134" t="n">
        <f aca="false">0.01*K402</f>
        <v>235</v>
      </c>
      <c r="Q402" s="135" t="n">
        <v>9.565</v>
      </c>
      <c r="T402" s="134" t="n">
        <f aca="false">(M402-Q402)*K402</f>
        <v>-115737.5</v>
      </c>
      <c r="AA402" s="10" t="s">
        <v>94</v>
      </c>
      <c r="AB402" s="12" t="s">
        <v>95</v>
      </c>
    </row>
    <row r="403" customFormat="false" ht="12.75" hidden="false" customHeight="false" outlineLevel="0" collapsed="false">
      <c r="A403" s="10" t="n">
        <v>55</v>
      </c>
      <c r="B403" s="10" t="s">
        <v>317</v>
      </c>
      <c r="C403" s="62" t="n">
        <v>36766</v>
      </c>
      <c r="D403" s="12" t="s">
        <v>14</v>
      </c>
      <c r="E403" s="12" t="s">
        <v>89</v>
      </c>
      <c r="F403" s="12" t="s">
        <v>235</v>
      </c>
      <c r="G403" s="12" t="s">
        <v>236</v>
      </c>
      <c r="H403" s="63" t="n">
        <v>0</v>
      </c>
      <c r="I403" s="14" t="n">
        <f aca="false">+H403*K403</f>
        <v>0</v>
      </c>
      <c r="J403" s="85" t="n">
        <v>36923</v>
      </c>
      <c r="K403" s="13" t="n">
        <v>23500</v>
      </c>
      <c r="L403" s="38" t="s">
        <v>8</v>
      </c>
      <c r="M403" s="63" t="n">
        <v>4.64</v>
      </c>
      <c r="N403" s="133" t="n">
        <f aca="false">K403*M403</f>
        <v>109040</v>
      </c>
      <c r="O403" s="134" t="n">
        <f aca="false">0.01*K403</f>
        <v>235</v>
      </c>
      <c r="AA403" s="10" t="s">
        <v>94</v>
      </c>
      <c r="AB403" s="12" t="s">
        <v>95</v>
      </c>
    </row>
    <row r="404" customFormat="false" ht="12.75" hidden="false" customHeight="false" outlineLevel="0" collapsed="false">
      <c r="AB404" s="12" t="s">
        <v>95</v>
      </c>
    </row>
    <row r="405" customFormat="false" ht="12.75" hidden="false" customHeight="false" outlineLevel="0" collapsed="false">
      <c r="A405" s="5" t="n">
        <v>56</v>
      </c>
      <c r="B405" s="5" t="s">
        <v>318</v>
      </c>
      <c r="C405" s="153" t="n">
        <v>36767</v>
      </c>
      <c r="D405" s="58" t="s">
        <v>176</v>
      </c>
      <c r="E405" s="58" t="s">
        <v>89</v>
      </c>
      <c r="F405" s="58" t="s">
        <v>109</v>
      </c>
      <c r="G405" s="58" t="s">
        <v>239</v>
      </c>
      <c r="H405" s="154" t="n">
        <v>0</v>
      </c>
      <c r="I405" s="6" t="n">
        <f aca="false">+H405*K405</f>
        <v>0</v>
      </c>
      <c r="J405" s="155" t="n">
        <v>36770</v>
      </c>
      <c r="K405" s="156" t="n">
        <v>5000</v>
      </c>
      <c r="L405" s="157" t="s">
        <v>8</v>
      </c>
      <c r="M405" s="154" t="s">
        <v>319</v>
      </c>
      <c r="N405" s="158"/>
      <c r="O405" s="159" t="n">
        <f aca="false">0.005*K405</f>
        <v>25</v>
      </c>
      <c r="P405" s="58"/>
      <c r="Q405" s="160" t="n">
        <v>4.64</v>
      </c>
      <c r="R405" s="161"/>
      <c r="S405" s="58"/>
      <c r="T405" s="159" t="n">
        <v>0</v>
      </c>
      <c r="U405" s="162"/>
      <c r="V405" s="162"/>
      <c r="W405" s="58"/>
      <c r="X405" s="58"/>
      <c r="Y405" s="58" t="s">
        <v>307</v>
      </c>
      <c r="Z405" s="58"/>
      <c r="AA405" s="5" t="s">
        <v>116</v>
      </c>
      <c r="AB405" s="12" t="s">
        <v>95</v>
      </c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  <c r="CG405" s="58"/>
      <c r="CH405" s="58"/>
      <c r="CI405" s="58"/>
      <c r="CJ405" s="58"/>
      <c r="CK405" s="58"/>
      <c r="CL405" s="58"/>
      <c r="CM405" s="58"/>
      <c r="CN405" s="58"/>
      <c r="CO405" s="58"/>
      <c r="CP405" s="58"/>
      <c r="CQ405" s="58"/>
      <c r="CR405" s="58"/>
      <c r="CS405" s="58"/>
      <c r="CT405" s="58"/>
      <c r="CU405" s="58"/>
      <c r="CV405" s="58"/>
      <c r="CW405" s="58"/>
      <c r="CX405" s="58"/>
      <c r="CY405" s="58"/>
      <c r="CZ405" s="58"/>
      <c r="DA405" s="58"/>
      <c r="DB405" s="58"/>
      <c r="DC405" s="58"/>
      <c r="DD405" s="58"/>
      <c r="DE405" s="58"/>
      <c r="DF405" s="58"/>
      <c r="DG405" s="58"/>
      <c r="DH405" s="58"/>
      <c r="DI405" s="58"/>
      <c r="DJ405" s="58"/>
      <c r="DK405" s="58"/>
      <c r="DL405" s="58"/>
      <c r="DM405" s="58"/>
      <c r="DN405" s="58"/>
      <c r="DO405" s="58"/>
      <c r="DP405" s="58"/>
      <c r="DQ405" s="58"/>
      <c r="DR405" s="58"/>
      <c r="DS405" s="58"/>
      <c r="DT405" s="58"/>
      <c r="DU405" s="58"/>
      <c r="DV405" s="58"/>
      <c r="DW405" s="58"/>
      <c r="DX405" s="58"/>
      <c r="DY405" s="58"/>
      <c r="DZ405" s="58"/>
      <c r="EA405" s="58"/>
      <c r="EB405" s="58"/>
      <c r="EC405" s="58"/>
      <c r="ED405" s="58"/>
      <c r="EE405" s="58"/>
      <c r="EF405" s="58"/>
      <c r="EG405" s="58"/>
      <c r="EH405" s="58"/>
      <c r="EI405" s="58"/>
      <c r="EJ405" s="58"/>
      <c r="EK405" s="58"/>
      <c r="EL405" s="58"/>
      <c r="EM405" s="58"/>
      <c r="EN405" s="58"/>
      <c r="EO405" s="58"/>
      <c r="EP405" s="58"/>
      <c r="EQ405" s="58"/>
      <c r="ER405" s="58"/>
      <c r="ES405" s="58"/>
      <c r="ET405" s="58"/>
      <c r="EU405" s="58"/>
      <c r="EV405" s="58"/>
      <c r="EW405" s="58"/>
      <c r="EX405" s="58"/>
      <c r="EY405" s="58"/>
      <c r="EZ405" s="58"/>
      <c r="FA405" s="58"/>
      <c r="FB405" s="58"/>
      <c r="FC405" s="58"/>
      <c r="FD405" s="58"/>
      <c r="FE405" s="58"/>
      <c r="FF405" s="58"/>
      <c r="FG405" s="58"/>
      <c r="FH405" s="58"/>
      <c r="FI405" s="58"/>
      <c r="FJ405" s="58"/>
      <c r="FK405" s="58"/>
      <c r="FL405" s="58"/>
      <c r="FM405" s="58"/>
      <c r="FN405" s="58"/>
      <c r="FO405" s="58"/>
      <c r="FP405" s="58"/>
      <c r="FQ405" s="58"/>
      <c r="FR405" s="58"/>
      <c r="FS405" s="58"/>
      <c r="FT405" s="58"/>
      <c r="FU405" s="58"/>
      <c r="FV405" s="58"/>
      <c r="FW405" s="58"/>
      <c r="FX405" s="58"/>
      <c r="FY405" s="58"/>
      <c r="FZ405" s="58"/>
      <c r="GA405" s="58"/>
      <c r="GB405" s="58"/>
      <c r="GC405" s="58"/>
      <c r="GD405" s="58"/>
      <c r="GE405" s="58"/>
      <c r="GF405" s="58"/>
      <c r="GG405" s="58"/>
      <c r="GH405" s="58"/>
      <c r="GI405" s="58"/>
      <c r="GJ405" s="58"/>
      <c r="GK405" s="58"/>
      <c r="GL405" s="58"/>
      <c r="GM405" s="58"/>
      <c r="GN405" s="58"/>
      <c r="GO405" s="58"/>
      <c r="GP405" s="58"/>
      <c r="GQ405" s="58"/>
      <c r="GR405" s="58"/>
      <c r="GS405" s="58"/>
      <c r="GT405" s="58"/>
      <c r="GU405" s="58"/>
      <c r="GV405" s="58"/>
      <c r="GW405" s="58"/>
      <c r="GX405" s="58"/>
      <c r="GY405" s="58"/>
      <c r="GZ405" s="58"/>
      <c r="HA405" s="58"/>
      <c r="HB405" s="58"/>
      <c r="HC405" s="58"/>
      <c r="HD405" s="58"/>
      <c r="HE405" s="58"/>
      <c r="HF405" s="58"/>
      <c r="HG405" s="58"/>
      <c r="HH405" s="58"/>
      <c r="HI405" s="58"/>
      <c r="HJ405" s="58"/>
      <c r="HK405" s="58"/>
      <c r="HL405" s="58"/>
      <c r="HM405" s="58"/>
      <c r="HN405" s="58"/>
      <c r="HO405" s="58"/>
      <c r="HP405" s="58"/>
      <c r="HQ405" s="58"/>
      <c r="HR405" s="58"/>
      <c r="HS405" s="58"/>
      <c r="HT405" s="58"/>
      <c r="HU405" s="58"/>
      <c r="HV405" s="58"/>
      <c r="HW405" s="58"/>
      <c r="HX405" s="58"/>
      <c r="HY405" s="58"/>
      <c r="HZ405" s="58"/>
      <c r="IA405" s="58"/>
      <c r="IB405" s="58"/>
      <c r="IC405" s="58"/>
      <c r="ID405" s="58"/>
      <c r="IE405" s="58"/>
      <c r="IF405" s="58"/>
      <c r="IG405" s="58"/>
      <c r="IH405" s="58"/>
      <c r="II405" s="58"/>
      <c r="IJ405" s="58"/>
      <c r="IK405" s="58"/>
      <c r="IL405" s="58"/>
      <c r="IM405" s="58"/>
      <c r="IN405" s="58"/>
      <c r="IO405" s="58"/>
      <c r="IP405" s="58"/>
      <c r="IQ405" s="58"/>
      <c r="IR405" s="58"/>
      <c r="IS405" s="58"/>
      <c r="IT405" s="58"/>
      <c r="IU405" s="58"/>
      <c r="IV405" s="58"/>
      <c r="IW405" s="58"/>
    </row>
    <row r="406" customFormat="false" ht="12.75" hidden="false" customHeight="false" outlineLevel="0" collapsed="false">
      <c r="A406" s="5" t="n">
        <v>56</v>
      </c>
      <c r="B406" s="5" t="s">
        <v>318</v>
      </c>
      <c r="C406" s="153" t="n">
        <v>36767</v>
      </c>
      <c r="D406" s="58" t="s">
        <v>176</v>
      </c>
      <c r="E406" s="58" t="s">
        <v>89</v>
      </c>
      <c r="F406" s="58" t="s">
        <v>109</v>
      </c>
      <c r="G406" s="58" t="s">
        <v>239</v>
      </c>
      <c r="H406" s="154" t="n">
        <v>0</v>
      </c>
      <c r="I406" s="6" t="n">
        <f aca="false">+H406*K406</f>
        <v>0</v>
      </c>
      <c r="J406" s="155" t="n">
        <v>36800</v>
      </c>
      <c r="K406" s="156" t="n">
        <v>5000</v>
      </c>
      <c r="L406" s="157" t="s">
        <v>8</v>
      </c>
      <c r="M406" s="154" t="s">
        <v>319</v>
      </c>
      <c r="N406" s="158"/>
      <c r="O406" s="159" t="n">
        <f aca="false">0.005*K406</f>
        <v>25</v>
      </c>
      <c r="P406" s="58"/>
      <c r="Q406" s="160" t="n">
        <v>5.3</v>
      </c>
      <c r="R406" s="161"/>
      <c r="S406" s="58"/>
      <c r="T406" s="159" t="n">
        <v>0</v>
      </c>
      <c r="U406" s="162"/>
      <c r="V406" s="162"/>
      <c r="W406" s="58"/>
      <c r="X406" s="58"/>
      <c r="Y406" s="58"/>
      <c r="Z406" s="58"/>
      <c r="AA406" s="5" t="s">
        <v>116</v>
      </c>
      <c r="AB406" s="12" t="s">
        <v>95</v>
      </c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  <c r="CG406" s="58"/>
      <c r="CH406" s="58"/>
      <c r="CI406" s="58"/>
      <c r="CJ406" s="58"/>
      <c r="CK406" s="58"/>
      <c r="CL406" s="58"/>
      <c r="CM406" s="58"/>
      <c r="CN406" s="58"/>
      <c r="CO406" s="58"/>
      <c r="CP406" s="58"/>
      <c r="CQ406" s="58"/>
      <c r="CR406" s="58"/>
      <c r="CS406" s="58"/>
      <c r="CT406" s="58"/>
      <c r="CU406" s="58"/>
      <c r="CV406" s="58"/>
      <c r="CW406" s="58"/>
      <c r="CX406" s="58"/>
      <c r="CY406" s="58"/>
      <c r="CZ406" s="58"/>
      <c r="DA406" s="58"/>
      <c r="DB406" s="58"/>
      <c r="DC406" s="58"/>
      <c r="DD406" s="58"/>
      <c r="DE406" s="58"/>
      <c r="DF406" s="58"/>
      <c r="DG406" s="58"/>
      <c r="DH406" s="58"/>
      <c r="DI406" s="58"/>
      <c r="DJ406" s="58"/>
      <c r="DK406" s="58"/>
      <c r="DL406" s="58"/>
      <c r="DM406" s="58"/>
      <c r="DN406" s="58"/>
      <c r="DO406" s="58"/>
      <c r="DP406" s="58"/>
      <c r="DQ406" s="58"/>
      <c r="DR406" s="58"/>
      <c r="DS406" s="58"/>
      <c r="DT406" s="58"/>
      <c r="DU406" s="58"/>
      <c r="DV406" s="58"/>
      <c r="DW406" s="58"/>
      <c r="DX406" s="58"/>
      <c r="DY406" s="58"/>
      <c r="DZ406" s="58"/>
      <c r="EA406" s="58"/>
      <c r="EB406" s="58"/>
      <c r="EC406" s="58"/>
      <c r="ED406" s="58"/>
      <c r="EE406" s="58"/>
      <c r="EF406" s="58"/>
      <c r="EG406" s="58"/>
      <c r="EH406" s="58"/>
      <c r="EI406" s="58"/>
      <c r="EJ406" s="58"/>
      <c r="EK406" s="58"/>
      <c r="EL406" s="58"/>
      <c r="EM406" s="58"/>
      <c r="EN406" s="58"/>
      <c r="EO406" s="58"/>
      <c r="EP406" s="58"/>
      <c r="EQ406" s="58"/>
      <c r="ER406" s="58"/>
      <c r="ES406" s="58"/>
      <c r="ET406" s="58"/>
      <c r="EU406" s="58"/>
      <c r="EV406" s="58"/>
      <c r="EW406" s="58"/>
      <c r="EX406" s="58"/>
      <c r="EY406" s="58"/>
      <c r="EZ406" s="58"/>
      <c r="FA406" s="58"/>
      <c r="FB406" s="58"/>
      <c r="FC406" s="58"/>
      <c r="FD406" s="58"/>
      <c r="FE406" s="58"/>
      <c r="FF406" s="58"/>
      <c r="FG406" s="58"/>
      <c r="FH406" s="58"/>
      <c r="FI406" s="58"/>
      <c r="FJ406" s="58"/>
      <c r="FK406" s="58"/>
      <c r="FL406" s="58"/>
      <c r="FM406" s="58"/>
      <c r="FN406" s="58"/>
      <c r="FO406" s="58"/>
      <c r="FP406" s="58"/>
      <c r="FQ406" s="58"/>
      <c r="FR406" s="58"/>
      <c r="FS406" s="58"/>
      <c r="FT406" s="58"/>
      <c r="FU406" s="58"/>
      <c r="FV406" s="58"/>
      <c r="FW406" s="58"/>
      <c r="FX406" s="58"/>
      <c r="FY406" s="58"/>
      <c r="FZ406" s="58"/>
      <c r="GA406" s="58"/>
      <c r="GB406" s="58"/>
      <c r="GC406" s="58"/>
      <c r="GD406" s="58"/>
      <c r="GE406" s="58"/>
      <c r="GF406" s="58"/>
      <c r="GG406" s="58"/>
      <c r="GH406" s="58"/>
      <c r="GI406" s="58"/>
      <c r="GJ406" s="58"/>
      <c r="GK406" s="58"/>
      <c r="GL406" s="58"/>
      <c r="GM406" s="58"/>
      <c r="GN406" s="58"/>
      <c r="GO406" s="58"/>
      <c r="GP406" s="58"/>
      <c r="GQ406" s="58"/>
      <c r="GR406" s="58"/>
      <c r="GS406" s="58"/>
      <c r="GT406" s="58"/>
      <c r="GU406" s="58"/>
      <c r="GV406" s="58"/>
      <c r="GW406" s="58"/>
      <c r="GX406" s="58"/>
      <c r="GY406" s="58"/>
      <c r="GZ406" s="58"/>
      <c r="HA406" s="58"/>
      <c r="HB406" s="58"/>
      <c r="HC406" s="58"/>
      <c r="HD406" s="58"/>
      <c r="HE406" s="58"/>
      <c r="HF406" s="58"/>
      <c r="HG406" s="58"/>
      <c r="HH406" s="58"/>
      <c r="HI406" s="58"/>
      <c r="HJ406" s="58"/>
      <c r="HK406" s="58"/>
      <c r="HL406" s="58"/>
      <c r="HM406" s="58"/>
      <c r="HN406" s="58"/>
      <c r="HO406" s="58"/>
      <c r="HP406" s="58"/>
      <c r="HQ406" s="58"/>
      <c r="HR406" s="58"/>
      <c r="HS406" s="58"/>
      <c r="HT406" s="58"/>
      <c r="HU406" s="58"/>
      <c r="HV406" s="58"/>
      <c r="HW406" s="58"/>
      <c r="HX406" s="58"/>
      <c r="HY406" s="58"/>
      <c r="HZ406" s="58"/>
      <c r="IA406" s="58"/>
      <c r="IB406" s="58"/>
      <c r="IC406" s="58"/>
      <c r="ID406" s="58"/>
      <c r="IE406" s="58"/>
      <c r="IF406" s="58"/>
      <c r="IG406" s="58"/>
      <c r="IH406" s="58"/>
      <c r="II406" s="58"/>
      <c r="IJ406" s="58"/>
      <c r="IK406" s="58"/>
      <c r="IL406" s="58"/>
      <c r="IM406" s="58"/>
      <c r="IN406" s="58"/>
      <c r="IO406" s="58"/>
      <c r="IP406" s="58"/>
      <c r="IQ406" s="58"/>
      <c r="IR406" s="58"/>
      <c r="IS406" s="58"/>
      <c r="IT406" s="58"/>
      <c r="IU406" s="58"/>
      <c r="IV406" s="58"/>
      <c r="IW406" s="58"/>
    </row>
    <row r="407" customFormat="false" ht="12.75" hidden="false" customHeight="false" outlineLevel="0" collapsed="false">
      <c r="A407" s="5" t="n">
        <v>56</v>
      </c>
      <c r="B407" s="5" t="s">
        <v>318</v>
      </c>
      <c r="C407" s="153" t="n">
        <v>36767</v>
      </c>
      <c r="D407" s="58" t="s">
        <v>176</v>
      </c>
      <c r="E407" s="58" t="s">
        <v>89</v>
      </c>
      <c r="F407" s="58" t="s">
        <v>109</v>
      </c>
      <c r="G407" s="58" t="s">
        <v>239</v>
      </c>
      <c r="H407" s="154" t="n">
        <v>0</v>
      </c>
      <c r="I407" s="6" t="n">
        <f aca="false">+H407*K407</f>
        <v>0</v>
      </c>
      <c r="J407" s="155" t="n">
        <v>36831</v>
      </c>
      <c r="K407" s="156" t="n">
        <v>5000</v>
      </c>
      <c r="L407" s="157" t="s">
        <v>8</v>
      </c>
      <c r="M407" s="154" t="s">
        <v>319</v>
      </c>
      <c r="N407" s="158"/>
      <c r="O407" s="159" t="n">
        <f aca="false">0.005*K407</f>
        <v>25</v>
      </c>
      <c r="P407" s="58"/>
      <c r="Q407" s="160" t="n">
        <v>4.46</v>
      </c>
      <c r="R407" s="161"/>
      <c r="S407" s="58"/>
      <c r="T407" s="159" t="n">
        <v>0</v>
      </c>
      <c r="U407" s="162"/>
      <c r="V407" s="162"/>
      <c r="W407" s="58"/>
      <c r="X407" s="58"/>
      <c r="Y407" s="58"/>
      <c r="Z407" s="58"/>
      <c r="AA407" s="5" t="s">
        <v>116</v>
      </c>
      <c r="AB407" s="12" t="s">
        <v>95</v>
      </c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  <c r="DN407" s="58"/>
      <c r="DO407" s="58"/>
      <c r="DP407" s="58"/>
      <c r="DQ407" s="58"/>
      <c r="DR407" s="58"/>
      <c r="DS407" s="58"/>
      <c r="DT407" s="58"/>
      <c r="DU407" s="58"/>
      <c r="DV407" s="58"/>
      <c r="DW407" s="58"/>
      <c r="DX407" s="58"/>
      <c r="DY407" s="58"/>
      <c r="DZ407" s="58"/>
      <c r="EA407" s="58"/>
      <c r="EB407" s="58"/>
      <c r="EC407" s="58"/>
      <c r="ED407" s="58"/>
      <c r="EE407" s="58"/>
      <c r="EF407" s="58"/>
      <c r="EG407" s="58"/>
      <c r="EH407" s="58"/>
      <c r="EI407" s="58"/>
      <c r="EJ407" s="58"/>
      <c r="EK407" s="58"/>
      <c r="EL407" s="58"/>
      <c r="EM407" s="58"/>
      <c r="EN407" s="58"/>
      <c r="EO407" s="58"/>
      <c r="EP407" s="58"/>
      <c r="EQ407" s="58"/>
      <c r="ER407" s="58"/>
      <c r="ES407" s="58"/>
      <c r="ET407" s="58"/>
      <c r="EU407" s="58"/>
      <c r="EV407" s="58"/>
      <c r="EW407" s="58"/>
      <c r="EX407" s="58"/>
      <c r="EY407" s="58"/>
      <c r="EZ407" s="58"/>
      <c r="FA407" s="58"/>
      <c r="FB407" s="58"/>
      <c r="FC407" s="58"/>
      <c r="FD407" s="58"/>
      <c r="FE407" s="58"/>
      <c r="FF407" s="58"/>
      <c r="FG407" s="58"/>
      <c r="FH407" s="58"/>
      <c r="FI407" s="58"/>
      <c r="FJ407" s="58"/>
      <c r="FK407" s="58"/>
      <c r="FL407" s="58"/>
      <c r="FM407" s="58"/>
      <c r="FN407" s="58"/>
      <c r="FO407" s="58"/>
      <c r="FP407" s="58"/>
      <c r="FQ407" s="58"/>
      <c r="FR407" s="58"/>
      <c r="FS407" s="58"/>
      <c r="FT407" s="58"/>
      <c r="FU407" s="58"/>
      <c r="FV407" s="58"/>
      <c r="FW407" s="58"/>
      <c r="FX407" s="58"/>
      <c r="FY407" s="58"/>
      <c r="FZ407" s="58"/>
      <c r="GA407" s="58"/>
      <c r="GB407" s="58"/>
      <c r="GC407" s="58"/>
      <c r="GD407" s="58"/>
      <c r="GE407" s="58"/>
      <c r="GF407" s="58"/>
      <c r="GG407" s="58"/>
      <c r="GH407" s="58"/>
      <c r="GI407" s="58"/>
      <c r="GJ407" s="58"/>
      <c r="GK407" s="58"/>
      <c r="GL407" s="58"/>
      <c r="GM407" s="58"/>
      <c r="GN407" s="58"/>
      <c r="GO407" s="58"/>
      <c r="GP407" s="58"/>
      <c r="GQ407" s="58"/>
      <c r="GR407" s="58"/>
      <c r="GS407" s="58"/>
      <c r="GT407" s="58"/>
      <c r="GU407" s="58"/>
      <c r="GV407" s="58"/>
      <c r="GW407" s="58"/>
      <c r="GX407" s="58"/>
      <c r="GY407" s="58"/>
      <c r="GZ407" s="58"/>
      <c r="HA407" s="58"/>
      <c r="HB407" s="58"/>
      <c r="HC407" s="58"/>
      <c r="HD407" s="58"/>
      <c r="HE407" s="58"/>
      <c r="HF407" s="58"/>
      <c r="HG407" s="58"/>
      <c r="HH407" s="58"/>
      <c r="HI407" s="58"/>
      <c r="HJ407" s="58"/>
      <c r="HK407" s="58"/>
      <c r="HL407" s="58"/>
      <c r="HM407" s="58"/>
      <c r="HN407" s="58"/>
      <c r="HO407" s="58"/>
      <c r="HP407" s="58"/>
      <c r="HQ407" s="58"/>
      <c r="HR407" s="58"/>
      <c r="HS407" s="58"/>
      <c r="HT407" s="58"/>
      <c r="HU407" s="58"/>
      <c r="HV407" s="58"/>
      <c r="HW407" s="58"/>
      <c r="HX407" s="58"/>
      <c r="HY407" s="58"/>
      <c r="HZ407" s="58"/>
      <c r="IA407" s="58"/>
      <c r="IB407" s="58"/>
      <c r="IC407" s="58"/>
      <c r="ID407" s="58"/>
      <c r="IE407" s="58"/>
      <c r="IF407" s="58"/>
      <c r="IG407" s="58"/>
      <c r="IH407" s="58"/>
      <c r="II407" s="58"/>
      <c r="IJ407" s="58"/>
      <c r="IK407" s="58"/>
      <c r="IL407" s="58"/>
      <c r="IM407" s="58"/>
      <c r="IN407" s="58"/>
      <c r="IO407" s="58"/>
      <c r="IP407" s="58"/>
      <c r="IQ407" s="58"/>
      <c r="IR407" s="58"/>
      <c r="IS407" s="58"/>
      <c r="IT407" s="58"/>
      <c r="IU407" s="58"/>
      <c r="IV407" s="58"/>
      <c r="IW407" s="58"/>
    </row>
    <row r="408" customFormat="false" ht="12.75" hidden="false" customHeight="false" outlineLevel="0" collapsed="false">
      <c r="A408" s="5" t="n">
        <v>56</v>
      </c>
      <c r="B408" s="5" t="s">
        <v>318</v>
      </c>
      <c r="C408" s="153" t="n">
        <v>36767</v>
      </c>
      <c r="D408" s="58" t="s">
        <v>176</v>
      </c>
      <c r="E408" s="58" t="s">
        <v>89</v>
      </c>
      <c r="F408" s="58" t="s">
        <v>109</v>
      </c>
      <c r="G408" s="58" t="s">
        <v>239</v>
      </c>
      <c r="H408" s="154" t="n">
        <v>0</v>
      </c>
      <c r="I408" s="6" t="n">
        <f aca="false">+H408*K408</f>
        <v>0</v>
      </c>
      <c r="J408" s="155" t="n">
        <v>36861</v>
      </c>
      <c r="K408" s="156" t="n">
        <v>5000</v>
      </c>
      <c r="L408" s="157" t="s">
        <v>8</v>
      </c>
      <c r="M408" s="154" t="s">
        <v>319</v>
      </c>
      <c r="N408" s="158"/>
      <c r="O408" s="159" t="n">
        <f aca="false">0.005*K408</f>
        <v>25</v>
      </c>
      <c r="P408" s="58"/>
      <c r="Q408" s="160" t="n">
        <v>5.775</v>
      </c>
      <c r="R408" s="161"/>
      <c r="S408" s="58"/>
      <c r="T408" s="159" t="n">
        <v>0</v>
      </c>
      <c r="U408" s="162"/>
      <c r="V408" s="162"/>
      <c r="W408" s="58"/>
      <c r="X408" s="58"/>
      <c r="Y408" s="58"/>
      <c r="Z408" s="58"/>
      <c r="AA408" s="5" t="s">
        <v>116</v>
      </c>
      <c r="AB408" s="12" t="s">
        <v>95</v>
      </c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  <c r="DN408" s="58"/>
      <c r="DO408" s="58"/>
      <c r="DP408" s="58"/>
      <c r="DQ408" s="58"/>
      <c r="DR408" s="58"/>
      <c r="DS408" s="58"/>
      <c r="DT408" s="58"/>
      <c r="DU408" s="58"/>
      <c r="DV408" s="58"/>
      <c r="DW408" s="58"/>
      <c r="DX408" s="58"/>
      <c r="DY408" s="58"/>
      <c r="DZ408" s="58"/>
      <c r="EA408" s="58"/>
      <c r="EB408" s="58"/>
      <c r="EC408" s="58"/>
      <c r="ED408" s="58"/>
      <c r="EE408" s="58"/>
      <c r="EF408" s="58"/>
      <c r="EG408" s="58"/>
      <c r="EH408" s="58"/>
      <c r="EI408" s="58"/>
      <c r="EJ408" s="58"/>
      <c r="EK408" s="58"/>
      <c r="EL408" s="58"/>
      <c r="EM408" s="58"/>
      <c r="EN408" s="58"/>
      <c r="EO408" s="58"/>
      <c r="EP408" s="58"/>
      <c r="EQ408" s="58"/>
      <c r="ER408" s="58"/>
      <c r="ES408" s="58"/>
      <c r="ET408" s="58"/>
      <c r="EU408" s="58"/>
      <c r="EV408" s="58"/>
      <c r="EW408" s="58"/>
      <c r="EX408" s="58"/>
      <c r="EY408" s="58"/>
      <c r="EZ408" s="58"/>
      <c r="FA408" s="58"/>
      <c r="FB408" s="58"/>
      <c r="FC408" s="58"/>
      <c r="FD408" s="58"/>
      <c r="FE408" s="58"/>
      <c r="FF408" s="58"/>
      <c r="FG408" s="58"/>
      <c r="FH408" s="58"/>
      <c r="FI408" s="58"/>
      <c r="FJ408" s="58"/>
      <c r="FK408" s="58"/>
      <c r="FL408" s="58"/>
      <c r="FM408" s="58"/>
      <c r="FN408" s="58"/>
      <c r="FO408" s="58"/>
      <c r="FP408" s="58"/>
      <c r="FQ408" s="58"/>
      <c r="FR408" s="58"/>
      <c r="FS408" s="58"/>
      <c r="FT408" s="58"/>
      <c r="FU408" s="58"/>
      <c r="FV408" s="58"/>
      <c r="FW408" s="58"/>
      <c r="FX408" s="58"/>
      <c r="FY408" s="58"/>
      <c r="FZ408" s="58"/>
      <c r="GA408" s="58"/>
      <c r="GB408" s="58"/>
      <c r="GC408" s="58"/>
      <c r="GD408" s="58"/>
      <c r="GE408" s="58"/>
      <c r="GF408" s="58"/>
      <c r="GG408" s="58"/>
      <c r="GH408" s="58"/>
      <c r="GI408" s="58"/>
      <c r="GJ408" s="58"/>
      <c r="GK408" s="58"/>
      <c r="GL408" s="58"/>
      <c r="GM408" s="58"/>
      <c r="GN408" s="58"/>
      <c r="GO408" s="58"/>
      <c r="GP408" s="58"/>
      <c r="GQ408" s="58"/>
      <c r="GR408" s="58"/>
      <c r="GS408" s="58"/>
      <c r="GT408" s="58"/>
      <c r="GU408" s="58"/>
      <c r="GV408" s="58"/>
      <c r="GW408" s="58"/>
      <c r="GX408" s="58"/>
      <c r="GY408" s="58"/>
      <c r="GZ408" s="58"/>
      <c r="HA408" s="58"/>
      <c r="HB408" s="58"/>
      <c r="HC408" s="58"/>
      <c r="HD408" s="58"/>
      <c r="HE408" s="58"/>
      <c r="HF408" s="58"/>
      <c r="HG408" s="58"/>
      <c r="HH408" s="58"/>
      <c r="HI408" s="58"/>
      <c r="HJ408" s="58"/>
      <c r="HK408" s="58"/>
      <c r="HL408" s="58"/>
      <c r="HM408" s="58"/>
      <c r="HN408" s="58"/>
      <c r="HO408" s="58"/>
      <c r="HP408" s="58"/>
      <c r="HQ408" s="58"/>
      <c r="HR408" s="58"/>
      <c r="HS408" s="58"/>
      <c r="HT408" s="58"/>
      <c r="HU408" s="58"/>
      <c r="HV408" s="58"/>
      <c r="HW408" s="58"/>
      <c r="HX408" s="58"/>
      <c r="HY408" s="58"/>
      <c r="HZ408" s="58"/>
      <c r="IA408" s="58"/>
      <c r="IB408" s="58"/>
      <c r="IC408" s="58"/>
      <c r="ID408" s="58"/>
      <c r="IE408" s="58"/>
      <c r="IF408" s="58"/>
      <c r="IG408" s="58"/>
      <c r="IH408" s="58"/>
      <c r="II408" s="58"/>
      <c r="IJ408" s="58"/>
      <c r="IK408" s="58"/>
      <c r="IL408" s="58"/>
      <c r="IM408" s="58"/>
      <c r="IN408" s="58"/>
      <c r="IO408" s="58"/>
      <c r="IP408" s="58"/>
      <c r="IQ408" s="58"/>
      <c r="IR408" s="58"/>
      <c r="IS408" s="58"/>
      <c r="IT408" s="58"/>
      <c r="IU408" s="58"/>
      <c r="IV408" s="58"/>
      <c r="IW408" s="58"/>
    </row>
    <row r="409" customFormat="false" ht="12.75" hidden="false" customHeight="false" outlineLevel="0" collapsed="false">
      <c r="A409" s="5" t="n">
        <v>56</v>
      </c>
      <c r="B409" s="5" t="s">
        <v>318</v>
      </c>
      <c r="C409" s="153" t="n">
        <v>36767</v>
      </c>
      <c r="D409" s="58" t="s">
        <v>176</v>
      </c>
      <c r="E409" s="58" t="s">
        <v>89</v>
      </c>
      <c r="F409" s="58" t="s">
        <v>109</v>
      </c>
      <c r="G409" s="58" t="s">
        <v>239</v>
      </c>
      <c r="H409" s="154" t="n">
        <v>0</v>
      </c>
      <c r="I409" s="6" t="n">
        <f aca="false">+H409*K409</f>
        <v>0</v>
      </c>
      <c r="J409" s="155" t="n">
        <v>36892</v>
      </c>
      <c r="K409" s="156" t="n">
        <v>5000</v>
      </c>
      <c r="L409" s="157" t="s">
        <v>8</v>
      </c>
      <c r="M409" s="154" t="s">
        <v>319</v>
      </c>
      <c r="N409" s="158"/>
      <c r="O409" s="159" t="n">
        <f aca="false">0.005*K409</f>
        <v>25</v>
      </c>
      <c r="P409" s="58"/>
      <c r="Q409" s="135" t="n">
        <v>9.84</v>
      </c>
      <c r="R409" s="161"/>
      <c r="S409" s="58"/>
      <c r="T409" s="134" t="n">
        <f aca="false">(9.3-Q409)*K409</f>
        <v>-2700</v>
      </c>
      <c r="U409" s="162"/>
      <c r="V409" s="162"/>
      <c r="W409" s="58"/>
      <c r="X409" s="58"/>
      <c r="Y409" s="58"/>
      <c r="Z409" s="58"/>
      <c r="AA409" s="5" t="s">
        <v>116</v>
      </c>
      <c r="AB409" s="12" t="s">
        <v>95</v>
      </c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  <c r="DN409" s="58"/>
      <c r="DO409" s="58"/>
      <c r="DP409" s="58"/>
      <c r="DQ409" s="58"/>
      <c r="DR409" s="58"/>
      <c r="DS409" s="58"/>
      <c r="DT409" s="58"/>
      <c r="DU409" s="58"/>
      <c r="DV409" s="58"/>
      <c r="DW409" s="58"/>
      <c r="DX409" s="58"/>
      <c r="DY409" s="58"/>
      <c r="DZ409" s="58"/>
      <c r="EA409" s="58"/>
      <c r="EB409" s="58"/>
      <c r="EC409" s="58"/>
      <c r="ED409" s="58"/>
      <c r="EE409" s="58"/>
      <c r="EF409" s="58"/>
      <c r="EG409" s="58"/>
      <c r="EH409" s="58"/>
      <c r="EI409" s="58"/>
      <c r="EJ409" s="58"/>
      <c r="EK409" s="58"/>
      <c r="EL409" s="58"/>
      <c r="EM409" s="58"/>
      <c r="EN409" s="58"/>
      <c r="EO409" s="58"/>
      <c r="EP409" s="58"/>
      <c r="EQ409" s="58"/>
      <c r="ER409" s="58"/>
      <c r="ES409" s="58"/>
      <c r="ET409" s="58"/>
      <c r="EU409" s="58"/>
      <c r="EV409" s="58"/>
      <c r="EW409" s="58"/>
      <c r="EX409" s="58"/>
      <c r="EY409" s="58"/>
      <c r="EZ409" s="58"/>
      <c r="FA409" s="58"/>
      <c r="FB409" s="58"/>
      <c r="FC409" s="58"/>
      <c r="FD409" s="58"/>
      <c r="FE409" s="58"/>
      <c r="FF409" s="58"/>
      <c r="FG409" s="58"/>
      <c r="FH409" s="58"/>
      <c r="FI409" s="58"/>
      <c r="FJ409" s="58"/>
      <c r="FK409" s="58"/>
      <c r="FL409" s="58"/>
      <c r="FM409" s="58"/>
      <c r="FN409" s="58"/>
      <c r="FO409" s="58"/>
      <c r="FP409" s="58"/>
      <c r="FQ409" s="58"/>
      <c r="FR409" s="58"/>
      <c r="FS409" s="58"/>
      <c r="FT409" s="58"/>
      <c r="FU409" s="58"/>
      <c r="FV409" s="58"/>
      <c r="FW409" s="58"/>
      <c r="FX409" s="58"/>
      <c r="FY409" s="58"/>
      <c r="FZ409" s="58"/>
      <c r="GA409" s="58"/>
      <c r="GB409" s="58"/>
      <c r="GC409" s="58"/>
      <c r="GD409" s="58"/>
      <c r="GE409" s="58"/>
      <c r="GF409" s="58"/>
      <c r="GG409" s="58"/>
      <c r="GH409" s="58"/>
      <c r="GI409" s="58"/>
      <c r="GJ409" s="58"/>
      <c r="GK409" s="58"/>
      <c r="GL409" s="58"/>
      <c r="GM409" s="58"/>
      <c r="GN409" s="58"/>
      <c r="GO409" s="58"/>
      <c r="GP409" s="58"/>
      <c r="GQ409" s="58"/>
      <c r="GR409" s="58"/>
      <c r="GS409" s="58"/>
      <c r="GT409" s="58"/>
      <c r="GU409" s="58"/>
      <c r="GV409" s="58"/>
      <c r="GW409" s="58"/>
      <c r="GX409" s="58"/>
      <c r="GY409" s="58"/>
      <c r="GZ409" s="58"/>
      <c r="HA409" s="58"/>
      <c r="HB409" s="58"/>
      <c r="HC409" s="58"/>
      <c r="HD409" s="58"/>
      <c r="HE409" s="58"/>
      <c r="HF409" s="58"/>
      <c r="HG409" s="58"/>
      <c r="HH409" s="58"/>
      <c r="HI409" s="58"/>
      <c r="HJ409" s="58"/>
      <c r="HK409" s="58"/>
      <c r="HL409" s="58"/>
      <c r="HM409" s="58"/>
      <c r="HN409" s="58"/>
      <c r="HO409" s="58"/>
      <c r="HP409" s="58"/>
      <c r="HQ409" s="58"/>
      <c r="HR409" s="58"/>
      <c r="HS409" s="58"/>
      <c r="HT409" s="58"/>
      <c r="HU409" s="58"/>
      <c r="HV409" s="58"/>
      <c r="HW409" s="58"/>
      <c r="HX409" s="58"/>
      <c r="HY409" s="58"/>
      <c r="HZ409" s="58"/>
      <c r="IA409" s="58"/>
      <c r="IB409" s="58"/>
      <c r="IC409" s="58"/>
      <c r="ID409" s="58"/>
      <c r="IE409" s="58"/>
      <c r="IF409" s="58"/>
      <c r="IG409" s="58"/>
      <c r="IH409" s="58"/>
      <c r="II409" s="58"/>
      <c r="IJ409" s="58"/>
      <c r="IK409" s="58"/>
      <c r="IL409" s="58"/>
      <c r="IM409" s="58"/>
      <c r="IN409" s="58"/>
      <c r="IO409" s="58"/>
      <c r="IP409" s="58"/>
      <c r="IQ409" s="58"/>
      <c r="IR409" s="58"/>
      <c r="IS409" s="58"/>
      <c r="IT409" s="58"/>
      <c r="IU409" s="58"/>
      <c r="IV409" s="58"/>
      <c r="IW409" s="58"/>
    </row>
    <row r="410" customFormat="false" ht="12.75" hidden="false" customHeight="false" outlineLevel="0" collapsed="false">
      <c r="A410" s="5" t="n">
        <v>56</v>
      </c>
      <c r="B410" s="5" t="s">
        <v>318</v>
      </c>
      <c r="C410" s="153" t="n">
        <v>36767</v>
      </c>
      <c r="D410" s="58" t="s">
        <v>176</v>
      </c>
      <c r="E410" s="58" t="s">
        <v>89</v>
      </c>
      <c r="F410" s="58" t="s">
        <v>109</v>
      </c>
      <c r="G410" s="58" t="s">
        <v>239</v>
      </c>
      <c r="H410" s="154" t="n">
        <v>0</v>
      </c>
      <c r="I410" s="6" t="n">
        <f aca="false">+H410*K410</f>
        <v>0</v>
      </c>
      <c r="J410" s="155" t="n">
        <v>36923</v>
      </c>
      <c r="K410" s="156" t="n">
        <v>5000</v>
      </c>
      <c r="L410" s="157" t="s">
        <v>8</v>
      </c>
      <c r="M410" s="154" t="s">
        <v>319</v>
      </c>
      <c r="N410" s="158"/>
      <c r="O410" s="159" t="n">
        <f aca="false">0.005*K410</f>
        <v>25</v>
      </c>
      <c r="P410" s="58"/>
      <c r="Q410" s="160"/>
      <c r="R410" s="161"/>
      <c r="S410" s="58"/>
      <c r="T410" s="159"/>
      <c r="U410" s="162"/>
      <c r="V410" s="162"/>
      <c r="W410" s="58"/>
      <c r="X410" s="58"/>
      <c r="Y410" s="58"/>
      <c r="Z410" s="58"/>
      <c r="AA410" s="5" t="s">
        <v>116</v>
      </c>
      <c r="AB410" s="12" t="s">
        <v>95</v>
      </c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  <c r="DN410" s="58"/>
      <c r="DO410" s="58"/>
      <c r="DP410" s="58"/>
      <c r="DQ410" s="58"/>
      <c r="DR410" s="58"/>
      <c r="DS410" s="58"/>
      <c r="DT410" s="58"/>
      <c r="DU410" s="58"/>
      <c r="DV410" s="58"/>
      <c r="DW410" s="58"/>
      <c r="DX410" s="58"/>
      <c r="DY410" s="58"/>
      <c r="DZ410" s="58"/>
      <c r="EA410" s="58"/>
      <c r="EB410" s="58"/>
      <c r="EC410" s="58"/>
      <c r="ED410" s="58"/>
      <c r="EE410" s="58"/>
      <c r="EF410" s="58"/>
      <c r="EG410" s="58"/>
      <c r="EH410" s="58"/>
      <c r="EI410" s="58"/>
      <c r="EJ410" s="58"/>
      <c r="EK410" s="58"/>
      <c r="EL410" s="58"/>
      <c r="EM410" s="58"/>
      <c r="EN410" s="58"/>
      <c r="EO410" s="58"/>
      <c r="EP410" s="58"/>
      <c r="EQ410" s="58"/>
      <c r="ER410" s="58"/>
      <c r="ES410" s="58"/>
      <c r="ET410" s="58"/>
      <c r="EU410" s="58"/>
      <c r="EV410" s="58"/>
      <c r="EW410" s="58"/>
      <c r="EX410" s="58"/>
      <c r="EY410" s="58"/>
      <c r="EZ410" s="58"/>
      <c r="FA410" s="58"/>
      <c r="FB410" s="58"/>
      <c r="FC410" s="58"/>
      <c r="FD410" s="58"/>
      <c r="FE410" s="58"/>
      <c r="FF410" s="58"/>
      <c r="FG410" s="58"/>
      <c r="FH410" s="58"/>
      <c r="FI410" s="58"/>
      <c r="FJ410" s="58"/>
      <c r="FK410" s="58"/>
      <c r="FL410" s="58"/>
      <c r="FM410" s="58"/>
      <c r="FN410" s="58"/>
      <c r="FO410" s="58"/>
      <c r="FP410" s="58"/>
      <c r="FQ410" s="58"/>
      <c r="FR410" s="58"/>
      <c r="FS410" s="58"/>
      <c r="FT410" s="58"/>
      <c r="FU410" s="58"/>
      <c r="FV410" s="58"/>
      <c r="FW410" s="58"/>
      <c r="FX410" s="58"/>
      <c r="FY410" s="58"/>
      <c r="FZ410" s="58"/>
      <c r="GA410" s="58"/>
      <c r="GB410" s="58"/>
      <c r="GC410" s="58"/>
      <c r="GD410" s="58"/>
      <c r="GE410" s="58"/>
      <c r="GF410" s="58"/>
      <c r="GG410" s="58"/>
      <c r="GH410" s="58"/>
      <c r="GI410" s="58"/>
      <c r="GJ410" s="58"/>
      <c r="GK410" s="58"/>
      <c r="GL410" s="58"/>
      <c r="GM410" s="58"/>
      <c r="GN410" s="58"/>
      <c r="GO410" s="58"/>
      <c r="GP410" s="58"/>
      <c r="GQ410" s="58"/>
      <c r="GR410" s="58"/>
      <c r="GS410" s="58"/>
      <c r="GT410" s="58"/>
      <c r="GU410" s="58"/>
      <c r="GV410" s="58"/>
      <c r="GW410" s="58"/>
      <c r="GX410" s="58"/>
      <c r="GY410" s="58"/>
      <c r="GZ410" s="58"/>
      <c r="HA410" s="58"/>
      <c r="HB410" s="58"/>
      <c r="HC410" s="58"/>
      <c r="HD410" s="58"/>
      <c r="HE410" s="58"/>
      <c r="HF410" s="58"/>
      <c r="HG410" s="58"/>
      <c r="HH410" s="58"/>
      <c r="HI410" s="58"/>
      <c r="HJ410" s="58"/>
      <c r="HK410" s="58"/>
      <c r="HL410" s="58"/>
      <c r="HM410" s="58"/>
      <c r="HN410" s="58"/>
      <c r="HO410" s="58"/>
      <c r="HP410" s="58"/>
      <c r="HQ410" s="58"/>
      <c r="HR410" s="58"/>
      <c r="HS410" s="58"/>
      <c r="HT410" s="58"/>
      <c r="HU410" s="58"/>
      <c r="HV410" s="58"/>
      <c r="HW410" s="58"/>
      <c r="HX410" s="58"/>
      <c r="HY410" s="58"/>
      <c r="HZ410" s="58"/>
      <c r="IA410" s="58"/>
      <c r="IB410" s="58"/>
      <c r="IC410" s="58"/>
      <c r="ID410" s="58"/>
      <c r="IE410" s="58"/>
      <c r="IF410" s="58"/>
      <c r="IG410" s="58"/>
      <c r="IH410" s="58"/>
      <c r="II410" s="58"/>
      <c r="IJ410" s="58"/>
      <c r="IK410" s="58"/>
      <c r="IL410" s="58"/>
      <c r="IM410" s="58"/>
      <c r="IN410" s="58"/>
      <c r="IO410" s="58"/>
      <c r="IP410" s="58"/>
      <c r="IQ410" s="58"/>
      <c r="IR410" s="58"/>
      <c r="IS410" s="58"/>
      <c r="IT410" s="58"/>
      <c r="IU410" s="58"/>
      <c r="IV410" s="58"/>
      <c r="IW410" s="58"/>
    </row>
    <row r="411" customFormat="false" ht="12.75" hidden="false" customHeight="false" outlineLevel="0" collapsed="false">
      <c r="A411" s="5"/>
      <c r="B411" s="5"/>
      <c r="C411" s="153"/>
      <c r="D411" s="58"/>
      <c r="E411" s="58"/>
      <c r="F411" s="58"/>
      <c r="G411" s="58"/>
      <c r="H411" s="154"/>
      <c r="I411" s="6"/>
      <c r="J411" s="163"/>
      <c r="K411" s="156"/>
      <c r="L411" s="157"/>
      <c r="M411" s="154"/>
      <c r="N411" s="158"/>
      <c r="O411" s="159"/>
      <c r="P411" s="58"/>
      <c r="Q411" s="160"/>
      <c r="R411" s="161"/>
      <c r="S411" s="58"/>
      <c r="T411" s="159"/>
      <c r="U411" s="162"/>
      <c r="V411" s="162"/>
      <c r="W411" s="58"/>
      <c r="X411" s="58"/>
      <c r="Y411" s="58"/>
      <c r="Z411" s="58"/>
      <c r="AA411" s="5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  <c r="CG411" s="58"/>
      <c r="CH411" s="58"/>
      <c r="CI411" s="58"/>
      <c r="CJ411" s="58"/>
      <c r="CK411" s="58"/>
      <c r="CL411" s="58"/>
      <c r="CM411" s="58"/>
      <c r="CN411" s="58"/>
      <c r="CO411" s="58"/>
      <c r="CP411" s="58"/>
      <c r="CQ411" s="58"/>
      <c r="CR411" s="58"/>
      <c r="CS411" s="58"/>
      <c r="CT411" s="58"/>
      <c r="CU411" s="58"/>
      <c r="CV411" s="58"/>
      <c r="CW411" s="58"/>
      <c r="CX411" s="58"/>
      <c r="CY411" s="58"/>
      <c r="CZ411" s="58"/>
      <c r="DA411" s="58"/>
      <c r="DB411" s="58"/>
      <c r="DC411" s="58"/>
      <c r="DD411" s="58"/>
      <c r="DE411" s="58"/>
      <c r="DF411" s="58"/>
      <c r="DG411" s="58"/>
      <c r="DH411" s="58"/>
      <c r="DI411" s="58"/>
      <c r="DJ411" s="58"/>
      <c r="DK411" s="58"/>
      <c r="DL411" s="58"/>
      <c r="DM411" s="58"/>
      <c r="DN411" s="58"/>
      <c r="DO411" s="58"/>
      <c r="DP411" s="58"/>
      <c r="DQ411" s="58"/>
      <c r="DR411" s="58"/>
      <c r="DS411" s="58"/>
      <c r="DT411" s="58"/>
      <c r="DU411" s="58"/>
      <c r="DV411" s="58"/>
      <c r="DW411" s="58"/>
      <c r="DX411" s="58"/>
      <c r="DY411" s="58"/>
      <c r="DZ411" s="58"/>
      <c r="EA411" s="58"/>
      <c r="EB411" s="58"/>
      <c r="EC411" s="58"/>
      <c r="ED411" s="58"/>
      <c r="EE411" s="58"/>
      <c r="EF411" s="58"/>
      <c r="EG411" s="58"/>
      <c r="EH411" s="58"/>
      <c r="EI411" s="58"/>
      <c r="EJ411" s="58"/>
      <c r="EK411" s="58"/>
      <c r="EL411" s="58"/>
      <c r="EM411" s="58"/>
      <c r="EN411" s="58"/>
      <c r="EO411" s="58"/>
      <c r="EP411" s="58"/>
      <c r="EQ411" s="58"/>
      <c r="ER411" s="58"/>
      <c r="ES411" s="58"/>
      <c r="ET411" s="58"/>
      <c r="EU411" s="58"/>
      <c r="EV411" s="58"/>
      <c r="EW411" s="58"/>
      <c r="EX411" s="58"/>
      <c r="EY411" s="58"/>
      <c r="EZ411" s="58"/>
      <c r="FA411" s="58"/>
      <c r="FB411" s="58"/>
      <c r="FC411" s="58"/>
      <c r="FD411" s="58"/>
      <c r="FE411" s="58"/>
      <c r="FF411" s="58"/>
      <c r="FG411" s="58"/>
      <c r="FH411" s="58"/>
      <c r="FI411" s="58"/>
      <c r="FJ411" s="58"/>
      <c r="FK411" s="58"/>
      <c r="FL411" s="58"/>
      <c r="FM411" s="58"/>
      <c r="FN411" s="58"/>
      <c r="FO411" s="58"/>
      <c r="FP411" s="58"/>
      <c r="FQ411" s="58"/>
      <c r="FR411" s="58"/>
      <c r="FS411" s="58"/>
      <c r="FT411" s="58"/>
      <c r="FU411" s="58"/>
      <c r="FV411" s="58"/>
      <c r="FW411" s="58"/>
      <c r="FX411" s="58"/>
      <c r="FY411" s="58"/>
      <c r="FZ411" s="58"/>
      <c r="GA411" s="58"/>
      <c r="GB411" s="58"/>
      <c r="GC411" s="58"/>
      <c r="GD411" s="58"/>
      <c r="GE411" s="58"/>
      <c r="GF411" s="58"/>
      <c r="GG411" s="58"/>
      <c r="GH411" s="58"/>
      <c r="GI411" s="58"/>
      <c r="GJ411" s="58"/>
      <c r="GK411" s="58"/>
      <c r="GL411" s="58"/>
      <c r="GM411" s="58"/>
      <c r="GN411" s="58"/>
      <c r="GO411" s="58"/>
      <c r="GP411" s="58"/>
      <c r="GQ411" s="58"/>
      <c r="GR411" s="58"/>
      <c r="GS411" s="58"/>
      <c r="GT411" s="58"/>
      <c r="GU411" s="58"/>
      <c r="GV411" s="58"/>
      <c r="GW411" s="58"/>
      <c r="GX411" s="58"/>
      <c r="GY411" s="58"/>
      <c r="GZ411" s="58"/>
      <c r="HA411" s="58"/>
      <c r="HB411" s="58"/>
      <c r="HC411" s="58"/>
      <c r="HD411" s="58"/>
      <c r="HE411" s="58"/>
      <c r="HF411" s="58"/>
      <c r="HG411" s="58"/>
      <c r="HH411" s="58"/>
      <c r="HI411" s="58"/>
      <c r="HJ411" s="58"/>
      <c r="HK411" s="58"/>
      <c r="HL411" s="58"/>
      <c r="HM411" s="58"/>
      <c r="HN411" s="58"/>
      <c r="HO411" s="58"/>
      <c r="HP411" s="58"/>
      <c r="HQ411" s="58"/>
      <c r="HR411" s="58"/>
      <c r="HS411" s="58"/>
      <c r="HT411" s="58"/>
      <c r="HU411" s="58"/>
      <c r="HV411" s="58"/>
      <c r="HW411" s="58"/>
      <c r="HX411" s="58"/>
      <c r="HY411" s="58"/>
      <c r="HZ411" s="58"/>
      <c r="IA411" s="58"/>
      <c r="IB411" s="58"/>
      <c r="IC411" s="58"/>
      <c r="ID411" s="58"/>
      <c r="IE411" s="58"/>
      <c r="IF411" s="58"/>
      <c r="IG411" s="58"/>
      <c r="IH411" s="58"/>
      <c r="II411" s="58"/>
      <c r="IJ411" s="58"/>
      <c r="IK411" s="58"/>
      <c r="IL411" s="58"/>
      <c r="IM411" s="58"/>
      <c r="IN411" s="58"/>
      <c r="IO411" s="58"/>
      <c r="IP411" s="58"/>
      <c r="IQ411" s="58"/>
      <c r="IR411" s="58"/>
      <c r="IS411" s="58"/>
      <c r="IT411" s="58"/>
      <c r="IU411" s="58"/>
      <c r="IV411" s="58"/>
      <c r="IW411" s="58"/>
    </row>
    <row r="412" customFormat="false" ht="12.75" hidden="false" customHeight="false" outlineLevel="0" collapsed="false">
      <c r="A412" s="5" t="n">
        <v>57</v>
      </c>
      <c r="B412" s="5" t="s">
        <v>320</v>
      </c>
      <c r="C412" s="153" t="n">
        <v>36767</v>
      </c>
      <c r="D412" s="58" t="s">
        <v>177</v>
      </c>
      <c r="E412" s="58" t="s">
        <v>89</v>
      </c>
      <c r="F412" s="58" t="s">
        <v>109</v>
      </c>
      <c r="G412" s="58" t="s">
        <v>239</v>
      </c>
      <c r="H412" s="154" t="n">
        <v>0</v>
      </c>
      <c r="I412" s="6" t="n">
        <f aca="false">+H412*K412</f>
        <v>0</v>
      </c>
      <c r="J412" s="155" t="n">
        <v>36770</v>
      </c>
      <c r="K412" s="156" t="n">
        <v>5000</v>
      </c>
      <c r="L412" s="157" t="s">
        <v>8</v>
      </c>
      <c r="M412" s="154" t="s">
        <v>319</v>
      </c>
      <c r="N412" s="158"/>
      <c r="O412" s="159" t="n">
        <f aca="false">0.005*K412</f>
        <v>25</v>
      </c>
      <c r="P412" s="58"/>
      <c r="Q412" s="160" t="n">
        <v>4.64</v>
      </c>
      <c r="R412" s="161"/>
      <c r="S412" s="58"/>
      <c r="T412" s="159" t="n">
        <v>0</v>
      </c>
      <c r="U412" s="162"/>
      <c r="V412" s="162"/>
      <c r="W412" s="58"/>
      <c r="X412" s="58"/>
      <c r="Y412" s="58" t="s">
        <v>307</v>
      </c>
      <c r="Z412" s="58"/>
      <c r="AA412" s="5" t="s">
        <v>116</v>
      </c>
      <c r="AB412" s="12" t="s">
        <v>95</v>
      </c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  <c r="CG412" s="58"/>
      <c r="CH412" s="58"/>
      <c r="CI412" s="58"/>
      <c r="CJ412" s="58"/>
      <c r="CK412" s="58"/>
      <c r="CL412" s="58"/>
      <c r="CM412" s="58"/>
      <c r="CN412" s="58"/>
      <c r="CO412" s="58"/>
      <c r="CP412" s="58"/>
      <c r="CQ412" s="58"/>
      <c r="CR412" s="58"/>
      <c r="CS412" s="58"/>
      <c r="CT412" s="58"/>
      <c r="CU412" s="58"/>
      <c r="CV412" s="58"/>
      <c r="CW412" s="58"/>
      <c r="CX412" s="58"/>
      <c r="CY412" s="58"/>
      <c r="CZ412" s="58"/>
      <c r="DA412" s="58"/>
      <c r="DB412" s="58"/>
      <c r="DC412" s="58"/>
      <c r="DD412" s="58"/>
      <c r="DE412" s="58"/>
      <c r="DF412" s="58"/>
      <c r="DG412" s="58"/>
      <c r="DH412" s="58"/>
      <c r="DI412" s="58"/>
      <c r="DJ412" s="58"/>
      <c r="DK412" s="58"/>
      <c r="DL412" s="58"/>
      <c r="DM412" s="58"/>
      <c r="DN412" s="58"/>
      <c r="DO412" s="58"/>
      <c r="DP412" s="58"/>
      <c r="DQ412" s="58"/>
      <c r="DR412" s="58"/>
      <c r="DS412" s="58"/>
      <c r="DT412" s="58"/>
      <c r="DU412" s="58"/>
      <c r="DV412" s="58"/>
      <c r="DW412" s="58"/>
      <c r="DX412" s="58"/>
      <c r="DY412" s="58"/>
      <c r="DZ412" s="58"/>
      <c r="EA412" s="58"/>
      <c r="EB412" s="58"/>
      <c r="EC412" s="58"/>
      <c r="ED412" s="58"/>
      <c r="EE412" s="58"/>
      <c r="EF412" s="58"/>
      <c r="EG412" s="58"/>
      <c r="EH412" s="58"/>
      <c r="EI412" s="58"/>
      <c r="EJ412" s="58"/>
      <c r="EK412" s="58"/>
      <c r="EL412" s="58"/>
      <c r="EM412" s="58"/>
      <c r="EN412" s="58"/>
      <c r="EO412" s="58"/>
      <c r="EP412" s="58"/>
      <c r="EQ412" s="58"/>
      <c r="ER412" s="58"/>
      <c r="ES412" s="58"/>
      <c r="ET412" s="58"/>
      <c r="EU412" s="58"/>
      <c r="EV412" s="58"/>
      <c r="EW412" s="58"/>
      <c r="EX412" s="58"/>
      <c r="EY412" s="58"/>
      <c r="EZ412" s="58"/>
      <c r="FA412" s="58"/>
      <c r="FB412" s="58"/>
      <c r="FC412" s="58"/>
      <c r="FD412" s="58"/>
      <c r="FE412" s="58"/>
      <c r="FF412" s="58"/>
      <c r="FG412" s="58"/>
      <c r="FH412" s="58"/>
      <c r="FI412" s="58"/>
      <c r="FJ412" s="58"/>
      <c r="FK412" s="58"/>
      <c r="FL412" s="58"/>
      <c r="FM412" s="58"/>
      <c r="FN412" s="58"/>
      <c r="FO412" s="58"/>
      <c r="FP412" s="58"/>
      <c r="FQ412" s="58"/>
      <c r="FR412" s="58"/>
      <c r="FS412" s="58"/>
      <c r="FT412" s="58"/>
      <c r="FU412" s="58"/>
      <c r="FV412" s="58"/>
      <c r="FW412" s="58"/>
      <c r="FX412" s="58"/>
      <c r="FY412" s="58"/>
      <c r="FZ412" s="58"/>
      <c r="GA412" s="58"/>
      <c r="GB412" s="58"/>
      <c r="GC412" s="58"/>
      <c r="GD412" s="58"/>
      <c r="GE412" s="58"/>
      <c r="GF412" s="58"/>
      <c r="GG412" s="58"/>
      <c r="GH412" s="58"/>
      <c r="GI412" s="58"/>
      <c r="GJ412" s="58"/>
      <c r="GK412" s="58"/>
      <c r="GL412" s="58"/>
      <c r="GM412" s="58"/>
      <c r="GN412" s="58"/>
      <c r="GO412" s="58"/>
      <c r="GP412" s="58"/>
      <c r="GQ412" s="58"/>
      <c r="GR412" s="58"/>
      <c r="GS412" s="58"/>
      <c r="GT412" s="58"/>
      <c r="GU412" s="58"/>
      <c r="GV412" s="58"/>
      <c r="GW412" s="58"/>
      <c r="GX412" s="58"/>
      <c r="GY412" s="58"/>
      <c r="GZ412" s="58"/>
      <c r="HA412" s="58"/>
      <c r="HB412" s="58"/>
      <c r="HC412" s="58"/>
      <c r="HD412" s="58"/>
      <c r="HE412" s="58"/>
      <c r="HF412" s="58"/>
      <c r="HG412" s="58"/>
      <c r="HH412" s="58"/>
      <c r="HI412" s="58"/>
      <c r="HJ412" s="58"/>
      <c r="HK412" s="58"/>
      <c r="HL412" s="58"/>
      <c r="HM412" s="58"/>
      <c r="HN412" s="58"/>
      <c r="HO412" s="58"/>
      <c r="HP412" s="58"/>
      <c r="HQ412" s="58"/>
      <c r="HR412" s="58"/>
      <c r="HS412" s="58"/>
      <c r="HT412" s="58"/>
      <c r="HU412" s="58"/>
      <c r="HV412" s="58"/>
      <c r="HW412" s="58"/>
      <c r="HX412" s="58"/>
      <c r="HY412" s="58"/>
      <c r="HZ412" s="58"/>
      <c r="IA412" s="58"/>
      <c r="IB412" s="58"/>
      <c r="IC412" s="58"/>
      <c r="ID412" s="58"/>
      <c r="IE412" s="58"/>
      <c r="IF412" s="58"/>
      <c r="IG412" s="58"/>
      <c r="IH412" s="58"/>
      <c r="II412" s="58"/>
      <c r="IJ412" s="58"/>
      <c r="IK412" s="58"/>
      <c r="IL412" s="58"/>
      <c r="IM412" s="58"/>
      <c r="IN412" s="58"/>
      <c r="IO412" s="58"/>
      <c r="IP412" s="58"/>
      <c r="IQ412" s="58"/>
      <c r="IR412" s="58"/>
      <c r="IS412" s="58"/>
      <c r="IT412" s="58"/>
      <c r="IU412" s="58"/>
      <c r="IV412" s="58"/>
      <c r="IW412" s="58"/>
    </row>
    <row r="413" customFormat="false" ht="12.75" hidden="false" customHeight="false" outlineLevel="0" collapsed="false">
      <c r="A413" s="5" t="n">
        <v>57</v>
      </c>
      <c r="B413" s="5" t="s">
        <v>320</v>
      </c>
      <c r="C413" s="153" t="n">
        <v>36767</v>
      </c>
      <c r="D413" s="58" t="s">
        <v>177</v>
      </c>
      <c r="E413" s="58" t="s">
        <v>89</v>
      </c>
      <c r="F413" s="58" t="s">
        <v>109</v>
      </c>
      <c r="G413" s="58" t="s">
        <v>239</v>
      </c>
      <c r="H413" s="154" t="n">
        <v>0</v>
      </c>
      <c r="I413" s="6" t="n">
        <f aca="false">+H413*K413</f>
        <v>0</v>
      </c>
      <c r="J413" s="155" t="n">
        <v>36800</v>
      </c>
      <c r="K413" s="156" t="n">
        <v>5000</v>
      </c>
      <c r="L413" s="157" t="s">
        <v>8</v>
      </c>
      <c r="M413" s="154" t="s">
        <v>319</v>
      </c>
      <c r="N413" s="158"/>
      <c r="O413" s="159" t="n">
        <f aca="false">0.005*K413</f>
        <v>25</v>
      </c>
      <c r="P413" s="58"/>
      <c r="Q413" s="160" t="n">
        <v>5.3</v>
      </c>
      <c r="R413" s="161"/>
      <c r="S413" s="58"/>
      <c r="T413" s="159" t="n">
        <v>0</v>
      </c>
      <c r="U413" s="162"/>
      <c r="V413" s="162"/>
      <c r="W413" s="58"/>
      <c r="X413" s="58"/>
      <c r="Y413" s="58"/>
      <c r="Z413" s="58"/>
      <c r="AA413" s="5" t="s">
        <v>116</v>
      </c>
      <c r="AB413" s="12" t="s">
        <v>95</v>
      </c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  <c r="CG413" s="58"/>
      <c r="CH413" s="58"/>
      <c r="CI413" s="58"/>
      <c r="CJ413" s="58"/>
      <c r="CK413" s="58"/>
      <c r="CL413" s="58"/>
      <c r="CM413" s="58"/>
      <c r="CN413" s="58"/>
      <c r="CO413" s="58"/>
      <c r="CP413" s="58"/>
      <c r="CQ413" s="58"/>
      <c r="CR413" s="58"/>
      <c r="CS413" s="58"/>
      <c r="CT413" s="58"/>
      <c r="CU413" s="58"/>
      <c r="CV413" s="58"/>
      <c r="CW413" s="58"/>
      <c r="CX413" s="58"/>
      <c r="CY413" s="58"/>
      <c r="CZ413" s="58"/>
      <c r="DA413" s="58"/>
      <c r="DB413" s="58"/>
      <c r="DC413" s="58"/>
      <c r="DD413" s="58"/>
      <c r="DE413" s="58"/>
      <c r="DF413" s="58"/>
      <c r="DG413" s="58"/>
      <c r="DH413" s="58"/>
      <c r="DI413" s="58"/>
      <c r="DJ413" s="58"/>
      <c r="DK413" s="58"/>
      <c r="DL413" s="58"/>
      <c r="DM413" s="58"/>
      <c r="DN413" s="58"/>
      <c r="DO413" s="58"/>
      <c r="DP413" s="58"/>
      <c r="DQ413" s="58"/>
      <c r="DR413" s="58"/>
      <c r="DS413" s="58"/>
      <c r="DT413" s="58"/>
      <c r="DU413" s="58"/>
      <c r="DV413" s="58"/>
      <c r="DW413" s="58"/>
      <c r="DX413" s="58"/>
      <c r="DY413" s="58"/>
      <c r="DZ413" s="58"/>
      <c r="EA413" s="58"/>
      <c r="EB413" s="58"/>
      <c r="EC413" s="58"/>
      <c r="ED413" s="58"/>
      <c r="EE413" s="58"/>
      <c r="EF413" s="58"/>
      <c r="EG413" s="58"/>
      <c r="EH413" s="58"/>
      <c r="EI413" s="58"/>
      <c r="EJ413" s="58"/>
      <c r="EK413" s="58"/>
      <c r="EL413" s="58"/>
      <c r="EM413" s="58"/>
      <c r="EN413" s="58"/>
      <c r="EO413" s="58"/>
      <c r="EP413" s="58"/>
      <c r="EQ413" s="58"/>
      <c r="ER413" s="58"/>
      <c r="ES413" s="58"/>
      <c r="ET413" s="58"/>
      <c r="EU413" s="58"/>
      <c r="EV413" s="58"/>
      <c r="EW413" s="58"/>
      <c r="EX413" s="58"/>
      <c r="EY413" s="58"/>
      <c r="EZ413" s="58"/>
      <c r="FA413" s="58"/>
      <c r="FB413" s="58"/>
      <c r="FC413" s="58"/>
      <c r="FD413" s="58"/>
      <c r="FE413" s="58"/>
      <c r="FF413" s="58"/>
      <c r="FG413" s="58"/>
      <c r="FH413" s="58"/>
      <c r="FI413" s="58"/>
      <c r="FJ413" s="58"/>
      <c r="FK413" s="58"/>
      <c r="FL413" s="58"/>
      <c r="FM413" s="58"/>
      <c r="FN413" s="58"/>
      <c r="FO413" s="58"/>
      <c r="FP413" s="58"/>
      <c r="FQ413" s="58"/>
      <c r="FR413" s="58"/>
      <c r="FS413" s="58"/>
      <c r="FT413" s="58"/>
      <c r="FU413" s="58"/>
      <c r="FV413" s="58"/>
      <c r="FW413" s="58"/>
      <c r="FX413" s="58"/>
      <c r="FY413" s="58"/>
      <c r="FZ413" s="58"/>
      <c r="GA413" s="58"/>
      <c r="GB413" s="58"/>
      <c r="GC413" s="58"/>
      <c r="GD413" s="58"/>
      <c r="GE413" s="58"/>
      <c r="GF413" s="58"/>
      <c r="GG413" s="58"/>
      <c r="GH413" s="58"/>
      <c r="GI413" s="58"/>
      <c r="GJ413" s="58"/>
      <c r="GK413" s="58"/>
      <c r="GL413" s="58"/>
      <c r="GM413" s="58"/>
      <c r="GN413" s="58"/>
      <c r="GO413" s="58"/>
      <c r="GP413" s="58"/>
      <c r="GQ413" s="58"/>
      <c r="GR413" s="58"/>
      <c r="GS413" s="58"/>
      <c r="GT413" s="58"/>
      <c r="GU413" s="58"/>
      <c r="GV413" s="58"/>
      <c r="GW413" s="58"/>
      <c r="GX413" s="58"/>
      <c r="GY413" s="58"/>
      <c r="GZ413" s="58"/>
      <c r="HA413" s="58"/>
      <c r="HB413" s="58"/>
      <c r="HC413" s="58"/>
      <c r="HD413" s="58"/>
      <c r="HE413" s="58"/>
      <c r="HF413" s="58"/>
      <c r="HG413" s="58"/>
      <c r="HH413" s="58"/>
      <c r="HI413" s="58"/>
      <c r="HJ413" s="58"/>
      <c r="HK413" s="58"/>
      <c r="HL413" s="58"/>
      <c r="HM413" s="58"/>
      <c r="HN413" s="58"/>
      <c r="HO413" s="58"/>
      <c r="HP413" s="58"/>
      <c r="HQ413" s="58"/>
      <c r="HR413" s="58"/>
      <c r="HS413" s="58"/>
      <c r="HT413" s="58"/>
      <c r="HU413" s="58"/>
      <c r="HV413" s="58"/>
      <c r="HW413" s="58"/>
      <c r="HX413" s="58"/>
      <c r="HY413" s="58"/>
      <c r="HZ413" s="58"/>
      <c r="IA413" s="58"/>
      <c r="IB413" s="58"/>
      <c r="IC413" s="58"/>
      <c r="ID413" s="58"/>
      <c r="IE413" s="58"/>
      <c r="IF413" s="58"/>
      <c r="IG413" s="58"/>
      <c r="IH413" s="58"/>
      <c r="II413" s="58"/>
      <c r="IJ413" s="58"/>
      <c r="IK413" s="58"/>
      <c r="IL413" s="58"/>
      <c r="IM413" s="58"/>
      <c r="IN413" s="58"/>
      <c r="IO413" s="58"/>
      <c r="IP413" s="58"/>
      <c r="IQ413" s="58"/>
      <c r="IR413" s="58"/>
      <c r="IS413" s="58"/>
      <c r="IT413" s="58"/>
      <c r="IU413" s="58"/>
      <c r="IV413" s="58"/>
      <c r="IW413" s="58"/>
    </row>
    <row r="414" customFormat="false" ht="12.75" hidden="false" customHeight="false" outlineLevel="0" collapsed="false">
      <c r="A414" s="5" t="n">
        <v>57</v>
      </c>
      <c r="B414" s="5" t="s">
        <v>320</v>
      </c>
      <c r="C414" s="153" t="n">
        <v>36767</v>
      </c>
      <c r="D414" s="58" t="s">
        <v>177</v>
      </c>
      <c r="E414" s="58" t="s">
        <v>89</v>
      </c>
      <c r="F414" s="58" t="s">
        <v>109</v>
      </c>
      <c r="G414" s="58" t="s">
        <v>239</v>
      </c>
      <c r="H414" s="154" t="n">
        <v>0</v>
      </c>
      <c r="I414" s="6" t="n">
        <f aca="false">+H414*K414</f>
        <v>0</v>
      </c>
      <c r="J414" s="155" t="n">
        <v>36831</v>
      </c>
      <c r="K414" s="156" t="n">
        <v>5000</v>
      </c>
      <c r="L414" s="157" t="s">
        <v>8</v>
      </c>
      <c r="M414" s="154" t="s">
        <v>319</v>
      </c>
      <c r="N414" s="158"/>
      <c r="O414" s="159" t="n">
        <f aca="false">0.005*K414</f>
        <v>25</v>
      </c>
      <c r="P414" s="58"/>
      <c r="Q414" s="160" t="n">
        <v>4.46</v>
      </c>
      <c r="R414" s="161"/>
      <c r="S414" s="58"/>
      <c r="T414" s="159" t="n">
        <v>0</v>
      </c>
      <c r="U414" s="162"/>
      <c r="V414" s="162"/>
      <c r="W414" s="58"/>
      <c r="X414" s="58"/>
      <c r="Y414" s="58"/>
      <c r="Z414" s="58"/>
      <c r="AA414" s="5" t="s">
        <v>116</v>
      </c>
      <c r="AB414" s="12" t="s">
        <v>95</v>
      </c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  <c r="CG414" s="58"/>
      <c r="CH414" s="58"/>
      <c r="CI414" s="58"/>
      <c r="CJ414" s="58"/>
      <c r="CK414" s="58"/>
      <c r="CL414" s="58"/>
      <c r="CM414" s="58"/>
      <c r="CN414" s="58"/>
      <c r="CO414" s="58"/>
      <c r="CP414" s="58"/>
      <c r="CQ414" s="58"/>
      <c r="CR414" s="58"/>
      <c r="CS414" s="58"/>
      <c r="CT414" s="58"/>
      <c r="CU414" s="58"/>
      <c r="CV414" s="58"/>
      <c r="CW414" s="58"/>
      <c r="CX414" s="58"/>
      <c r="CY414" s="58"/>
      <c r="CZ414" s="58"/>
      <c r="DA414" s="58"/>
      <c r="DB414" s="58"/>
      <c r="DC414" s="58"/>
      <c r="DD414" s="58"/>
      <c r="DE414" s="58"/>
      <c r="DF414" s="58"/>
      <c r="DG414" s="58"/>
      <c r="DH414" s="58"/>
      <c r="DI414" s="58"/>
      <c r="DJ414" s="58"/>
      <c r="DK414" s="58"/>
      <c r="DL414" s="58"/>
      <c r="DM414" s="58"/>
      <c r="DN414" s="58"/>
      <c r="DO414" s="58"/>
      <c r="DP414" s="58"/>
      <c r="DQ414" s="58"/>
      <c r="DR414" s="58"/>
      <c r="DS414" s="58"/>
      <c r="DT414" s="58"/>
      <c r="DU414" s="58"/>
      <c r="DV414" s="58"/>
      <c r="DW414" s="58"/>
      <c r="DX414" s="58"/>
      <c r="DY414" s="58"/>
      <c r="DZ414" s="58"/>
      <c r="EA414" s="58"/>
      <c r="EB414" s="58"/>
      <c r="EC414" s="58"/>
      <c r="ED414" s="58"/>
      <c r="EE414" s="58"/>
      <c r="EF414" s="58"/>
      <c r="EG414" s="58"/>
      <c r="EH414" s="58"/>
      <c r="EI414" s="58"/>
      <c r="EJ414" s="58"/>
      <c r="EK414" s="58"/>
      <c r="EL414" s="58"/>
      <c r="EM414" s="58"/>
      <c r="EN414" s="58"/>
      <c r="EO414" s="58"/>
      <c r="EP414" s="58"/>
      <c r="EQ414" s="58"/>
      <c r="ER414" s="58"/>
      <c r="ES414" s="58"/>
      <c r="ET414" s="58"/>
      <c r="EU414" s="58"/>
      <c r="EV414" s="58"/>
      <c r="EW414" s="58"/>
      <c r="EX414" s="58"/>
      <c r="EY414" s="58"/>
      <c r="EZ414" s="58"/>
      <c r="FA414" s="58"/>
      <c r="FB414" s="58"/>
      <c r="FC414" s="58"/>
      <c r="FD414" s="58"/>
      <c r="FE414" s="58"/>
      <c r="FF414" s="58"/>
      <c r="FG414" s="58"/>
      <c r="FH414" s="58"/>
      <c r="FI414" s="58"/>
      <c r="FJ414" s="58"/>
      <c r="FK414" s="58"/>
      <c r="FL414" s="58"/>
      <c r="FM414" s="58"/>
      <c r="FN414" s="58"/>
      <c r="FO414" s="58"/>
      <c r="FP414" s="58"/>
      <c r="FQ414" s="58"/>
      <c r="FR414" s="58"/>
      <c r="FS414" s="58"/>
      <c r="FT414" s="58"/>
      <c r="FU414" s="58"/>
      <c r="FV414" s="58"/>
      <c r="FW414" s="58"/>
      <c r="FX414" s="58"/>
      <c r="FY414" s="58"/>
      <c r="FZ414" s="58"/>
      <c r="GA414" s="58"/>
      <c r="GB414" s="58"/>
      <c r="GC414" s="58"/>
      <c r="GD414" s="58"/>
      <c r="GE414" s="58"/>
      <c r="GF414" s="58"/>
      <c r="GG414" s="58"/>
      <c r="GH414" s="58"/>
      <c r="GI414" s="58"/>
      <c r="GJ414" s="58"/>
      <c r="GK414" s="58"/>
      <c r="GL414" s="58"/>
      <c r="GM414" s="58"/>
      <c r="GN414" s="58"/>
      <c r="GO414" s="58"/>
      <c r="GP414" s="58"/>
      <c r="GQ414" s="58"/>
      <c r="GR414" s="58"/>
      <c r="GS414" s="58"/>
      <c r="GT414" s="58"/>
      <c r="GU414" s="58"/>
      <c r="GV414" s="58"/>
      <c r="GW414" s="58"/>
      <c r="GX414" s="58"/>
      <c r="GY414" s="58"/>
      <c r="GZ414" s="58"/>
      <c r="HA414" s="58"/>
      <c r="HB414" s="58"/>
      <c r="HC414" s="58"/>
      <c r="HD414" s="58"/>
      <c r="HE414" s="58"/>
      <c r="HF414" s="58"/>
      <c r="HG414" s="58"/>
      <c r="HH414" s="58"/>
      <c r="HI414" s="58"/>
      <c r="HJ414" s="58"/>
      <c r="HK414" s="58"/>
      <c r="HL414" s="58"/>
      <c r="HM414" s="58"/>
      <c r="HN414" s="58"/>
      <c r="HO414" s="58"/>
      <c r="HP414" s="58"/>
      <c r="HQ414" s="58"/>
      <c r="HR414" s="58"/>
      <c r="HS414" s="58"/>
      <c r="HT414" s="58"/>
      <c r="HU414" s="58"/>
      <c r="HV414" s="58"/>
      <c r="HW414" s="58"/>
      <c r="HX414" s="58"/>
      <c r="HY414" s="58"/>
      <c r="HZ414" s="58"/>
      <c r="IA414" s="58"/>
      <c r="IB414" s="58"/>
      <c r="IC414" s="58"/>
      <c r="ID414" s="58"/>
      <c r="IE414" s="58"/>
      <c r="IF414" s="58"/>
      <c r="IG414" s="58"/>
      <c r="IH414" s="58"/>
      <c r="II414" s="58"/>
      <c r="IJ414" s="58"/>
      <c r="IK414" s="58"/>
      <c r="IL414" s="58"/>
      <c r="IM414" s="58"/>
      <c r="IN414" s="58"/>
      <c r="IO414" s="58"/>
      <c r="IP414" s="58"/>
      <c r="IQ414" s="58"/>
      <c r="IR414" s="58"/>
      <c r="IS414" s="58"/>
      <c r="IT414" s="58"/>
      <c r="IU414" s="58"/>
      <c r="IV414" s="58"/>
      <c r="IW414" s="58"/>
    </row>
    <row r="415" customFormat="false" ht="12.75" hidden="false" customHeight="false" outlineLevel="0" collapsed="false">
      <c r="A415" s="5" t="n">
        <v>57</v>
      </c>
      <c r="B415" s="5" t="s">
        <v>320</v>
      </c>
      <c r="C415" s="153" t="n">
        <v>36767</v>
      </c>
      <c r="D415" s="58" t="s">
        <v>177</v>
      </c>
      <c r="E415" s="58" t="s">
        <v>89</v>
      </c>
      <c r="F415" s="58" t="s">
        <v>109</v>
      </c>
      <c r="G415" s="58" t="s">
        <v>239</v>
      </c>
      <c r="H415" s="154" t="n">
        <v>0</v>
      </c>
      <c r="I415" s="6" t="n">
        <f aca="false">+H415*K415</f>
        <v>0</v>
      </c>
      <c r="J415" s="155" t="n">
        <v>36861</v>
      </c>
      <c r="K415" s="156" t="n">
        <v>5000</v>
      </c>
      <c r="L415" s="157" t="s">
        <v>8</v>
      </c>
      <c r="M415" s="154" t="s">
        <v>319</v>
      </c>
      <c r="N415" s="158"/>
      <c r="O415" s="159" t="n">
        <f aca="false">0.005*K415</f>
        <v>25</v>
      </c>
      <c r="P415" s="58"/>
      <c r="Q415" s="160" t="n">
        <v>5.775</v>
      </c>
      <c r="R415" s="161"/>
      <c r="S415" s="58"/>
      <c r="T415" s="159" t="n">
        <v>0</v>
      </c>
      <c r="U415" s="162"/>
      <c r="V415" s="162"/>
      <c r="W415" s="58"/>
      <c r="X415" s="58"/>
      <c r="Y415" s="58"/>
      <c r="Z415" s="58"/>
      <c r="AA415" s="5" t="s">
        <v>116</v>
      </c>
      <c r="AB415" s="12" t="s">
        <v>95</v>
      </c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  <c r="CG415" s="58"/>
      <c r="CH415" s="58"/>
      <c r="CI415" s="58"/>
      <c r="CJ415" s="58"/>
      <c r="CK415" s="58"/>
      <c r="CL415" s="58"/>
      <c r="CM415" s="58"/>
      <c r="CN415" s="58"/>
      <c r="CO415" s="58"/>
      <c r="CP415" s="58"/>
      <c r="CQ415" s="58"/>
      <c r="CR415" s="58"/>
      <c r="CS415" s="58"/>
      <c r="CT415" s="58"/>
      <c r="CU415" s="58"/>
      <c r="CV415" s="58"/>
      <c r="CW415" s="58"/>
      <c r="CX415" s="58"/>
      <c r="CY415" s="58"/>
      <c r="CZ415" s="58"/>
      <c r="DA415" s="58"/>
      <c r="DB415" s="58"/>
      <c r="DC415" s="58"/>
      <c r="DD415" s="58"/>
      <c r="DE415" s="58"/>
      <c r="DF415" s="58"/>
      <c r="DG415" s="58"/>
      <c r="DH415" s="58"/>
      <c r="DI415" s="58"/>
      <c r="DJ415" s="58"/>
      <c r="DK415" s="58"/>
      <c r="DL415" s="58"/>
      <c r="DM415" s="58"/>
      <c r="DN415" s="58"/>
      <c r="DO415" s="58"/>
      <c r="DP415" s="58"/>
      <c r="DQ415" s="58"/>
      <c r="DR415" s="58"/>
      <c r="DS415" s="58"/>
      <c r="DT415" s="58"/>
      <c r="DU415" s="58"/>
      <c r="DV415" s="58"/>
      <c r="DW415" s="58"/>
      <c r="DX415" s="58"/>
      <c r="DY415" s="58"/>
      <c r="DZ415" s="58"/>
      <c r="EA415" s="58"/>
      <c r="EB415" s="58"/>
      <c r="EC415" s="58"/>
      <c r="ED415" s="58"/>
      <c r="EE415" s="58"/>
      <c r="EF415" s="58"/>
      <c r="EG415" s="58"/>
      <c r="EH415" s="58"/>
      <c r="EI415" s="58"/>
      <c r="EJ415" s="58"/>
      <c r="EK415" s="58"/>
      <c r="EL415" s="58"/>
      <c r="EM415" s="58"/>
      <c r="EN415" s="58"/>
      <c r="EO415" s="58"/>
      <c r="EP415" s="58"/>
      <c r="EQ415" s="58"/>
      <c r="ER415" s="58"/>
      <c r="ES415" s="58"/>
      <c r="ET415" s="58"/>
      <c r="EU415" s="58"/>
      <c r="EV415" s="58"/>
      <c r="EW415" s="58"/>
      <c r="EX415" s="58"/>
      <c r="EY415" s="58"/>
      <c r="EZ415" s="58"/>
      <c r="FA415" s="58"/>
      <c r="FB415" s="58"/>
      <c r="FC415" s="58"/>
      <c r="FD415" s="58"/>
      <c r="FE415" s="58"/>
      <c r="FF415" s="58"/>
      <c r="FG415" s="58"/>
      <c r="FH415" s="58"/>
      <c r="FI415" s="58"/>
      <c r="FJ415" s="58"/>
      <c r="FK415" s="58"/>
      <c r="FL415" s="58"/>
      <c r="FM415" s="58"/>
      <c r="FN415" s="58"/>
      <c r="FO415" s="58"/>
      <c r="FP415" s="58"/>
      <c r="FQ415" s="58"/>
      <c r="FR415" s="58"/>
      <c r="FS415" s="58"/>
      <c r="FT415" s="58"/>
      <c r="FU415" s="58"/>
      <c r="FV415" s="58"/>
      <c r="FW415" s="58"/>
      <c r="FX415" s="58"/>
      <c r="FY415" s="58"/>
      <c r="FZ415" s="58"/>
      <c r="GA415" s="58"/>
      <c r="GB415" s="58"/>
      <c r="GC415" s="58"/>
      <c r="GD415" s="58"/>
      <c r="GE415" s="58"/>
      <c r="GF415" s="58"/>
      <c r="GG415" s="58"/>
      <c r="GH415" s="58"/>
      <c r="GI415" s="58"/>
      <c r="GJ415" s="58"/>
      <c r="GK415" s="58"/>
      <c r="GL415" s="58"/>
      <c r="GM415" s="58"/>
      <c r="GN415" s="58"/>
      <c r="GO415" s="58"/>
      <c r="GP415" s="58"/>
      <c r="GQ415" s="58"/>
      <c r="GR415" s="58"/>
      <c r="GS415" s="58"/>
      <c r="GT415" s="58"/>
      <c r="GU415" s="58"/>
      <c r="GV415" s="58"/>
      <c r="GW415" s="58"/>
      <c r="GX415" s="58"/>
      <c r="GY415" s="58"/>
      <c r="GZ415" s="58"/>
      <c r="HA415" s="58"/>
      <c r="HB415" s="58"/>
      <c r="HC415" s="58"/>
      <c r="HD415" s="58"/>
      <c r="HE415" s="58"/>
      <c r="HF415" s="58"/>
      <c r="HG415" s="58"/>
      <c r="HH415" s="58"/>
      <c r="HI415" s="58"/>
      <c r="HJ415" s="58"/>
      <c r="HK415" s="58"/>
      <c r="HL415" s="58"/>
      <c r="HM415" s="58"/>
      <c r="HN415" s="58"/>
      <c r="HO415" s="58"/>
      <c r="HP415" s="58"/>
      <c r="HQ415" s="58"/>
      <c r="HR415" s="58"/>
      <c r="HS415" s="58"/>
      <c r="HT415" s="58"/>
      <c r="HU415" s="58"/>
      <c r="HV415" s="58"/>
      <c r="HW415" s="58"/>
      <c r="HX415" s="58"/>
      <c r="HY415" s="58"/>
      <c r="HZ415" s="58"/>
      <c r="IA415" s="58"/>
      <c r="IB415" s="58"/>
      <c r="IC415" s="58"/>
      <c r="ID415" s="58"/>
      <c r="IE415" s="58"/>
      <c r="IF415" s="58"/>
      <c r="IG415" s="58"/>
      <c r="IH415" s="58"/>
      <c r="II415" s="58"/>
      <c r="IJ415" s="58"/>
      <c r="IK415" s="58"/>
      <c r="IL415" s="58"/>
      <c r="IM415" s="58"/>
      <c r="IN415" s="58"/>
      <c r="IO415" s="58"/>
      <c r="IP415" s="58"/>
      <c r="IQ415" s="58"/>
      <c r="IR415" s="58"/>
      <c r="IS415" s="58"/>
      <c r="IT415" s="58"/>
      <c r="IU415" s="58"/>
      <c r="IV415" s="58"/>
      <c r="IW415" s="58"/>
    </row>
    <row r="416" customFormat="false" ht="12.75" hidden="false" customHeight="false" outlineLevel="0" collapsed="false">
      <c r="A416" s="5" t="n">
        <v>57</v>
      </c>
      <c r="B416" s="5" t="s">
        <v>320</v>
      </c>
      <c r="C416" s="153" t="n">
        <v>36767</v>
      </c>
      <c r="D416" s="58" t="s">
        <v>177</v>
      </c>
      <c r="E416" s="58" t="s">
        <v>89</v>
      </c>
      <c r="F416" s="58" t="s">
        <v>109</v>
      </c>
      <c r="G416" s="58" t="s">
        <v>239</v>
      </c>
      <c r="H416" s="154" t="n">
        <v>0</v>
      </c>
      <c r="I416" s="6" t="n">
        <f aca="false">+H416*K416</f>
        <v>0</v>
      </c>
      <c r="J416" s="155" t="n">
        <v>36892</v>
      </c>
      <c r="K416" s="156" t="n">
        <v>5000</v>
      </c>
      <c r="L416" s="157" t="s">
        <v>8</v>
      </c>
      <c r="M416" s="154" t="s">
        <v>319</v>
      </c>
      <c r="N416" s="158"/>
      <c r="O416" s="159" t="n">
        <f aca="false">0.005*K416</f>
        <v>25</v>
      </c>
      <c r="P416" s="58"/>
      <c r="Q416" s="135" t="n">
        <v>9.84</v>
      </c>
      <c r="R416" s="161"/>
      <c r="S416" s="58"/>
      <c r="T416" s="134" t="n">
        <f aca="false">(9.3-Q416)*K416</f>
        <v>-2700</v>
      </c>
      <c r="U416" s="162"/>
      <c r="V416" s="162"/>
      <c r="W416" s="58"/>
      <c r="X416" s="58"/>
      <c r="Y416" s="58"/>
      <c r="Z416" s="58"/>
      <c r="AA416" s="5" t="s">
        <v>116</v>
      </c>
      <c r="AB416" s="12" t="s">
        <v>95</v>
      </c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  <c r="CG416" s="58"/>
      <c r="CH416" s="58"/>
      <c r="CI416" s="58"/>
      <c r="CJ416" s="58"/>
      <c r="CK416" s="58"/>
      <c r="CL416" s="58"/>
      <c r="CM416" s="58"/>
      <c r="CN416" s="58"/>
      <c r="CO416" s="58"/>
      <c r="CP416" s="58"/>
      <c r="CQ416" s="58"/>
      <c r="CR416" s="58"/>
      <c r="CS416" s="58"/>
      <c r="CT416" s="58"/>
      <c r="CU416" s="58"/>
      <c r="CV416" s="58"/>
      <c r="CW416" s="58"/>
      <c r="CX416" s="58"/>
      <c r="CY416" s="58"/>
      <c r="CZ416" s="58"/>
      <c r="DA416" s="58"/>
      <c r="DB416" s="58"/>
      <c r="DC416" s="58"/>
      <c r="DD416" s="58"/>
      <c r="DE416" s="58"/>
      <c r="DF416" s="58"/>
      <c r="DG416" s="58"/>
      <c r="DH416" s="58"/>
      <c r="DI416" s="58"/>
      <c r="DJ416" s="58"/>
      <c r="DK416" s="58"/>
      <c r="DL416" s="58"/>
      <c r="DM416" s="58"/>
      <c r="DN416" s="58"/>
      <c r="DO416" s="58"/>
      <c r="DP416" s="58"/>
      <c r="DQ416" s="58"/>
      <c r="DR416" s="58"/>
      <c r="DS416" s="58"/>
      <c r="DT416" s="58"/>
      <c r="DU416" s="58"/>
      <c r="DV416" s="58"/>
      <c r="DW416" s="58"/>
      <c r="DX416" s="58"/>
      <c r="DY416" s="58"/>
      <c r="DZ416" s="58"/>
      <c r="EA416" s="58"/>
      <c r="EB416" s="58"/>
      <c r="EC416" s="58"/>
      <c r="ED416" s="58"/>
      <c r="EE416" s="58"/>
      <c r="EF416" s="58"/>
      <c r="EG416" s="58"/>
      <c r="EH416" s="58"/>
      <c r="EI416" s="58"/>
      <c r="EJ416" s="58"/>
      <c r="EK416" s="58"/>
      <c r="EL416" s="58"/>
      <c r="EM416" s="58"/>
      <c r="EN416" s="58"/>
      <c r="EO416" s="58"/>
      <c r="EP416" s="58"/>
      <c r="EQ416" s="58"/>
      <c r="ER416" s="58"/>
      <c r="ES416" s="58"/>
      <c r="ET416" s="58"/>
      <c r="EU416" s="58"/>
      <c r="EV416" s="58"/>
      <c r="EW416" s="58"/>
      <c r="EX416" s="58"/>
      <c r="EY416" s="58"/>
      <c r="EZ416" s="58"/>
      <c r="FA416" s="58"/>
      <c r="FB416" s="58"/>
      <c r="FC416" s="58"/>
      <c r="FD416" s="58"/>
      <c r="FE416" s="58"/>
      <c r="FF416" s="58"/>
      <c r="FG416" s="58"/>
      <c r="FH416" s="58"/>
      <c r="FI416" s="58"/>
      <c r="FJ416" s="58"/>
      <c r="FK416" s="58"/>
      <c r="FL416" s="58"/>
      <c r="FM416" s="58"/>
      <c r="FN416" s="58"/>
      <c r="FO416" s="58"/>
      <c r="FP416" s="58"/>
      <c r="FQ416" s="58"/>
      <c r="FR416" s="58"/>
      <c r="FS416" s="58"/>
      <c r="FT416" s="58"/>
      <c r="FU416" s="58"/>
      <c r="FV416" s="58"/>
      <c r="FW416" s="58"/>
      <c r="FX416" s="58"/>
      <c r="FY416" s="58"/>
      <c r="FZ416" s="58"/>
      <c r="GA416" s="58"/>
      <c r="GB416" s="58"/>
      <c r="GC416" s="58"/>
      <c r="GD416" s="58"/>
      <c r="GE416" s="58"/>
      <c r="GF416" s="58"/>
      <c r="GG416" s="58"/>
      <c r="GH416" s="58"/>
      <c r="GI416" s="58"/>
      <c r="GJ416" s="58"/>
      <c r="GK416" s="58"/>
      <c r="GL416" s="58"/>
      <c r="GM416" s="58"/>
      <c r="GN416" s="58"/>
      <c r="GO416" s="58"/>
      <c r="GP416" s="58"/>
      <c r="GQ416" s="58"/>
      <c r="GR416" s="58"/>
      <c r="GS416" s="58"/>
      <c r="GT416" s="58"/>
      <c r="GU416" s="58"/>
      <c r="GV416" s="58"/>
      <c r="GW416" s="58"/>
      <c r="GX416" s="58"/>
      <c r="GY416" s="58"/>
      <c r="GZ416" s="58"/>
      <c r="HA416" s="58"/>
      <c r="HB416" s="58"/>
      <c r="HC416" s="58"/>
      <c r="HD416" s="58"/>
      <c r="HE416" s="58"/>
      <c r="HF416" s="58"/>
      <c r="HG416" s="58"/>
      <c r="HH416" s="58"/>
      <c r="HI416" s="58"/>
      <c r="HJ416" s="58"/>
      <c r="HK416" s="58"/>
      <c r="HL416" s="58"/>
      <c r="HM416" s="58"/>
      <c r="HN416" s="58"/>
      <c r="HO416" s="58"/>
      <c r="HP416" s="58"/>
      <c r="HQ416" s="58"/>
      <c r="HR416" s="58"/>
      <c r="HS416" s="58"/>
      <c r="HT416" s="58"/>
      <c r="HU416" s="58"/>
      <c r="HV416" s="58"/>
      <c r="HW416" s="58"/>
      <c r="HX416" s="58"/>
      <c r="HY416" s="58"/>
      <c r="HZ416" s="58"/>
      <c r="IA416" s="58"/>
      <c r="IB416" s="58"/>
      <c r="IC416" s="58"/>
      <c r="ID416" s="58"/>
      <c r="IE416" s="58"/>
      <c r="IF416" s="58"/>
      <c r="IG416" s="58"/>
      <c r="IH416" s="58"/>
      <c r="II416" s="58"/>
      <c r="IJ416" s="58"/>
      <c r="IK416" s="58"/>
      <c r="IL416" s="58"/>
      <c r="IM416" s="58"/>
      <c r="IN416" s="58"/>
      <c r="IO416" s="58"/>
      <c r="IP416" s="58"/>
      <c r="IQ416" s="58"/>
      <c r="IR416" s="58"/>
      <c r="IS416" s="58"/>
      <c r="IT416" s="58"/>
      <c r="IU416" s="58"/>
      <c r="IV416" s="58"/>
      <c r="IW416" s="58"/>
    </row>
    <row r="417" customFormat="false" ht="12.75" hidden="false" customHeight="false" outlineLevel="0" collapsed="false">
      <c r="A417" s="5" t="n">
        <v>57</v>
      </c>
      <c r="B417" s="5" t="s">
        <v>320</v>
      </c>
      <c r="C417" s="153" t="n">
        <v>36767</v>
      </c>
      <c r="D417" s="58" t="s">
        <v>177</v>
      </c>
      <c r="E417" s="58" t="s">
        <v>89</v>
      </c>
      <c r="F417" s="58" t="s">
        <v>109</v>
      </c>
      <c r="G417" s="58" t="s">
        <v>239</v>
      </c>
      <c r="H417" s="154" t="n">
        <v>0</v>
      </c>
      <c r="I417" s="6" t="n">
        <f aca="false">+H417*K417</f>
        <v>0</v>
      </c>
      <c r="J417" s="155" t="n">
        <v>36923</v>
      </c>
      <c r="K417" s="156" t="n">
        <v>5000</v>
      </c>
      <c r="L417" s="157" t="s">
        <v>8</v>
      </c>
      <c r="M417" s="154" t="s">
        <v>319</v>
      </c>
      <c r="N417" s="158"/>
      <c r="O417" s="159" t="n">
        <f aca="false">0.005*K417</f>
        <v>25</v>
      </c>
      <c r="P417" s="58"/>
      <c r="Q417" s="160"/>
      <c r="R417" s="161"/>
      <c r="S417" s="58"/>
      <c r="T417" s="159"/>
      <c r="U417" s="162"/>
      <c r="V417" s="162"/>
      <c r="W417" s="58"/>
      <c r="X417" s="58"/>
      <c r="Y417" s="58"/>
      <c r="Z417" s="58"/>
      <c r="AA417" s="5" t="s">
        <v>116</v>
      </c>
      <c r="AB417" s="12" t="s">
        <v>95</v>
      </c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  <c r="CG417" s="58"/>
      <c r="CH417" s="58"/>
      <c r="CI417" s="58"/>
      <c r="CJ417" s="58"/>
      <c r="CK417" s="58"/>
      <c r="CL417" s="58"/>
      <c r="CM417" s="58"/>
      <c r="CN417" s="58"/>
      <c r="CO417" s="58"/>
      <c r="CP417" s="58"/>
      <c r="CQ417" s="58"/>
      <c r="CR417" s="58"/>
      <c r="CS417" s="58"/>
      <c r="CT417" s="58"/>
      <c r="CU417" s="58"/>
      <c r="CV417" s="58"/>
      <c r="CW417" s="58"/>
      <c r="CX417" s="58"/>
      <c r="CY417" s="58"/>
      <c r="CZ417" s="58"/>
      <c r="DA417" s="58"/>
      <c r="DB417" s="58"/>
      <c r="DC417" s="58"/>
      <c r="DD417" s="58"/>
      <c r="DE417" s="58"/>
      <c r="DF417" s="58"/>
      <c r="DG417" s="58"/>
      <c r="DH417" s="58"/>
      <c r="DI417" s="58"/>
      <c r="DJ417" s="58"/>
      <c r="DK417" s="58"/>
      <c r="DL417" s="58"/>
      <c r="DM417" s="58"/>
      <c r="DN417" s="58"/>
      <c r="DO417" s="58"/>
      <c r="DP417" s="58"/>
      <c r="DQ417" s="58"/>
      <c r="DR417" s="58"/>
      <c r="DS417" s="58"/>
      <c r="DT417" s="58"/>
      <c r="DU417" s="58"/>
      <c r="DV417" s="58"/>
      <c r="DW417" s="58"/>
      <c r="DX417" s="58"/>
      <c r="DY417" s="58"/>
      <c r="DZ417" s="58"/>
      <c r="EA417" s="58"/>
      <c r="EB417" s="58"/>
      <c r="EC417" s="58"/>
      <c r="ED417" s="58"/>
      <c r="EE417" s="58"/>
      <c r="EF417" s="58"/>
      <c r="EG417" s="58"/>
      <c r="EH417" s="58"/>
      <c r="EI417" s="58"/>
      <c r="EJ417" s="58"/>
      <c r="EK417" s="58"/>
      <c r="EL417" s="58"/>
      <c r="EM417" s="58"/>
      <c r="EN417" s="58"/>
      <c r="EO417" s="58"/>
      <c r="EP417" s="58"/>
      <c r="EQ417" s="58"/>
      <c r="ER417" s="58"/>
      <c r="ES417" s="58"/>
      <c r="ET417" s="58"/>
      <c r="EU417" s="58"/>
      <c r="EV417" s="58"/>
      <c r="EW417" s="58"/>
      <c r="EX417" s="58"/>
      <c r="EY417" s="58"/>
      <c r="EZ417" s="58"/>
      <c r="FA417" s="58"/>
      <c r="FB417" s="58"/>
      <c r="FC417" s="58"/>
      <c r="FD417" s="58"/>
      <c r="FE417" s="58"/>
      <c r="FF417" s="58"/>
      <c r="FG417" s="58"/>
      <c r="FH417" s="58"/>
      <c r="FI417" s="58"/>
      <c r="FJ417" s="58"/>
      <c r="FK417" s="58"/>
      <c r="FL417" s="58"/>
      <c r="FM417" s="58"/>
      <c r="FN417" s="58"/>
      <c r="FO417" s="58"/>
      <c r="FP417" s="58"/>
      <c r="FQ417" s="58"/>
      <c r="FR417" s="58"/>
      <c r="FS417" s="58"/>
      <c r="FT417" s="58"/>
      <c r="FU417" s="58"/>
      <c r="FV417" s="58"/>
      <c r="FW417" s="58"/>
      <c r="FX417" s="58"/>
      <c r="FY417" s="58"/>
      <c r="FZ417" s="58"/>
      <c r="GA417" s="58"/>
      <c r="GB417" s="58"/>
      <c r="GC417" s="58"/>
      <c r="GD417" s="58"/>
      <c r="GE417" s="58"/>
      <c r="GF417" s="58"/>
      <c r="GG417" s="58"/>
      <c r="GH417" s="58"/>
      <c r="GI417" s="58"/>
      <c r="GJ417" s="58"/>
      <c r="GK417" s="58"/>
      <c r="GL417" s="58"/>
      <c r="GM417" s="58"/>
      <c r="GN417" s="58"/>
      <c r="GO417" s="58"/>
      <c r="GP417" s="58"/>
      <c r="GQ417" s="58"/>
      <c r="GR417" s="58"/>
      <c r="GS417" s="58"/>
      <c r="GT417" s="58"/>
      <c r="GU417" s="58"/>
      <c r="GV417" s="58"/>
      <c r="GW417" s="58"/>
      <c r="GX417" s="58"/>
      <c r="GY417" s="58"/>
      <c r="GZ417" s="58"/>
      <c r="HA417" s="58"/>
      <c r="HB417" s="58"/>
      <c r="HC417" s="58"/>
      <c r="HD417" s="58"/>
      <c r="HE417" s="58"/>
      <c r="HF417" s="58"/>
      <c r="HG417" s="58"/>
      <c r="HH417" s="58"/>
      <c r="HI417" s="58"/>
      <c r="HJ417" s="58"/>
      <c r="HK417" s="58"/>
      <c r="HL417" s="58"/>
      <c r="HM417" s="58"/>
      <c r="HN417" s="58"/>
      <c r="HO417" s="58"/>
      <c r="HP417" s="58"/>
      <c r="HQ417" s="58"/>
      <c r="HR417" s="58"/>
      <c r="HS417" s="58"/>
      <c r="HT417" s="58"/>
      <c r="HU417" s="58"/>
      <c r="HV417" s="58"/>
      <c r="HW417" s="58"/>
      <c r="HX417" s="58"/>
      <c r="HY417" s="58"/>
      <c r="HZ417" s="58"/>
      <c r="IA417" s="58"/>
      <c r="IB417" s="58"/>
      <c r="IC417" s="58"/>
      <c r="ID417" s="58"/>
      <c r="IE417" s="58"/>
      <c r="IF417" s="58"/>
      <c r="IG417" s="58"/>
      <c r="IH417" s="58"/>
      <c r="II417" s="58"/>
      <c r="IJ417" s="58"/>
      <c r="IK417" s="58"/>
      <c r="IL417" s="58"/>
      <c r="IM417" s="58"/>
      <c r="IN417" s="58"/>
      <c r="IO417" s="58"/>
      <c r="IP417" s="58"/>
      <c r="IQ417" s="58"/>
      <c r="IR417" s="58"/>
      <c r="IS417" s="58"/>
      <c r="IT417" s="58"/>
      <c r="IU417" s="58"/>
      <c r="IV417" s="58"/>
      <c r="IW417" s="58"/>
    </row>
    <row r="418" customFormat="false" ht="12.75" hidden="false" customHeight="false" outlineLevel="0" collapsed="false">
      <c r="A418" s="5"/>
      <c r="B418" s="5"/>
      <c r="C418" s="153"/>
      <c r="D418" s="58"/>
      <c r="E418" s="58"/>
      <c r="F418" s="58"/>
      <c r="G418" s="58"/>
      <c r="H418" s="154"/>
      <c r="I418" s="6"/>
      <c r="J418" s="163"/>
      <c r="K418" s="156"/>
      <c r="L418" s="157"/>
      <c r="M418" s="154"/>
      <c r="N418" s="158"/>
      <c r="O418" s="159"/>
      <c r="P418" s="58"/>
      <c r="Q418" s="160"/>
      <c r="R418" s="161"/>
      <c r="S418" s="58"/>
      <c r="T418" s="159"/>
      <c r="U418" s="162"/>
      <c r="V418" s="162"/>
      <c r="W418" s="58"/>
      <c r="X418" s="58"/>
      <c r="Y418" s="58"/>
      <c r="Z418" s="58"/>
      <c r="AA418" s="5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  <c r="CG418" s="58"/>
      <c r="CH418" s="58"/>
      <c r="CI418" s="58"/>
      <c r="CJ418" s="58"/>
      <c r="CK418" s="58"/>
      <c r="CL418" s="58"/>
      <c r="CM418" s="58"/>
      <c r="CN418" s="58"/>
      <c r="CO418" s="58"/>
      <c r="CP418" s="58"/>
      <c r="CQ418" s="58"/>
      <c r="CR418" s="58"/>
      <c r="CS418" s="58"/>
      <c r="CT418" s="58"/>
      <c r="CU418" s="58"/>
      <c r="CV418" s="58"/>
      <c r="CW418" s="58"/>
      <c r="CX418" s="58"/>
      <c r="CY418" s="58"/>
      <c r="CZ418" s="58"/>
      <c r="DA418" s="58"/>
      <c r="DB418" s="58"/>
      <c r="DC418" s="58"/>
      <c r="DD418" s="58"/>
      <c r="DE418" s="58"/>
      <c r="DF418" s="58"/>
      <c r="DG418" s="58"/>
      <c r="DH418" s="58"/>
      <c r="DI418" s="58"/>
      <c r="DJ418" s="58"/>
      <c r="DK418" s="58"/>
      <c r="DL418" s="58"/>
      <c r="DM418" s="58"/>
      <c r="DN418" s="58"/>
      <c r="DO418" s="58"/>
      <c r="DP418" s="58"/>
      <c r="DQ418" s="58"/>
      <c r="DR418" s="58"/>
      <c r="DS418" s="58"/>
      <c r="DT418" s="58"/>
      <c r="DU418" s="58"/>
      <c r="DV418" s="58"/>
      <c r="DW418" s="58"/>
      <c r="DX418" s="58"/>
      <c r="DY418" s="58"/>
      <c r="DZ418" s="58"/>
      <c r="EA418" s="58"/>
      <c r="EB418" s="58"/>
      <c r="EC418" s="58"/>
      <c r="ED418" s="58"/>
      <c r="EE418" s="58"/>
      <c r="EF418" s="58"/>
      <c r="EG418" s="58"/>
      <c r="EH418" s="58"/>
      <c r="EI418" s="58"/>
      <c r="EJ418" s="58"/>
      <c r="EK418" s="58"/>
      <c r="EL418" s="58"/>
      <c r="EM418" s="58"/>
      <c r="EN418" s="58"/>
      <c r="EO418" s="58"/>
      <c r="EP418" s="58"/>
      <c r="EQ418" s="58"/>
      <c r="ER418" s="58"/>
      <c r="ES418" s="58"/>
      <c r="ET418" s="58"/>
      <c r="EU418" s="58"/>
      <c r="EV418" s="58"/>
      <c r="EW418" s="58"/>
      <c r="EX418" s="58"/>
      <c r="EY418" s="58"/>
      <c r="EZ418" s="58"/>
      <c r="FA418" s="58"/>
      <c r="FB418" s="58"/>
      <c r="FC418" s="58"/>
      <c r="FD418" s="58"/>
      <c r="FE418" s="58"/>
      <c r="FF418" s="58"/>
      <c r="FG418" s="58"/>
      <c r="FH418" s="58"/>
      <c r="FI418" s="58"/>
      <c r="FJ418" s="58"/>
      <c r="FK418" s="58"/>
      <c r="FL418" s="58"/>
      <c r="FM418" s="58"/>
      <c r="FN418" s="58"/>
      <c r="FO418" s="58"/>
      <c r="FP418" s="58"/>
      <c r="FQ418" s="58"/>
      <c r="FR418" s="58"/>
      <c r="FS418" s="58"/>
      <c r="FT418" s="58"/>
      <c r="FU418" s="58"/>
      <c r="FV418" s="58"/>
      <c r="FW418" s="58"/>
      <c r="FX418" s="58"/>
      <c r="FY418" s="58"/>
      <c r="FZ418" s="58"/>
      <c r="GA418" s="58"/>
      <c r="GB418" s="58"/>
      <c r="GC418" s="58"/>
      <c r="GD418" s="58"/>
      <c r="GE418" s="58"/>
      <c r="GF418" s="58"/>
      <c r="GG418" s="58"/>
      <c r="GH418" s="58"/>
      <c r="GI418" s="58"/>
      <c r="GJ418" s="58"/>
      <c r="GK418" s="58"/>
      <c r="GL418" s="58"/>
      <c r="GM418" s="58"/>
      <c r="GN418" s="58"/>
      <c r="GO418" s="58"/>
      <c r="GP418" s="58"/>
      <c r="GQ418" s="58"/>
      <c r="GR418" s="58"/>
      <c r="GS418" s="58"/>
      <c r="GT418" s="58"/>
      <c r="GU418" s="58"/>
      <c r="GV418" s="58"/>
      <c r="GW418" s="58"/>
      <c r="GX418" s="58"/>
      <c r="GY418" s="58"/>
      <c r="GZ418" s="58"/>
      <c r="HA418" s="58"/>
      <c r="HB418" s="58"/>
      <c r="HC418" s="58"/>
      <c r="HD418" s="58"/>
      <c r="HE418" s="58"/>
      <c r="HF418" s="58"/>
      <c r="HG418" s="58"/>
      <c r="HH418" s="58"/>
      <c r="HI418" s="58"/>
      <c r="HJ418" s="58"/>
      <c r="HK418" s="58"/>
      <c r="HL418" s="58"/>
      <c r="HM418" s="58"/>
      <c r="HN418" s="58"/>
      <c r="HO418" s="58"/>
      <c r="HP418" s="58"/>
      <c r="HQ418" s="58"/>
      <c r="HR418" s="58"/>
      <c r="HS418" s="58"/>
      <c r="HT418" s="58"/>
      <c r="HU418" s="58"/>
      <c r="HV418" s="58"/>
      <c r="HW418" s="58"/>
      <c r="HX418" s="58"/>
      <c r="HY418" s="58"/>
      <c r="HZ418" s="58"/>
      <c r="IA418" s="58"/>
      <c r="IB418" s="58"/>
      <c r="IC418" s="58"/>
      <c r="ID418" s="58"/>
      <c r="IE418" s="58"/>
      <c r="IF418" s="58"/>
      <c r="IG418" s="58"/>
      <c r="IH418" s="58"/>
      <c r="II418" s="58"/>
      <c r="IJ418" s="58"/>
      <c r="IK418" s="58"/>
      <c r="IL418" s="58"/>
      <c r="IM418" s="58"/>
      <c r="IN418" s="58"/>
      <c r="IO418" s="58"/>
      <c r="IP418" s="58"/>
      <c r="IQ418" s="58"/>
      <c r="IR418" s="58"/>
      <c r="IS418" s="58"/>
      <c r="IT418" s="58"/>
      <c r="IU418" s="58"/>
      <c r="IV418" s="58"/>
      <c r="IW418" s="58"/>
    </row>
    <row r="419" customFormat="false" ht="12.75" hidden="false" customHeight="false" outlineLevel="0" collapsed="false">
      <c r="A419" s="5" t="n">
        <v>58</v>
      </c>
      <c r="B419" s="5" t="s">
        <v>321</v>
      </c>
      <c r="C419" s="153" t="n">
        <v>36767</v>
      </c>
      <c r="D419" s="58" t="s">
        <v>178</v>
      </c>
      <c r="E419" s="58" t="s">
        <v>89</v>
      </c>
      <c r="F419" s="58" t="s">
        <v>235</v>
      </c>
      <c r="G419" s="58" t="s">
        <v>239</v>
      </c>
      <c r="H419" s="154" t="n">
        <v>0</v>
      </c>
      <c r="I419" s="6" t="n">
        <f aca="false">+H419*K419</f>
        <v>0</v>
      </c>
      <c r="J419" s="155" t="n">
        <v>36770</v>
      </c>
      <c r="K419" s="156" t="n">
        <v>700</v>
      </c>
      <c r="L419" s="157" t="s">
        <v>8</v>
      </c>
      <c r="M419" s="154" t="s">
        <v>322</v>
      </c>
      <c r="N419" s="158"/>
      <c r="O419" s="159" t="n">
        <f aca="false">0.01*K419</f>
        <v>7</v>
      </c>
      <c r="P419" s="58"/>
      <c r="Q419" s="160" t="n">
        <v>4.45</v>
      </c>
      <c r="R419" s="161"/>
      <c r="S419" s="58"/>
      <c r="T419" s="159" t="n">
        <v>0</v>
      </c>
      <c r="U419" s="162"/>
      <c r="V419" s="162"/>
      <c r="W419" s="58"/>
      <c r="X419" s="58"/>
      <c r="Y419" s="58" t="s">
        <v>99</v>
      </c>
      <c r="Z419" s="58"/>
      <c r="AA419" s="5"/>
      <c r="AB419" s="12" t="s">
        <v>95</v>
      </c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L419" s="58"/>
      <c r="BM419" s="58"/>
      <c r="BN419" s="58"/>
      <c r="BO419" s="58"/>
      <c r="BP419" s="58"/>
      <c r="BQ419" s="58"/>
      <c r="BR419" s="58"/>
      <c r="BS419" s="58"/>
      <c r="BT419" s="58"/>
      <c r="BU419" s="58"/>
      <c r="BV419" s="58"/>
      <c r="BW419" s="58"/>
      <c r="BX419" s="58"/>
      <c r="BY419" s="58"/>
      <c r="BZ419" s="58"/>
      <c r="CA419" s="58"/>
      <c r="CB419" s="58"/>
      <c r="CC419" s="58"/>
      <c r="CD419" s="58"/>
      <c r="CE419" s="58"/>
      <c r="CF419" s="58"/>
      <c r="CG419" s="58"/>
      <c r="CH419" s="58"/>
      <c r="CI419" s="58"/>
      <c r="CJ419" s="58"/>
      <c r="CK419" s="58"/>
      <c r="CL419" s="58"/>
      <c r="CM419" s="58"/>
      <c r="CN419" s="58"/>
      <c r="CO419" s="58"/>
      <c r="CP419" s="58"/>
      <c r="CQ419" s="58"/>
      <c r="CR419" s="58"/>
      <c r="CS419" s="58"/>
      <c r="CT419" s="58"/>
      <c r="CU419" s="58"/>
      <c r="CV419" s="58"/>
      <c r="CW419" s="58"/>
      <c r="CX419" s="58"/>
      <c r="CY419" s="58"/>
      <c r="CZ419" s="58"/>
      <c r="DA419" s="58"/>
      <c r="DB419" s="58"/>
      <c r="DC419" s="58"/>
      <c r="DD419" s="58"/>
      <c r="DE419" s="58"/>
      <c r="DF419" s="58"/>
      <c r="DG419" s="58"/>
      <c r="DH419" s="58"/>
      <c r="DI419" s="58"/>
      <c r="DJ419" s="58"/>
      <c r="DK419" s="58"/>
      <c r="DL419" s="58"/>
      <c r="DM419" s="58"/>
      <c r="DN419" s="58"/>
      <c r="DO419" s="58"/>
      <c r="DP419" s="58"/>
      <c r="DQ419" s="58"/>
      <c r="DR419" s="58"/>
      <c r="DS419" s="58"/>
      <c r="DT419" s="58"/>
      <c r="DU419" s="58"/>
      <c r="DV419" s="58"/>
      <c r="DW419" s="58"/>
      <c r="DX419" s="58"/>
      <c r="DY419" s="58"/>
      <c r="DZ419" s="58"/>
      <c r="EA419" s="58"/>
      <c r="EB419" s="58"/>
      <c r="EC419" s="58"/>
      <c r="ED419" s="58"/>
      <c r="EE419" s="58"/>
      <c r="EF419" s="58"/>
      <c r="EG419" s="58"/>
      <c r="EH419" s="58"/>
      <c r="EI419" s="58"/>
      <c r="EJ419" s="58"/>
      <c r="EK419" s="58"/>
      <c r="EL419" s="58"/>
      <c r="EM419" s="58"/>
      <c r="EN419" s="58"/>
      <c r="EO419" s="58"/>
      <c r="EP419" s="58"/>
      <c r="EQ419" s="58"/>
      <c r="ER419" s="58"/>
      <c r="ES419" s="58"/>
      <c r="ET419" s="58"/>
      <c r="EU419" s="58"/>
      <c r="EV419" s="58"/>
      <c r="EW419" s="58"/>
      <c r="EX419" s="58"/>
      <c r="EY419" s="58"/>
      <c r="EZ419" s="58"/>
      <c r="FA419" s="58"/>
      <c r="FB419" s="58"/>
      <c r="FC419" s="58"/>
      <c r="FD419" s="58"/>
      <c r="FE419" s="58"/>
      <c r="FF419" s="58"/>
      <c r="FG419" s="58"/>
      <c r="FH419" s="58"/>
      <c r="FI419" s="58"/>
      <c r="FJ419" s="58"/>
      <c r="FK419" s="58"/>
      <c r="FL419" s="58"/>
      <c r="FM419" s="58"/>
      <c r="FN419" s="58"/>
      <c r="FO419" s="58"/>
      <c r="FP419" s="58"/>
      <c r="FQ419" s="58"/>
      <c r="FR419" s="58"/>
      <c r="FS419" s="58"/>
      <c r="FT419" s="58"/>
      <c r="FU419" s="58"/>
      <c r="FV419" s="58"/>
      <c r="FW419" s="58"/>
      <c r="FX419" s="58"/>
      <c r="FY419" s="58"/>
      <c r="FZ419" s="58"/>
      <c r="GA419" s="58"/>
      <c r="GB419" s="58"/>
      <c r="GC419" s="58"/>
      <c r="GD419" s="58"/>
      <c r="GE419" s="58"/>
      <c r="GF419" s="58"/>
      <c r="GG419" s="58"/>
      <c r="GH419" s="58"/>
      <c r="GI419" s="58"/>
      <c r="GJ419" s="58"/>
      <c r="GK419" s="58"/>
      <c r="GL419" s="58"/>
      <c r="GM419" s="58"/>
      <c r="GN419" s="58"/>
      <c r="GO419" s="58"/>
      <c r="GP419" s="58"/>
      <c r="GQ419" s="58"/>
      <c r="GR419" s="58"/>
      <c r="GS419" s="58"/>
      <c r="GT419" s="58"/>
      <c r="GU419" s="58"/>
      <c r="GV419" s="58"/>
      <c r="GW419" s="58"/>
      <c r="GX419" s="58"/>
      <c r="GY419" s="58"/>
      <c r="GZ419" s="58"/>
      <c r="HA419" s="58"/>
      <c r="HB419" s="58"/>
      <c r="HC419" s="58"/>
      <c r="HD419" s="58"/>
      <c r="HE419" s="58"/>
      <c r="HF419" s="58"/>
      <c r="HG419" s="58"/>
      <c r="HH419" s="58"/>
      <c r="HI419" s="58"/>
      <c r="HJ419" s="58"/>
      <c r="HK419" s="58"/>
      <c r="HL419" s="58"/>
      <c r="HM419" s="58"/>
      <c r="HN419" s="58"/>
      <c r="HO419" s="58"/>
      <c r="HP419" s="58"/>
      <c r="HQ419" s="58"/>
      <c r="HR419" s="58"/>
      <c r="HS419" s="58"/>
      <c r="HT419" s="58"/>
      <c r="HU419" s="58"/>
      <c r="HV419" s="58"/>
      <c r="HW419" s="58"/>
      <c r="HX419" s="58"/>
      <c r="HY419" s="58"/>
      <c r="HZ419" s="58"/>
      <c r="IA419" s="58"/>
      <c r="IB419" s="58"/>
      <c r="IC419" s="58"/>
      <c r="ID419" s="58"/>
      <c r="IE419" s="58"/>
      <c r="IF419" s="58"/>
      <c r="IG419" s="58"/>
      <c r="IH419" s="58"/>
      <c r="II419" s="58"/>
      <c r="IJ419" s="58"/>
      <c r="IK419" s="58"/>
      <c r="IL419" s="58"/>
      <c r="IM419" s="58"/>
      <c r="IN419" s="58"/>
      <c r="IO419" s="58"/>
      <c r="IP419" s="58"/>
      <c r="IQ419" s="58"/>
      <c r="IR419" s="58"/>
      <c r="IS419" s="58"/>
      <c r="IT419" s="58"/>
      <c r="IU419" s="58"/>
      <c r="IV419" s="58"/>
      <c r="IW419" s="58"/>
    </row>
    <row r="420" customFormat="false" ht="12.75" hidden="false" customHeight="false" outlineLevel="0" collapsed="false">
      <c r="A420" s="5" t="n">
        <v>58</v>
      </c>
      <c r="B420" s="5" t="s">
        <v>321</v>
      </c>
      <c r="C420" s="153" t="n">
        <v>36767</v>
      </c>
      <c r="D420" s="58" t="s">
        <v>178</v>
      </c>
      <c r="E420" s="58" t="s">
        <v>89</v>
      </c>
      <c r="F420" s="58" t="s">
        <v>235</v>
      </c>
      <c r="G420" s="58" t="s">
        <v>239</v>
      </c>
      <c r="H420" s="154" t="n">
        <v>0</v>
      </c>
      <c r="I420" s="6" t="n">
        <f aca="false">+H420*K420</f>
        <v>0</v>
      </c>
      <c r="J420" s="155" t="n">
        <v>36800</v>
      </c>
      <c r="K420" s="156" t="n">
        <v>700</v>
      </c>
      <c r="L420" s="157" t="s">
        <v>8</v>
      </c>
      <c r="M420" s="154" t="s">
        <v>322</v>
      </c>
      <c r="N420" s="158"/>
      <c r="O420" s="159" t="n">
        <f aca="false">0.01*K420</f>
        <v>7</v>
      </c>
      <c r="P420" s="58"/>
      <c r="Q420" s="160" t="n">
        <v>5.105</v>
      </c>
      <c r="R420" s="161"/>
      <c r="S420" s="58"/>
      <c r="T420" s="159" t="n">
        <v>0</v>
      </c>
      <c r="U420" s="162"/>
      <c r="V420" s="162"/>
      <c r="W420" s="58"/>
      <c r="X420" s="58"/>
      <c r="Y420" s="58"/>
      <c r="Z420" s="58"/>
      <c r="AA420" s="5"/>
      <c r="AB420" s="12" t="s">
        <v>95</v>
      </c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8"/>
      <c r="BL420" s="58"/>
      <c r="BM420" s="58"/>
      <c r="BN420" s="58"/>
      <c r="BO420" s="58"/>
      <c r="BP420" s="58"/>
      <c r="BQ420" s="58"/>
      <c r="BR420" s="58"/>
      <c r="BS420" s="58"/>
      <c r="BT420" s="58"/>
      <c r="BU420" s="58"/>
      <c r="BV420" s="58"/>
      <c r="BW420" s="58"/>
      <c r="BX420" s="58"/>
      <c r="BY420" s="58"/>
      <c r="BZ420" s="58"/>
      <c r="CA420" s="58"/>
      <c r="CB420" s="58"/>
      <c r="CC420" s="58"/>
      <c r="CD420" s="58"/>
      <c r="CE420" s="58"/>
      <c r="CF420" s="58"/>
      <c r="CG420" s="58"/>
      <c r="CH420" s="58"/>
      <c r="CI420" s="58"/>
      <c r="CJ420" s="58"/>
      <c r="CK420" s="58"/>
      <c r="CL420" s="58"/>
      <c r="CM420" s="58"/>
      <c r="CN420" s="58"/>
      <c r="CO420" s="58"/>
      <c r="CP420" s="58"/>
      <c r="CQ420" s="58"/>
      <c r="CR420" s="58"/>
      <c r="CS420" s="58"/>
      <c r="CT420" s="58"/>
      <c r="CU420" s="58"/>
      <c r="CV420" s="58"/>
      <c r="CW420" s="58"/>
      <c r="CX420" s="58"/>
      <c r="CY420" s="58"/>
      <c r="CZ420" s="58"/>
      <c r="DA420" s="58"/>
      <c r="DB420" s="58"/>
      <c r="DC420" s="58"/>
      <c r="DD420" s="58"/>
      <c r="DE420" s="58"/>
      <c r="DF420" s="58"/>
      <c r="DG420" s="58"/>
      <c r="DH420" s="58"/>
      <c r="DI420" s="58"/>
      <c r="DJ420" s="58"/>
      <c r="DK420" s="58"/>
      <c r="DL420" s="58"/>
      <c r="DM420" s="58"/>
      <c r="DN420" s="58"/>
      <c r="DO420" s="58"/>
      <c r="DP420" s="58"/>
      <c r="DQ420" s="58"/>
      <c r="DR420" s="58"/>
      <c r="DS420" s="58"/>
      <c r="DT420" s="58"/>
      <c r="DU420" s="58"/>
      <c r="DV420" s="58"/>
      <c r="DW420" s="58"/>
      <c r="DX420" s="58"/>
      <c r="DY420" s="58"/>
      <c r="DZ420" s="58"/>
      <c r="EA420" s="58"/>
      <c r="EB420" s="58"/>
      <c r="EC420" s="58"/>
      <c r="ED420" s="58"/>
      <c r="EE420" s="58"/>
      <c r="EF420" s="58"/>
      <c r="EG420" s="58"/>
      <c r="EH420" s="58"/>
      <c r="EI420" s="58"/>
      <c r="EJ420" s="58"/>
      <c r="EK420" s="58"/>
      <c r="EL420" s="58"/>
      <c r="EM420" s="58"/>
      <c r="EN420" s="58"/>
      <c r="EO420" s="58"/>
      <c r="EP420" s="58"/>
      <c r="EQ420" s="58"/>
      <c r="ER420" s="58"/>
      <c r="ES420" s="58"/>
      <c r="ET420" s="58"/>
      <c r="EU420" s="58"/>
      <c r="EV420" s="58"/>
      <c r="EW420" s="58"/>
      <c r="EX420" s="58"/>
      <c r="EY420" s="58"/>
      <c r="EZ420" s="58"/>
      <c r="FA420" s="58"/>
      <c r="FB420" s="58"/>
      <c r="FC420" s="58"/>
      <c r="FD420" s="58"/>
      <c r="FE420" s="58"/>
      <c r="FF420" s="58"/>
      <c r="FG420" s="58"/>
      <c r="FH420" s="58"/>
      <c r="FI420" s="58"/>
      <c r="FJ420" s="58"/>
      <c r="FK420" s="58"/>
      <c r="FL420" s="58"/>
      <c r="FM420" s="58"/>
      <c r="FN420" s="58"/>
      <c r="FO420" s="58"/>
      <c r="FP420" s="58"/>
      <c r="FQ420" s="58"/>
      <c r="FR420" s="58"/>
      <c r="FS420" s="58"/>
      <c r="FT420" s="58"/>
      <c r="FU420" s="58"/>
      <c r="FV420" s="58"/>
      <c r="FW420" s="58"/>
      <c r="FX420" s="58"/>
      <c r="FY420" s="58"/>
      <c r="FZ420" s="58"/>
      <c r="GA420" s="58"/>
      <c r="GB420" s="58"/>
      <c r="GC420" s="58"/>
      <c r="GD420" s="58"/>
      <c r="GE420" s="58"/>
      <c r="GF420" s="58"/>
      <c r="GG420" s="58"/>
      <c r="GH420" s="58"/>
      <c r="GI420" s="58"/>
      <c r="GJ420" s="58"/>
      <c r="GK420" s="58"/>
      <c r="GL420" s="58"/>
      <c r="GM420" s="58"/>
      <c r="GN420" s="58"/>
      <c r="GO420" s="58"/>
      <c r="GP420" s="58"/>
      <c r="GQ420" s="58"/>
      <c r="GR420" s="58"/>
      <c r="GS420" s="58"/>
      <c r="GT420" s="58"/>
      <c r="GU420" s="58"/>
      <c r="GV420" s="58"/>
      <c r="GW420" s="58"/>
      <c r="GX420" s="58"/>
      <c r="GY420" s="58"/>
      <c r="GZ420" s="58"/>
      <c r="HA420" s="58"/>
      <c r="HB420" s="58"/>
      <c r="HC420" s="58"/>
      <c r="HD420" s="58"/>
      <c r="HE420" s="58"/>
      <c r="HF420" s="58"/>
      <c r="HG420" s="58"/>
      <c r="HH420" s="58"/>
      <c r="HI420" s="58"/>
      <c r="HJ420" s="58"/>
      <c r="HK420" s="58"/>
      <c r="HL420" s="58"/>
      <c r="HM420" s="58"/>
      <c r="HN420" s="58"/>
      <c r="HO420" s="58"/>
      <c r="HP420" s="58"/>
      <c r="HQ420" s="58"/>
      <c r="HR420" s="58"/>
      <c r="HS420" s="58"/>
      <c r="HT420" s="58"/>
      <c r="HU420" s="58"/>
      <c r="HV420" s="58"/>
      <c r="HW420" s="58"/>
      <c r="HX420" s="58"/>
      <c r="HY420" s="58"/>
      <c r="HZ420" s="58"/>
      <c r="IA420" s="58"/>
      <c r="IB420" s="58"/>
      <c r="IC420" s="58"/>
      <c r="ID420" s="58"/>
      <c r="IE420" s="58"/>
      <c r="IF420" s="58"/>
      <c r="IG420" s="58"/>
      <c r="IH420" s="58"/>
      <c r="II420" s="58"/>
      <c r="IJ420" s="58"/>
      <c r="IK420" s="58"/>
      <c r="IL420" s="58"/>
      <c r="IM420" s="58"/>
      <c r="IN420" s="58"/>
      <c r="IO420" s="58"/>
      <c r="IP420" s="58"/>
      <c r="IQ420" s="58"/>
      <c r="IR420" s="58"/>
      <c r="IS420" s="58"/>
      <c r="IT420" s="58"/>
      <c r="IU420" s="58"/>
      <c r="IV420" s="58"/>
      <c r="IW420" s="58"/>
    </row>
    <row r="421" customFormat="false" ht="12.75" hidden="false" customHeight="false" outlineLevel="0" collapsed="false">
      <c r="A421" s="5" t="n">
        <v>58</v>
      </c>
      <c r="B421" s="5" t="s">
        <v>321</v>
      </c>
      <c r="C421" s="153" t="n">
        <v>36767</v>
      </c>
      <c r="D421" s="58" t="s">
        <v>178</v>
      </c>
      <c r="E421" s="58" t="s">
        <v>89</v>
      </c>
      <c r="F421" s="58" t="s">
        <v>235</v>
      </c>
      <c r="G421" s="58" t="s">
        <v>239</v>
      </c>
      <c r="H421" s="154" t="n">
        <v>0</v>
      </c>
      <c r="I421" s="6" t="n">
        <f aca="false">+H421*K421</f>
        <v>0</v>
      </c>
      <c r="J421" s="155" t="n">
        <v>36831</v>
      </c>
      <c r="K421" s="156" t="n">
        <v>700</v>
      </c>
      <c r="L421" s="157" t="s">
        <v>8</v>
      </c>
      <c r="M421" s="154" t="s">
        <v>322</v>
      </c>
      <c r="N421" s="158"/>
      <c r="O421" s="159" t="n">
        <f aca="false">0.01*K421</f>
        <v>7</v>
      </c>
      <c r="P421" s="58"/>
      <c r="Q421" s="160" t="n">
        <v>4.31</v>
      </c>
      <c r="R421" s="161"/>
      <c r="S421" s="58"/>
      <c r="T421" s="159" t="n">
        <v>0</v>
      </c>
      <c r="U421" s="162"/>
      <c r="V421" s="162"/>
      <c r="W421" s="58"/>
      <c r="X421" s="58"/>
      <c r="Y421" s="58"/>
      <c r="Z421" s="58"/>
      <c r="AA421" s="5"/>
      <c r="AB421" s="12" t="s">
        <v>95</v>
      </c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8"/>
      <c r="BL421" s="58"/>
      <c r="BM421" s="58"/>
      <c r="BN421" s="58"/>
      <c r="BO421" s="58"/>
      <c r="BP421" s="58"/>
      <c r="BQ421" s="58"/>
      <c r="BR421" s="58"/>
      <c r="BS421" s="58"/>
      <c r="BT421" s="58"/>
      <c r="BU421" s="58"/>
      <c r="BV421" s="58"/>
      <c r="BW421" s="58"/>
      <c r="BX421" s="58"/>
      <c r="BY421" s="58"/>
      <c r="BZ421" s="58"/>
      <c r="CA421" s="58"/>
      <c r="CB421" s="58"/>
      <c r="CC421" s="58"/>
      <c r="CD421" s="58"/>
      <c r="CE421" s="58"/>
      <c r="CF421" s="58"/>
      <c r="CG421" s="58"/>
      <c r="CH421" s="58"/>
      <c r="CI421" s="58"/>
      <c r="CJ421" s="58"/>
      <c r="CK421" s="58"/>
      <c r="CL421" s="58"/>
      <c r="CM421" s="58"/>
      <c r="CN421" s="58"/>
      <c r="CO421" s="58"/>
      <c r="CP421" s="58"/>
      <c r="CQ421" s="58"/>
      <c r="CR421" s="58"/>
      <c r="CS421" s="58"/>
      <c r="CT421" s="58"/>
      <c r="CU421" s="58"/>
      <c r="CV421" s="58"/>
      <c r="CW421" s="58"/>
      <c r="CX421" s="58"/>
      <c r="CY421" s="58"/>
      <c r="CZ421" s="58"/>
      <c r="DA421" s="58"/>
      <c r="DB421" s="58"/>
      <c r="DC421" s="58"/>
      <c r="DD421" s="58"/>
      <c r="DE421" s="58"/>
      <c r="DF421" s="58"/>
      <c r="DG421" s="58"/>
      <c r="DH421" s="58"/>
      <c r="DI421" s="58"/>
      <c r="DJ421" s="58"/>
      <c r="DK421" s="58"/>
      <c r="DL421" s="58"/>
      <c r="DM421" s="58"/>
      <c r="DN421" s="58"/>
      <c r="DO421" s="58"/>
      <c r="DP421" s="58"/>
      <c r="DQ421" s="58"/>
      <c r="DR421" s="58"/>
      <c r="DS421" s="58"/>
      <c r="DT421" s="58"/>
      <c r="DU421" s="58"/>
      <c r="DV421" s="58"/>
      <c r="DW421" s="58"/>
      <c r="DX421" s="58"/>
      <c r="DY421" s="58"/>
      <c r="DZ421" s="58"/>
      <c r="EA421" s="58"/>
      <c r="EB421" s="58"/>
      <c r="EC421" s="58"/>
      <c r="ED421" s="58"/>
      <c r="EE421" s="58"/>
      <c r="EF421" s="58"/>
      <c r="EG421" s="58"/>
      <c r="EH421" s="58"/>
      <c r="EI421" s="58"/>
      <c r="EJ421" s="58"/>
      <c r="EK421" s="58"/>
      <c r="EL421" s="58"/>
      <c r="EM421" s="58"/>
      <c r="EN421" s="58"/>
      <c r="EO421" s="58"/>
      <c r="EP421" s="58"/>
      <c r="EQ421" s="58"/>
      <c r="ER421" s="58"/>
      <c r="ES421" s="58"/>
      <c r="ET421" s="58"/>
      <c r="EU421" s="58"/>
      <c r="EV421" s="58"/>
      <c r="EW421" s="58"/>
      <c r="EX421" s="58"/>
      <c r="EY421" s="58"/>
      <c r="EZ421" s="58"/>
      <c r="FA421" s="58"/>
      <c r="FB421" s="58"/>
      <c r="FC421" s="58"/>
      <c r="FD421" s="58"/>
      <c r="FE421" s="58"/>
      <c r="FF421" s="58"/>
      <c r="FG421" s="58"/>
      <c r="FH421" s="58"/>
      <c r="FI421" s="58"/>
      <c r="FJ421" s="58"/>
      <c r="FK421" s="58"/>
      <c r="FL421" s="58"/>
      <c r="FM421" s="58"/>
      <c r="FN421" s="58"/>
      <c r="FO421" s="58"/>
      <c r="FP421" s="58"/>
      <c r="FQ421" s="58"/>
      <c r="FR421" s="58"/>
      <c r="FS421" s="58"/>
      <c r="FT421" s="58"/>
      <c r="FU421" s="58"/>
      <c r="FV421" s="58"/>
      <c r="FW421" s="58"/>
      <c r="FX421" s="58"/>
      <c r="FY421" s="58"/>
      <c r="FZ421" s="58"/>
      <c r="GA421" s="58"/>
      <c r="GB421" s="58"/>
      <c r="GC421" s="58"/>
      <c r="GD421" s="58"/>
      <c r="GE421" s="58"/>
      <c r="GF421" s="58"/>
      <c r="GG421" s="58"/>
      <c r="GH421" s="58"/>
      <c r="GI421" s="58"/>
      <c r="GJ421" s="58"/>
      <c r="GK421" s="58"/>
      <c r="GL421" s="58"/>
      <c r="GM421" s="58"/>
      <c r="GN421" s="58"/>
      <c r="GO421" s="58"/>
      <c r="GP421" s="58"/>
      <c r="GQ421" s="58"/>
      <c r="GR421" s="58"/>
      <c r="GS421" s="58"/>
      <c r="GT421" s="58"/>
      <c r="GU421" s="58"/>
      <c r="GV421" s="58"/>
      <c r="GW421" s="58"/>
      <c r="GX421" s="58"/>
      <c r="GY421" s="58"/>
      <c r="GZ421" s="58"/>
      <c r="HA421" s="58"/>
      <c r="HB421" s="58"/>
      <c r="HC421" s="58"/>
      <c r="HD421" s="58"/>
      <c r="HE421" s="58"/>
      <c r="HF421" s="58"/>
      <c r="HG421" s="58"/>
      <c r="HH421" s="58"/>
      <c r="HI421" s="58"/>
      <c r="HJ421" s="58"/>
      <c r="HK421" s="58"/>
      <c r="HL421" s="58"/>
      <c r="HM421" s="58"/>
      <c r="HN421" s="58"/>
      <c r="HO421" s="58"/>
      <c r="HP421" s="58"/>
      <c r="HQ421" s="58"/>
      <c r="HR421" s="58"/>
      <c r="HS421" s="58"/>
      <c r="HT421" s="58"/>
      <c r="HU421" s="58"/>
      <c r="HV421" s="58"/>
      <c r="HW421" s="58"/>
      <c r="HX421" s="58"/>
      <c r="HY421" s="58"/>
      <c r="HZ421" s="58"/>
      <c r="IA421" s="58"/>
      <c r="IB421" s="58"/>
      <c r="IC421" s="58"/>
      <c r="ID421" s="58"/>
      <c r="IE421" s="58"/>
      <c r="IF421" s="58"/>
      <c r="IG421" s="58"/>
      <c r="IH421" s="58"/>
      <c r="II421" s="58"/>
      <c r="IJ421" s="58"/>
      <c r="IK421" s="58"/>
      <c r="IL421" s="58"/>
      <c r="IM421" s="58"/>
      <c r="IN421" s="58"/>
      <c r="IO421" s="58"/>
      <c r="IP421" s="58"/>
      <c r="IQ421" s="58"/>
      <c r="IR421" s="58"/>
      <c r="IS421" s="58"/>
      <c r="IT421" s="58"/>
      <c r="IU421" s="58"/>
      <c r="IV421" s="58"/>
      <c r="IW421" s="58"/>
    </row>
    <row r="422" customFormat="false" ht="12.75" hidden="false" customHeight="false" outlineLevel="0" collapsed="false">
      <c r="A422" s="5" t="n">
        <v>58</v>
      </c>
      <c r="B422" s="5" t="s">
        <v>321</v>
      </c>
      <c r="C422" s="153" t="n">
        <v>36767</v>
      </c>
      <c r="D422" s="58" t="s">
        <v>178</v>
      </c>
      <c r="E422" s="58" t="s">
        <v>89</v>
      </c>
      <c r="F422" s="58" t="s">
        <v>235</v>
      </c>
      <c r="G422" s="58" t="s">
        <v>239</v>
      </c>
      <c r="H422" s="154" t="n">
        <v>0</v>
      </c>
      <c r="I422" s="6" t="n">
        <f aca="false">+H422*K422</f>
        <v>0</v>
      </c>
      <c r="J422" s="155" t="n">
        <v>36861</v>
      </c>
      <c r="K422" s="156" t="n">
        <v>700</v>
      </c>
      <c r="L422" s="157" t="s">
        <v>8</v>
      </c>
      <c r="M422" s="154" t="s">
        <v>322</v>
      </c>
      <c r="N422" s="158"/>
      <c r="O422" s="159" t="n">
        <f aca="false">0.01*K422</f>
        <v>7</v>
      </c>
      <c r="P422" s="58"/>
      <c r="Q422" s="160" t="n">
        <v>5.775</v>
      </c>
      <c r="R422" s="161"/>
      <c r="S422" s="58"/>
      <c r="T422" s="159" t="n">
        <v>0</v>
      </c>
      <c r="U422" s="162"/>
      <c r="V422" s="162"/>
      <c r="W422" s="58"/>
      <c r="X422" s="58"/>
      <c r="Y422" s="58"/>
      <c r="Z422" s="58"/>
      <c r="AA422" s="5"/>
      <c r="AB422" s="12" t="s">
        <v>95</v>
      </c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8"/>
      <c r="BL422" s="58"/>
      <c r="BM422" s="58"/>
      <c r="BN422" s="58"/>
      <c r="BO422" s="58"/>
      <c r="BP422" s="58"/>
      <c r="BQ422" s="58"/>
      <c r="BR422" s="58"/>
      <c r="BS422" s="58"/>
      <c r="BT422" s="58"/>
      <c r="BU422" s="58"/>
      <c r="BV422" s="58"/>
      <c r="BW422" s="58"/>
      <c r="BX422" s="58"/>
      <c r="BY422" s="58"/>
      <c r="BZ422" s="58"/>
      <c r="CA422" s="58"/>
      <c r="CB422" s="58"/>
      <c r="CC422" s="58"/>
      <c r="CD422" s="58"/>
      <c r="CE422" s="58"/>
      <c r="CF422" s="58"/>
      <c r="CG422" s="58"/>
      <c r="CH422" s="58"/>
      <c r="CI422" s="58"/>
      <c r="CJ422" s="58"/>
      <c r="CK422" s="58"/>
      <c r="CL422" s="58"/>
      <c r="CM422" s="58"/>
      <c r="CN422" s="58"/>
      <c r="CO422" s="58"/>
      <c r="CP422" s="58"/>
      <c r="CQ422" s="58"/>
      <c r="CR422" s="58"/>
      <c r="CS422" s="58"/>
      <c r="CT422" s="58"/>
      <c r="CU422" s="58"/>
      <c r="CV422" s="58"/>
      <c r="CW422" s="58"/>
      <c r="CX422" s="58"/>
      <c r="CY422" s="58"/>
      <c r="CZ422" s="58"/>
      <c r="DA422" s="58"/>
      <c r="DB422" s="58"/>
      <c r="DC422" s="58"/>
      <c r="DD422" s="58"/>
      <c r="DE422" s="58"/>
      <c r="DF422" s="58"/>
      <c r="DG422" s="58"/>
      <c r="DH422" s="58"/>
      <c r="DI422" s="58"/>
      <c r="DJ422" s="58"/>
      <c r="DK422" s="58"/>
      <c r="DL422" s="58"/>
      <c r="DM422" s="58"/>
      <c r="DN422" s="58"/>
      <c r="DO422" s="58"/>
      <c r="DP422" s="58"/>
      <c r="DQ422" s="58"/>
      <c r="DR422" s="58"/>
      <c r="DS422" s="58"/>
      <c r="DT422" s="58"/>
      <c r="DU422" s="58"/>
      <c r="DV422" s="58"/>
      <c r="DW422" s="58"/>
      <c r="DX422" s="58"/>
      <c r="DY422" s="58"/>
      <c r="DZ422" s="58"/>
      <c r="EA422" s="58"/>
      <c r="EB422" s="58"/>
      <c r="EC422" s="58"/>
      <c r="ED422" s="58"/>
      <c r="EE422" s="58"/>
      <c r="EF422" s="58"/>
      <c r="EG422" s="58"/>
      <c r="EH422" s="58"/>
      <c r="EI422" s="58"/>
      <c r="EJ422" s="58"/>
      <c r="EK422" s="58"/>
      <c r="EL422" s="58"/>
      <c r="EM422" s="58"/>
      <c r="EN422" s="58"/>
      <c r="EO422" s="58"/>
      <c r="EP422" s="58"/>
      <c r="EQ422" s="58"/>
      <c r="ER422" s="58"/>
      <c r="ES422" s="58"/>
      <c r="ET422" s="58"/>
      <c r="EU422" s="58"/>
      <c r="EV422" s="58"/>
      <c r="EW422" s="58"/>
      <c r="EX422" s="58"/>
      <c r="EY422" s="58"/>
      <c r="EZ422" s="58"/>
      <c r="FA422" s="58"/>
      <c r="FB422" s="58"/>
      <c r="FC422" s="58"/>
      <c r="FD422" s="58"/>
      <c r="FE422" s="58"/>
      <c r="FF422" s="58"/>
      <c r="FG422" s="58"/>
      <c r="FH422" s="58"/>
      <c r="FI422" s="58"/>
      <c r="FJ422" s="58"/>
      <c r="FK422" s="58"/>
      <c r="FL422" s="58"/>
      <c r="FM422" s="58"/>
      <c r="FN422" s="58"/>
      <c r="FO422" s="58"/>
      <c r="FP422" s="58"/>
      <c r="FQ422" s="58"/>
      <c r="FR422" s="58"/>
      <c r="FS422" s="58"/>
      <c r="FT422" s="58"/>
      <c r="FU422" s="58"/>
      <c r="FV422" s="58"/>
      <c r="FW422" s="58"/>
      <c r="FX422" s="58"/>
      <c r="FY422" s="58"/>
      <c r="FZ422" s="58"/>
      <c r="GA422" s="58"/>
      <c r="GB422" s="58"/>
      <c r="GC422" s="58"/>
      <c r="GD422" s="58"/>
      <c r="GE422" s="58"/>
      <c r="GF422" s="58"/>
      <c r="GG422" s="58"/>
      <c r="GH422" s="58"/>
      <c r="GI422" s="58"/>
      <c r="GJ422" s="58"/>
      <c r="GK422" s="58"/>
      <c r="GL422" s="58"/>
      <c r="GM422" s="58"/>
      <c r="GN422" s="58"/>
      <c r="GO422" s="58"/>
      <c r="GP422" s="58"/>
      <c r="GQ422" s="58"/>
      <c r="GR422" s="58"/>
      <c r="GS422" s="58"/>
      <c r="GT422" s="58"/>
      <c r="GU422" s="58"/>
      <c r="GV422" s="58"/>
      <c r="GW422" s="58"/>
      <c r="GX422" s="58"/>
      <c r="GY422" s="58"/>
      <c r="GZ422" s="58"/>
      <c r="HA422" s="58"/>
      <c r="HB422" s="58"/>
      <c r="HC422" s="58"/>
      <c r="HD422" s="58"/>
      <c r="HE422" s="58"/>
      <c r="HF422" s="58"/>
      <c r="HG422" s="58"/>
      <c r="HH422" s="58"/>
      <c r="HI422" s="58"/>
      <c r="HJ422" s="58"/>
      <c r="HK422" s="58"/>
      <c r="HL422" s="58"/>
      <c r="HM422" s="58"/>
      <c r="HN422" s="58"/>
      <c r="HO422" s="58"/>
      <c r="HP422" s="58"/>
      <c r="HQ422" s="58"/>
      <c r="HR422" s="58"/>
      <c r="HS422" s="58"/>
      <c r="HT422" s="58"/>
      <c r="HU422" s="58"/>
      <c r="HV422" s="58"/>
      <c r="HW422" s="58"/>
      <c r="HX422" s="58"/>
      <c r="HY422" s="58"/>
      <c r="HZ422" s="58"/>
      <c r="IA422" s="58"/>
      <c r="IB422" s="58"/>
      <c r="IC422" s="58"/>
      <c r="ID422" s="58"/>
      <c r="IE422" s="58"/>
      <c r="IF422" s="58"/>
      <c r="IG422" s="58"/>
      <c r="IH422" s="58"/>
      <c r="II422" s="58"/>
      <c r="IJ422" s="58"/>
      <c r="IK422" s="58"/>
      <c r="IL422" s="58"/>
      <c r="IM422" s="58"/>
      <c r="IN422" s="58"/>
      <c r="IO422" s="58"/>
      <c r="IP422" s="58"/>
      <c r="IQ422" s="58"/>
      <c r="IR422" s="58"/>
      <c r="IS422" s="58"/>
      <c r="IT422" s="58"/>
      <c r="IU422" s="58"/>
      <c r="IV422" s="58"/>
      <c r="IW422" s="58"/>
    </row>
    <row r="423" customFormat="false" ht="12.75" hidden="false" customHeight="false" outlineLevel="0" collapsed="false">
      <c r="A423" s="5" t="n">
        <v>58</v>
      </c>
      <c r="B423" s="5" t="s">
        <v>321</v>
      </c>
      <c r="C423" s="153" t="n">
        <v>36767</v>
      </c>
      <c r="D423" s="58" t="s">
        <v>178</v>
      </c>
      <c r="E423" s="58" t="s">
        <v>89</v>
      </c>
      <c r="F423" s="58" t="s">
        <v>235</v>
      </c>
      <c r="G423" s="58" t="s">
        <v>239</v>
      </c>
      <c r="H423" s="154" t="n">
        <v>0</v>
      </c>
      <c r="I423" s="6" t="n">
        <f aca="false">+H423*K423</f>
        <v>0</v>
      </c>
      <c r="J423" s="155" t="n">
        <v>36892</v>
      </c>
      <c r="K423" s="156" t="n">
        <v>700</v>
      </c>
      <c r="L423" s="157" t="s">
        <v>8</v>
      </c>
      <c r="M423" s="154" t="s">
        <v>322</v>
      </c>
      <c r="N423" s="158"/>
      <c r="O423" s="159" t="n">
        <f aca="false">0.01*K423</f>
        <v>7</v>
      </c>
      <c r="P423" s="58"/>
      <c r="Q423" s="135" t="n">
        <v>9.565</v>
      </c>
      <c r="R423" s="161"/>
      <c r="S423" s="58"/>
      <c r="T423" s="134" t="n">
        <f aca="false">(9.1-Q423)*K423</f>
        <v>-325.5</v>
      </c>
      <c r="U423" s="162"/>
      <c r="V423" s="162"/>
      <c r="W423" s="58"/>
      <c r="X423" s="58"/>
      <c r="Y423" s="58"/>
      <c r="Z423" s="58"/>
      <c r="AA423" s="5"/>
      <c r="AB423" s="12" t="s">
        <v>95</v>
      </c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8"/>
      <c r="BL423" s="58"/>
      <c r="BM423" s="58"/>
      <c r="BN423" s="58"/>
      <c r="BO423" s="58"/>
      <c r="BP423" s="58"/>
      <c r="BQ423" s="58"/>
      <c r="BR423" s="58"/>
      <c r="BS423" s="58"/>
      <c r="BT423" s="58"/>
      <c r="BU423" s="58"/>
      <c r="BV423" s="58"/>
      <c r="BW423" s="58"/>
      <c r="BX423" s="58"/>
      <c r="BY423" s="58"/>
      <c r="BZ423" s="58"/>
      <c r="CA423" s="58"/>
      <c r="CB423" s="58"/>
      <c r="CC423" s="58"/>
      <c r="CD423" s="58"/>
      <c r="CE423" s="58"/>
      <c r="CF423" s="58"/>
      <c r="CG423" s="58"/>
      <c r="CH423" s="58"/>
      <c r="CI423" s="58"/>
      <c r="CJ423" s="58"/>
      <c r="CK423" s="58"/>
      <c r="CL423" s="58"/>
      <c r="CM423" s="58"/>
      <c r="CN423" s="58"/>
      <c r="CO423" s="58"/>
      <c r="CP423" s="58"/>
      <c r="CQ423" s="58"/>
      <c r="CR423" s="58"/>
      <c r="CS423" s="58"/>
      <c r="CT423" s="58"/>
      <c r="CU423" s="58"/>
      <c r="CV423" s="58"/>
      <c r="CW423" s="58"/>
      <c r="CX423" s="58"/>
      <c r="CY423" s="58"/>
      <c r="CZ423" s="58"/>
      <c r="DA423" s="58"/>
      <c r="DB423" s="58"/>
      <c r="DC423" s="58"/>
      <c r="DD423" s="58"/>
      <c r="DE423" s="58"/>
      <c r="DF423" s="58"/>
      <c r="DG423" s="58"/>
      <c r="DH423" s="58"/>
      <c r="DI423" s="58"/>
      <c r="DJ423" s="58"/>
      <c r="DK423" s="58"/>
      <c r="DL423" s="58"/>
      <c r="DM423" s="58"/>
      <c r="DN423" s="58"/>
      <c r="DO423" s="58"/>
      <c r="DP423" s="58"/>
      <c r="DQ423" s="58"/>
      <c r="DR423" s="58"/>
      <c r="DS423" s="58"/>
      <c r="DT423" s="58"/>
      <c r="DU423" s="58"/>
      <c r="DV423" s="58"/>
      <c r="DW423" s="58"/>
      <c r="DX423" s="58"/>
      <c r="DY423" s="58"/>
      <c r="DZ423" s="58"/>
      <c r="EA423" s="58"/>
      <c r="EB423" s="58"/>
      <c r="EC423" s="58"/>
      <c r="ED423" s="58"/>
      <c r="EE423" s="58"/>
      <c r="EF423" s="58"/>
      <c r="EG423" s="58"/>
      <c r="EH423" s="58"/>
      <c r="EI423" s="58"/>
      <c r="EJ423" s="58"/>
      <c r="EK423" s="58"/>
      <c r="EL423" s="58"/>
      <c r="EM423" s="58"/>
      <c r="EN423" s="58"/>
      <c r="EO423" s="58"/>
      <c r="EP423" s="58"/>
      <c r="EQ423" s="58"/>
      <c r="ER423" s="58"/>
      <c r="ES423" s="58"/>
      <c r="ET423" s="58"/>
      <c r="EU423" s="58"/>
      <c r="EV423" s="58"/>
      <c r="EW423" s="58"/>
      <c r="EX423" s="58"/>
      <c r="EY423" s="58"/>
      <c r="EZ423" s="58"/>
      <c r="FA423" s="58"/>
      <c r="FB423" s="58"/>
      <c r="FC423" s="58"/>
      <c r="FD423" s="58"/>
      <c r="FE423" s="58"/>
      <c r="FF423" s="58"/>
      <c r="FG423" s="58"/>
      <c r="FH423" s="58"/>
      <c r="FI423" s="58"/>
      <c r="FJ423" s="58"/>
      <c r="FK423" s="58"/>
      <c r="FL423" s="58"/>
      <c r="FM423" s="58"/>
      <c r="FN423" s="58"/>
      <c r="FO423" s="58"/>
      <c r="FP423" s="58"/>
      <c r="FQ423" s="58"/>
      <c r="FR423" s="58"/>
      <c r="FS423" s="58"/>
      <c r="FT423" s="58"/>
      <c r="FU423" s="58"/>
      <c r="FV423" s="58"/>
      <c r="FW423" s="58"/>
      <c r="FX423" s="58"/>
      <c r="FY423" s="58"/>
      <c r="FZ423" s="58"/>
      <c r="GA423" s="58"/>
      <c r="GB423" s="58"/>
      <c r="GC423" s="58"/>
      <c r="GD423" s="58"/>
      <c r="GE423" s="58"/>
      <c r="GF423" s="58"/>
      <c r="GG423" s="58"/>
      <c r="GH423" s="58"/>
      <c r="GI423" s="58"/>
      <c r="GJ423" s="58"/>
      <c r="GK423" s="58"/>
      <c r="GL423" s="58"/>
      <c r="GM423" s="58"/>
      <c r="GN423" s="58"/>
      <c r="GO423" s="58"/>
      <c r="GP423" s="58"/>
      <c r="GQ423" s="58"/>
      <c r="GR423" s="58"/>
      <c r="GS423" s="58"/>
      <c r="GT423" s="58"/>
      <c r="GU423" s="58"/>
      <c r="GV423" s="58"/>
      <c r="GW423" s="58"/>
      <c r="GX423" s="58"/>
      <c r="GY423" s="58"/>
      <c r="GZ423" s="58"/>
      <c r="HA423" s="58"/>
      <c r="HB423" s="58"/>
      <c r="HC423" s="58"/>
      <c r="HD423" s="58"/>
      <c r="HE423" s="58"/>
      <c r="HF423" s="58"/>
      <c r="HG423" s="58"/>
      <c r="HH423" s="58"/>
      <c r="HI423" s="58"/>
      <c r="HJ423" s="58"/>
      <c r="HK423" s="58"/>
      <c r="HL423" s="58"/>
      <c r="HM423" s="58"/>
      <c r="HN423" s="58"/>
      <c r="HO423" s="58"/>
      <c r="HP423" s="58"/>
      <c r="HQ423" s="58"/>
      <c r="HR423" s="58"/>
      <c r="HS423" s="58"/>
      <c r="HT423" s="58"/>
      <c r="HU423" s="58"/>
      <c r="HV423" s="58"/>
      <c r="HW423" s="58"/>
      <c r="HX423" s="58"/>
      <c r="HY423" s="58"/>
      <c r="HZ423" s="58"/>
      <c r="IA423" s="58"/>
      <c r="IB423" s="58"/>
      <c r="IC423" s="58"/>
      <c r="ID423" s="58"/>
      <c r="IE423" s="58"/>
      <c r="IF423" s="58"/>
      <c r="IG423" s="58"/>
      <c r="IH423" s="58"/>
      <c r="II423" s="58"/>
      <c r="IJ423" s="58"/>
      <c r="IK423" s="58"/>
      <c r="IL423" s="58"/>
      <c r="IM423" s="58"/>
      <c r="IN423" s="58"/>
      <c r="IO423" s="58"/>
      <c r="IP423" s="58"/>
      <c r="IQ423" s="58"/>
      <c r="IR423" s="58"/>
      <c r="IS423" s="58"/>
      <c r="IT423" s="58"/>
      <c r="IU423" s="58"/>
      <c r="IV423" s="58"/>
      <c r="IW423" s="58"/>
    </row>
    <row r="424" customFormat="false" ht="12.75" hidden="false" customHeight="false" outlineLevel="0" collapsed="false">
      <c r="A424" s="5" t="n">
        <v>58</v>
      </c>
      <c r="B424" s="5" t="s">
        <v>321</v>
      </c>
      <c r="C424" s="153" t="n">
        <v>36767</v>
      </c>
      <c r="D424" s="58" t="s">
        <v>178</v>
      </c>
      <c r="E424" s="58" t="s">
        <v>89</v>
      </c>
      <c r="F424" s="58" t="s">
        <v>235</v>
      </c>
      <c r="G424" s="58" t="s">
        <v>239</v>
      </c>
      <c r="H424" s="154" t="n">
        <v>0</v>
      </c>
      <c r="I424" s="6" t="n">
        <f aca="false">+H424*K424</f>
        <v>0</v>
      </c>
      <c r="J424" s="155" t="n">
        <v>36923</v>
      </c>
      <c r="K424" s="156" t="n">
        <v>700</v>
      </c>
      <c r="L424" s="157" t="s">
        <v>8</v>
      </c>
      <c r="M424" s="154" t="s">
        <v>322</v>
      </c>
      <c r="N424" s="158"/>
      <c r="O424" s="159" t="n">
        <f aca="false">0.01*K424</f>
        <v>7</v>
      </c>
      <c r="P424" s="58"/>
      <c r="Q424" s="160"/>
      <c r="R424" s="161"/>
      <c r="S424" s="58"/>
      <c r="T424" s="159"/>
      <c r="U424" s="162"/>
      <c r="V424" s="162"/>
      <c r="W424" s="58"/>
      <c r="X424" s="58"/>
      <c r="Y424" s="58"/>
      <c r="Z424" s="58"/>
      <c r="AA424" s="5"/>
      <c r="AB424" s="12" t="s">
        <v>95</v>
      </c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8"/>
      <c r="BL424" s="58"/>
      <c r="BM424" s="58"/>
      <c r="BN424" s="58"/>
      <c r="BO424" s="58"/>
      <c r="BP424" s="58"/>
      <c r="BQ424" s="58"/>
      <c r="BR424" s="58"/>
      <c r="BS424" s="58"/>
      <c r="BT424" s="58"/>
      <c r="BU424" s="58"/>
      <c r="BV424" s="58"/>
      <c r="BW424" s="58"/>
      <c r="BX424" s="58"/>
      <c r="BY424" s="58"/>
      <c r="BZ424" s="58"/>
      <c r="CA424" s="58"/>
      <c r="CB424" s="58"/>
      <c r="CC424" s="58"/>
      <c r="CD424" s="58"/>
      <c r="CE424" s="58"/>
      <c r="CF424" s="58"/>
      <c r="CG424" s="58"/>
      <c r="CH424" s="58"/>
      <c r="CI424" s="58"/>
      <c r="CJ424" s="58"/>
      <c r="CK424" s="58"/>
      <c r="CL424" s="58"/>
      <c r="CM424" s="58"/>
      <c r="CN424" s="58"/>
      <c r="CO424" s="58"/>
      <c r="CP424" s="58"/>
      <c r="CQ424" s="58"/>
      <c r="CR424" s="58"/>
      <c r="CS424" s="58"/>
      <c r="CT424" s="58"/>
      <c r="CU424" s="58"/>
      <c r="CV424" s="58"/>
      <c r="CW424" s="58"/>
      <c r="CX424" s="58"/>
      <c r="CY424" s="58"/>
      <c r="CZ424" s="58"/>
      <c r="DA424" s="58"/>
      <c r="DB424" s="58"/>
      <c r="DC424" s="58"/>
      <c r="DD424" s="58"/>
      <c r="DE424" s="58"/>
      <c r="DF424" s="58"/>
      <c r="DG424" s="58"/>
      <c r="DH424" s="58"/>
      <c r="DI424" s="58"/>
      <c r="DJ424" s="58"/>
      <c r="DK424" s="58"/>
      <c r="DL424" s="58"/>
      <c r="DM424" s="58"/>
      <c r="DN424" s="58"/>
      <c r="DO424" s="58"/>
      <c r="DP424" s="58"/>
      <c r="DQ424" s="58"/>
      <c r="DR424" s="58"/>
      <c r="DS424" s="58"/>
      <c r="DT424" s="58"/>
      <c r="DU424" s="58"/>
      <c r="DV424" s="58"/>
      <c r="DW424" s="58"/>
      <c r="DX424" s="58"/>
      <c r="DY424" s="58"/>
      <c r="DZ424" s="58"/>
      <c r="EA424" s="58"/>
      <c r="EB424" s="58"/>
      <c r="EC424" s="58"/>
      <c r="ED424" s="58"/>
      <c r="EE424" s="58"/>
      <c r="EF424" s="58"/>
      <c r="EG424" s="58"/>
      <c r="EH424" s="58"/>
      <c r="EI424" s="58"/>
      <c r="EJ424" s="58"/>
      <c r="EK424" s="58"/>
      <c r="EL424" s="58"/>
      <c r="EM424" s="58"/>
      <c r="EN424" s="58"/>
      <c r="EO424" s="58"/>
      <c r="EP424" s="58"/>
      <c r="EQ424" s="58"/>
      <c r="ER424" s="58"/>
      <c r="ES424" s="58"/>
      <c r="ET424" s="58"/>
      <c r="EU424" s="58"/>
      <c r="EV424" s="58"/>
      <c r="EW424" s="58"/>
      <c r="EX424" s="58"/>
      <c r="EY424" s="58"/>
      <c r="EZ424" s="58"/>
      <c r="FA424" s="58"/>
      <c r="FB424" s="58"/>
      <c r="FC424" s="58"/>
      <c r="FD424" s="58"/>
      <c r="FE424" s="58"/>
      <c r="FF424" s="58"/>
      <c r="FG424" s="58"/>
      <c r="FH424" s="58"/>
      <c r="FI424" s="58"/>
      <c r="FJ424" s="58"/>
      <c r="FK424" s="58"/>
      <c r="FL424" s="58"/>
      <c r="FM424" s="58"/>
      <c r="FN424" s="58"/>
      <c r="FO424" s="58"/>
      <c r="FP424" s="58"/>
      <c r="FQ424" s="58"/>
      <c r="FR424" s="58"/>
      <c r="FS424" s="58"/>
      <c r="FT424" s="58"/>
      <c r="FU424" s="58"/>
      <c r="FV424" s="58"/>
      <c r="FW424" s="58"/>
      <c r="FX424" s="58"/>
      <c r="FY424" s="58"/>
      <c r="FZ424" s="58"/>
      <c r="GA424" s="58"/>
      <c r="GB424" s="58"/>
      <c r="GC424" s="58"/>
      <c r="GD424" s="58"/>
      <c r="GE424" s="58"/>
      <c r="GF424" s="58"/>
      <c r="GG424" s="58"/>
      <c r="GH424" s="58"/>
      <c r="GI424" s="58"/>
      <c r="GJ424" s="58"/>
      <c r="GK424" s="58"/>
      <c r="GL424" s="58"/>
      <c r="GM424" s="58"/>
      <c r="GN424" s="58"/>
      <c r="GO424" s="58"/>
      <c r="GP424" s="58"/>
      <c r="GQ424" s="58"/>
      <c r="GR424" s="58"/>
      <c r="GS424" s="58"/>
      <c r="GT424" s="58"/>
      <c r="GU424" s="58"/>
      <c r="GV424" s="58"/>
      <c r="GW424" s="58"/>
      <c r="GX424" s="58"/>
      <c r="GY424" s="58"/>
      <c r="GZ424" s="58"/>
      <c r="HA424" s="58"/>
      <c r="HB424" s="58"/>
      <c r="HC424" s="58"/>
      <c r="HD424" s="58"/>
      <c r="HE424" s="58"/>
      <c r="HF424" s="58"/>
      <c r="HG424" s="58"/>
      <c r="HH424" s="58"/>
      <c r="HI424" s="58"/>
      <c r="HJ424" s="58"/>
      <c r="HK424" s="58"/>
      <c r="HL424" s="58"/>
      <c r="HM424" s="58"/>
      <c r="HN424" s="58"/>
      <c r="HO424" s="58"/>
      <c r="HP424" s="58"/>
      <c r="HQ424" s="58"/>
      <c r="HR424" s="58"/>
      <c r="HS424" s="58"/>
      <c r="HT424" s="58"/>
      <c r="HU424" s="58"/>
      <c r="HV424" s="58"/>
      <c r="HW424" s="58"/>
      <c r="HX424" s="58"/>
      <c r="HY424" s="58"/>
      <c r="HZ424" s="58"/>
      <c r="IA424" s="58"/>
      <c r="IB424" s="58"/>
      <c r="IC424" s="58"/>
      <c r="ID424" s="58"/>
      <c r="IE424" s="58"/>
      <c r="IF424" s="58"/>
      <c r="IG424" s="58"/>
      <c r="IH424" s="58"/>
      <c r="II424" s="58"/>
      <c r="IJ424" s="58"/>
      <c r="IK424" s="58"/>
      <c r="IL424" s="58"/>
      <c r="IM424" s="58"/>
      <c r="IN424" s="58"/>
      <c r="IO424" s="58"/>
      <c r="IP424" s="58"/>
      <c r="IQ424" s="58"/>
      <c r="IR424" s="58"/>
      <c r="IS424" s="58"/>
      <c r="IT424" s="58"/>
      <c r="IU424" s="58"/>
      <c r="IV424" s="58"/>
      <c r="IW424" s="58"/>
    </row>
    <row r="425" customFormat="false" ht="12.75" hidden="false" customHeight="false" outlineLevel="0" collapsed="false">
      <c r="A425" s="5"/>
      <c r="B425" s="5"/>
      <c r="C425" s="153"/>
      <c r="D425" s="58"/>
      <c r="E425" s="58"/>
      <c r="F425" s="58"/>
      <c r="G425" s="58"/>
      <c r="H425" s="154"/>
      <c r="I425" s="6"/>
      <c r="J425" s="163"/>
      <c r="K425" s="156"/>
      <c r="L425" s="157"/>
      <c r="M425" s="154"/>
      <c r="N425" s="158"/>
      <c r="O425" s="159"/>
      <c r="P425" s="58"/>
      <c r="Q425" s="160"/>
      <c r="R425" s="161"/>
      <c r="S425" s="58"/>
      <c r="T425" s="159"/>
      <c r="U425" s="162"/>
      <c r="V425" s="162"/>
      <c r="W425" s="58"/>
      <c r="X425" s="58"/>
      <c r="Y425" s="58"/>
      <c r="Z425" s="58"/>
      <c r="AA425" s="5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8"/>
      <c r="BL425" s="58"/>
      <c r="BM425" s="58"/>
      <c r="BN425" s="58"/>
      <c r="BO425" s="58"/>
      <c r="BP425" s="58"/>
      <c r="BQ425" s="58"/>
      <c r="BR425" s="58"/>
      <c r="BS425" s="58"/>
      <c r="BT425" s="58"/>
      <c r="BU425" s="58"/>
      <c r="BV425" s="58"/>
      <c r="BW425" s="58"/>
      <c r="BX425" s="58"/>
      <c r="BY425" s="58"/>
      <c r="BZ425" s="58"/>
      <c r="CA425" s="58"/>
      <c r="CB425" s="58"/>
      <c r="CC425" s="58"/>
      <c r="CD425" s="58"/>
      <c r="CE425" s="58"/>
      <c r="CF425" s="58"/>
      <c r="CG425" s="58"/>
      <c r="CH425" s="58"/>
      <c r="CI425" s="58"/>
      <c r="CJ425" s="58"/>
      <c r="CK425" s="58"/>
      <c r="CL425" s="58"/>
      <c r="CM425" s="58"/>
      <c r="CN425" s="58"/>
      <c r="CO425" s="58"/>
      <c r="CP425" s="58"/>
      <c r="CQ425" s="58"/>
      <c r="CR425" s="58"/>
      <c r="CS425" s="58"/>
      <c r="CT425" s="58"/>
      <c r="CU425" s="58"/>
      <c r="CV425" s="58"/>
      <c r="CW425" s="58"/>
      <c r="CX425" s="58"/>
      <c r="CY425" s="58"/>
      <c r="CZ425" s="58"/>
      <c r="DA425" s="58"/>
      <c r="DB425" s="58"/>
      <c r="DC425" s="58"/>
      <c r="DD425" s="58"/>
      <c r="DE425" s="58"/>
      <c r="DF425" s="58"/>
      <c r="DG425" s="58"/>
      <c r="DH425" s="58"/>
      <c r="DI425" s="58"/>
      <c r="DJ425" s="58"/>
      <c r="DK425" s="58"/>
      <c r="DL425" s="58"/>
      <c r="DM425" s="58"/>
      <c r="DN425" s="58"/>
      <c r="DO425" s="58"/>
      <c r="DP425" s="58"/>
      <c r="DQ425" s="58"/>
      <c r="DR425" s="58"/>
      <c r="DS425" s="58"/>
      <c r="DT425" s="58"/>
      <c r="DU425" s="58"/>
      <c r="DV425" s="58"/>
      <c r="DW425" s="58"/>
      <c r="DX425" s="58"/>
      <c r="DY425" s="58"/>
      <c r="DZ425" s="58"/>
      <c r="EA425" s="58"/>
      <c r="EB425" s="58"/>
      <c r="EC425" s="58"/>
      <c r="ED425" s="58"/>
      <c r="EE425" s="58"/>
      <c r="EF425" s="58"/>
      <c r="EG425" s="58"/>
      <c r="EH425" s="58"/>
      <c r="EI425" s="58"/>
      <c r="EJ425" s="58"/>
      <c r="EK425" s="58"/>
      <c r="EL425" s="58"/>
      <c r="EM425" s="58"/>
      <c r="EN425" s="58"/>
      <c r="EO425" s="58"/>
      <c r="EP425" s="58"/>
      <c r="EQ425" s="58"/>
      <c r="ER425" s="58"/>
      <c r="ES425" s="58"/>
      <c r="ET425" s="58"/>
      <c r="EU425" s="58"/>
      <c r="EV425" s="58"/>
      <c r="EW425" s="58"/>
      <c r="EX425" s="58"/>
      <c r="EY425" s="58"/>
      <c r="EZ425" s="58"/>
      <c r="FA425" s="58"/>
      <c r="FB425" s="58"/>
      <c r="FC425" s="58"/>
      <c r="FD425" s="58"/>
      <c r="FE425" s="58"/>
      <c r="FF425" s="58"/>
      <c r="FG425" s="58"/>
      <c r="FH425" s="58"/>
      <c r="FI425" s="58"/>
      <c r="FJ425" s="58"/>
      <c r="FK425" s="58"/>
      <c r="FL425" s="58"/>
      <c r="FM425" s="58"/>
      <c r="FN425" s="58"/>
      <c r="FO425" s="58"/>
      <c r="FP425" s="58"/>
      <c r="FQ425" s="58"/>
      <c r="FR425" s="58"/>
      <c r="FS425" s="58"/>
      <c r="FT425" s="58"/>
      <c r="FU425" s="58"/>
      <c r="FV425" s="58"/>
      <c r="FW425" s="58"/>
      <c r="FX425" s="58"/>
      <c r="FY425" s="58"/>
      <c r="FZ425" s="58"/>
      <c r="GA425" s="58"/>
      <c r="GB425" s="58"/>
      <c r="GC425" s="58"/>
      <c r="GD425" s="58"/>
      <c r="GE425" s="58"/>
      <c r="GF425" s="58"/>
      <c r="GG425" s="58"/>
      <c r="GH425" s="58"/>
      <c r="GI425" s="58"/>
      <c r="GJ425" s="58"/>
      <c r="GK425" s="58"/>
      <c r="GL425" s="58"/>
      <c r="GM425" s="58"/>
      <c r="GN425" s="58"/>
      <c r="GO425" s="58"/>
      <c r="GP425" s="58"/>
      <c r="GQ425" s="58"/>
      <c r="GR425" s="58"/>
      <c r="GS425" s="58"/>
      <c r="GT425" s="58"/>
      <c r="GU425" s="58"/>
      <c r="GV425" s="58"/>
      <c r="GW425" s="58"/>
      <c r="GX425" s="58"/>
      <c r="GY425" s="58"/>
      <c r="GZ425" s="58"/>
      <c r="HA425" s="58"/>
      <c r="HB425" s="58"/>
      <c r="HC425" s="58"/>
      <c r="HD425" s="58"/>
      <c r="HE425" s="58"/>
      <c r="HF425" s="58"/>
      <c r="HG425" s="58"/>
      <c r="HH425" s="58"/>
      <c r="HI425" s="58"/>
      <c r="HJ425" s="58"/>
      <c r="HK425" s="58"/>
      <c r="HL425" s="58"/>
      <c r="HM425" s="58"/>
      <c r="HN425" s="58"/>
      <c r="HO425" s="58"/>
      <c r="HP425" s="58"/>
      <c r="HQ425" s="58"/>
      <c r="HR425" s="58"/>
      <c r="HS425" s="58"/>
      <c r="HT425" s="58"/>
      <c r="HU425" s="58"/>
      <c r="HV425" s="58"/>
      <c r="HW425" s="58"/>
      <c r="HX425" s="58"/>
      <c r="HY425" s="58"/>
      <c r="HZ425" s="58"/>
      <c r="IA425" s="58"/>
      <c r="IB425" s="58"/>
      <c r="IC425" s="58"/>
      <c r="ID425" s="58"/>
      <c r="IE425" s="58"/>
      <c r="IF425" s="58"/>
      <c r="IG425" s="58"/>
      <c r="IH425" s="58"/>
      <c r="II425" s="58"/>
      <c r="IJ425" s="58"/>
      <c r="IK425" s="58"/>
      <c r="IL425" s="58"/>
      <c r="IM425" s="58"/>
      <c r="IN425" s="58"/>
      <c r="IO425" s="58"/>
      <c r="IP425" s="58"/>
      <c r="IQ425" s="58"/>
      <c r="IR425" s="58"/>
      <c r="IS425" s="58"/>
      <c r="IT425" s="58"/>
      <c r="IU425" s="58"/>
      <c r="IV425" s="58"/>
      <c r="IW425" s="58"/>
    </row>
    <row r="426" customFormat="false" ht="12.75" hidden="false" customHeight="false" outlineLevel="0" collapsed="false">
      <c r="A426" s="5" t="n">
        <v>59</v>
      </c>
      <c r="B426" s="5" t="s">
        <v>323</v>
      </c>
      <c r="C426" s="153" t="n">
        <v>36767</v>
      </c>
      <c r="D426" s="58" t="s">
        <v>179</v>
      </c>
      <c r="E426" s="58" t="s">
        <v>89</v>
      </c>
      <c r="F426" s="58" t="s">
        <v>235</v>
      </c>
      <c r="G426" s="58" t="s">
        <v>239</v>
      </c>
      <c r="H426" s="154" t="n">
        <v>0</v>
      </c>
      <c r="I426" s="6" t="n">
        <f aca="false">+H426*K426</f>
        <v>0</v>
      </c>
      <c r="J426" s="155" t="n">
        <v>36770</v>
      </c>
      <c r="K426" s="156" t="n">
        <v>1300</v>
      </c>
      <c r="L426" s="157" t="s">
        <v>8</v>
      </c>
      <c r="M426" s="154" t="s">
        <v>322</v>
      </c>
      <c r="N426" s="158"/>
      <c r="O426" s="159" t="n">
        <f aca="false">0.01*K426</f>
        <v>13</v>
      </c>
      <c r="P426" s="58"/>
      <c r="Q426" s="160" t="n">
        <v>4.45</v>
      </c>
      <c r="R426" s="161"/>
      <c r="S426" s="58"/>
      <c r="T426" s="159" t="n">
        <v>0</v>
      </c>
      <c r="U426" s="162"/>
      <c r="V426" s="162"/>
      <c r="W426" s="58"/>
      <c r="X426" s="58"/>
      <c r="Y426" s="58" t="s">
        <v>99</v>
      </c>
      <c r="Z426" s="58"/>
      <c r="AA426" s="5"/>
      <c r="AB426" s="12" t="s">
        <v>95</v>
      </c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8"/>
      <c r="BL426" s="58"/>
      <c r="BM426" s="58"/>
      <c r="BN426" s="58"/>
      <c r="BO426" s="58"/>
      <c r="BP426" s="58"/>
      <c r="BQ426" s="58"/>
      <c r="BR426" s="58"/>
      <c r="BS426" s="58"/>
      <c r="BT426" s="58"/>
      <c r="BU426" s="58"/>
      <c r="BV426" s="58"/>
      <c r="BW426" s="58"/>
      <c r="BX426" s="58"/>
      <c r="BY426" s="58"/>
      <c r="BZ426" s="58"/>
      <c r="CA426" s="58"/>
      <c r="CB426" s="58"/>
      <c r="CC426" s="58"/>
      <c r="CD426" s="58"/>
      <c r="CE426" s="58"/>
      <c r="CF426" s="58"/>
      <c r="CG426" s="58"/>
      <c r="CH426" s="58"/>
      <c r="CI426" s="58"/>
      <c r="CJ426" s="58"/>
      <c r="CK426" s="58"/>
      <c r="CL426" s="58"/>
      <c r="CM426" s="58"/>
      <c r="CN426" s="58"/>
      <c r="CO426" s="58"/>
      <c r="CP426" s="58"/>
      <c r="CQ426" s="58"/>
      <c r="CR426" s="58"/>
      <c r="CS426" s="58"/>
      <c r="CT426" s="58"/>
      <c r="CU426" s="58"/>
      <c r="CV426" s="58"/>
      <c r="CW426" s="58"/>
      <c r="CX426" s="58"/>
      <c r="CY426" s="58"/>
      <c r="CZ426" s="58"/>
      <c r="DA426" s="58"/>
      <c r="DB426" s="58"/>
      <c r="DC426" s="58"/>
      <c r="DD426" s="58"/>
      <c r="DE426" s="58"/>
      <c r="DF426" s="58"/>
      <c r="DG426" s="58"/>
      <c r="DH426" s="58"/>
      <c r="DI426" s="58"/>
      <c r="DJ426" s="58"/>
      <c r="DK426" s="58"/>
      <c r="DL426" s="58"/>
      <c r="DM426" s="58"/>
      <c r="DN426" s="58"/>
      <c r="DO426" s="58"/>
      <c r="DP426" s="58"/>
      <c r="DQ426" s="58"/>
      <c r="DR426" s="58"/>
      <c r="DS426" s="58"/>
      <c r="DT426" s="58"/>
      <c r="DU426" s="58"/>
      <c r="DV426" s="58"/>
      <c r="DW426" s="58"/>
      <c r="DX426" s="58"/>
      <c r="DY426" s="58"/>
      <c r="DZ426" s="58"/>
      <c r="EA426" s="58"/>
      <c r="EB426" s="58"/>
      <c r="EC426" s="58"/>
      <c r="ED426" s="58"/>
      <c r="EE426" s="58"/>
      <c r="EF426" s="58"/>
      <c r="EG426" s="58"/>
      <c r="EH426" s="58"/>
      <c r="EI426" s="58"/>
      <c r="EJ426" s="58"/>
      <c r="EK426" s="58"/>
      <c r="EL426" s="58"/>
      <c r="EM426" s="58"/>
      <c r="EN426" s="58"/>
      <c r="EO426" s="58"/>
      <c r="EP426" s="58"/>
      <c r="EQ426" s="58"/>
      <c r="ER426" s="58"/>
      <c r="ES426" s="58"/>
      <c r="ET426" s="58"/>
      <c r="EU426" s="58"/>
      <c r="EV426" s="58"/>
      <c r="EW426" s="58"/>
      <c r="EX426" s="58"/>
      <c r="EY426" s="58"/>
      <c r="EZ426" s="58"/>
      <c r="FA426" s="58"/>
      <c r="FB426" s="58"/>
      <c r="FC426" s="58"/>
      <c r="FD426" s="58"/>
      <c r="FE426" s="58"/>
      <c r="FF426" s="58"/>
      <c r="FG426" s="58"/>
      <c r="FH426" s="58"/>
      <c r="FI426" s="58"/>
      <c r="FJ426" s="58"/>
      <c r="FK426" s="58"/>
      <c r="FL426" s="58"/>
      <c r="FM426" s="58"/>
      <c r="FN426" s="58"/>
      <c r="FO426" s="58"/>
      <c r="FP426" s="58"/>
      <c r="FQ426" s="58"/>
      <c r="FR426" s="58"/>
      <c r="FS426" s="58"/>
      <c r="FT426" s="58"/>
      <c r="FU426" s="58"/>
      <c r="FV426" s="58"/>
      <c r="FW426" s="58"/>
      <c r="FX426" s="58"/>
      <c r="FY426" s="58"/>
      <c r="FZ426" s="58"/>
      <c r="GA426" s="58"/>
      <c r="GB426" s="58"/>
      <c r="GC426" s="58"/>
      <c r="GD426" s="58"/>
      <c r="GE426" s="58"/>
      <c r="GF426" s="58"/>
      <c r="GG426" s="58"/>
      <c r="GH426" s="58"/>
      <c r="GI426" s="58"/>
      <c r="GJ426" s="58"/>
      <c r="GK426" s="58"/>
      <c r="GL426" s="58"/>
      <c r="GM426" s="58"/>
      <c r="GN426" s="58"/>
      <c r="GO426" s="58"/>
      <c r="GP426" s="58"/>
      <c r="GQ426" s="58"/>
      <c r="GR426" s="58"/>
      <c r="GS426" s="58"/>
      <c r="GT426" s="58"/>
      <c r="GU426" s="58"/>
      <c r="GV426" s="58"/>
      <c r="GW426" s="58"/>
      <c r="GX426" s="58"/>
      <c r="GY426" s="58"/>
      <c r="GZ426" s="58"/>
      <c r="HA426" s="58"/>
      <c r="HB426" s="58"/>
      <c r="HC426" s="58"/>
      <c r="HD426" s="58"/>
      <c r="HE426" s="58"/>
      <c r="HF426" s="58"/>
      <c r="HG426" s="58"/>
      <c r="HH426" s="58"/>
      <c r="HI426" s="58"/>
      <c r="HJ426" s="58"/>
      <c r="HK426" s="58"/>
      <c r="HL426" s="58"/>
      <c r="HM426" s="58"/>
      <c r="HN426" s="58"/>
      <c r="HO426" s="58"/>
      <c r="HP426" s="58"/>
      <c r="HQ426" s="58"/>
      <c r="HR426" s="58"/>
      <c r="HS426" s="58"/>
      <c r="HT426" s="58"/>
      <c r="HU426" s="58"/>
      <c r="HV426" s="58"/>
      <c r="HW426" s="58"/>
      <c r="HX426" s="58"/>
      <c r="HY426" s="58"/>
      <c r="HZ426" s="58"/>
      <c r="IA426" s="58"/>
      <c r="IB426" s="58"/>
      <c r="IC426" s="58"/>
      <c r="ID426" s="58"/>
      <c r="IE426" s="58"/>
      <c r="IF426" s="58"/>
      <c r="IG426" s="58"/>
      <c r="IH426" s="58"/>
      <c r="II426" s="58"/>
      <c r="IJ426" s="58"/>
      <c r="IK426" s="58"/>
      <c r="IL426" s="58"/>
      <c r="IM426" s="58"/>
      <c r="IN426" s="58"/>
      <c r="IO426" s="58"/>
      <c r="IP426" s="58"/>
      <c r="IQ426" s="58"/>
      <c r="IR426" s="58"/>
      <c r="IS426" s="58"/>
      <c r="IT426" s="58"/>
      <c r="IU426" s="58"/>
      <c r="IV426" s="58"/>
      <c r="IW426" s="58"/>
    </row>
    <row r="427" customFormat="false" ht="12.75" hidden="false" customHeight="false" outlineLevel="0" collapsed="false">
      <c r="A427" s="5" t="n">
        <v>59</v>
      </c>
      <c r="B427" s="5" t="s">
        <v>323</v>
      </c>
      <c r="C427" s="153" t="n">
        <v>36767</v>
      </c>
      <c r="D427" s="58" t="s">
        <v>179</v>
      </c>
      <c r="E427" s="58" t="s">
        <v>89</v>
      </c>
      <c r="F427" s="58" t="s">
        <v>235</v>
      </c>
      <c r="G427" s="58" t="s">
        <v>239</v>
      </c>
      <c r="H427" s="154" t="n">
        <v>0</v>
      </c>
      <c r="I427" s="6" t="n">
        <f aca="false">+H427*K427</f>
        <v>0</v>
      </c>
      <c r="J427" s="155" t="n">
        <v>36800</v>
      </c>
      <c r="K427" s="156" t="n">
        <v>1300</v>
      </c>
      <c r="L427" s="157" t="s">
        <v>8</v>
      </c>
      <c r="M427" s="154" t="s">
        <v>322</v>
      </c>
      <c r="N427" s="158"/>
      <c r="O427" s="159" t="n">
        <f aca="false">0.01*K427</f>
        <v>13</v>
      </c>
      <c r="P427" s="58"/>
      <c r="Q427" s="160" t="n">
        <v>5.105</v>
      </c>
      <c r="R427" s="161"/>
      <c r="S427" s="58"/>
      <c r="T427" s="159" t="n">
        <v>0</v>
      </c>
      <c r="U427" s="162"/>
      <c r="V427" s="162"/>
      <c r="W427" s="58"/>
      <c r="X427" s="58"/>
      <c r="Y427" s="58"/>
      <c r="Z427" s="58"/>
      <c r="AA427" s="5"/>
      <c r="AB427" s="12" t="s">
        <v>95</v>
      </c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8"/>
      <c r="BL427" s="58"/>
      <c r="BM427" s="58"/>
      <c r="BN427" s="58"/>
      <c r="BO427" s="58"/>
      <c r="BP427" s="58"/>
      <c r="BQ427" s="58"/>
      <c r="BR427" s="58"/>
      <c r="BS427" s="58"/>
      <c r="BT427" s="58"/>
      <c r="BU427" s="58"/>
      <c r="BV427" s="58"/>
      <c r="BW427" s="58"/>
      <c r="BX427" s="58"/>
      <c r="BY427" s="58"/>
      <c r="BZ427" s="58"/>
      <c r="CA427" s="58"/>
      <c r="CB427" s="58"/>
      <c r="CC427" s="58"/>
      <c r="CD427" s="58"/>
      <c r="CE427" s="58"/>
      <c r="CF427" s="58"/>
      <c r="CG427" s="58"/>
      <c r="CH427" s="58"/>
      <c r="CI427" s="58"/>
      <c r="CJ427" s="58"/>
      <c r="CK427" s="58"/>
      <c r="CL427" s="58"/>
      <c r="CM427" s="58"/>
      <c r="CN427" s="58"/>
      <c r="CO427" s="58"/>
      <c r="CP427" s="58"/>
      <c r="CQ427" s="58"/>
      <c r="CR427" s="58"/>
      <c r="CS427" s="58"/>
      <c r="CT427" s="58"/>
      <c r="CU427" s="58"/>
      <c r="CV427" s="58"/>
      <c r="CW427" s="58"/>
      <c r="CX427" s="58"/>
      <c r="CY427" s="58"/>
      <c r="CZ427" s="58"/>
      <c r="DA427" s="58"/>
      <c r="DB427" s="58"/>
      <c r="DC427" s="58"/>
      <c r="DD427" s="58"/>
      <c r="DE427" s="58"/>
      <c r="DF427" s="58"/>
      <c r="DG427" s="58"/>
      <c r="DH427" s="58"/>
      <c r="DI427" s="58"/>
      <c r="DJ427" s="58"/>
      <c r="DK427" s="58"/>
      <c r="DL427" s="58"/>
      <c r="DM427" s="58"/>
      <c r="DN427" s="58"/>
      <c r="DO427" s="58"/>
      <c r="DP427" s="58"/>
      <c r="DQ427" s="58"/>
      <c r="DR427" s="58"/>
      <c r="DS427" s="58"/>
      <c r="DT427" s="58"/>
      <c r="DU427" s="58"/>
      <c r="DV427" s="58"/>
      <c r="DW427" s="58"/>
      <c r="DX427" s="58"/>
      <c r="DY427" s="58"/>
      <c r="DZ427" s="58"/>
      <c r="EA427" s="58"/>
      <c r="EB427" s="58"/>
      <c r="EC427" s="58"/>
      <c r="ED427" s="58"/>
      <c r="EE427" s="58"/>
      <c r="EF427" s="58"/>
      <c r="EG427" s="58"/>
      <c r="EH427" s="58"/>
      <c r="EI427" s="58"/>
      <c r="EJ427" s="58"/>
      <c r="EK427" s="58"/>
      <c r="EL427" s="58"/>
      <c r="EM427" s="58"/>
      <c r="EN427" s="58"/>
      <c r="EO427" s="58"/>
      <c r="EP427" s="58"/>
      <c r="EQ427" s="58"/>
      <c r="ER427" s="58"/>
      <c r="ES427" s="58"/>
      <c r="ET427" s="58"/>
      <c r="EU427" s="58"/>
      <c r="EV427" s="58"/>
      <c r="EW427" s="58"/>
      <c r="EX427" s="58"/>
      <c r="EY427" s="58"/>
      <c r="EZ427" s="58"/>
      <c r="FA427" s="58"/>
      <c r="FB427" s="58"/>
      <c r="FC427" s="58"/>
      <c r="FD427" s="58"/>
      <c r="FE427" s="58"/>
      <c r="FF427" s="58"/>
      <c r="FG427" s="58"/>
      <c r="FH427" s="58"/>
      <c r="FI427" s="58"/>
      <c r="FJ427" s="58"/>
      <c r="FK427" s="58"/>
      <c r="FL427" s="58"/>
      <c r="FM427" s="58"/>
      <c r="FN427" s="58"/>
      <c r="FO427" s="58"/>
      <c r="FP427" s="58"/>
      <c r="FQ427" s="58"/>
      <c r="FR427" s="58"/>
      <c r="FS427" s="58"/>
      <c r="FT427" s="58"/>
      <c r="FU427" s="58"/>
      <c r="FV427" s="58"/>
      <c r="FW427" s="58"/>
      <c r="FX427" s="58"/>
      <c r="FY427" s="58"/>
      <c r="FZ427" s="58"/>
      <c r="GA427" s="58"/>
      <c r="GB427" s="58"/>
      <c r="GC427" s="58"/>
      <c r="GD427" s="58"/>
      <c r="GE427" s="58"/>
      <c r="GF427" s="58"/>
      <c r="GG427" s="58"/>
      <c r="GH427" s="58"/>
      <c r="GI427" s="58"/>
      <c r="GJ427" s="58"/>
      <c r="GK427" s="58"/>
      <c r="GL427" s="58"/>
      <c r="GM427" s="58"/>
      <c r="GN427" s="58"/>
      <c r="GO427" s="58"/>
      <c r="GP427" s="58"/>
      <c r="GQ427" s="58"/>
      <c r="GR427" s="58"/>
      <c r="GS427" s="58"/>
      <c r="GT427" s="58"/>
      <c r="GU427" s="58"/>
      <c r="GV427" s="58"/>
      <c r="GW427" s="58"/>
      <c r="GX427" s="58"/>
      <c r="GY427" s="58"/>
      <c r="GZ427" s="58"/>
      <c r="HA427" s="58"/>
      <c r="HB427" s="58"/>
      <c r="HC427" s="58"/>
      <c r="HD427" s="58"/>
      <c r="HE427" s="58"/>
      <c r="HF427" s="58"/>
      <c r="HG427" s="58"/>
      <c r="HH427" s="58"/>
      <c r="HI427" s="58"/>
      <c r="HJ427" s="58"/>
      <c r="HK427" s="58"/>
      <c r="HL427" s="58"/>
      <c r="HM427" s="58"/>
      <c r="HN427" s="58"/>
      <c r="HO427" s="58"/>
      <c r="HP427" s="58"/>
      <c r="HQ427" s="58"/>
      <c r="HR427" s="58"/>
      <c r="HS427" s="58"/>
      <c r="HT427" s="58"/>
      <c r="HU427" s="58"/>
      <c r="HV427" s="58"/>
      <c r="HW427" s="58"/>
      <c r="HX427" s="58"/>
      <c r="HY427" s="58"/>
      <c r="HZ427" s="58"/>
      <c r="IA427" s="58"/>
      <c r="IB427" s="58"/>
      <c r="IC427" s="58"/>
      <c r="ID427" s="58"/>
      <c r="IE427" s="58"/>
      <c r="IF427" s="58"/>
      <c r="IG427" s="58"/>
      <c r="IH427" s="58"/>
      <c r="II427" s="58"/>
      <c r="IJ427" s="58"/>
      <c r="IK427" s="58"/>
      <c r="IL427" s="58"/>
      <c r="IM427" s="58"/>
      <c r="IN427" s="58"/>
      <c r="IO427" s="58"/>
      <c r="IP427" s="58"/>
      <c r="IQ427" s="58"/>
      <c r="IR427" s="58"/>
      <c r="IS427" s="58"/>
      <c r="IT427" s="58"/>
      <c r="IU427" s="58"/>
      <c r="IV427" s="58"/>
      <c r="IW427" s="58"/>
    </row>
    <row r="428" customFormat="false" ht="12.75" hidden="false" customHeight="false" outlineLevel="0" collapsed="false">
      <c r="A428" s="5" t="n">
        <v>59</v>
      </c>
      <c r="B428" s="5" t="s">
        <v>323</v>
      </c>
      <c r="C428" s="153" t="n">
        <v>36767</v>
      </c>
      <c r="D428" s="58" t="s">
        <v>179</v>
      </c>
      <c r="E428" s="58" t="s">
        <v>89</v>
      </c>
      <c r="F428" s="58" t="s">
        <v>235</v>
      </c>
      <c r="G428" s="58" t="s">
        <v>239</v>
      </c>
      <c r="H428" s="154" t="n">
        <v>0</v>
      </c>
      <c r="I428" s="6" t="n">
        <f aca="false">+H428*K428</f>
        <v>0</v>
      </c>
      <c r="J428" s="155" t="n">
        <v>36831</v>
      </c>
      <c r="K428" s="156" t="n">
        <v>1300</v>
      </c>
      <c r="L428" s="157" t="s">
        <v>8</v>
      </c>
      <c r="M428" s="154" t="s">
        <v>322</v>
      </c>
      <c r="N428" s="158"/>
      <c r="O428" s="159" t="n">
        <f aca="false">0.01*K428</f>
        <v>13</v>
      </c>
      <c r="P428" s="58"/>
      <c r="Q428" s="160" t="n">
        <v>4.31</v>
      </c>
      <c r="R428" s="161"/>
      <c r="S428" s="58"/>
      <c r="T428" s="159" t="n">
        <v>0</v>
      </c>
      <c r="U428" s="162"/>
      <c r="V428" s="162"/>
      <c r="W428" s="58"/>
      <c r="X428" s="58"/>
      <c r="Y428" s="58"/>
      <c r="Z428" s="58"/>
      <c r="AA428" s="5"/>
      <c r="AB428" s="12" t="s">
        <v>95</v>
      </c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8"/>
      <c r="BL428" s="58"/>
      <c r="BM428" s="58"/>
      <c r="BN428" s="58"/>
      <c r="BO428" s="58"/>
      <c r="BP428" s="58"/>
      <c r="BQ428" s="58"/>
      <c r="BR428" s="58"/>
      <c r="BS428" s="58"/>
      <c r="BT428" s="58"/>
      <c r="BU428" s="58"/>
      <c r="BV428" s="58"/>
      <c r="BW428" s="58"/>
      <c r="BX428" s="58"/>
      <c r="BY428" s="58"/>
      <c r="BZ428" s="58"/>
      <c r="CA428" s="58"/>
      <c r="CB428" s="58"/>
      <c r="CC428" s="58"/>
      <c r="CD428" s="58"/>
      <c r="CE428" s="58"/>
      <c r="CF428" s="58"/>
      <c r="CG428" s="58"/>
      <c r="CH428" s="58"/>
      <c r="CI428" s="58"/>
      <c r="CJ428" s="58"/>
      <c r="CK428" s="58"/>
      <c r="CL428" s="58"/>
      <c r="CM428" s="58"/>
      <c r="CN428" s="58"/>
      <c r="CO428" s="58"/>
      <c r="CP428" s="58"/>
      <c r="CQ428" s="58"/>
      <c r="CR428" s="58"/>
      <c r="CS428" s="58"/>
      <c r="CT428" s="58"/>
      <c r="CU428" s="58"/>
      <c r="CV428" s="58"/>
      <c r="CW428" s="58"/>
      <c r="CX428" s="58"/>
      <c r="CY428" s="58"/>
      <c r="CZ428" s="58"/>
      <c r="DA428" s="58"/>
      <c r="DB428" s="58"/>
      <c r="DC428" s="58"/>
      <c r="DD428" s="58"/>
      <c r="DE428" s="58"/>
      <c r="DF428" s="58"/>
      <c r="DG428" s="58"/>
      <c r="DH428" s="58"/>
      <c r="DI428" s="58"/>
      <c r="DJ428" s="58"/>
      <c r="DK428" s="58"/>
      <c r="DL428" s="58"/>
      <c r="DM428" s="58"/>
      <c r="DN428" s="58"/>
      <c r="DO428" s="58"/>
      <c r="DP428" s="58"/>
      <c r="DQ428" s="58"/>
      <c r="DR428" s="58"/>
      <c r="DS428" s="58"/>
      <c r="DT428" s="58"/>
      <c r="DU428" s="58"/>
      <c r="DV428" s="58"/>
      <c r="DW428" s="58"/>
      <c r="DX428" s="58"/>
      <c r="DY428" s="58"/>
      <c r="DZ428" s="58"/>
      <c r="EA428" s="58"/>
      <c r="EB428" s="58"/>
      <c r="EC428" s="58"/>
      <c r="ED428" s="58"/>
      <c r="EE428" s="58"/>
      <c r="EF428" s="58"/>
      <c r="EG428" s="58"/>
      <c r="EH428" s="58"/>
      <c r="EI428" s="58"/>
      <c r="EJ428" s="58"/>
      <c r="EK428" s="58"/>
      <c r="EL428" s="58"/>
      <c r="EM428" s="58"/>
      <c r="EN428" s="58"/>
      <c r="EO428" s="58"/>
      <c r="EP428" s="58"/>
      <c r="EQ428" s="58"/>
      <c r="ER428" s="58"/>
      <c r="ES428" s="58"/>
      <c r="ET428" s="58"/>
      <c r="EU428" s="58"/>
      <c r="EV428" s="58"/>
      <c r="EW428" s="58"/>
      <c r="EX428" s="58"/>
      <c r="EY428" s="58"/>
      <c r="EZ428" s="58"/>
      <c r="FA428" s="58"/>
      <c r="FB428" s="58"/>
      <c r="FC428" s="58"/>
      <c r="FD428" s="58"/>
      <c r="FE428" s="58"/>
      <c r="FF428" s="58"/>
      <c r="FG428" s="58"/>
      <c r="FH428" s="58"/>
      <c r="FI428" s="58"/>
      <c r="FJ428" s="58"/>
      <c r="FK428" s="58"/>
      <c r="FL428" s="58"/>
      <c r="FM428" s="58"/>
      <c r="FN428" s="58"/>
      <c r="FO428" s="58"/>
      <c r="FP428" s="58"/>
      <c r="FQ428" s="58"/>
      <c r="FR428" s="58"/>
      <c r="FS428" s="58"/>
      <c r="FT428" s="58"/>
      <c r="FU428" s="58"/>
      <c r="FV428" s="58"/>
      <c r="FW428" s="58"/>
      <c r="FX428" s="58"/>
      <c r="FY428" s="58"/>
      <c r="FZ428" s="58"/>
      <c r="GA428" s="58"/>
      <c r="GB428" s="58"/>
      <c r="GC428" s="58"/>
      <c r="GD428" s="58"/>
      <c r="GE428" s="58"/>
      <c r="GF428" s="58"/>
      <c r="GG428" s="58"/>
      <c r="GH428" s="58"/>
      <c r="GI428" s="58"/>
      <c r="GJ428" s="58"/>
      <c r="GK428" s="58"/>
      <c r="GL428" s="58"/>
      <c r="GM428" s="58"/>
      <c r="GN428" s="58"/>
      <c r="GO428" s="58"/>
      <c r="GP428" s="58"/>
      <c r="GQ428" s="58"/>
      <c r="GR428" s="58"/>
      <c r="GS428" s="58"/>
      <c r="GT428" s="58"/>
      <c r="GU428" s="58"/>
      <c r="GV428" s="58"/>
      <c r="GW428" s="58"/>
      <c r="GX428" s="58"/>
      <c r="GY428" s="58"/>
      <c r="GZ428" s="58"/>
      <c r="HA428" s="58"/>
      <c r="HB428" s="58"/>
      <c r="HC428" s="58"/>
      <c r="HD428" s="58"/>
      <c r="HE428" s="58"/>
      <c r="HF428" s="58"/>
      <c r="HG428" s="58"/>
      <c r="HH428" s="58"/>
      <c r="HI428" s="58"/>
      <c r="HJ428" s="58"/>
      <c r="HK428" s="58"/>
      <c r="HL428" s="58"/>
      <c r="HM428" s="58"/>
      <c r="HN428" s="58"/>
      <c r="HO428" s="58"/>
      <c r="HP428" s="58"/>
      <c r="HQ428" s="58"/>
      <c r="HR428" s="58"/>
      <c r="HS428" s="58"/>
      <c r="HT428" s="58"/>
      <c r="HU428" s="58"/>
      <c r="HV428" s="58"/>
      <c r="HW428" s="58"/>
      <c r="HX428" s="58"/>
      <c r="HY428" s="58"/>
      <c r="HZ428" s="58"/>
      <c r="IA428" s="58"/>
      <c r="IB428" s="58"/>
      <c r="IC428" s="58"/>
      <c r="ID428" s="58"/>
      <c r="IE428" s="58"/>
      <c r="IF428" s="58"/>
      <c r="IG428" s="58"/>
      <c r="IH428" s="58"/>
      <c r="II428" s="58"/>
      <c r="IJ428" s="58"/>
      <c r="IK428" s="58"/>
      <c r="IL428" s="58"/>
      <c r="IM428" s="58"/>
      <c r="IN428" s="58"/>
      <c r="IO428" s="58"/>
      <c r="IP428" s="58"/>
      <c r="IQ428" s="58"/>
      <c r="IR428" s="58"/>
      <c r="IS428" s="58"/>
      <c r="IT428" s="58"/>
      <c r="IU428" s="58"/>
      <c r="IV428" s="58"/>
      <c r="IW428" s="58"/>
    </row>
    <row r="429" customFormat="false" ht="12.75" hidden="false" customHeight="false" outlineLevel="0" collapsed="false">
      <c r="A429" s="5" t="n">
        <v>59</v>
      </c>
      <c r="B429" s="5" t="s">
        <v>323</v>
      </c>
      <c r="C429" s="153" t="n">
        <v>36767</v>
      </c>
      <c r="D429" s="58" t="s">
        <v>179</v>
      </c>
      <c r="E429" s="58" t="s">
        <v>89</v>
      </c>
      <c r="F429" s="58" t="s">
        <v>235</v>
      </c>
      <c r="G429" s="58" t="s">
        <v>239</v>
      </c>
      <c r="H429" s="154" t="n">
        <v>0</v>
      </c>
      <c r="I429" s="6" t="n">
        <f aca="false">+H429*K429</f>
        <v>0</v>
      </c>
      <c r="J429" s="155" t="n">
        <v>36861</v>
      </c>
      <c r="K429" s="156" t="n">
        <v>1300</v>
      </c>
      <c r="L429" s="157" t="s">
        <v>8</v>
      </c>
      <c r="M429" s="154" t="s">
        <v>322</v>
      </c>
      <c r="N429" s="158"/>
      <c r="O429" s="159" t="n">
        <f aca="false">0.01*K429</f>
        <v>13</v>
      </c>
      <c r="P429" s="58"/>
      <c r="Q429" s="160" t="n">
        <v>5.775</v>
      </c>
      <c r="R429" s="161"/>
      <c r="S429" s="58"/>
      <c r="T429" s="159" t="n">
        <v>0</v>
      </c>
      <c r="U429" s="162"/>
      <c r="V429" s="162"/>
      <c r="W429" s="58"/>
      <c r="X429" s="58"/>
      <c r="Y429" s="58"/>
      <c r="Z429" s="58"/>
      <c r="AA429" s="5"/>
      <c r="AB429" s="12" t="s">
        <v>95</v>
      </c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8"/>
      <c r="BL429" s="58"/>
      <c r="BM429" s="58"/>
      <c r="BN429" s="58"/>
      <c r="BO429" s="58"/>
      <c r="BP429" s="58"/>
      <c r="BQ429" s="58"/>
      <c r="BR429" s="58"/>
      <c r="BS429" s="58"/>
      <c r="BT429" s="58"/>
      <c r="BU429" s="58"/>
      <c r="BV429" s="58"/>
      <c r="BW429" s="58"/>
      <c r="BX429" s="58"/>
      <c r="BY429" s="58"/>
      <c r="BZ429" s="58"/>
      <c r="CA429" s="58"/>
      <c r="CB429" s="58"/>
      <c r="CC429" s="58"/>
      <c r="CD429" s="58"/>
      <c r="CE429" s="58"/>
      <c r="CF429" s="58"/>
      <c r="CG429" s="58"/>
      <c r="CH429" s="58"/>
      <c r="CI429" s="58"/>
      <c r="CJ429" s="58"/>
      <c r="CK429" s="58"/>
      <c r="CL429" s="58"/>
      <c r="CM429" s="58"/>
      <c r="CN429" s="58"/>
      <c r="CO429" s="58"/>
      <c r="CP429" s="58"/>
      <c r="CQ429" s="58"/>
      <c r="CR429" s="58"/>
      <c r="CS429" s="58"/>
      <c r="CT429" s="58"/>
      <c r="CU429" s="58"/>
      <c r="CV429" s="58"/>
      <c r="CW429" s="58"/>
      <c r="CX429" s="58"/>
      <c r="CY429" s="58"/>
      <c r="CZ429" s="58"/>
      <c r="DA429" s="58"/>
      <c r="DB429" s="58"/>
      <c r="DC429" s="58"/>
      <c r="DD429" s="58"/>
      <c r="DE429" s="58"/>
      <c r="DF429" s="58"/>
      <c r="DG429" s="58"/>
      <c r="DH429" s="58"/>
      <c r="DI429" s="58"/>
      <c r="DJ429" s="58"/>
      <c r="DK429" s="58"/>
      <c r="DL429" s="58"/>
      <c r="DM429" s="58"/>
      <c r="DN429" s="58"/>
      <c r="DO429" s="58"/>
      <c r="DP429" s="58"/>
      <c r="DQ429" s="58"/>
      <c r="DR429" s="58"/>
      <c r="DS429" s="58"/>
      <c r="DT429" s="58"/>
      <c r="DU429" s="58"/>
      <c r="DV429" s="58"/>
      <c r="DW429" s="58"/>
      <c r="DX429" s="58"/>
      <c r="DY429" s="58"/>
      <c r="DZ429" s="58"/>
      <c r="EA429" s="58"/>
      <c r="EB429" s="58"/>
      <c r="EC429" s="58"/>
      <c r="ED429" s="58"/>
      <c r="EE429" s="58"/>
      <c r="EF429" s="58"/>
      <c r="EG429" s="58"/>
      <c r="EH429" s="58"/>
      <c r="EI429" s="58"/>
      <c r="EJ429" s="58"/>
      <c r="EK429" s="58"/>
      <c r="EL429" s="58"/>
      <c r="EM429" s="58"/>
      <c r="EN429" s="58"/>
      <c r="EO429" s="58"/>
      <c r="EP429" s="58"/>
      <c r="EQ429" s="58"/>
      <c r="ER429" s="58"/>
      <c r="ES429" s="58"/>
      <c r="ET429" s="58"/>
      <c r="EU429" s="58"/>
      <c r="EV429" s="58"/>
      <c r="EW429" s="58"/>
      <c r="EX429" s="58"/>
      <c r="EY429" s="58"/>
      <c r="EZ429" s="58"/>
      <c r="FA429" s="58"/>
      <c r="FB429" s="58"/>
      <c r="FC429" s="58"/>
      <c r="FD429" s="58"/>
      <c r="FE429" s="58"/>
      <c r="FF429" s="58"/>
      <c r="FG429" s="58"/>
      <c r="FH429" s="58"/>
      <c r="FI429" s="58"/>
      <c r="FJ429" s="58"/>
      <c r="FK429" s="58"/>
      <c r="FL429" s="58"/>
      <c r="FM429" s="58"/>
      <c r="FN429" s="58"/>
      <c r="FO429" s="58"/>
      <c r="FP429" s="58"/>
      <c r="FQ429" s="58"/>
      <c r="FR429" s="58"/>
      <c r="FS429" s="58"/>
      <c r="FT429" s="58"/>
      <c r="FU429" s="58"/>
      <c r="FV429" s="58"/>
      <c r="FW429" s="58"/>
      <c r="FX429" s="58"/>
      <c r="FY429" s="58"/>
      <c r="FZ429" s="58"/>
      <c r="GA429" s="58"/>
      <c r="GB429" s="58"/>
      <c r="GC429" s="58"/>
      <c r="GD429" s="58"/>
      <c r="GE429" s="58"/>
      <c r="GF429" s="58"/>
      <c r="GG429" s="58"/>
      <c r="GH429" s="58"/>
      <c r="GI429" s="58"/>
      <c r="GJ429" s="58"/>
      <c r="GK429" s="58"/>
      <c r="GL429" s="58"/>
      <c r="GM429" s="58"/>
      <c r="GN429" s="58"/>
      <c r="GO429" s="58"/>
      <c r="GP429" s="58"/>
      <c r="GQ429" s="58"/>
      <c r="GR429" s="58"/>
      <c r="GS429" s="58"/>
      <c r="GT429" s="58"/>
      <c r="GU429" s="58"/>
      <c r="GV429" s="58"/>
      <c r="GW429" s="58"/>
      <c r="GX429" s="58"/>
      <c r="GY429" s="58"/>
      <c r="GZ429" s="58"/>
      <c r="HA429" s="58"/>
      <c r="HB429" s="58"/>
      <c r="HC429" s="58"/>
      <c r="HD429" s="58"/>
      <c r="HE429" s="58"/>
      <c r="HF429" s="58"/>
      <c r="HG429" s="58"/>
      <c r="HH429" s="58"/>
      <c r="HI429" s="58"/>
      <c r="HJ429" s="58"/>
      <c r="HK429" s="58"/>
      <c r="HL429" s="58"/>
      <c r="HM429" s="58"/>
      <c r="HN429" s="58"/>
      <c r="HO429" s="58"/>
      <c r="HP429" s="58"/>
      <c r="HQ429" s="58"/>
      <c r="HR429" s="58"/>
      <c r="HS429" s="58"/>
      <c r="HT429" s="58"/>
      <c r="HU429" s="58"/>
      <c r="HV429" s="58"/>
      <c r="HW429" s="58"/>
      <c r="HX429" s="58"/>
      <c r="HY429" s="58"/>
      <c r="HZ429" s="58"/>
      <c r="IA429" s="58"/>
      <c r="IB429" s="58"/>
      <c r="IC429" s="58"/>
      <c r="ID429" s="58"/>
      <c r="IE429" s="58"/>
      <c r="IF429" s="58"/>
      <c r="IG429" s="58"/>
      <c r="IH429" s="58"/>
      <c r="II429" s="58"/>
      <c r="IJ429" s="58"/>
      <c r="IK429" s="58"/>
      <c r="IL429" s="58"/>
      <c r="IM429" s="58"/>
      <c r="IN429" s="58"/>
      <c r="IO429" s="58"/>
      <c r="IP429" s="58"/>
      <c r="IQ429" s="58"/>
      <c r="IR429" s="58"/>
      <c r="IS429" s="58"/>
      <c r="IT429" s="58"/>
      <c r="IU429" s="58"/>
      <c r="IV429" s="58"/>
      <c r="IW429" s="58"/>
    </row>
    <row r="430" customFormat="false" ht="12.75" hidden="false" customHeight="false" outlineLevel="0" collapsed="false">
      <c r="A430" s="5" t="n">
        <v>59</v>
      </c>
      <c r="B430" s="5" t="s">
        <v>323</v>
      </c>
      <c r="C430" s="153" t="n">
        <v>36767</v>
      </c>
      <c r="D430" s="58" t="s">
        <v>179</v>
      </c>
      <c r="E430" s="58" t="s">
        <v>89</v>
      </c>
      <c r="F430" s="58" t="s">
        <v>235</v>
      </c>
      <c r="G430" s="58" t="s">
        <v>239</v>
      </c>
      <c r="H430" s="154" t="n">
        <v>0</v>
      </c>
      <c r="I430" s="6" t="n">
        <f aca="false">+H430*K430</f>
        <v>0</v>
      </c>
      <c r="J430" s="155" t="n">
        <v>36892</v>
      </c>
      <c r="K430" s="156" t="n">
        <v>1300</v>
      </c>
      <c r="L430" s="157" t="s">
        <v>8</v>
      </c>
      <c r="M430" s="154" t="s">
        <v>322</v>
      </c>
      <c r="N430" s="158"/>
      <c r="O430" s="159" t="n">
        <f aca="false">0.01*K430</f>
        <v>13</v>
      </c>
      <c r="P430" s="58"/>
      <c r="Q430" s="135" t="n">
        <v>9.565</v>
      </c>
      <c r="R430" s="161"/>
      <c r="S430" s="58"/>
      <c r="T430" s="134" t="n">
        <f aca="false">(9.1-Q430)*K430</f>
        <v>-604.5</v>
      </c>
      <c r="U430" s="162"/>
      <c r="V430" s="162"/>
      <c r="W430" s="58"/>
      <c r="X430" s="58"/>
      <c r="Y430" s="58"/>
      <c r="Z430" s="58"/>
      <c r="AA430" s="5"/>
      <c r="AB430" s="12" t="s">
        <v>95</v>
      </c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8"/>
      <c r="BL430" s="58"/>
      <c r="BM430" s="58"/>
      <c r="BN430" s="58"/>
      <c r="BO430" s="58"/>
      <c r="BP430" s="58"/>
      <c r="BQ430" s="58"/>
      <c r="BR430" s="58"/>
      <c r="BS430" s="58"/>
      <c r="BT430" s="58"/>
      <c r="BU430" s="58"/>
      <c r="BV430" s="58"/>
      <c r="BW430" s="58"/>
      <c r="BX430" s="58"/>
      <c r="BY430" s="58"/>
      <c r="BZ430" s="58"/>
      <c r="CA430" s="58"/>
      <c r="CB430" s="58"/>
      <c r="CC430" s="58"/>
      <c r="CD430" s="58"/>
      <c r="CE430" s="58"/>
      <c r="CF430" s="58"/>
      <c r="CG430" s="58"/>
      <c r="CH430" s="58"/>
      <c r="CI430" s="58"/>
      <c r="CJ430" s="58"/>
      <c r="CK430" s="58"/>
      <c r="CL430" s="58"/>
      <c r="CM430" s="58"/>
      <c r="CN430" s="58"/>
      <c r="CO430" s="58"/>
      <c r="CP430" s="58"/>
      <c r="CQ430" s="58"/>
      <c r="CR430" s="58"/>
      <c r="CS430" s="58"/>
      <c r="CT430" s="58"/>
      <c r="CU430" s="58"/>
      <c r="CV430" s="58"/>
      <c r="CW430" s="58"/>
      <c r="CX430" s="58"/>
      <c r="CY430" s="58"/>
      <c r="CZ430" s="58"/>
      <c r="DA430" s="58"/>
      <c r="DB430" s="58"/>
      <c r="DC430" s="58"/>
      <c r="DD430" s="58"/>
      <c r="DE430" s="58"/>
      <c r="DF430" s="58"/>
      <c r="DG430" s="58"/>
      <c r="DH430" s="58"/>
      <c r="DI430" s="58"/>
      <c r="DJ430" s="58"/>
      <c r="DK430" s="58"/>
      <c r="DL430" s="58"/>
      <c r="DM430" s="58"/>
      <c r="DN430" s="58"/>
      <c r="DO430" s="58"/>
      <c r="DP430" s="58"/>
      <c r="DQ430" s="58"/>
      <c r="DR430" s="58"/>
      <c r="DS430" s="58"/>
      <c r="DT430" s="58"/>
      <c r="DU430" s="58"/>
      <c r="DV430" s="58"/>
      <c r="DW430" s="58"/>
      <c r="DX430" s="58"/>
      <c r="DY430" s="58"/>
      <c r="DZ430" s="58"/>
      <c r="EA430" s="58"/>
      <c r="EB430" s="58"/>
      <c r="EC430" s="58"/>
      <c r="ED430" s="58"/>
      <c r="EE430" s="58"/>
      <c r="EF430" s="58"/>
      <c r="EG430" s="58"/>
      <c r="EH430" s="58"/>
      <c r="EI430" s="58"/>
      <c r="EJ430" s="58"/>
      <c r="EK430" s="58"/>
      <c r="EL430" s="58"/>
      <c r="EM430" s="58"/>
      <c r="EN430" s="58"/>
      <c r="EO430" s="58"/>
      <c r="EP430" s="58"/>
      <c r="EQ430" s="58"/>
      <c r="ER430" s="58"/>
      <c r="ES430" s="58"/>
      <c r="ET430" s="58"/>
      <c r="EU430" s="58"/>
      <c r="EV430" s="58"/>
      <c r="EW430" s="58"/>
      <c r="EX430" s="58"/>
      <c r="EY430" s="58"/>
      <c r="EZ430" s="58"/>
      <c r="FA430" s="58"/>
      <c r="FB430" s="58"/>
      <c r="FC430" s="58"/>
      <c r="FD430" s="58"/>
      <c r="FE430" s="58"/>
      <c r="FF430" s="58"/>
      <c r="FG430" s="58"/>
      <c r="FH430" s="58"/>
      <c r="FI430" s="58"/>
      <c r="FJ430" s="58"/>
      <c r="FK430" s="58"/>
      <c r="FL430" s="58"/>
      <c r="FM430" s="58"/>
      <c r="FN430" s="58"/>
      <c r="FO430" s="58"/>
      <c r="FP430" s="58"/>
      <c r="FQ430" s="58"/>
      <c r="FR430" s="58"/>
      <c r="FS430" s="58"/>
      <c r="FT430" s="58"/>
      <c r="FU430" s="58"/>
      <c r="FV430" s="58"/>
      <c r="FW430" s="58"/>
      <c r="FX430" s="58"/>
      <c r="FY430" s="58"/>
      <c r="FZ430" s="58"/>
      <c r="GA430" s="58"/>
      <c r="GB430" s="58"/>
      <c r="GC430" s="58"/>
      <c r="GD430" s="58"/>
      <c r="GE430" s="58"/>
      <c r="GF430" s="58"/>
      <c r="GG430" s="58"/>
      <c r="GH430" s="58"/>
      <c r="GI430" s="58"/>
      <c r="GJ430" s="58"/>
      <c r="GK430" s="58"/>
      <c r="GL430" s="58"/>
      <c r="GM430" s="58"/>
      <c r="GN430" s="58"/>
      <c r="GO430" s="58"/>
      <c r="GP430" s="58"/>
      <c r="GQ430" s="58"/>
      <c r="GR430" s="58"/>
      <c r="GS430" s="58"/>
      <c r="GT430" s="58"/>
      <c r="GU430" s="58"/>
      <c r="GV430" s="58"/>
      <c r="GW430" s="58"/>
      <c r="GX430" s="58"/>
      <c r="GY430" s="58"/>
      <c r="GZ430" s="58"/>
      <c r="HA430" s="58"/>
      <c r="HB430" s="58"/>
      <c r="HC430" s="58"/>
      <c r="HD430" s="58"/>
      <c r="HE430" s="58"/>
      <c r="HF430" s="58"/>
      <c r="HG430" s="58"/>
      <c r="HH430" s="58"/>
      <c r="HI430" s="58"/>
      <c r="HJ430" s="58"/>
      <c r="HK430" s="58"/>
      <c r="HL430" s="58"/>
      <c r="HM430" s="58"/>
      <c r="HN430" s="58"/>
      <c r="HO430" s="58"/>
      <c r="HP430" s="58"/>
      <c r="HQ430" s="58"/>
      <c r="HR430" s="58"/>
      <c r="HS430" s="58"/>
      <c r="HT430" s="58"/>
      <c r="HU430" s="58"/>
      <c r="HV430" s="58"/>
      <c r="HW430" s="58"/>
      <c r="HX430" s="58"/>
      <c r="HY430" s="58"/>
      <c r="HZ430" s="58"/>
      <c r="IA430" s="58"/>
      <c r="IB430" s="58"/>
      <c r="IC430" s="58"/>
      <c r="ID430" s="58"/>
      <c r="IE430" s="58"/>
      <c r="IF430" s="58"/>
      <c r="IG430" s="58"/>
      <c r="IH430" s="58"/>
      <c r="II430" s="58"/>
      <c r="IJ430" s="58"/>
      <c r="IK430" s="58"/>
      <c r="IL430" s="58"/>
      <c r="IM430" s="58"/>
      <c r="IN430" s="58"/>
      <c r="IO430" s="58"/>
      <c r="IP430" s="58"/>
      <c r="IQ430" s="58"/>
      <c r="IR430" s="58"/>
      <c r="IS430" s="58"/>
      <c r="IT430" s="58"/>
      <c r="IU430" s="58"/>
      <c r="IV430" s="58"/>
      <c r="IW430" s="58"/>
    </row>
    <row r="431" customFormat="false" ht="12.75" hidden="false" customHeight="false" outlineLevel="0" collapsed="false">
      <c r="A431" s="5" t="n">
        <v>59</v>
      </c>
      <c r="B431" s="5" t="s">
        <v>323</v>
      </c>
      <c r="C431" s="153" t="n">
        <v>36767</v>
      </c>
      <c r="D431" s="58" t="s">
        <v>179</v>
      </c>
      <c r="E431" s="58" t="s">
        <v>89</v>
      </c>
      <c r="F431" s="58" t="s">
        <v>235</v>
      </c>
      <c r="G431" s="58" t="s">
        <v>239</v>
      </c>
      <c r="H431" s="154" t="n">
        <v>0</v>
      </c>
      <c r="I431" s="6" t="n">
        <f aca="false">+H431*K431</f>
        <v>0</v>
      </c>
      <c r="J431" s="155" t="n">
        <v>36923</v>
      </c>
      <c r="K431" s="156" t="n">
        <v>1300</v>
      </c>
      <c r="L431" s="157" t="s">
        <v>8</v>
      </c>
      <c r="M431" s="154" t="s">
        <v>322</v>
      </c>
      <c r="N431" s="158"/>
      <c r="O431" s="159" t="n">
        <f aca="false">0.01*K431</f>
        <v>13</v>
      </c>
      <c r="P431" s="58"/>
      <c r="Q431" s="160"/>
      <c r="R431" s="161"/>
      <c r="S431" s="58"/>
      <c r="T431" s="159"/>
      <c r="U431" s="162"/>
      <c r="V431" s="162"/>
      <c r="W431" s="58"/>
      <c r="X431" s="58"/>
      <c r="Y431" s="58"/>
      <c r="Z431" s="58"/>
      <c r="AA431" s="5"/>
      <c r="AB431" s="12" t="s">
        <v>95</v>
      </c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8"/>
      <c r="BL431" s="58"/>
      <c r="BM431" s="58"/>
      <c r="BN431" s="58"/>
      <c r="BO431" s="58"/>
      <c r="BP431" s="58"/>
      <c r="BQ431" s="58"/>
      <c r="BR431" s="58"/>
      <c r="BS431" s="58"/>
      <c r="BT431" s="58"/>
      <c r="BU431" s="58"/>
      <c r="BV431" s="58"/>
      <c r="BW431" s="58"/>
      <c r="BX431" s="58"/>
      <c r="BY431" s="58"/>
      <c r="BZ431" s="58"/>
      <c r="CA431" s="58"/>
      <c r="CB431" s="58"/>
      <c r="CC431" s="58"/>
      <c r="CD431" s="58"/>
      <c r="CE431" s="58"/>
      <c r="CF431" s="58"/>
      <c r="CG431" s="58"/>
      <c r="CH431" s="58"/>
      <c r="CI431" s="58"/>
      <c r="CJ431" s="58"/>
      <c r="CK431" s="58"/>
      <c r="CL431" s="58"/>
      <c r="CM431" s="58"/>
      <c r="CN431" s="58"/>
      <c r="CO431" s="58"/>
      <c r="CP431" s="58"/>
      <c r="CQ431" s="58"/>
      <c r="CR431" s="58"/>
      <c r="CS431" s="58"/>
      <c r="CT431" s="58"/>
      <c r="CU431" s="58"/>
      <c r="CV431" s="58"/>
      <c r="CW431" s="58"/>
      <c r="CX431" s="58"/>
      <c r="CY431" s="58"/>
      <c r="CZ431" s="58"/>
      <c r="DA431" s="58"/>
      <c r="DB431" s="58"/>
      <c r="DC431" s="58"/>
      <c r="DD431" s="58"/>
      <c r="DE431" s="58"/>
      <c r="DF431" s="58"/>
      <c r="DG431" s="58"/>
      <c r="DH431" s="58"/>
      <c r="DI431" s="58"/>
      <c r="DJ431" s="58"/>
      <c r="DK431" s="58"/>
      <c r="DL431" s="58"/>
      <c r="DM431" s="58"/>
      <c r="DN431" s="58"/>
      <c r="DO431" s="58"/>
      <c r="DP431" s="58"/>
      <c r="DQ431" s="58"/>
      <c r="DR431" s="58"/>
      <c r="DS431" s="58"/>
      <c r="DT431" s="58"/>
      <c r="DU431" s="58"/>
      <c r="DV431" s="58"/>
      <c r="DW431" s="58"/>
      <c r="DX431" s="58"/>
      <c r="DY431" s="58"/>
      <c r="DZ431" s="58"/>
      <c r="EA431" s="58"/>
      <c r="EB431" s="58"/>
      <c r="EC431" s="58"/>
      <c r="ED431" s="58"/>
      <c r="EE431" s="58"/>
      <c r="EF431" s="58"/>
      <c r="EG431" s="58"/>
      <c r="EH431" s="58"/>
      <c r="EI431" s="58"/>
      <c r="EJ431" s="58"/>
      <c r="EK431" s="58"/>
      <c r="EL431" s="58"/>
      <c r="EM431" s="58"/>
      <c r="EN431" s="58"/>
      <c r="EO431" s="58"/>
      <c r="EP431" s="58"/>
      <c r="EQ431" s="58"/>
      <c r="ER431" s="58"/>
      <c r="ES431" s="58"/>
      <c r="ET431" s="58"/>
      <c r="EU431" s="58"/>
      <c r="EV431" s="58"/>
      <c r="EW431" s="58"/>
      <c r="EX431" s="58"/>
      <c r="EY431" s="58"/>
      <c r="EZ431" s="58"/>
      <c r="FA431" s="58"/>
      <c r="FB431" s="58"/>
      <c r="FC431" s="58"/>
      <c r="FD431" s="58"/>
      <c r="FE431" s="58"/>
      <c r="FF431" s="58"/>
      <c r="FG431" s="58"/>
      <c r="FH431" s="58"/>
      <c r="FI431" s="58"/>
      <c r="FJ431" s="58"/>
      <c r="FK431" s="58"/>
      <c r="FL431" s="58"/>
      <c r="FM431" s="58"/>
      <c r="FN431" s="58"/>
      <c r="FO431" s="58"/>
      <c r="FP431" s="58"/>
      <c r="FQ431" s="58"/>
      <c r="FR431" s="58"/>
      <c r="FS431" s="58"/>
      <c r="FT431" s="58"/>
      <c r="FU431" s="58"/>
      <c r="FV431" s="58"/>
      <c r="FW431" s="58"/>
      <c r="FX431" s="58"/>
      <c r="FY431" s="58"/>
      <c r="FZ431" s="58"/>
      <c r="GA431" s="58"/>
      <c r="GB431" s="58"/>
      <c r="GC431" s="58"/>
      <c r="GD431" s="58"/>
      <c r="GE431" s="58"/>
      <c r="GF431" s="58"/>
      <c r="GG431" s="58"/>
      <c r="GH431" s="58"/>
      <c r="GI431" s="58"/>
      <c r="GJ431" s="58"/>
      <c r="GK431" s="58"/>
      <c r="GL431" s="58"/>
      <c r="GM431" s="58"/>
      <c r="GN431" s="58"/>
      <c r="GO431" s="58"/>
      <c r="GP431" s="58"/>
      <c r="GQ431" s="58"/>
      <c r="GR431" s="58"/>
      <c r="GS431" s="58"/>
      <c r="GT431" s="58"/>
      <c r="GU431" s="58"/>
      <c r="GV431" s="58"/>
      <c r="GW431" s="58"/>
      <c r="GX431" s="58"/>
      <c r="GY431" s="58"/>
      <c r="GZ431" s="58"/>
      <c r="HA431" s="58"/>
      <c r="HB431" s="58"/>
      <c r="HC431" s="58"/>
      <c r="HD431" s="58"/>
      <c r="HE431" s="58"/>
      <c r="HF431" s="58"/>
      <c r="HG431" s="58"/>
      <c r="HH431" s="58"/>
      <c r="HI431" s="58"/>
      <c r="HJ431" s="58"/>
      <c r="HK431" s="58"/>
      <c r="HL431" s="58"/>
      <c r="HM431" s="58"/>
      <c r="HN431" s="58"/>
      <c r="HO431" s="58"/>
      <c r="HP431" s="58"/>
      <c r="HQ431" s="58"/>
      <c r="HR431" s="58"/>
      <c r="HS431" s="58"/>
      <c r="HT431" s="58"/>
      <c r="HU431" s="58"/>
      <c r="HV431" s="58"/>
      <c r="HW431" s="58"/>
      <c r="HX431" s="58"/>
      <c r="HY431" s="58"/>
      <c r="HZ431" s="58"/>
      <c r="IA431" s="58"/>
      <c r="IB431" s="58"/>
      <c r="IC431" s="58"/>
      <c r="ID431" s="58"/>
      <c r="IE431" s="58"/>
      <c r="IF431" s="58"/>
      <c r="IG431" s="58"/>
      <c r="IH431" s="58"/>
      <c r="II431" s="58"/>
      <c r="IJ431" s="58"/>
      <c r="IK431" s="58"/>
      <c r="IL431" s="58"/>
      <c r="IM431" s="58"/>
      <c r="IN431" s="58"/>
      <c r="IO431" s="58"/>
      <c r="IP431" s="58"/>
      <c r="IQ431" s="58"/>
      <c r="IR431" s="58"/>
      <c r="IS431" s="58"/>
      <c r="IT431" s="58"/>
      <c r="IU431" s="58"/>
      <c r="IV431" s="58"/>
      <c r="IW431" s="58"/>
    </row>
    <row r="432" customFormat="false" ht="12.75" hidden="false" customHeight="false" outlineLevel="0" collapsed="false">
      <c r="A432" s="5"/>
      <c r="B432" s="5"/>
      <c r="C432" s="153"/>
      <c r="D432" s="58"/>
      <c r="E432" s="58"/>
      <c r="F432" s="58"/>
      <c r="G432" s="58"/>
      <c r="H432" s="154"/>
      <c r="I432" s="6"/>
      <c r="J432" s="163"/>
      <c r="K432" s="156"/>
      <c r="L432" s="157"/>
      <c r="M432" s="154"/>
      <c r="N432" s="158"/>
      <c r="O432" s="159"/>
      <c r="P432" s="58"/>
      <c r="Q432" s="160"/>
      <c r="R432" s="161"/>
      <c r="S432" s="58"/>
      <c r="T432" s="159"/>
      <c r="U432" s="162"/>
      <c r="V432" s="162"/>
      <c r="W432" s="58"/>
      <c r="X432" s="58"/>
      <c r="Y432" s="58"/>
      <c r="Z432" s="58"/>
      <c r="AA432" s="5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8"/>
      <c r="BL432" s="58"/>
      <c r="BM432" s="58"/>
      <c r="BN432" s="58"/>
      <c r="BO432" s="58"/>
      <c r="BP432" s="58"/>
      <c r="BQ432" s="58"/>
      <c r="BR432" s="58"/>
      <c r="BS432" s="58"/>
      <c r="BT432" s="58"/>
      <c r="BU432" s="58"/>
      <c r="BV432" s="58"/>
      <c r="BW432" s="58"/>
      <c r="BX432" s="58"/>
      <c r="BY432" s="58"/>
      <c r="BZ432" s="58"/>
      <c r="CA432" s="58"/>
      <c r="CB432" s="58"/>
      <c r="CC432" s="58"/>
      <c r="CD432" s="58"/>
      <c r="CE432" s="58"/>
      <c r="CF432" s="58"/>
      <c r="CG432" s="58"/>
      <c r="CH432" s="58"/>
      <c r="CI432" s="58"/>
      <c r="CJ432" s="58"/>
      <c r="CK432" s="58"/>
      <c r="CL432" s="58"/>
      <c r="CM432" s="58"/>
      <c r="CN432" s="58"/>
      <c r="CO432" s="58"/>
      <c r="CP432" s="58"/>
      <c r="CQ432" s="58"/>
      <c r="CR432" s="58"/>
      <c r="CS432" s="58"/>
      <c r="CT432" s="58"/>
      <c r="CU432" s="58"/>
      <c r="CV432" s="58"/>
      <c r="CW432" s="58"/>
      <c r="CX432" s="58"/>
      <c r="CY432" s="58"/>
      <c r="CZ432" s="58"/>
      <c r="DA432" s="58"/>
      <c r="DB432" s="58"/>
      <c r="DC432" s="58"/>
      <c r="DD432" s="58"/>
      <c r="DE432" s="58"/>
      <c r="DF432" s="58"/>
      <c r="DG432" s="58"/>
      <c r="DH432" s="58"/>
      <c r="DI432" s="58"/>
      <c r="DJ432" s="58"/>
      <c r="DK432" s="58"/>
      <c r="DL432" s="58"/>
      <c r="DM432" s="58"/>
      <c r="DN432" s="58"/>
      <c r="DO432" s="58"/>
      <c r="DP432" s="58"/>
      <c r="DQ432" s="58"/>
      <c r="DR432" s="58"/>
      <c r="DS432" s="58"/>
      <c r="DT432" s="58"/>
      <c r="DU432" s="58"/>
      <c r="DV432" s="58"/>
      <c r="DW432" s="58"/>
      <c r="DX432" s="58"/>
      <c r="DY432" s="58"/>
      <c r="DZ432" s="58"/>
      <c r="EA432" s="58"/>
      <c r="EB432" s="58"/>
      <c r="EC432" s="58"/>
      <c r="ED432" s="58"/>
      <c r="EE432" s="58"/>
      <c r="EF432" s="58"/>
      <c r="EG432" s="58"/>
      <c r="EH432" s="58"/>
      <c r="EI432" s="58"/>
      <c r="EJ432" s="58"/>
      <c r="EK432" s="58"/>
      <c r="EL432" s="58"/>
      <c r="EM432" s="58"/>
      <c r="EN432" s="58"/>
      <c r="EO432" s="58"/>
      <c r="EP432" s="58"/>
      <c r="EQ432" s="58"/>
      <c r="ER432" s="58"/>
      <c r="ES432" s="58"/>
      <c r="ET432" s="58"/>
      <c r="EU432" s="58"/>
      <c r="EV432" s="58"/>
      <c r="EW432" s="58"/>
      <c r="EX432" s="58"/>
      <c r="EY432" s="58"/>
      <c r="EZ432" s="58"/>
      <c r="FA432" s="58"/>
      <c r="FB432" s="58"/>
      <c r="FC432" s="58"/>
      <c r="FD432" s="58"/>
      <c r="FE432" s="58"/>
      <c r="FF432" s="58"/>
      <c r="FG432" s="58"/>
      <c r="FH432" s="58"/>
      <c r="FI432" s="58"/>
      <c r="FJ432" s="58"/>
      <c r="FK432" s="58"/>
      <c r="FL432" s="58"/>
      <c r="FM432" s="58"/>
      <c r="FN432" s="58"/>
      <c r="FO432" s="58"/>
      <c r="FP432" s="58"/>
      <c r="FQ432" s="58"/>
      <c r="FR432" s="58"/>
      <c r="FS432" s="58"/>
      <c r="FT432" s="58"/>
      <c r="FU432" s="58"/>
      <c r="FV432" s="58"/>
      <c r="FW432" s="58"/>
      <c r="FX432" s="58"/>
      <c r="FY432" s="58"/>
      <c r="FZ432" s="58"/>
      <c r="GA432" s="58"/>
      <c r="GB432" s="58"/>
      <c r="GC432" s="58"/>
      <c r="GD432" s="58"/>
      <c r="GE432" s="58"/>
      <c r="GF432" s="58"/>
      <c r="GG432" s="58"/>
      <c r="GH432" s="58"/>
      <c r="GI432" s="58"/>
      <c r="GJ432" s="58"/>
      <c r="GK432" s="58"/>
      <c r="GL432" s="58"/>
      <c r="GM432" s="58"/>
      <c r="GN432" s="58"/>
      <c r="GO432" s="58"/>
      <c r="GP432" s="58"/>
      <c r="GQ432" s="58"/>
      <c r="GR432" s="58"/>
      <c r="GS432" s="58"/>
      <c r="GT432" s="58"/>
      <c r="GU432" s="58"/>
      <c r="GV432" s="58"/>
      <c r="GW432" s="58"/>
      <c r="GX432" s="58"/>
      <c r="GY432" s="58"/>
      <c r="GZ432" s="58"/>
      <c r="HA432" s="58"/>
      <c r="HB432" s="58"/>
      <c r="HC432" s="58"/>
      <c r="HD432" s="58"/>
      <c r="HE432" s="58"/>
      <c r="HF432" s="58"/>
      <c r="HG432" s="58"/>
      <c r="HH432" s="58"/>
      <c r="HI432" s="58"/>
      <c r="HJ432" s="58"/>
      <c r="HK432" s="58"/>
      <c r="HL432" s="58"/>
      <c r="HM432" s="58"/>
      <c r="HN432" s="58"/>
      <c r="HO432" s="58"/>
      <c r="HP432" s="58"/>
      <c r="HQ432" s="58"/>
      <c r="HR432" s="58"/>
      <c r="HS432" s="58"/>
      <c r="HT432" s="58"/>
      <c r="HU432" s="58"/>
      <c r="HV432" s="58"/>
      <c r="HW432" s="58"/>
      <c r="HX432" s="58"/>
      <c r="HY432" s="58"/>
      <c r="HZ432" s="58"/>
      <c r="IA432" s="58"/>
      <c r="IB432" s="58"/>
      <c r="IC432" s="58"/>
      <c r="ID432" s="58"/>
      <c r="IE432" s="58"/>
      <c r="IF432" s="58"/>
      <c r="IG432" s="58"/>
      <c r="IH432" s="58"/>
      <c r="II432" s="58"/>
      <c r="IJ432" s="58"/>
      <c r="IK432" s="58"/>
      <c r="IL432" s="58"/>
      <c r="IM432" s="58"/>
      <c r="IN432" s="58"/>
      <c r="IO432" s="58"/>
      <c r="IP432" s="58"/>
      <c r="IQ432" s="58"/>
      <c r="IR432" s="58"/>
      <c r="IS432" s="58"/>
      <c r="IT432" s="58"/>
      <c r="IU432" s="58"/>
      <c r="IV432" s="58"/>
      <c r="IW432" s="58"/>
    </row>
    <row r="433" customFormat="false" ht="12.75" hidden="false" customHeight="false" outlineLevel="0" collapsed="false">
      <c r="A433" s="5" t="n">
        <v>60</v>
      </c>
      <c r="B433" s="5" t="s">
        <v>324</v>
      </c>
      <c r="C433" s="153" t="n">
        <v>36767</v>
      </c>
      <c r="D433" s="58" t="s">
        <v>180</v>
      </c>
      <c r="E433" s="58" t="s">
        <v>89</v>
      </c>
      <c r="F433" s="58" t="s">
        <v>235</v>
      </c>
      <c r="G433" s="58" t="s">
        <v>239</v>
      </c>
      <c r="H433" s="154" t="n">
        <v>0</v>
      </c>
      <c r="I433" s="6" t="n">
        <f aca="false">+H433*K433</f>
        <v>0</v>
      </c>
      <c r="J433" s="155" t="n">
        <v>36770</v>
      </c>
      <c r="K433" s="156" t="n">
        <v>8000</v>
      </c>
      <c r="L433" s="157" t="s">
        <v>8</v>
      </c>
      <c r="M433" s="154" t="s">
        <v>322</v>
      </c>
      <c r="N433" s="158"/>
      <c r="O433" s="159" t="n">
        <f aca="false">0.01*K433</f>
        <v>80</v>
      </c>
      <c r="P433" s="58"/>
      <c r="Q433" s="160" t="n">
        <v>4.45</v>
      </c>
      <c r="R433" s="161"/>
      <c r="S433" s="58"/>
      <c r="T433" s="159" t="n">
        <v>0</v>
      </c>
      <c r="U433" s="162"/>
      <c r="V433" s="162"/>
      <c r="W433" s="58"/>
      <c r="X433" s="58"/>
      <c r="Y433" s="58" t="s">
        <v>99</v>
      </c>
      <c r="Z433" s="58"/>
      <c r="AA433" s="5"/>
      <c r="AB433" s="12" t="s">
        <v>95</v>
      </c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8"/>
      <c r="BL433" s="58"/>
      <c r="BM433" s="58"/>
      <c r="BN433" s="58"/>
      <c r="BO433" s="58"/>
      <c r="BP433" s="58"/>
      <c r="BQ433" s="58"/>
      <c r="BR433" s="58"/>
      <c r="BS433" s="58"/>
      <c r="BT433" s="58"/>
      <c r="BU433" s="58"/>
      <c r="BV433" s="58"/>
      <c r="BW433" s="58"/>
      <c r="BX433" s="58"/>
      <c r="BY433" s="58"/>
      <c r="BZ433" s="58"/>
      <c r="CA433" s="58"/>
      <c r="CB433" s="58"/>
      <c r="CC433" s="58"/>
      <c r="CD433" s="58"/>
      <c r="CE433" s="58"/>
      <c r="CF433" s="58"/>
      <c r="CG433" s="58"/>
      <c r="CH433" s="58"/>
      <c r="CI433" s="58"/>
      <c r="CJ433" s="58"/>
      <c r="CK433" s="58"/>
      <c r="CL433" s="58"/>
      <c r="CM433" s="58"/>
      <c r="CN433" s="58"/>
      <c r="CO433" s="58"/>
      <c r="CP433" s="58"/>
      <c r="CQ433" s="58"/>
      <c r="CR433" s="58"/>
      <c r="CS433" s="58"/>
      <c r="CT433" s="58"/>
      <c r="CU433" s="58"/>
      <c r="CV433" s="58"/>
      <c r="CW433" s="58"/>
      <c r="CX433" s="58"/>
      <c r="CY433" s="58"/>
      <c r="CZ433" s="58"/>
      <c r="DA433" s="58"/>
      <c r="DB433" s="58"/>
      <c r="DC433" s="58"/>
      <c r="DD433" s="58"/>
      <c r="DE433" s="58"/>
      <c r="DF433" s="58"/>
      <c r="DG433" s="58"/>
      <c r="DH433" s="58"/>
      <c r="DI433" s="58"/>
      <c r="DJ433" s="58"/>
      <c r="DK433" s="58"/>
      <c r="DL433" s="58"/>
      <c r="DM433" s="58"/>
      <c r="DN433" s="58"/>
      <c r="DO433" s="58"/>
      <c r="DP433" s="58"/>
      <c r="DQ433" s="58"/>
      <c r="DR433" s="58"/>
      <c r="DS433" s="58"/>
      <c r="DT433" s="58"/>
      <c r="DU433" s="58"/>
      <c r="DV433" s="58"/>
      <c r="DW433" s="58"/>
      <c r="DX433" s="58"/>
      <c r="DY433" s="58"/>
      <c r="DZ433" s="58"/>
      <c r="EA433" s="58"/>
      <c r="EB433" s="58"/>
      <c r="EC433" s="58"/>
      <c r="ED433" s="58"/>
      <c r="EE433" s="58"/>
      <c r="EF433" s="58"/>
      <c r="EG433" s="58"/>
      <c r="EH433" s="58"/>
      <c r="EI433" s="58"/>
      <c r="EJ433" s="58"/>
      <c r="EK433" s="58"/>
      <c r="EL433" s="58"/>
      <c r="EM433" s="58"/>
      <c r="EN433" s="58"/>
      <c r="EO433" s="58"/>
      <c r="EP433" s="58"/>
      <c r="EQ433" s="58"/>
      <c r="ER433" s="58"/>
      <c r="ES433" s="58"/>
      <c r="ET433" s="58"/>
      <c r="EU433" s="58"/>
      <c r="EV433" s="58"/>
      <c r="EW433" s="58"/>
      <c r="EX433" s="58"/>
      <c r="EY433" s="58"/>
      <c r="EZ433" s="58"/>
      <c r="FA433" s="58"/>
      <c r="FB433" s="58"/>
      <c r="FC433" s="58"/>
      <c r="FD433" s="58"/>
      <c r="FE433" s="58"/>
      <c r="FF433" s="58"/>
      <c r="FG433" s="58"/>
      <c r="FH433" s="58"/>
      <c r="FI433" s="58"/>
      <c r="FJ433" s="58"/>
      <c r="FK433" s="58"/>
      <c r="FL433" s="58"/>
      <c r="FM433" s="58"/>
      <c r="FN433" s="58"/>
      <c r="FO433" s="58"/>
      <c r="FP433" s="58"/>
      <c r="FQ433" s="58"/>
      <c r="FR433" s="58"/>
      <c r="FS433" s="58"/>
      <c r="FT433" s="58"/>
      <c r="FU433" s="58"/>
      <c r="FV433" s="58"/>
      <c r="FW433" s="58"/>
      <c r="FX433" s="58"/>
      <c r="FY433" s="58"/>
      <c r="FZ433" s="58"/>
      <c r="GA433" s="58"/>
      <c r="GB433" s="58"/>
      <c r="GC433" s="58"/>
      <c r="GD433" s="58"/>
      <c r="GE433" s="58"/>
      <c r="GF433" s="58"/>
      <c r="GG433" s="58"/>
      <c r="GH433" s="58"/>
      <c r="GI433" s="58"/>
      <c r="GJ433" s="58"/>
      <c r="GK433" s="58"/>
      <c r="GL433" s="58"/>
      <c r="GM433" s="58"/>
      <c r="GN433" s="58"/>
      <c r="GO433" s="58"/>
      <c r="GP433" s="58"/>
      <c r="GQ433" s="58"/>
      <c r="GR433" s="58"/>
      <c r="GS433" s="58"/>
      <c r="GT433" s="58"/>
      <c r="GU433" s="58"/>
      <c r="GV433" s="58"/>
      <c r="GW433" s="58"/>
      <c r="GX433" s="58"/>
      <c r="GY433" s="58"/>
      <c r="GZ433" s="58"/>
      <c r="HA433" s="58"/>
      <c r="HB433" s="58"/>
      <c r="HC433" s="58"/>
      <c r="HD433" s="58"/>
      <c r="HE433" s="58"/>
      <c r="HF433" s="58"/>
      <c r="HG433" s="58"/>
      <c r="HH433" s="58"/>
      <c r="HI433" s="58"/>
      <c r="HJ433" s="58"/>
      <c r="HK433" s="58"/>
      <c r="HL433" s="58"/>
      <c r="HM433" s="58"/>
      <c r="HN433" s="58"/>
      <c r="HO433" s="58"/>
      <c r="HP433" s="58"/>
      <c r="HQ433" s="58"/>
      <c r="HR433" s="58"/>
      <c r="HS433" s="58"/>
      <c r="HT433" s="58"/>
      <c r="HU433" s="58"/>
      <c r="HV433" s="58"/>
      <c r="HW433" s="58"/>
      <c r="HX433" s="58"/>
      <c r="HY433" s="58"/>
      <c r="HZ433" s="58"/>
      <c r="IA433" s="58"/>
      <c r="IB433" s="58"/>
      <c r="IC433" s="58"/>
      <c r="ID433" s="58"/>
      <c r="IE433" s="58"/>
      <c r="IF433" s="58"/>
      <c r="IG433" s="58"/>
      <c r="IH433" s="58"/>
      <c r="II433" s="58"/>
      <c r="IJ433" s="58"/>
      <c r="IK433" s="58"/>
      <c r="IL433" s="58"/>
      <c r="IM433" s="58"/>
      <c r="IN433" s="58"/>
      <c r="IO433" s="58"/>
      <c r="IP433" s="58"/>
      <c r="IQ433" s="58"/>
      <c r="IR433" s="58"/>
      <c r="IS433" s="58"/>
      <c r="IT433" s="58"/>
      <c r="IU433" s="58"/>
      <c r="IV433" s="58"/>
      <c r="IW433" s="58"/>
    </row>
    <row r="434" customFormat="false" ht="12.75" hidden="false" customHeight="false" outlineLevel="0" collapsed="false">
      <c r="A434" s="5" t="n">
        <v>60</v>
      </c>
      <c r="B434" s="5" t="s">
        <v>324</v>
      </c>
      <c r="C434" s="153" t="n">
        <v>36767</v>
      </c>
      <c r="D434" s="58" t="s">
        <v>180</v>
      </c>
      <c r="E434" s="58" t="s">
        <v>89</v>
      </c>
      <c r="F434" s="58" t="s">
        <v>235</v>
      </c>
      <c r="G434" s="58" t="s">
        <v>239</v>
      </c>
      <c r="H434" s="154" t="n">
        <v>0</v>
      </c>
      <c r="I434" s="6" t="n">
        <f aca="false">+H434*K434</f>
        <v>0</v>
      </c>
      <c r="J434" s="155" t="n">
        <v>36800</v>
      </c>
      <c r="K434" s="156" t="n">
        <v>8000</v>
      </c>
      <c r="L434" s="157" t="s">
        <v>8</v>
      </c>
      <c r="M434" s="154" t="s">
        <v>322</v>
      </c>
      <c r="N434" s="158"/>
      <c r="O434" s="159" t="n">
        <f aca="false">0.01*K434</f>
        <v>80</v>
      </c>
      <c r="P434" s="58"/>
      <c r="Q434" s="160" t="n">
        <v>5.105</v>
      </c>
      <c r="R434" s="161"/>
      <c r="S434" s="58"/>
      <c r="T434" s="159" t="n">
        <v>0</v>
      </c>
      <c r="U434" s="162"/>
      <c r="V434" s="162"/>
      <c r="W434" s="58"/>
      <c r="X434" s="58"/>
      <c r="Y434" s="58"/>
      <c r="Z434" s="58"/>
      <c r="AA434" s="5"/>
      <c r="AB434" s="12" t="s">
        <v>95</v>
      </c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8"/>
      <c r="BL434" s="58"/>
      <c r="BM434" s="58"/>
      <c r="BN434" s="58"/>
      <c r="BO434" s="58"/>
      <c r="BP434" s="58"/>
      <c r="BQ434" s="58"/>
      <c r="BR434" s="58"/>
      <c r="BS434" s="58"/>
      <c r="BT434" s="58"/>
      <c r="BU434" s="58"/>
      <c r="BV434" s="58"/>
      <c r="BW434" s="58"/>
      <c r="BX434" s="58"/>
      <c r="BY434" s="58"/>
      <c r="BZ434" s="58"/>
      <c r="CA434" s="58"/>
      <c r="CB434" s="58"/>
      <c r="CC434" s="58"/>
      <c r="CD434" s="58"/>
      <c r="CE434" s="58"/>
      <c r="CF434" s="58"/>
      <c r="CG434" s="58"/>
      <c r="CH434" s="58"/>
      <c r="CI434" s="58"/>
      <c r="CJ434" s="58"/>
      <c r="CK434" s="58"/>
      <c r="CL434" s="58"/>
      <c r="CM434" s="58"/>
      <c r="CN434" s="58"/>
      <c r="CO434" s="58"/>
      <c r="CP434" s="58"/>
      <c r="CQ434" s="58"/>
      <c r="CR434" s="58"/>
      <c r="CS434" s="58"/>
      <c r="CT434" s="58"/>
      <c r="CU434" s="58"/>
      <c r="CV434" s="58"/>
      <c r="CW434" s="58"/>
      <c r="CX434" s="58"/>
      <c r="CY434" s="58"/>
      <c r="CZ434" s="58"/>
      <c r="DA434" s="58"/>
      <c r="DB434" s="58"/>
      <c r="DC434" s="58"/>
      <c r="DD434" s="58"/>
      <c r="DE434" s="58"/>
      <c r="DF434" s="58"/>
      <c r="DG434" s="58"/>
      <c r="DH434" s="58"/>
      <c r="DI434" s="58"/>
      <c r="DJ434" s="58"/>
      <c r="DK434" s="58"/>
      <c r="DL434" s="58"/>
      <c r="DM434" s="58"/>
      <c r="DN434" s="58"/>
      <c r="DO434" s="58"/>
      <c r="DP434" s="58"/>
      <c r="DQ434" s="58"/>
      <c r="DR434" s="58"/>
      <c r="DS434" s="58"/>
      <c r="DT434" s="58"/>
      <c r="DU434" s="58"/>
      <c r="DV434" s="58"/>
      <c r="DW434" s="58"/>
      <c r="DX434" s="58"/>
      <c r="DY434" s="58"/>
      <c r="DZ434" s="58"/>
      <c r="EA434" s="58"/>
      <c r="EB434" s="58"/>
      <c r="EC434" s="58"/>
      <c r="ED434" s="58"/>
      <c r="EE434" s="58"/>
      <c r="EF434" s="58"/>
      <c r="EG434" s="58"/>
      <c r="EH434" s="58"/>
      <c r="EI434" s="58"/>
      <c r="EJ434" s="58"/>
      <c r="EK434" s="58"/>
      <c r="EL434" s="58"/>
      <c r="EM434" s="58"/>
      <c r="EN434" s="58"/>
      <c r="EO434" s="58"/>
      <c r="EP434" s="58"/>
      <c r="EQ434" s="58"/>
      <c r="ER434" s="58"/>
      <c r="ES434" s="58"/>
      <c r="ET434" s="58"/>
      <c r="EU434" s="58"/>
      <c r="EV434" s="58"/>
      <c r="EW434" s="58"/>
      <c r="EX434" s="58"/>
      <c r="EY434" s="58"/>
      <c r="EZ434" s="58"/>
      <c r="FA434" s="58"/>
      <c r="FB434" s="58"/>
      <c r="FC434" s="58"/>
      <c r="FD434" s="58"/>
      <c r="FE434" s="58"/>
      <c r="FF434" s="58"/>
      <c r="FG434" s="58"/>
      <c r="FH434" s="58"/>
      <c r="FI434" s="58"/>
      <c r="FJ434" s="58"/>
      <c r="FK434" s="58"/>
      <c r="FL434" s="58"/>
      <c r="FM434" s="58"/>
      <c r="FN434" s="58"/>
      <c r="FO434" s="58"/>
      <c r="FP434" s="58"/>
      <c r="FQ434" s="58"/>
      <c r="FR434" s="58"/>
      <c r="FS434" s="58"/>
      <c r="FT434" s="58"/>
      <c r="FU434" s="58"/>
      <c r="FV434" s="58"/>
      <c r="FW434" s="58"/>
      <c r="FX434" s="58"/>
      <c r="FY434" s="58"/>
      <c r="FZ434" s="58"/>
      <c r="GA434" s="58"/>
      <c r="GB434" s="58"/>
      <c r="GC434" s="58"/>
      <c r="GD434" s="58"/>
      <c r="GE434" s="58"/>
      <c r="GF434" s="58"/>
      <c r="GG434" s="58"/>
      <c r="GH434" s="58"/>
      <c r="GI434" s="58"/>
      <c r="GJ434" s="58"/>
      <c r="GK434" s="58"/>
      <c r="GL434" s="58"/>
      <c r="GM434" s="58"/>
      <c r="GN434" s="58"/>
      <c r="GO434" s="58"/>
      <c r="GP434" s="58"/>
      <c r="GQ434" s="58"/>
      <c r="GR434" s="58"/>
      <c r="GS434" s="58"/>
      <c r="GT434" s="58"/>
      <c r="GU434" s="58"/>
      <c r="GV434" s="58"/>
      <c r="GW434" s="58"/>
      <c r="GX434" s="58"/>
      <c r="GY434" s="58"/>
      <c r="GZ434" s="58"/>
      <c r="HA434" s="58"/>
      <c r="HB434" s="58"/>
      <c r="HC434" s="58"/>
      <c r="HD434" s="58"/>
      <c r="HE434" s="58"/>
      <c r="HF434" s="58"/>
      <c r="HG434" s="58"/>
      <c r="HH434" s="58"/>
      <c r="HI434" s="58"/>
      <c r="HJ434" s="58"/>
      <c r="HK434" s="58"/>
      <c r="HL434" s="58"/>
      <c r="HM434" s="58"/>
      <c r="HN434" s="58"/>
      <c r="HO434" s="58"/>
      <c r="HP434" s="58"/>
      <c r="HQ434" s="58"/>
      <c r="HR434" s="58"/>
      <c r="HS434" s="58"/>
      <c r="HT434" s="58"/>
      <c r="HU434" s="58"/>
      <c r="HV434" s="58"/>
      <c r="HW434" s="58"/>
      <c r="HX434" s="58"/>
      <c r="HY434" s="58"/>
      <c r="HZ434" s="58"/>
      <c r="IA434" s="58"/>
      <c r="IB434" s="58"/>
      <c r="IC434" s="58"/>
      <c r="ID434" s="58"/>
      <c r="IE434" s="58"/>
      <c r="IF434" s="58"/>
      <c r="IG434" s="58"/>
      <c r="IH434" s="58"/>
      <c r="II434" s="58"/>
      <c r="IJ434" s="58"/>
      <c r="IK434" s="58"/>
      <c r="IL434" s="58"/>
      <c r="IM434" s="58"/>
      <c r="IN434" s="58"/>
      <c r="IO434" s="58"/>
      <c r="IP434" s="58"/>
      <c r="IQ434" s="58"/>
      <c r="IR434" s="58"/>
      <c r="IS434" s="58"/>
      <c r="IT434" s="58"/>
      <c r="IU434" s="58"/>
      <c r="IV434" s="58"/>
      <c r="IW434" s="58"/>
    </row>
    <row r="435" customFormat="false" ht="12.75" hidden="false" customHeight="false" outlineLevel="0" collapsed="false">
      <c r="A435" s="5" t="n">
        <v>60</v>
      </c>
      <c r="B435" s="5" t="s">
        <v>324</v>
      </c>
      <c r="C435" s="153" t="n">
        <v>36767</v>
      </c>
      <c r="D435" s="58" t="s">
        <v>180</v>
      </c>
      <c r="E435" s="58" t="s">
        <v>89</v>
      </c>
      <c r="F435" s="58" t="s">
        <v>235</v>
      </c>
      <c r="G435" s="58" t="s">
        <v>239</v>
      </c>
      <c r="H435" s="154" t="n">
        <v>0</v>
      </c>
      <c r="I435" s="6" t="n">
        <f aca="false">+H435*K435</f>
        <v>0</v>
      </c>
      <c r="J435" s="155" t="n">
        <v>36831</v>
      </c>
      <c r="K435" s="156" t="n">
        <v>8000</v>
      </c>
      <c r="L435" s="157" t="s">
        <v>8</v>
      </c>
      <c r="M435" s="154" t="s">
        <v>322</v>
      </c>
      <c r="N435" s="158"/>
      <c r="O435" s="159" t="n">
        <f aca="false">0.01*K435</f>
        <v>80</v>
      </c>
      <c r="P435" s="58"/>
      <c r="Q435" s="160" t="n">
        <v>4.31</v>
      </c>
      <c r="R435" s="161"/>
      <c r="S435" s="58"/>
      <c r="T435" s="159" t="n">
        <v>0</v>
      </c>
      <c r="U435" s="162"/>
      <c r="V435" s="162"/>
      <c r="W435" s="58"/>
      <c r="X435" s="58"/>
      <c r="Y435" s="58"/>
      <c r="Z435" s="58"/>
      <c r="AA435" s="5"/>
      <c r="AB435" s="12" t="s">
        <v>95</v>
      </c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L435" s="58"/>
      <c r="BM435" s="58"/>
      <c r="BN435" s="58"/>
      <c r="BO435" s="58"/>
      <c r="BP435" s="58"/>
      <c r="BQ435" s="58"/>
      <c r="BR435" s="58"/>
      <c r="BS435" s="58"/>
      <c r="BT435" s="58"/>
      <c r="BU435" s="58"/>
      <c r="BV435" s="58"/>
      <c r="BW435" s="58"/>
      <c r="BX435" s="58"/>
      <c r="BY435" s="58"/>
      <c r="BZ435" s="58"/>
      <c r="CA435" s="58"/>
      <c r="CB435" s="58"/>
      <c r="CC435" s="58"/>
      <c r="CD435" s="58"/>
      <c r="CE435" s="58"/>
      <c r="CF435" s="58"/>
      <c r="CG435" s="58"/>
      <c r="CH435" s="58"/>
      <c r="CI435" s="58"/>
      <c r="CJ435" s="58"/>
      <c r="CK435" s="58"/>
      <c r="CL435" s="58"/>
      <c r="CM435" s="58"/>
      <c r="CN435" s="58"/>
      <c r="CO435" s="58"/>
      <c r="CP435" s="58"/>
      <c r="CQ435" s="58"/>
      <c r="CR435" s="58"/>
      <c r="CS435" s="58"/>
      <c r="CT435" s="58"/>
      <c r="CU435" s="58"/>
      <c r="CV435" s="58"/>
      <c r="CW435" s="58"/>
      <c r="CX435" s="58"/>
      <c r="CY435" s="58"/>
      <c r="CZ435" s="58"/>
      <c r="DA435" s="58"/>
      <c r="DB435" s="58"/>
      <c r="DC435" s="58"/>
      <c r="DD435" s="58"/>
      <c r="DE435" s="58"/>
      <c r="DF435" s="58"/>
      <c r="DG435" s="58"/>
      <c r="DH435" s="58"/>
      <c r="DI435" s="58"/>
      <c r="DJ435" s="58"/>
      <c r="DK435" s="58"/>
      <c r="DL435" s="58"/>
      <c r="DM435" s="58"/>
      <c r="DN435" s="58"/>
      <c r="DO435" s="58"/>
      <c r="DP435" s="58"/>
      <c r="DQ435" s="58"/>
      <c r="DR435" s="58"/>
      <c r="DS435" s="58"/>
      <c r="DT435" s="58"/>
      <c r="DU435" s="58"/>
      <c r="DV435" s="58"/>
      <c r="DW435" s="58"/>
      <c r="DX435" s="58"/>
      <c r="DY435" s="58"/>
      <c r="DZ435" s="58"/>
      <c r="EA435" s="58"/>
      <c r="EB435" s="58"/>
      <c r="EC435" s="58"/>
      <c r="ED435" s="58"/>
      <c r="EE435" s="58"/>
      <c r="EF435" s="58"/>
      <c r="EG435" s="58"/>
      <c r="EH435" s="58"/>
      <c r="EI435" s="58"/>
      <c r="EJ435" s="58"/>
      <c r="EK435" s="58"/>
      <c r="EL435" s="58"/>
      <c r="EM435" s="58"/>
      <c r="EN435" s="58"/>
      <c r="EO435" s="58"/>
      <c r="EP435" s="58"/>
      <c r="EQ435" s="58"/>
      <c r="ER435" s="58"/>
      <c r="ES435" s="58"/>
      <c r="ET435" s="58"/>
      <c r="EU435" s="58"/>
      <c r="EV435" s="58"/>
      <c r="EW435" s="58"/>
      <c r="EX435" s="58"/>
      <c r="EY435" s="58"/>
      <c r="EZ435" s="58"/>
      <c r="FA435" s="58"/>
      <c r="FB435" s="58"/>
      <c r="FC435" s="58"/>
      <c r="FD435" s="58"/>
      <c r="FE435" s="58"/>
      <c r="FF435" s="58"/>
      <c r="FG435" s="58"/>
      <c r="FH435" s="58"/>
      <c r="FI435" s="58"/>
      <c r="FJ435" s="58"/>
      <c r="FK435" s="58"/>
      <c r="FL435" s="58"/>
      <c r="FM435" s="58"/>
      <c r="FN435" s="58"/>
      <c r="FO435" s="58"/>
      <c r="FP435" s="58"/>
      <c r="FQ435" s="58"/>
      <c r="FR435" s="58"/>
      <c r="FS435" s="58"/>
      <c r="FT435" s="58"/>
      <c r="FU435" s="58"/>
      <c r="FV435" s="58"/>
      <c r="FW435" s="58"/>
      <c r="FX435" s="58"/>
      <c r="FY435" s="58"/>
      <c r="FZ435" s="58"/>
      <c r="GA435" s="58"/>
      <c r="GB435" s="58"/>
      <c r="GC435" s="58"/>
      <c r="GD435" s="58"/>
      <c r="GE435" s="58"/>
      <c r="GF435" s="58"/>
      <c r="GG435" s="58"/>
      <c r="GH435" s="58"/>
      <c r="GI435" s="58"/>
      <c r="GJ435" s="58"/>
      <c r="GK435" s="58"/>
      <c r="GL435" s="58"/>
      <c r="GM435" s="58"/>
      <c r="GN435" s="58"/>
      <c r="GO435" s="58"/>
      <c r="GP435" s="58"/>
      <c r="GQ435" s="58"/>
      <c r="GR435" s="58"/>
      <c r="GS435" s="58"/>
      <c r="GT435" s="58"/>
      <c r="GU435" s="58"/>
      <c r="GV435" s="58"/>
      <c r="GW435" s="58"/>
      <c r="GX435" s="58"/>
      <c r="GY435" s="58"/>
      <c r="GZ435" s="58"/>
      <c r="HA435" s="58"/>
      <c r="HB435" s="58"/>
      <c r="HC435" s="58"/>
      <c r="HD435" s="58"/>
      <c r="HE435" s="58"/>
      <c r="HF435" s="58"/>
      <c r="HG435" s="58"/>
      <c r="HH435" s="58"/>
      <c r="HI435" s="58"/>
      <c r="HJ435" s="58"/>
      <c r="HK435" s="58"/>
      <c r="HL435" s="58"/>
      <c r="HM435" s="58"/>
      <c r="HN435" s="58"/>
      <c r="HO435" s="58"/>
      <c r="HP435" s="58"/>
      <c r="HQ435" s="58"/>
      <c r="HR435" s="58"/>
      <c r="HS435" s="58"/>
      <c r="HT435" s="58"/>
      <c r="HU435" s="58"/>
      <c r="HV435" s="58"/>
      <c r="HW435" s="58"/>
      <c r="HX435" s="58"/>
      <c r="HY435" s="58"/>
      <c r="HZ435" s="58"/>
      <c r="IA435" s="58"/>
      <c r="IB435" s="58"/>
      <c r="IC435" s="58"/>
      <c r="ID435" s="58"/>
      <c r="IE435" s="58"/>
      <c r="IF435" s="58"/>
      <c r="IG435" s="58"/>
      <c r="IH435" s="58"/>
      <c r="II435" s="58"/>
      <c r="IJ435" s="58"/>
      <c r="IK435" s="58"/>
      <c r="IL435" s="58"/>
      <c r="IM435" s="58"/>
      <c r="IN435" s="58"/>
      <c r="IO435" s="58"/>
      <c r="IP435" s="58"/>
      <c r="IQ435" s="58"/>
      <c r="IR435" s="58"/>
      <c r="IS435" s="58"/>
      <c r="IT435" s="58"/>
      <c r="IU435" s="58"/>
      <c r="IV435" s="58"/>
      <c r="IW435" s="58"/>
    </row>
    <row r="436" customFormat="false" ht="12.75" hidden="false" customHeight="false" outlineLevel="0" collapsed="false">
      <c r="A436" s="5" t="n">
        <v>60</v>
      </c>
      <c r="B436" s="5" t="s">
        <v>324</v>
      </c>
      <c r="C436" s="153" t="n">
        <v>36767</v>
      </c>
      <c r="D436" s="58" t="s">
        <v>180</v>
      </c>
      <c r="E436" s="58" t="s">
        <v>89</v>
      </c>
      <c r="F436" s="58" t="s">
        <v>235</v>
      </c>
      <c r="G436" s="58" t="s">
        <v>239</v>
      </c>
      <c r="H436" s="154" t="n">
        <v>0</v>
      </c>
      <c r="I436" s="6" t="n">
        <f aca="false">+H436*K436</f>
        <v>0</v>
      </c>
      <c r="J436" s="155" t="n">
        <v>36861</v>
      </c>
      <c r="K436" s="156" t="n">
        <v>8000</v>
      </c>
      <c r="L436" s="157" t="s">
        <v>8</v>
      </c>
      <c r="M436" s="154" t="s">
        <v>322</v>
      </c>
      <c r="N436" s="158"/>
      <c r="O436" s="159" t="n">
        <f aca="false">0.01*K436</f>
        <v>80</v>
      </c>
      <c r="P436" s="58"/>
      <c r="Q436" s="160" t="n">
        <v>5.775</v>
      </c>
      <c r="R436" s="161"/>
      <c r="S436" s="58"/>
      <c r="T436" s="159" t="n">
        <v>0</v>
      </c>
      <c r="U436" s="162"/>
      <c r="V436" s="162"/>
      <c r="W436" s="58"/>
      <c r="X436" s="58"/>
      <c r="Y436" s="58"/>
      <c r="Z436" s="58"/>
      <c r="AA436" s="5"/>
      <c r="AB436" s="12" t="s">
        <v>95</v>
      </c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8"/>
      <c r="BL436" s="58"/>
      <c r="BM436" s="58"/>
      <c r="BN436" s="58"/>
      <c r="BO436" s="58"/>
      <c r="BP436" s="58"/>
      <c r="BQ436" s="58"/>
      <c r="BR436" s="58"/>
      <c r="BS436" s="58"/>
      <c r="BT436" s="58"/>
      <c r="BU436" s="58"/>
      <c r="BV436" s="58"/>
      <c r="BW436" s="58"/>
      <c r="BX436" s="58"/>
      <c r="BY436" s="58"/>
      <c r="BZ436" s="58"/>
      <c r="CA436" s="58"/>
      <c r="CB436" s="58"/>
      <c r="CC436" s="58"/>
      <c r="CD436" s="58"/>
      <c r="CE436" s="58"/>
      <c r="CF436" s="58"/>
      <c r="CG436" s="58"/>
      <c r="CH436" s="58"/>
      <c r="CI436" s="58"/>
      <c r="CJ436" s="58"/>
      <c r="CK436" s="58"/>
      <c r="CL436" s="58"/>
      <c r="CM436" s="58"/>
      <c r="CN436" s="58"/>
      <c r="CO436" s="58"/>
      <c r="CP436" s="58"/>
      <c r="CQ436" s="58"/>
      <c r="CR436" s="58"/>
      <c r="CS436" s="58"/>
      <c r="CT436" s="58"/>
      <c r="CU436" s="58"/>
      <c r="CV436" s="58"/>
      <c r="CW436" s="58"/>
      <c r="CX436" s="58"/>
      <c r="CY436" s="58"/>
      <c r="CZ436" s="58"/>
      <c r="DA436" s="58"/>
      <c r="DB436" s="58"/>
      <c r="DC436" s="58"/>
      <c r="DD436" s="58"/>
      <c r="DE436" s="58"/>
      <c r="DF436" s="58"/>
      <c r="DG436" s="58"/>
      <c r="DH436" s="58"/>
      <c r="DI436" s="58"/>
      <c r="DJ436" s="58"/>
      <c r="DK436" s="58"/>
      <c r="DL436" s="58"/>
      <c r="DM436" s="58"/>
      <c r="DN436" s="58"/>
      <c r="DO436" s="58"/>
      <c r="DP436" s="58"/>
      <c r="DQ436" s="58"/>
      <c r="DR436" s="58"/>
      <c r="DS436" s="58"/>
      <c r="DT436" s="58"/>
      <c r="DU436" s="58"/>
      <c r="DV436" s="58"/>
      <c r="DW436" s="58"/>
      <c r="DX436" s="58"/>
      <c r="DY436" s="58"/>
      <c r="DZ436" s="58"/>
      <c r="EA436" s="58"/>
      <c r="EB436" s="58"/>
      <c r="EC436" s="58"/>
      <c r="ED436" s="58"/>
      <c r="EE436" s="58"/>
      <c r="EF436" s="58"/>
      <c r="EG436" s="58"/>
      <c r="EH436" s="58"/>
      <c r="EI436" s="58"/>
      <c r="EJ436" s="58"/>
      <c r="EK436" s="58"/>
      <c r="EL436" s="58"/>
      <c r="EM436" s="58"/>
      <c r="EN436" s="58"/>
      <c r="EO436" s="58"/>
      <c r="EP436" s="58"/>
      <c r="EQ436" s="58"/>
      <c r="ER436" s="58"/>
      <c r="ES436" s="58"/>
      <c r="ET436" s="58"/>
      <c r="EU436" s="58"/>
      <c r="EV436" s="58"/>
      <c r="EW436" s="58"/>
      <c r="EX436" s="58"/>
      <c r="EY436" s="58"/>
      <c r="EZ436" s="58"/>
      <c r="FA436" s="58"/>
      <c r="FB436" s="58"/>
      <c r="FC436" s="58"/>
      <c r="FD436" s="58"/>
      <c r="FE436" s="58"/>
      <c r="FF436" s="58"/>
      <c r="FG436" s="58"/>
      <c r="FH436" s="58"/>
      <c r="FI436" s="58"/>
      <c r="FJ436" s="58"/>
      <c r="FK436" s="58"/>
      <c r="FL436" s="58"/>
      <c r="FM436" s="58"/>
      <c r="FN436" s="58"/>
      <c r="FO436" s="58"/>
      <c r="FP436" s="58"/>
      <c r="FQ436" s="58"/>
      <c r="FR436" s="58"/>
      <c r="FS436" s="58"/>
      <c r="FT436" s="58"/>
      <c r="FU436" s="58"/>
      <c r="FV436" s="58"/>
      <c r="FW436" s="58"/>
      <c r="FX436" s="58"/>
      <c r="FY436" s="58"/>
      <c r="FZ436" s="58"/>
      <c r="GA436" s="58"/>
      <c r="GB436" s="58"/>
      <c r="GC436" s="58"/>
      <c r="GD436" s="58"/>
      <c r="GE436" s="58"/>
      <c r="GF436" s="58"/>
      <c r="GG436" s="58"/>
      <c r="GH436" s="58"/>
      <c r="GI436" s="58"/>
      <c r="GJ436" s="58"/>
      <c r="GK436" s="58"/>
      <c r="GL436" s="58"/>
      <c r="GM436" s="58"/>
      <c r="GN436" s="58"/>
      <c r="GO436" s="58"/>
      <c r="GP436" s="58"/>
      <c r="GQ436" s="58"/>
      <c r="GR436" s="58"/>
      <c r="GS436" s="58"/>
      <c r="GT436" s="58"/>
      <c r="GU436" s="58"/>
      <c r="GV436" s="58"/>
      <c r="GW436" s="58"/>
      <c r="GX436" s="58"/>
      <c r="GY436" s="58"/>
      <c r="GZ436" s="58"/>
      <c r="HA436" s="58"/>
      <c r="HB436" s="58"/>
      <c r="HC436" s="58"/>
      <c r="HD436" s="58"/>
      <c r="HE436" s="58"/>
      <c r="HF436" s="58"/>
      <c r="HG436" s="58"/>
      <c r="HH436" s="58"/>
      <c r="HI436" s="58"/>
      <c r="HJ436" s="58"/>
      <c r="HK436" s="58"/>
      <c r="HL436" s="58"/>
      <c r="HM436" s="58"/>
      <c r="HN436" s="58"/>
      <c r="HO436" s="58"/>
      <c r="HP436" s="58"/>
      <c r="HQ436" s="58"/>
      <c r="HR436" s="58"/>
      <c r="HS436" s="58"/>
      <c r="HT436" s="58"/>
      <c r="HU436" s="58"/>
      <c r="HV436" s="58"/>
      <c r="HW436" s="58"/>
      <c r="HX436" s="58"/>
      <c r="HY436" s="58"/>
      <c r="HZ436" s="58"/>
      <c r="IA436" s="58"/>
      <c r="IB436" s="58"/>
      <c r="IC436" s="58"/>
      <c r="ID436" s="58"/>
      <c r="IE436" s="58"/>
      <c r="IF436" s="58"/>
      <c r="IG436" s="58"/>
      <c r="IH436" s="58"/>
      <c r="II436" s="58"/>
      <c r="IJ436" s="58"/>
      <c r="IK436" s="58"/>
      <c r="IL436" s="58"/>
      <c r="IM436" s="58"/>
      <c r="IN436" s="58"/>
      <c r="IO436" s="58"/>
      <c r="IP436" s="58"/>
      <c r="IQ436" s="58"/>
      <c r="IR436" s="58"/>
      <c r="IS436" s="58"/>
      <c r="IT436" s="58"/>
      <c r="IU436" s="58"/>
      <c r="IV436" s="58"/>
      <c r="IW436" s="58"/>
    </row>
    <row r="437" customFormat="false" ht="12.75" hidden="false" customHeight="false" outlineLevel="0" collapsed="false">
      <c r="A437" s="5" t="n">
        <v>60</v>
      </c>
      <c r="B437" s="5" t="s">
        <v>324</v>
      </c>
      <c r="C437" s="153" t="n">
        <v>36767</v>
      </c>
      <c r="D437" s="58" t="s">
        <v>180</v>
      </c>
      <c r="E437" s="58" t="s">
        <v>89</v>
      </c>
      <c r="F437" s="58" t="s">
        <v>235</v>
      </c>
      <c r="G437" s="58" t="s">
        <v>239</v>
      </c>
      <c r="H437" s="154" t="n">
        <v>0</v>
      </c>
      <c r="I437" s="6" t="n">
        <f aca="false">+H437*K437</f>
        <v>0</v>
      </c>
      <c r="J437" s="155" t="n">
        <v>36892</v>
      </c>
      <c r="K437" s="156" t="n">
        <v>8000</v>
      </c>
      <c r="L437" s="157" t="s">
        <v>8</v>
      </c>
      <c r="M437" s="154" t="s">
        <v>322</v>
      </c>
      <c r="N437" s="158"/>
      <c r="O437" s="159" t="n">
        <f aca="false">0.01*K437</f>
        <v>80</v>
      </c>
      <c r="P437" s="58"/>
      <c r="Q437" s="135" t="n">
        <v>9.565</v>
      </c>
      <c r="R437" s="161"/>
      <c r="S437" s="58"/>
      <c r="T437" s="134" t="n">
        <f aca="false">(9.1-Q437)*K437</f>
        <v>-3720</v>
      </c>
      <c r="U437" s="162"/>
      <c r="V437" s="162"/>
      <c r="W437" s="58"/>
      <c r="X437" s="58"/>
      <c r="Y437" s="58"/>
      <c r="Z437" s="58"/>
      <c r="AA437" s="5"/>
      <c r="AB437" s="12" t="s">
        <v>95</v>
      </c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8"/>
      <c r="BL437" s="58"/>
      <c r="BM437" s="58"/>
      <c r="BN437" s="58"/>
      <c r="BO437" s="58"/>
      <c r="BP437" s="58"/>
      <c r="BQ437" s="58"/>
      <c r="BR437" s="58"/>
      <c r="BS437" s="58"/>
      <c r="BT437" s="58"/>
      <c r="BU437" s="58"/>
      <c r="BV437" s="58"/>
      <c r="BW437" s="58"/>
      <c r="BX437" s="58"/>
      <c r="BY437" s="58"/>
      <c r="BZ437" s="58"/>
      <c r="CA437" s="58"/>
      <c r="CB437" s="58"/>
      <c r="CC437" s="58"/>
      <c r="CD437" s="58"/>
      <c r="CE437" s="58"/>
      <c r="CF437" s="58"/>
      <c r="CG437" s="58"/>
      <c r="CH437" s="58"/>
      <c r="CI437" s="58"/>
      <c r="CJ437" s="58"/>
      <c r="CK437" s="58"/>
      <c r="CL437" s="58"/>
      <c r="CM437" s="58"/>
      <c r="CN437" s="58"/>
      <c r="CO437" s="58"/>
      <c r="CP437" s="58"/>
      <c r="CQ437" s="58"/>
      <c r="CR437" s="58"/>
      <c r="CS437" s="58"/>
      <c r="CT437" s="58"/>
      <c r="CU437" s="58"/>
      <c r="CV437" s="58"/>
      <c r="CW437" s="58"/>
      <c r="CX437" s="58"/>
      <c r="CY437" s="58"/>
      <c r="CZ437" s="58"/>
      <c r="DA437" s="58"/>
      <c r="DB437" s="58"/>
      <c r="DC437" s="58"/>
      <c r="DD437" s="58"/>
      <c r="DE437" s="58"/>
      <c r="DF437" s="58"/>
      <c r="DG437" s="58"/>
      <c r="DH437" s="58"/>
      <c r="DI437" s="58"/>
      <c r="DJ437" s="58"/>
      <c r="DK437" s="58"/>
      <c r="DL437" s="58"/>
      <c r="DM437" s="58"/>
      <c r="DN437" s="58"/>
      <c r="DO437" s="58"/>
      <c r="DP437" s="58"/>
      <c r="DQ437" s="58"/>
      <c r="DR437" s="58"/>
      <c r="DS437" s="58"/>
      <c r="DT437" s="58"/>
      <c r="DU437" s="58"/>
      <c r="DV437" s="58"/>
      <c r="DW437" s="58"/>
      <c r="DX437" s="58"/>
      <c r="DY437" s="58"/>
      <c r="DZ437" s="58"/>
      <c r="EA437" s="58"/>
      <c r="EB437" s="58"/>
      <c r="EC437" s="58"/>
      <c r="ED437" s="58"/>
      <c r="EE437" s="58"/>
      <c r="EF437" s="58"/>
      <c r="EG437" s="58"/>
      <c r="EH437" s="58"/>
      <c r="EI437" s="58"/>
      <c r="EJ437" s="58"/>
      <c r="EK437" s="58"/>
      <c r="EL437" s="58"/>
      <c r="EM437" s="58"/>
      <c r="EN437" s="58"/>
      <c r="EO437" s="58"/>
      <c r="EP437" s="58"/>
      <c r="EQ437" s="58"/>
      <c r="ER437" s="58"/>
      <c r="ES437" s="58"/>
      <c r="ET437" s="58"/>
      <c r="EU437" s="58"/>
      <c r="EV437" s="58"/>
      <c r="EW437" s="58"/>
      <c r="EX437" s="58"/>
      <c r="EY437" s="58"/>
      <c r="EZ437" s="58"/>
      <c r="FA437" s="58"/>
      <c r="FB437" s="58"/>
      <c r="FC437" s="58"/>
      <c r="FD437" s="58"/>
      <c r="FE437" s="58"/>
      <c r="FF437" s="58"/>
      <c r="FG437" s="58"/>
      <c r="FH437" s="58"/>
      <c r="FI437" s="58"/>
      <c r="FJ437" s="58"/>
      <c r="FK437" s="58"/>
      <c r="FL437" s="58"/>
      <c r="FM437" s="58"/>
      <c r="FN437" s="58"/>
      <c r="FO437" s="58"/>
      <c r="FP437" s="58"/>
      <c r="FQ437" s="58"/>
      <c r="FR437" s="58"/>
      <c r="FS437" s="58"/>
      <c r="FT437" s="58"/>
      <c r="FU437" s="58"/>
      <c r="FV437" s="58"/>
      <c r="FW437" s="58"/>
      <c r="FX437" s="58"/>
      <c r="FY437" s="58"/>
      <c r="FZ437" s="58"/>
      <c r="GA437" s="58"/>
      <c r="GB437" s="58"/>
      <c r="GC437" s="58"/>
      <c r="GD437" s="58"/>
      <c r="GE437" s="58"/>
      <c r="GF437" s="58"/>
      <c r="GG437" s="58"/>
      <c r="GH437" s="58"/>
      <c r="GI437" s="58"/>
      <c r="GJ437" s="58"/>
      <c r="GK437" s="58"/>
      <c r="GL437" s="58"/>
      <c r="GM437" s="58"/>
      <c r="GN437" s="58"/>
      <c r="GO437" s="58"/>
      <c r="GP437" s="58"/>
      <c r="GQ437" s="58"/>
      <c r="GR437" s="58"/>
      <c r="GS437" s="58"/>
      <c r="GT437" s="58"/>
      <c r="GU437" s="58"/>
      <c r="GV437" s="58"/>
      <c r="GW437" s="58"/>
      <c r="GX437" s="58"/>
      <c r="GY437" s="58"/>
      <c r="GZ437" s="58"/>
      <c r="HA437" s="58"/>
      <c r="HB437" s="58"/>
      <c r="HC437" s="58"/>
      <c r="HD437" s="58"/>
      <c r="HE437" s="58"/>
      <c r="HF437" s="58"/>
      <c r="HG437" s="58"/>
      <c r="HH437" s="58"/>
      <c r="HI437" s="58"/>
      <c r="HJ437" s="58"/>
      <c r="HK437" s="58"/>
      <c r="HL437" s="58"/>
      <c r="HM437" s="58"/>
      <c r="HN437" s="58"/>
      <c r="HO437" s="58"/>
      <c r="HP437" s="58"/>
      <c r="HQ437" s="58"/>
      <c r="HR437" s="58"/>
      <c r="HS437" s="58"/>
      <c r="HT437" s="58"/>
      <c r="HU437" s="58"/>
      <c r="HV437" s="58"/>
      <c r="HW437" s="58"/>
      <c r="HX437" s="58"/>
      <c r="HY437" s="58"/>
      <c r="HZ437" s="58"/>
      <c r="IA437" s="58"/>
      <c r="IB437" s="58"/>
      <c r="IC437" s="58"/>
      <c r="ID437" s="58"/>
      <c r="IE437" s="58"/>
      <c r="IF437" s="58"/>
      <c r="IG437" s="58"/>
      <c r="IH437" s="58"/>
      <c r="II437" s="58"/>
      <c r="IJ437" s="58"/>
      <c r="IK437" s="58"/>
      <c r="IL437" s="58"/>
      <c r="IM437" s="58"/>
      <c r="IN437" s="58"/>
      <c r="IO437" s="58"/>
      <c r="IP437" s="58"/>
      <c r="IQ437" s="58"/>
      <c r="IR437" s="58"/>
      <c r="IS437" s="58"/>
      <c r="IT437" s="58"/>
      <c r="IU437" s="58"/>
      <c r="IV437" s="58"/>
      <c r="IW437" s="58"/>
    </row>
    <row r="438" customFormat="false" ht="12.75" hidden="false" customHeight="false" outlineLevel="0" collapsed="false">
      <c r="A438" s="5" t="n">
        <v>60</v>
      </c>
      <c r="B438" s="5" t="s">
        <v>324</v>
      </c>
      <c r="C438" s="153" t="n">
        <v>36767</v>
      </c>
      <c r="D438" s="58" t="s">
        <v>180</v>
      </c>
      <c r="E438" s="58" t="s">
        <v>89</v>
      </c>
      <c r="F438" s="58" t="s">
        <v>235</v>
      </c>
      <c r="G438" s="58" t="s">
        <v>239</v>
      </c>
      <c r="H438" s="154" t="n">
        <v>0</v>
      </c>
      <c r="I438" s="6" t="n">
        <f aca="false">+H438*K438</f>
        <v>0</v>
      </c>
      <c r="J438" s="155" t="n">
        <v>36923</v>
      </c>
      <c r="K438" s="156" t="n">
        <v>8000</v>
      </c>
      <c r="L438" s="157" t="s">
        <v>8</v>
      </c>
      <c r="M438" s="154" t="s">
        <v>322</v>
      </c>
      <c r="N438" s="158"/>
      <c r="O438" s="159" t="n">
        <f aca="false">0.01*K438</f>
        <v>80</v>
      </c>
      <c r="P438" s="58"/>
      <c r="Q438" s="160"/>
      <c r="R438" s="161"/>
      <c r="S438" s="58"/>
      <c r="T438" s="159"/>
      <c r="U438" s="162"/>
      <c r="V438" s="162"/>
      <c r="W438" s="58"/>
      <c r="X438" s="58"/>
      <c r="Y438" s="58"/>
      <c r="Z438" s="58"/>
      <c r="AA438" s="5"/>
      <c r="AB438" s="12" t="s">
        <v>95</v>
      </c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8"/>
      <c r="BL438" s="58"/>
      <c r="BM438" s="58"/>
      <c r="BN438" s="58"/>
      <c r="BO438" s="58"/>
      <c r="BP438" s="58"/>
      <c r="BQ438" s="58"/>
      <c r="BR438" s="58"/>
      <c r="BS438" s="58"/>
      <c r="BT438" s="58"/>
      <c r="BU438" s="58"/>
      <c r="BV438" s="58"/>
      <c r="BW438" s="58"/>
      <c r="BX438" s="58"/>
      <c r="BY438" s="58"/>
      <c r="BZ438" s="58"/>
      <c r="CA438" s="58"/>
      <c r="CB438" s="58"/>
      <c r="CC438" s="58"/>
      <c r="CD438" s="58"/>
      <c r="CE438" s="58"/>
      <c r="CF438" s="58"/>
      <c r="CG438" s="58"/>
      <c r="CH438" s="58"/>
      <c r="CI438" s="58"/>
      <c r="CJ438" s="58"/>
      <c r="CK438" s="58"/>
      <c r="CL438" s="58"/>
      <c r="CM438" s="58"/>
      <c r="CN438" s="58"/>
      <c r="CO438" s="58"/>
      <c r="CP438" s="58"/>
      <c r="CQ438" s="58"/>
      <c r="CR438" s="58"/>
      <c r="CS438" s="58"/>
      <c r="CT438" s="58"/>
      <c r="CU438" s="58"/>
      <c r="CV438" s="58"/>
      <c r="CW438" s="58"/>
      <c r="CX438" s="58"/>
      <c r="CY438" s="58"/>
      <c r="CZ438" s="58"/>
      <c r="DA438" s="58"/>
      <c r="DB438" s="58"/>
      <c r="DC438" s="58"/>
      <c r="DD438" s="58"/>
      <c r="DE438" s="58"/>
      <c r="DF438" s="58"/>
      <c r="DG438" s="58"/>
      <c r="DH438" s="58"/>
      <c r="DI438" s="58"/>
      <c r="DJ438" s="58"/>
      <c r="DK438" s="58"/>
      <c r="DL438" s="58"/>
      <c r="DM438" s="58"/>
      <c r="DN438" s="58"/>
      <c r="DO438" s="58"/>
      <c r="DP438" s="58"/>
      <c r="DQ438" s="58"/>
      <c r="DR438" s="58"/>
      <c r="DS438" s="58"/>
      <c r="DT438" s="58"/>
      <c r="DU438" s="58"/>
      <c r="DV438" s="58"/>
      <c r="DW438" s="58"/>
      <c r="DX438" s="58"/>
      <c r="DY438" s="58"/>
      <c r="DZ438" s="58"/>
      <c r="EA438" s="58"/>
      <c r="EB438" s="58"/>
      <c r="EC438" s="58"/>
      <c r="ED438" s="58"/>
      <c r="EE438" s="58"/>
      <c r="EF438" s="58"/>
      <c r="EG438" s="58"/>
      <c r="EH438" s="58"/>
      <c r="EI438" s="58"/>
      <c r="EJ438" s="58"/>
      <c r="EK438" s="58"/>
      <c r="EL438" s="58"/>
      <c r="EM438" s="58"/>
      <c r="EN438" s="58"/>
      <c r="EO438" s="58"/>
      <c r="EP438" s="58"/>
      <c r="EQ438" s="58"/>
      <c r="ER438" s="58"/>
      <c r="ES438" s="58"/>
      <c r="ET438" s="58"/>
      <c r="EU438" s="58"/>
      <c r="EV438" s="58"/>
      <c r="EW438" s="58"/>
      <c r="EX438" s="58"/>
      <c r="EY438" s="58"/>
      <c r="EZ438" s="58"/>
      <c r="FA438" s="58"/>
      <c r="FB438" s="58"/>
      <c r="FC438" s="58"/>
      <c r="FD438" s="58"/>
      <c r="FE438" s="58"/>
      <c r="FF438" s="58"/>
      <c r="FG438" s="58"/>
      <c r="FH438" s="58"/>
      <c r="FI438" s="58"/>
      <c r="FJ438" s="58"/>
      <c r="FK438" s="58"/>
      <c r="FL438" s="58"/>
      <c r="FM438" s="58"/>
      <c r="FN438" s="58"/>
      <c r="FO438" s="58"/>
      <c r="FP438" s="58"/>
      <c r="FQ438" s="58"/>
      <c r="FR438" s="58"/>
      <c r="FS438" s="58"/>
      <c r="FT438" s="58"/>
      <c r="FU438" s="58"/>
      <c r="FV438" s="58"/>
      <c r="FW438" s="58"/>
      <c r="FX438" s="58"/>
      <c r="FY438" s="58"/>
      <c r="FZ438" s="58"/>
      <c r="GA438" s="58"/>
      <c r="GB438" s="58"/>
      <c r="GC438" s="58"/>
      <c r="GD438" s="58"/>
      <c r="GE438" s="58"/>
      <c r="GF438" s="58"/>
      <c r="GG438" s="58"/>
      <c r="GH438" s="58"/>
      <c r="GI438" s="58"/>
      <c r="GJ438" s="58"/>
      <c r="GK438" s="58"/>
      <c r="GL438" s="58"/>
      <c r="GM438" s="58"/>
      <c r="GN438" s="58"/>
      <c r="GO438" s="58"/>
      <c r="GP438" s="58"/>
      <c r="GQ438" s="58"/>
      <c r="GR438" s="58"/>
      <c r="GS438" s="58"/>
      <c r="GT438" s="58"/>
      <c r="GU438" s="58"/>
      <c r="GV438" s="58"/>
      <c r="GW438" s="58"/>
      <c r="GX438" s="58"/>
      <c r="GY438" s="58"/>
      <c r="GZ438" s="58"/>
      <c r="HA438" s="58"/>
      <c r="HB438" s="58"/>
      <c r="HC438" s="58"/>
      <c r="HD438" s="58"/>
      <c r="HE438" s="58"/>
      <c r="HF438" s="58"/>
      <c r="HG438" s="58"/>
      <c r="HH438" s="58"/>
      <c r="HI438" s="58"/>
      <c r="HJ438" s="58"/>
      <c r="HK438" s="58"/>
      <c r="HL438" s="58"/>
      <c r="HM438" s="58"/>
      <c r="HN438" s="58"/>
      <c r="HO438" s="58"/>
      <c r="HP438" s="58"/>
      <c r="HQ438" s="58"/>
      <c r="HR438" s="58"/>
      <c r="HS438" s="58"/>
      <c r="HT438" s="58"/>
      <c r="HU438" s="58"/>
      <c r="HV438" s="58"/>
      <c r="HW438" s="58"/>
      <c r="HX438" s="58"/>
      <c r="HY438" s="58"/>
      <c r="HZ438" s="58"/>
      <c r="IA438" s="58"/>
      <c r="IB438" s="58"/>
      <c r="IC438" s="58"/>
      <c r="ID438" s="58"/>
      <c r="IE438" s="58"/>
      <c r="IF438" s="58"/>
      <c r="IG438" s="58"/>
      <c r="IH438" s="58"/>
      <c r="II438" s="58"/>
      <c r="IJ438" s="58"/>
      <c r="IK438" s="58"/>
      <c r="IL438" s="58"/>
      <c r="IM438" s="58"/>
      <c r="IN438" s="58"/>
      <c r="IO438" s="58"/>
      <c r="IP438" s="58"/>
      <c r="IQ438" s="58"/>
      <c r="IR438" s="58"/>
      <c r="IS438" s="58"/>
      <c r="IT438" s="58"/>
      <c r="IU438" s="58"/>
      <c r="IV438" s="58"/>
      <c r="IW438" s="58"/>
    </row>
    <row r="440" customFormat="false" ht="12.75" hidden="false" customHeight="false" outlineLevel="0" collapsed="false">
      <c r="A440" s="10" t="n">
        <v>61</v>
      </c>
      <c r="B440" s="10" t="s">
        <v>325</v>
      </c>
      <c r="C440" s="62" t="n">
        <v>36767</v>
      </c>
      <c r="D440" s="12" t="s">
        <v>136</v>
      </c>
      <c r="E440" s="12" t="s">
        <v>89</v>
      </c>
      <c r="F440" s="12" t="s">
        <v>326</v>
      </c>
      <c r="G440" s="12" t="s">
        <v>236</v>
      </c>
      <c r="H440" s="63" t="n">
        <v>0</v>
      </c>
      <c r="I440" s="14" t="n">
        <f aca="false">+H440*K440</f>
        <v>0</v>
      </c>
      <c r="J440" s="85" t="n">
        <v>36770</v>
      </c>
      <c r="K440" s="13" t="n">
        <v>15450</v>
      </c>
      <c r="L440" s="38" t="s">
        <v>8</v>
      </c>
      <c r="M440" s="63" t="n">
        <v>4.315</v>
      </c>
      <c r="N440" s="133" t="n">
        <f aca="false">K440*M440</f>
        <v>66666.75</v>
      </c>
      <c r="O440" s="134" t="n">
        <f aca="false">0.0118*K440</f>
        <v>182.31</v>
      </c>
      <c r="Q440" s="135" t="n">
        <v>4.44</v>
      </c>
      <c r="T440" s="134" t="n">
        <f aca="false">(M440-Q440)*K440</f>
        <v>-1931.25</v>
      </c>
      <c r="Y440" s="12" t="s">
        <v>102</v>
      </c>
      <c r="AA440" s="10" t="s">
        <v>94</v>
      </c>
      <c r="AB440" s="12" t="s">
        <v>95</v>
      </c>
    </row>
    <row r="441" customFormat="false" ht="12.75" hidden="false" customHeight="false" outlineLevel="0" collapsed="false">
      <c r="A441" s="10" t="n">
        <v>61</v>
      </c>
      <c r="B441" s="10" t="s">
        <v>325</v>
      </c>
      <c r="C441" s="62" t="n">
        <v>36767</v>
      </c>
      <c r="D441" s="12" t="s">
        <v>136</v>
      </c>
      <c r="E441" s="12" t="s">
        <v>89</v>
      </c>
      <c r="F441" s="12" t="s">
        <v>326</v>
      </c>
      <c r="G441" s="12" t="s">
        <v>236</v>
      </c>
      <c r="H441" s="63" t="n">
        <v>0</v>
      </c>
      <c r="I441" s="14" t="n">
        <f aca="false">+H441*K441</f>
        <v>0</v>
      </c>
      <c r="J441" s="85" t="n">
        <v>36800</v>
      </c>
      <c r="K441" s="13" t="n">
        <v>15800</v>
      </c>
      <c r="L441" s="38" t="s">
        <v>8</v>
      </c>
      <c r="M441" s="63" t="n">
        <v>4.315</v>
      </c>
      <c r="N441" s="133" t="n">
        <f aca="false">K441*M441</f>
        <v>68177</v>
      </c>
      <c r="O441" s="134" t="n">
        <f aca="false">0.0118*K441</f>
        <v>186.44</v>
      </c>
      <c r="Q441" s="135" t="n">
        <v>5.08</v>
      </c>
      <c r="T441" s="134" t="n">
        <f aca="false">(M441-Q441)*K441</f>
        <v>-12087</v>
      </c>
      <c r="AA441" s="10" t="s">
        <v>94</v>
      </c>
      <c r="AB441" s="12" t="s">
        <v>95</v>
      </c>
    </row>
    <row r="442" customFormat="false" ht="12.75" hidden="false" customHeight="false" outlineLevel="0" collapsed="false">
      <c r="A442" s="10" t="n">
        <v>61</v>
      </c>
      <c r="B442" s="10" t="s">
        <v>325</v>
      </c>
      <c r="C442" s="62" t="n">
        <v>36767</v>
      </c>
      <c r="D442" s="12" t="s">
        <v>136</v>
      </c>
      <c r="E442" s="12" t="s">
        <v>89</v>
      </c>
      <c r="F442" s="12" t="s">
        <v>326</v>
      </c>
      <c r="G442" s="12" t="s">
        <v>236</v>
      </c>
      <c r="H442" s="63" t="n">
        <v>0</v>
      </c>
      <c r="I442" s="14" t="n">
        <f aca="false">+H442*K442</f>
        <v>0</v>
      </c>
      <c r="J442" s="85" t="n">
        <v>36831</v>
      </c>
      <c r="K442" s="13" t="n">
        <v>15450</v>
      </c>
      <c r="L442" s="38" t="s">
        <v>8</v>
      </c>
      <c r="M442" s="63" t="n">
        <v>4.315</v>
      </c>
      <c r="N442" s="133" t="n">
        <f aca="false">K442*M442</f>
        <v>66666.75</v>
      </c>
      <c r="O442" s="134" t="n">
        <f aca="false">0.0118*K442</f>
        <v>182.31</v>
      </c>
      <c r="Q442" s="135" t="n">
        <v>4.28</v>
      </c>
      <c r="T442" s="134" t="n">
        <f aca="false">(M442-Q442)*K442</f>
        <v>540.750000000002</v>
      </c>
      <c r="AA442" s="10" t="s">
        <v>94</v>
      </c>
      <c r="AB442" s="12" t="s">
        <v>95</v>
      </c>
    </row>
    <row r="443" customFormat="false" ht="12.75" hidden="false" customHeight="false" outlineLevel="0" collapsed="false">
      <c r="A443" s="10" t="n">
        <v>61</v>
      </c>
      <c r="B443" s="10" t="s">
        <v>325</v>
      </c>
      <c r="C443" s="62" t="n">
        <v>36767</v>
      </c>
      <c r="D443" s="12" t="s">
        <v>136</v>
      </c>
      <c r="E443" s="12" t="s">
        <v>89</v>
      </c>
      <c r="F443" s="12" t="s">
        <v>326</v>
      </c>
      <c r="G443" s="12" t="s">
        <v>236</v>
      </c>
      <c r="H443" s="63" t="n">
        <v>0</v>
      </c>
      <c r="I443" s="14" t="n">
        <f aca="false">+H443*K443</f>
        <v>0</v>
      </c>
      <c r="J443" s="85" t="n">
        <v>36861</v>
      </c>
      <c r="K443" s="13" t="n">
        <v>15450</v>
      </c>
      <c r="L443" s="38" t="s">
        <v>8</v>
      </c>
      <c r="M443" s="63" t="n">
        <v>4.315</v>
      </c>
      <c r="N443" s="133" t="n">
        <f aca="false">K443*M443</f>
        <v>66666.75</v>
      </c>
      <c r="O443" s="134" t="n">
        <f aca="false">0.0118*K443</f>
        <v>182.31</v>
      </c>
      <c r="Q443" s="135" t="n">
        <v>5.72</v>
      </c>
      <c r="T443" s="134" t="n">
        <f aca="false">(M443-Q443)*K443</f>
        <v>-21707.25</v>
      </c>
      <c r="AA443" s="10" t="s">
        <v>94</v>
      </c>
      <c r="AB443" s="12" t="s">
        <v>95</v>
      </c>
    </row>
    <row r="444" customFormat="false" ht="12.75" hidden="false" customHeight="false" outlineLevel="0" collapsed="false">
      <c r="A444" s="10" t="n">
        <v>61</v>
      </c>
      <c r="B444" s="10" t="s">
        <v>325</v>
      </c>
      <c r="C444" s="62" t="n">
        <v>36767</v>
      </c>
      <c r="D444" s="12" t="s">
        <v>136</v>
      </c>
      <c r="E444" s="12" t="s">
        <v>89</v>
      </c>
      <c r="F444" s="12" t="s">
        <v>326</v>
      </c>
      <c r="G444" s="12" t="s">
        <v>236</v>
      </c>
      <c r="H444" s="63" t="n">
        <v>0</v>
      </c>
      <c r="I444" s="14" t="n">
        <f aca="false">+H444*K444</f>
        <v>0</v>
      </c>
      <c r="J444" s="85" t="n">
        <v>36892</v>
      </c>
      <c r="K444" s="13" t="n">
        <v>15200</v>
      </c>
      <c r="L444" s="38" t="s">
        <v>8</v>
      </c>
      <c r="M444" s="63" t="n">
        <v>4.315</v>
      </c>
      <c r="N444" s="133" t="n">
        <f aca="false">K444*M444</f>
        <v>65588</v>
      </c>
      <c r="O444" s="134" t="n">
        <f aca="false">0.0118*K444</f>
        <v>179.36</v>
      </c>
      <c r="Q444" s="135" t="n">
        <v>9.51</v>
      </c>
      <c r="T444" s="134" t="n">
        <f aca="false">(M444-Q444)*K444</f>
        <v>-78964</v>
      </c>
      <c r="U444" s="134"/>
      <c r="AA444" s="10" t="s">
        <v>94</v>
      </c>
      <c r="AB444" s="12" t="s">
        <v>95</v>
      </c>
    </row>
    <row r="445" customFormat="false" ht="12.75" hidden="false" customHeight="false" outlineLevel="0" collapsed="false">
      <c r="A445" s="10" t="n">
        <v>61</v>
      </c>
      <c r="B445" s="10" t="s">
        <v>325</v>
      </c>
      <c r="C445" s="62" t="n">
        <v>36767</v>
      </c>
      <c r="D445" s="12" t="s">
        <v>136</v>
      </c>
      <c r="E445" s="12" t="s">
        <v>89</v>
      </c>
      <c r="F445" s="12" t="s">
        <v>326</v>
      </c>
      <c r="G445" s="12" t="s">
        <v>236</v>
      </c>
      <c r="H445" s="63" t="n">
        <v>0</v>
      </c>
      <c r="I445" s="14" t="n">
        <f aca="false">+H445*K445</f>
        <v>0</v>
      </c>
      <c r="J445" s="85" t="n">
        <v>36923</v>
      </c>
      <c r="K445" s="13" t="n">
        <v>8200</v>
      </c>
      <c r="L445" s="38" t="s">
        <v>8</v>
      </c>
      <c r="M445" s="63" t="n">
        <v>4.315</v>
      </c>
      <c r="N445" s="133" t="n">
        <f aca="false">K445*M445</f>
        <v>35383</v>
      </c>
      <c r="O445" s="134" t="n">
        <f aca="false">0.0118*K445</f>
        <v>96.76</v>
      </c>
      <c r="R445" s="136" t="n">
        <v>8.26</v>
      </c>
      <c r="U445" s="134" t="n">
        <f aca="false">(M445-R445)*K445</f>
        <v>-32349</v>
      </c>
      <c r="AA445" s="10" t="s">
        <v>94</v>
      </c>
      <c r="AB445" s="12" t="s">
        <v>95</v>
      </c>
    </row>
    <row r="446" customFormat="false" ht="12.75" hidden="false" customHeight="false" outlineLevel="0" collapsed="false">
      <c r="A446" s="10" t="n">
        <v>61</v>
      </c>
      <c r="B446" s="10" t="s">
        <v>325</v>
      </c>
      <c r="C446" s="62" t="n">
        <v>36767</v>
      </c>
      <c r="D446" s="12" t="s">
        <v>136</v>
      </c>
      <c r="E446" s="12" t="s">
        <v>89</v>
      </c>
      <c r="F446" s="12" t="s">
        <v>326</v>
      </c>
      <c r="G446" s="12" t="s">
        <v>236</v>
      </c>
      <c r="H446" s="63" t="n">
        <v>0</v>
      </c>
      <c r="I446" s="14" t="n">
        <f aca="false">+H446*K446</f>
        <v>0</v>
      </c>
      <c r="J446" s="85" t="n">
        <v>36951</v>
      </c>
      <c r="K446" s="13" t="n">
        <v>15450</v>
      </c>
      <c r="L446" s="38" t="s">
        <v>8</v>
      </c>
      <c r="M446" s="63" t="n">
        <v>4.315</v>
      </c>
      <c r="N446" s="133" t="n">
        <f aca="false">K446*M446</f>
        <v>66666.75</v>
      </c>
      <c r="O446" s="134" t="n">
        <f aca="false">0.0118*K446</f>
        <v>182.31</v>
      </c>
      <c r="R446" s="136" t="n">
        <v>7.55</v>
      </c>
      <c r="U446" s="134" t="n">
        <f aca="false">(M446-R446)*K446</f>
        <v>-49980.75</v>
      </c>
      <c r="AA446" s="10" t="s">
        <v>94</v>
      </c>
      <c r="AB446" s="12" t="s">
        <v>95</v>
      </c>
    </row>
    <row r="447" customFormat="false" ht="12.75" hidden="false" customHeight="false" outlineLevel="0" collapsed="false">
      <c r="A447" s="10" t="n">
        <v>61</v>
      </c>
      <c r="B447" s="10" t="s">
        <v>325</v>
      </c>
      <c r="C447" s="62" t="n">
        <v>36767</v>
      </c>
      <c r="D447" s="12" t="s">
        <v>136</v>
      </c>
      <c r="E447" s="12" t="s">
        <v>89</v>
      </c>
      <c r="F447" s="12" t="s">
        <v>326</v>
      </c>
      <c r="G447" s="12" t="s">
        <v>236</v>
      </c>
      <c r="H447" s="63" t="n">
        <v>0</v>
      </c>
      <c r="I447" s="14" t="n">
        <f aca="false">+H447*K447</f>
        <v>0</v>
      </c>
      <c r="J447" s="85" t="n">
        <v>36982</v>
      </c>
      <c r="K447" s="13" t="n">
        <v>15450</v>
      </c>
      <c r="L447" s="38" t="s">
        <v>8</v>
      </c>
      <c r="M447" s="63" t="n">
        <v>4.315</v>
      </c>
      <c r="N447" s="133" t="n">
        <f aca="false">K447*M447</f>
        <v>66666.75</v>
      </c>
      <c r="O447" s="134" t="n">
        <f aca="false">0.0118*K447</f>
        <v>182.31</v>
      </c>
      <c r="R447" s="136" t="n">
        <v>5.495</v>
      </c>
      <c r="U447" s="134" t="n">
        <f aca="false">(M447-R447)*K447</f>
        <v>-18231</v>
      </c>
      <c r="AA447" s="10" t="s">
        <v>94</v>
      </c>
      <c r="AB447" s="12" t="s">
        <v>95</v>
      </c>
    </row>
    <row r="448" customFormat="false" ht="12.75" hidden="false" customHeight="false" outlineLevel="0" collapsed="false">
      <c r="A448" s="10" t="n">
        <v>61</v>
      </c>
      <c r="B448" s="10" t="s">
        <v>325</v>
      </c>
      <c r="C448" s="62" t="n">
        <v>36767</v>
      </c>
      <c r="D448" s="12" t="s">
        <v>136</v>
      </c>
      <c r="E448" s="12" t="s">
        <v>89</v>
      </c>
      <c r="F448" s="12" t="s">
        <v>326</v>
      </c>
      <c r="G448" s="12" t="s">
        <v>236</v>
      </c>
      <c r="H448" s="63" t="n">
        <v>0</v>
      </c>
      <c r="I448" s="14" t="n">
        <f aca="false">+H448*K448</f>
        <v>0</v>
      </c>
      <c r="J448" s="85" t="n">
        <v>37012</v>
      </c>
      <c r="K448" s="13" t="n">
        <v>15450</v>
      </c>
      <c r="L448" s="38" t="s">
        <v>8</v>
      </c>
      <c r="M448" s="63" t="n">
        <v>4.315</v>
      </c>
      <c r="N448" s="133" t="n">
        <f aca="false">K448*M448</f>
        <v>66666.75</v>
      </c>
      <c r="O448" s="134" t="n">
        <f aca="false">0.0118*K448</f>
        <v>182.31</v>
      </c>
      <c r="R448" s="136" t="n">
        <v>5.06</v>
      </c>
      <c r="U448" s="134" t="n">
        <f aca="false">(M448-R448)*K448</f>
        <v>-11510.25</v>
      </c>
      <c r="AA448" s="10" t="s">
        <v>94</v>
      </c>
      <c r="AB448" s="12" t="s">
        <v>95</v>
      </c>
    </row>
    <row r="450" customFormat="false" ht="12.75" hidden="false" customHeight="false" outlineLevel="0" collapsed="false">
      <c r="A450" s="10" t="n">
        <v>62</v>
      </c>
      <c r="B450" s="10" t="s">
        <v>327</v>
      </c>
      <c r="C450" s="62" t="n">
        <v>36767</v>
      </c>
      <c r="D450" s="12" t="s">
        <v>136</v>
      </c>
      <c r="E450" s="12" t="s">
        <v>89</v>
      </c>
      <c r="F450" s="12" t="s">
        <v>328</v>
      </c>
      <c r="G450" s="12" t="s">
        <v>236</v>
      </c>
      <c r="H450" s="63" t="n">
        <v>0</v>
      </c>
      <c r="I450" s="14" t="n">
        <f aca="false">+H450*K450</f>
        <v>0</v>
      </c>
      <c r="J450" s="85" t="n">
        <v>36770</v>
      </c>
      <c r="K450" s="13" t="n">
        <v>15450</v>
      </c>
      <c r="L450" s="38" t="s">
        <v>8</v>
      </c>
      <c r="M450" s="63" t="n">
        <v>4.315</v>
      </c>
      <c r="N450" s="133" t="n">
        <f aca="false">K450*M450</f>
        <v>66666.75</v>
      </c>
      <c r="O450" s="134" t="n">
        <f aca="false">0.0118*K450</f>
        <v>182.31</v>
      </c>
      <c r="Q450" s="135" t="n">
        <v>4.46</v>
      </c>
      <c r="T450" s="134" t="n">
        <f aca="false">(M450-Q450)*K450</f>
        <v>-2240.24999999999</v>
      </c>
      <c r="Y450" s="12" t="s">
        <v>102</v>
      </c>
      <c r="AA450" s="10" t="s">
        <v>94</v>
      </c>
      <c r="AB450" s="12" t="s">
        <v>95</v>
      </c>
    </row>
    <row r="451" customFormat="false" ht="12.75" hidden="false" customHeight="false" outlineLevel="0" collapsed="false">
      <c r="A451" s="10" t="n">
        <v>62</v>
      </c>
      <c r="B451" s="10" t="s">
        <v>327</v>
      </c>
      <c r="C451" s="62" t="n">
        <v>36767</v>
      </c>
      <c r="D451" s="12" t="s">
        <v>136</v>
      </c>
      <c r="E451" s="12" t="s">
        <v>89</v>
      </c>
      <c r="F451" s="12" t="s">
        <v>328</v>
      </c>
      <c r="G451" s="12" t="s">
        <v>236</v>
      </c>
      <c r="H451" s="63" t="n">
        <v>0</v>
      </c>
      <c r="I451" s="14" t="n">
        <f aca="false">+H451*K451</f>
        <v>0</v>
      </c>
      <c r="J451" s="85" t="n">
        <v>36800</v>
      </c>
      <c r="K451" s="13" t="n">
        <v>15800</v>
      </c>
      <c r="L451" s="38" t="s">
        <v>8</v>
      </c>
      <c r="M451" s="63" t="n">
        <v>4.315</v>
      </c>
      <c r="N451" s="133" t="n">
        <f aca="false">K451*M451</f>
        <v>68177</v>
      </c>
      <c r="O451" s="134" t="n">
        <f aca="false">0.0118*K451</f>
        <v>186.44</v>
      </c>
      <c r="Q451" s="135" t="n">
        <v>5.13</v>
      </c>
      <c r="T451" s="134" t="n">
        <f aca="false">(M451-Q451)*K451</f>
        <v>-12877</v>
      </c>
      <c r="AA451" s="10" t="s">
        <v>94</v>
      </c>
      <c r="AB451" s="12" t="s">
        <v>95</v>
      </c>
    </row>
    <row r="452" customFormat="false" ht="12.75" hidden="false" customHeight="false" outlineLevel="0" collapsed="false">
      <c r="A452" s="10" t="n">
        <v>62</v>
      </c>
      <c r="B452" s="10" t="s">
        <v>327</v>
      </c>
      <c r="C452" s="62" t="n">
        <v>36767</v>
      </c>
      <c r="D452" s="12" t="s">
        <v>136</v>
      </c>
      <c r="E452" s="12" t="s">
        <v>89</v>
      </c>
      <c r="F452" s="12" t="s">
        <v>328</v>
      </c>
      <c r="G452" s="12" t="s">
        <v>236</v>
      </c>
      <c r="H452" s="63" t="n">
        <v>0</v>
      </c>
      <c r="I452" s="14" t="n">
        <f aca="false">+H452*K452</f>
        <v>0</v>
      </c>
      <c r="J452" s="85" t="n">
        <v>36831</v>
      </c>
      <c r="K452" s="13" t="n">
        <v>15450</v>
      </c>
      <c r="L452" s="38" t="s">
        <v>8</v>
      </c>
      <c r="M452" s="63" t="n">
        <v>4.315</v>
      </c>
      <c r="N452" s="133" t="n">
        <f aca="false">K452*M452</f>
        <v>66666.75</v>
      </c>
      <c r="O452" s="134" t="n">
        <f aca="false">0.0118*K452</f>
        <v>182.31</v>
      </c>
      <c r="Q452" s="135" t="n">
        <v>4.34</v>
      </c>
      <c r="T452" s="134" t="n">
        <f aca="false">(M452-Q452)*K452</f>
        <v>-386.249999999992</v>
      </c>
      <c r="AA452" s="10" t="s">
        <v>94</v>
      </c>
      <c r="AB452" s="12" t="s">
        <v>95</v>
      </c>
    </row>
    <row r="453" customFormat="false" ht="12.75" hidden="false" customHeight="false" outlineLevel="0" collapsed="false">
      <c r="A453" s="10" t="n">
        <v>62</v>
      </c>
      <c r="B453" s="10" t="s">
        <v>327</v>
      </c>
      <c r="C453" s="62" t="n">
        <v>36767</v>
      </c>
      <c r="D453" s="12" t="s">
        <v>136</v>
      </c>
      <c r="E453" s="12" t="s">
        <v>89</v>
      </c>
      <c r="F453" s="12" t="s">
        <v>328</v>
      </c>
      <c r="G453" s="12" t="s">
        <v>236</v>
      </c>
      <c r="H453" s="63" t="n">
        <v>0</v>
      </c>
      <c r="I453" s="14" t="n">
        <f aca="false">+H453*K453</f>
        <v>0</v>
      </c>
      <c r="J453" s="85" t="n">
        <v>36861</v>
      </c>
      <c r="K453" s="13" t="n">
        <v>15450</v>
      </c>
      <c r="L453" s="38" t="s">
        <v>8</v>
      </c>
      <c r="M453" s="63" t="n">
        <v>4.315</v>
      </c>
      <c r="N453" s="133" t="n">
        <f aca="false">K453*M453</f>
        <v>66666.75</v>
      </c>
      <c r="O453" s="134" t="n">
        <f aca="false">0.0118*K453</f>
        <v>182.31</v>
      </c>
      <c r="Q453" s="135" t="n">
        <v>5.83</v>
      </c>
      <c r="T453" s="134" t="n">
        <f aca="false">(M453-Q453)*K453</f>
        <v>-23406.75</v>
      </c>
      <c r="AA453" s="10" t="s">
        <v>94</v>
      </c>
      <c r="AB453" s="12" t="s">
        <v>95</v>
      </c>
    </row>
    <row r="454" customFormat="false" ht="12.75" hidden="false" customHeight="false" outlineLevel="0" collapsed="false">
      <c r="A454" s="10" t="n">
        <v>62</v>
      </c>
      <c r="B454" s="10" t="s">
        <v>327</v>
      </c>
      <c r="C454" s="62" t="n">
        <v>36767</v>
      </c>
      <c r="D454" s="12" t="s">
        <v>136</v>
      </c>
      <c r="E454" s="12" t="s">
        <v>89</v>
      </c>
      <c r="F454" s="12" t="s">
        <v>328</v>
      </c>
      <c r="G454" s="12" t="s">
        <v>236</v>
      </c>
      <c r="H454" s="63" t="n">
        <v>0</v>
      </c>
      <c r="I454" s="14" t="n">
        <f aca="false">+H454*K454</f>
        <v>0</v>
      </c>
      <c r="J454" s="85" t="n">
        <v>36892</v>
      </c>
      <c r="K454" s="13" t="n">
        <v>15200</v>
      </c>
      <c r="L454" s="38" t="s">
        <v>8</v>
      </c>
      <c r="M454" s="63" t="n">
        <v>4.315</v>
      </c>
      <c r="N454" s="133" t="n">
        <f aca="false">K454*M454</f>
        <v>65588</v>
      </c>
      <c r="O454" s="134" t="n">
        <f aca="false">0.0118*K454</f>
        <v>179.36</v>
      </c>
      <c r="Q454" s="135" t="n">
        <v>9.62</v>
      </c>
      <c r="T454" s="134" t="n">
        <f aca="false">(M454-Q454)*K454</f>
        <v>-80636</v>
      </c>
      <c r="U454" s="134"/>
      <c r="AA454" s="10" t="s">
        <v>94</v>
      </c>
      <c r="AB454" s="12" t="s">
        <v>95</v>
      </c>
    </row>
    <row r="455" customFormat="false" ht="12.75" hidden="false" customHeight="false" outlineLevel="0" collapsed="false">
      <c r="A455" s="10" t="n">
        <v>62</v>
      </c>
      <c r="B455" s="10" t="s">
        <v>327</v>
      </c>
      <c r="C455" s="62" t="n">
        <v>36767</v>
      </c>
      <c r="D455" s="12" t="s">
        <v>136</v>
      </c>
      <c r="E455" s="12" t="s">
        <v>89</v>
      </c>
      <c r="F455" s="12" t="s">
        <v>328</v>
      </c>
      <c r="G455" s="12" t="s">
        <v>236</v>
      </c>
      <c r="H455" s="63" t="n">
        <v>0</v>
      </c>
      <c r="I455" s="14" t="n">
        <f aca="false">+H455*K455</f>
        <v>0</v>
      </c>
      <c r="J455" s="85" t="n">
        <v>36923</v>
      </c>
      <c r="K455" s="13" t="n">
        <v>8200</v>
      </c>
      <c r="L455" s="38" t="s">
        <v>8</v>
      </c>
      <c r="M455" s="63" t="n">
        <v>4.315</v>
      </c>
      <c r="N455" s="133" t="n">
        <f aca="false">K455*M455</f>
        <v>35383</v>
      </c>
      <c r="O455" s="134" t="n">
        <f aca="false">0.0118*K455</f>
        <v>96.76</v>
      </c>
      <c r="R455" s="136" t="n">
        <v>8.26</v>
      </c>
      <c r="U455" s="134" t="n">
        <f aca="false">(M455-R455)*K455</f>
        <v>-32349</v>
      </c>
      <c r="AA455" s="10" t="s">
        <v>94</v>
      </c>
      <c r="AB455" s="12" t="s">
        <v>95</v>
      </c>
    </row>
    <row r="456" customFormat="false" ht="12.75" hidden="false" customHeight="false" outlineLevel="0" collapsed="false">
      <c r="A456" s="10" t="n">
        <v>62</v>
      </c>
      <c r="B456" s="10" t="s">
        <v>327</v>
      </c>
      <c r="C456" s="62" t="n">
        <v>36767</v>
      </c>
      <c r="D456" s="12" t="s">
        <v>136</v>
      </c>
      <c r="E456" s="12" t="s">
        <v>89</v>
      </c>
      <c r="F456" s="12" t="s">
        <v>328</v>
      </c>
      <c r="G456" s="12" t="s">
        <v>236</v>
      </c>
      <c r="H456" s="63" t="n">
        <v>0</v>
      </c>
      <c r="I456" s="14" t="n">
        <f aca="false">+H456*K456</f>
        <v>0</v>
      </c>
      <c r="J456" s="85" t="n">
        <v>36951</v>
      </c>
      <c r="K456" s="13" t="n">
        <v>15450</v>
      </c>
      <c r="L456" s="38" t="s">
        <v>8</v>
      </c>
      <c r="M456" s="63" t="n">
        <v>4.315</v>
      </c>
      <c r="N456" s="133" t="n">
        <f aca="false">K456*M456</f>
        <v>66666.75</v>
      </c>
      <c r="O456" s="134" t="n">
        <f aca="false">0.0118*K456</f>
        <v>182.31</v>
      </c>
      <c r="R456" s="136" t="n">
        <v>7.55</v>
      </c>
      <c r="U456" s="134" t="n">
        <f aca="false">(M456-R456)*K456</f>
        <v>-49980.75</v>
      </c>
      <c r="AA456" s="10" t="s">
        <v>94</v>
      </c>
      <c r="AB456" s="12" t="s">
        <v>95</v>
      </c>
    </row>
    <row r="457" customFormat="false" ht="12.75" hidden="false" customHeight="false" outlineLevel="0" collapsed="false">
      <c r="A457" s="10" t="n">
        <v>62</v>
      </c>
      <c r="B457" s="10" t="s">
        <v>327</v>
      </c>
      <c r="C457" s="62" t="n">
        <v>36767</v>
      </c>
      <c r="D457" s="12" t="s">
        <v>136</v>
      </c>
      <c r="E457" s="12" t="s">
        <v>89</v>
      </c>
      <c r="F457" s="12" t="s">
        <v>328</v>
      </c>
      <c r="G457" s="12" t="s">
        <v>236</v>
      </c>
      <c r="H457" s="63" t="n">
        <v>0</v>
      </c>
      <c r="I457" s="14" t="n">
        <f aca="false">+H457*K457</f>
        <v>0</v>
      </c>
      <c r="J457" s="85" t="n">
        <v>36982</v>
      </c>
      <c r="K457" s="13" t="n">
        <v>15450</v>
      </c>
      <c r="L457" s="38" t="s">
        <v>8</v>
      </c>
      <c r="M457" s="63" t="n">
        <v>4.315</v>
      </c>
      <c r="N457" s="133" t="n">
        <f aca="false">K457*M457</f>
        <v>66666.75</v>
      </c>
      <c r="O457" s="134" t="n">
        <f aca="false">0.0118*K457</f>
        <v>182.31</v>
      </c>
      <c r="R457" s="136" t="n">
        <v>5.495</v>
      </c>
      <c r="U457" s="134" t="n">
        <f aca="false">(M457-R457)*K457</f>
        <v>-18231</v>
      </c>
      <c r="AA457" s="10" t="s">
        <v>94</v>
      </c>
      <c r="AB457" s="12" t="s">
        <v>95</v>
      </c>
    </row>
    <row r="458" customFormat="false" ht="12.75" hidden="false" customHeight="false" outlineLevel="0" collapsed="false">
      <c r="A458" s="10" t="n">
        <v>62</v>
      </c>
      <c r="B458" s="10" t="s">
        <v>327</v>
      </c>
      <c r="C458" s="62" t="n">
        <v>36767</v>
      </c>
      <c r="D458" s="12" t="s">
        <v>136</v>
      </c>
      <c r="E458" s="12" t="s">
        <v>89</v>
      </c>
      <c r="F458" s="12" t="s">
        <v>328</v>
      </c>
      <c r="G458" s="12" t="s">
        <v>236</v>
      </c>
      <c r="H458" s="63" t="n">
        <v>0</v>
      </c>
      <c r="I458" s="14" t="n">
        <f aca="false">+H458*K458</f>
        <v>0</v>
      </c>
      <c r="J458" s="85" t="n">
        <v>37012</v>
      </c>
      <c r="K458" s="13" t="n">
        <v>15450</v>
      </c>
      <c r="L458" s="38" t="s">
        <v>8</v>
      </c>
      <c r="M458" s="63" t="n">
        <v>4.315</v>
      </c>
      <c r="N458" s="133" t="n">
        <f aca="false">K458*M458</f>
        <v>66666.75</v>
      </c>
      <c r="O458" s="134" t="n">
        <f aca="false">0.0118*K458</f>
        <v>182.31</v>
      </c>
      <c r="R458" s="136" t="n">
        <v>5.06</v>
      </c>
      <c r="U458" s="134" t="n">
        <f aca="false">(M458-R458)*K458</f>
        <v>-11510.25</v>
      </c>
      <c r="AA458" s="10" t="s">
        <v>94</v>
      </c>
      <c r="AB458" s="12" t="s">
        <v>95</v>
      </c>
    </row>
    <row r="460" customFormat="false" ht="12.75" hidden="false" customHeight="false" outlineLevel="0" collapsed="false">
      <c r="A460" s="10" t="n">
        <v>63</v>
      </c>
      <c r="B460" s="10" t="s">
        <v>329</v>
      </c>
      <c r="C460" s="62" t="n">
        <v>36790</v>
      </c>
      <c r="D460" s="12" t="s">
        <v>183</v>
      </c>
      <c r="E460" s="12" t="s">
        <v>89</v>
      </c>
      <c r="F460" s="12" t="s">
        <v>109</v>
      </c>
      <c r="G460" s="12" t="s">
        <v>236</v>
      </c>
      <c r="H460" s="63" t="n">
        <v>0</v>
      </c>
      <c r="I460" s="14" t="n">
        <f aca="false">+H460*K460</f>
        <v>0</v>
      </c>
      <c r="J460" s="85" t="n">
        <v>36800</v>
      </c>
      <c r="K460" s="13" t="n">
        <v>165000</v>
      </c>
      <c r="L460" s="38" t="s">
        <v>8</v>
      </c>
      <c r="M460" s="86" t="n">
        <v>4.05</v>
      </c>
      <c r="N460" s="133" t="n">
        <f aca="false">K460*M460</f>
        <v>668250</v>
      </c>
      <c r="O460" s="134" t="n">
        <f aca="false">0.075*K460</f>
        <v>12375</v>
      </c>
      <c r="Q460" s="135" t="n">
        <v>5.3</v>
      </c>
      <c r="T460" s="134" t="n">
        <f aca="false">(M460-Q460)*K460</f>
        <v>-206250</v>
      </c>
      <c r="Y460" s="12" t="s">
        <v>330</v>
      </c>
      <c r="AB460" s="12" t="s">
        <v>95</v>
      </c>
    </row>
    <row r="461" customFormat="false" ht="12.75" hidden="false" customHeight="false" outlineLevel="0" collapsed="false">
      <c r="A461" s="10" t="n">
        <v>63</v>
      </c>
      <c r="B461" s="10" t="s">
        <v>329</v>
      </c>
      <c r="C461" s="62" t="n">
        <v>36790</v>
      </c>
      <c r="D461" s="12" t="s">
        <v>183</v>
      </c>
      <c r="E461" s="12" t="s">
        <v>89</v>
      </c>
      <c r="F461" s="12" t="s">
        <v>109</v>
      </c>
      <c r="G461" s="12" t="s">
        <v>236</v>
      </c>
      <c r="H461" s="63" t="n">
        <v>0</v>
      </c>
      <c r="I461" s="14" t="n">
        <f aca="false">+H461*K461</f>
        <v>0</v>
      </c>
      <c r="J461" s="85" t="n">
        <v>36831</v>
      </c>
      <c r="K461" s="13" t="n">
        <v>165000</v>
      </c>
      <c r="L461" s="38" t="s">
        <v>8</v>
      </c>
      <c r="M461" s="86" t="n">
        <v>4.05</v>
      </c>
      <c r="N461" s="133" t="n">
        <f aca="false">K461*M461</f>
        <v>668250</v>
      </c>
      <c r="O461" s="134" t="n">
        <f aca="false">0.075*K461</f>
        <v>12375</v>
      </c>
      <c r="Q461" s="135" t="n">
        <v>4.46</v>
      </c>
      <c r="T461" s="134" t="n">
        <f aca="false">(M461-Q461)*K461</f>
        <v>-67650</v>
      </c>
      <c r="AB461" s="12" t="s">
        <v>95</v>
      </c>
    </row>
    <row r="462" customFormat="false" ht="12.75" hidden="false" customHeight="false" outlineLevel="0" collapsed="false">
      <c r="A462" s="10" t="n">
        <v>63</v>
      </c>
      <c r="B462" s="10" t="s">
        <v>329</v>
      </c>
      <c r="C462" s="62" t="n">
        <v>36790</v>
      </c>
      <c r="D462" s="12" t="s">
        <v>183</v>
      </c>
      <c r="E462" s="12" t="s">
        <v>89</v>
      </c>
      <c r="F462" s="12" t="s">
        <v>109</v>
      </c>
      <c r="G462" s="12" t="s">
        <v>236</v>
      </c>
      <c r="H462" s="63" t="n">
        <v>0</v>
      </c>
      <c r="I462" s="14" t="n">
        <f aca="false">+H462*K462</f>
        <v>0</v>
      </c>
      <c r="J462" s="85" t="n">
        <v>36861</v>
      </c>
      <c r="K462" s="13" t="n">
        <v>165000</v>
      </c>
      <c r="L462" s="38" t="s">
        <v>8</v>
      </c>
      <c r="M462" s="86" t="n">
        <v>4.05</v>
      </c>
      <c r="N462" s="133" t="n">
        <f aca="false">K462*M462</f>
        <v>668250</v>
      </c>
      <c r="O462" s="134" t="n">
        <f aca="false">0.075*K462</f>
        <v>12375</v>
      </c>
      <c r="Q462" s="135" t="s">
        <v>106</v>
      </c>
      <c r="T462" s="135" t="s">
        <v>106</v>
      </c>
      <c r="AB462" s="12" t="s">
        <v>95</v>
      </c>
    </row>
    <row r="463" customFormat="false" ht="12.75" hidden="false" customHeight="false" outlineLevel="0" collapsed="false">
      <c r="A463" s="10" t="n">
        <v>63</v>
      </c>
      <c r="B463" s="10" t="s">
        <v>329</v>
      </c>
      <c r="C463" s="62" t="n">
        <v>36790</v>
      </c>
      <c r="D463" s="12" t="s">
        <v>183</v>
      </c>
      <c r="E463" s="12" t="s">
        <v>89</v>
      </c>
      <c r="F463" s="12" t="s">
        <v>109</v>
      </c>
      <c r="G463" s="12" t="s">
        <v>236</v>
      </c>
      <c r="H463" s="63" t="n">
        <v>0</v>
      </c>
      <c r="I463" s="14" t="n">
        <f aca="false">+H463*K463</f>
        <v>0</v>
      </c>
      <c r="J463" s="85" t="n">
        <v>36892</v>
      </c>
      <c r="K463" s="13" t="n">
        <v>165000</v>
      </c>
      <c r="L463" s="38" t="s">
        <v>8</v>
      </c>
      <c r="M463" s="86" t="n">
        <v>4.05</v>
      </c>
      <c r="N463" s="133" t="n">
        <f aca="false">K463*M463</f>
        <v>668250</v>
      </c>
      <c r="O463" s="134" t="n">
        <f aca="false">0.075*K463</f>
        <v>12375</v>
      </c>
      <c r="Q463" s="135" t="s">
        <v>106</v>
      </c>
      <c r="T463" s="135" t="s">
        <v>106</v>
      </c>
      <c r="AB463" s="12" t="s">
        <v>95</v>
      </c>
    </row>
    <row r="464" customFormat="false" ht="12.75" hidden="false" customHeight="false" outlineLevel="0" collapsed="false">
      <c r="A464" s="10" t="n">
        <v>63</v>
      </c>
      <c r="B464" s="10" t="s">
        <v>329</v>
      </c>
      <c r="C464" s="62" t="n">
        <v>36790</v>
      </c>
      <c r="D464" s="12" t="s">
        <v>183</v>
      </c>
      <c r="E464" s="12" t="s">
        <v>89</v>
      </c>
      <c r="F464" s="12" t="s">
        <v>109</v>
      </c>
      <c r="G464" s="12" t="s">
        <v>236</v>
      </c>
      <c r="H464" s="63" t="n">
        <v>0</v>
      </c>
      <c r="I464" s="14" t="n">
        <f aca="false">+H464*K464</f>
        <v>0</v>
      </c>
      <c r="J464" s="85" t="n">
        <v>36923</v>
      </c>
      <c r="K464" s="13" t="n">
        <v>165000</v>
      </c>
      <c r="L464" s="38" t="s">
        <v>8</v>
      </c>
      <c r="M464" s="86" t="n">
        <v>4.05</v>
      </c>
      <c r="N464" s="133" t="n">
        <f aca="false">K464*M464</f>
        <v>668250</v>
      </c>
      <c r="O464" s="134" t="n">
        <f aca="false">0.075*K464</f>
        <v>12375</v>
      </c>
      <c r="Q464" s="135" t="s">
        <v>106</v>
      </c>
      <c r="T464" s="135" t="s">
        <v>106</v>
      </c>
      <c r="AB464" s="12" t="s">
        <v>95</v>
      </c>
    </row>
    <row r="465" customFormat="false" ht="12.75" hidden="false" customHeight="false" outlineLevel="0" collapsed="false">
      <c r="A465" s="10" t="n">
        <v>63</v>
      </c>
      <c r="B465" s="10" t="s">
        <v>329</v>
      </c>
      <c r="C465" s="62" t="n">
        <v>36790</v>
      </c>
      <c r="D465" s="12" t="s">
        <v>183</v>
      </c>
      <c r="E465" s="12" t="s">
        <v>89</v>
      </c>
      <c r="F465" s="12" t="s">
        <v>109</v>
      </c>
      <c r="G465" s="12" t="s">
        <v>236</v>
      </c>
      <c r="H465" s="63" t="n">
        <v>0</v>
      </c>
      <c r="I465" s="14" t="n">
        <f aca="false">+H465*K465</f>
        <v>0</v>
      </c>
      <c r="J465" s="85" t="n">
        <v>36951</v>
      </c>
      <c r="K465" s="13" t="n">
        <v>165000</v>
      </c>
      <c r="L465" s="38" t="s">
        <v>8</v>
      </c>
      <c r="M465" s="86" t="n">
        <v>4.05</v>
      </c>
      <c r="N465" s="133" t="n">
        <f aca="false">K465*M465</f>
        <v>668250</v>
      </c>
      <c r="O465" s="134" t="n">
        <f aca="false">0.075*K465</f>
        <v>12375</v>
      </c>
      <c r="Q465" s="135" t="s">
        <v>106</v>
      </c>
      <c r="T465" s="135" t="s">
        <v>106</v>
      </c>
      <c r="AB465" s="12" t="s">
        <v>95</v>
      </c>
    </row>
    <row r="466" customFormat="false" ht="12.75" hidden="false" customHeight="false" outlineLevel="0" collapsed="false">
      <c r="A466" s="10" t="n">
        <v>63</v>
      </c>
      <c r="B466" s="10" t="s">
        <v>329</v>
      </c>
      <c r="C466" s="62" t="n">
        <v>36790</v>
      </c>
      <c r="D466" s="12" t="s">
        <v>183</v>
      </c>
      <c r="E466" s="12" t="s">
        <v>89</v>
      </c>
      <c r="F466" s="12" t="s">
        <v>109</v>
      </c>
      <c r="G466" s="12" t="s">
        <v>236</v>
      </c>
      <c r="H466" s="63" t="n">
        <v>0</v>
      </c>
      <c r="I466" s="14" t="n">
        <f aca="false">+H466*K466</f>
        <v>0</v>
      </c>
      <c r="J466" s="85" t="n">
        <v>36982</v>
      </c>
      <c r="K466" s="13" t="n">
        <v>165000</v>
      </c>
      <c r="L466" s="38" t="s">
        <v>8</v>
      </c>
      <c r="M466" s="86" t="n">
        <v>4.05</v>
      </c>
      <c r="N466" s="133" t="n">
        <f aca="false">K466*M466</f>
        <v>668250</v>
      </c>
      <c r="O466" s="134" t="n">
        <f aca="false">0.075*K466</f>
        <v>12375</v>
      </c>
      <c r="Q466" s="135" t="s">
        <v>106</v>
      </c>
      <c r="T466" s="135" t="s">
        <v>106</v>
      </c>
      <c r="AB466" s="12" t="s">
        <v>95</v>
      </c>
    </row>
    <row r="467" customFormat="false" ht="12.75" hidden="false" customHeight="false" outlineLevel="0" collapsed="false">
      <c r="A467" s="10" t="n">
        <v>63</v>
      </c>
      <c r="B467" s="10" t="s">
        <v>329</v>
      </c>
      <c r="C467" s="62" t="n">
        <v>36790</v>
      </c>
      <c r="D467" s="12" t="s">
        <v>183</v>
      </c>
      <c r="E467" s="12" t="s">
        <v>89</v>
      </c>
      <c r="F467" s="12" t="s">
        <v>109</v>
      </c>
      <c r="G467" s="12" t="s">
        <v>236</v>
      </c>
      <c r="H467" s="63" t="n">
        <v>0</v>
      </c>
      <c r="I467" s="14" t="n">
        <f aca="false">+H467*K467</f>
        <v>0</v>
      </c>
      <c r="J467" s="85" t="n">
        <v>37012</v>
      </c>
      <c r="K467" s="13" t="n">
        <v>165000</v>
      </c>
      <c r="L467" s="38" t="s">
        <v>8</v>
      </c>
      <c r="M467" s="86" t="n">
        <v>4.05</v>
      </c>
      <c r="N467" s="133" t="n">
        <f aca="false">K467*M467</f>
        <v>668250</v>
      </c>
      <c r="O467" s="134" t="n">
        <f aca="false">0.075*K467</f>
        <v>12375</v>
      </c>
      <c r="Q467" s="135" t="s">
        <v>106</v>
      </c>
      <c r="T467" s="135" t="s">
        <v>106</v>
      </c>
      <c r="AB467" s="12" t="s">
        <v>95</v>
      </c>
    </row>
    <row r="468" customFormat="false" ht="12.75" hidden="false" customHeight="false" outlineLevel="0" collapsed="false">
      <c r="A468" s="10" t="n">
        <v>63</v>
      </c>
      <c r="B468" s="10" t="s">
        <v>329</v>
      </c>
      <c r="C468" s="62" t="n">
        <v>36790</v>
      </c>
      <c r="D468" s="12" t="s">
        <v>183</v>
      </c>
      <c r="E468" s="12" t="s">
        <v>89</v>
      </c>
      <c r="F468" s="12" t="s">
        <v>109</v>
      </c>
      <c r="G468" s="12" t="s">
        <v>236</v>
      </c>
      <c r="H468" s="63" t="n">
        <v>0</v>
      </c>
      <c r="I468" s="14" t="n">
        <f aca="false">+H468*K468</f>
        <v>0</v>
      </c>
      <c r="J468" s="85" t="n">
        <v>37043</v>
      </c>
      <c r="K468" s="13" t="n">
        <v>165000</v>
      </c>
      <c r="L468" s="38" t="s">
        <v>8</v>
      </c>
      <c r="M468" s="86" t="n">
        <v>4.05</v>
      </c>
      <c r="N468" s="133" t="n">
        <f aca="false">K468*M468</f>
        <v>668250</v>
      </c>
      <c r="O468" s="134" t="n">
        <f aca="false">0.075*K468</f>
        <v>12375</v>
      </c>
      <c r="Q468" s="135" t="s">
        <v>106</v>
      </c>
      <c r="T468" s="135" t="s">
        <v>106</v>
      </c>
      <c r="W468" s="137"/>
      <c r="X468" s="137"/>
      <c r="AB468" s="12" t="s">
        <v>95</v>
      </c>
    </row>
    <row r="469" customFormat="false" ht="12.75" hidden="false" customHeight="false" outlineLevel="0" collapsed="false">
      <c r="A469" s="10" t="n">
        <v>63</v>
      </c>
      <c r="B469" s="10" t="s">
        <v>329</v>
      </c>
      <c r="C469" s="62" t="n">
        <v>36790</v>
      </c>
      <c r="D469" s="12" t="s">
        <v>183</v>
      </c>
      <c r="E469" s="12" t="s">
        <v>89</v>
      </c>
      <c r="F469" s="12" t="s">
        <v>109</v>
      </c>
      <c r="G469" s="12" t="s">
        <v>236</v>
      </c>
      <c r="H469" s="63" t="n">
        <v>0</v>
      </c>
      <c r="I469" s="14" t="n">
        <f aca="false">+H469*K469</f>
        <v>0</v>
      </c>
      <c r="J469" s="85" t="n">
        <v>37073</v>
      </c>
      <c r="K469" s="13" t="n">
        <v>165000</v>
      </c>
      <c r="L469" s="38" t="s">
        <v>8</v>
      </c>
      <c r="M469" s="86" t="n">
        <v>4.05</v>
      </c>
      <c r="N469" s="133" t="n">
        <f aca="false">K469*M469</f>
        <v>668250</v>
      </c>
      <c r="O469" s="134" t="n">
        <f aca="false">0.075*K469</f>
        <v>12375</v>
      </c>
      <c r="Q469" s="135" t="s">
        <v>106</v>
      </c>
      <c r="T469" s="135" t="s">
        <v>106</v>
      </c>
      <c r="AB469" s="12" t="s">
        <v>95</v>
      </c>
    </row>
    <row r="470" customFormat="false" ht="12.75" hidden="false" customHeight="false" outlineLevel="0" collapsed="false">
      <c r="A470" s="10" t="n">
        <v>63</v>
      </c>
      <c r="B470" s="10" t="s">
        <v>329</v>
      </c>
      <c r="C470" s="62" t="n">
        <v>36790</v>
      </c>
      <c r="D470" s="12" t="s">
        <v>183</v>
      </c>
      <c r="E470" s="12" t="s">
        <v>89</v>
      </c>
      <c r="F470" s="12" t="s">
        <v>109</v>
      </c>
      <c r="G470" s="12" t="s">
        <v>236</v>
      </c>
      <c r="H470" s="63" t="n">
        <v>0</v>
      </c>
      <c r="I470" s="14" t="n">
        <f aca="false">+H470*K470</f>
        <v>0</v>
      </c>
      <c r="J470" s="85" t="n">
        <v>37104</v>
      </c>
      <c r="K470" s="13" t="n">
        <v>165000</v>
      </c>
      <c r="L470" s="38" t="s">
        <v>8</v>
      </c>
      <c r="M470" s="86" t="n">
        <v>4.05</v>
      </c>
      <c r="N470" s="133" t="n">
        <f aca="false">K470*M470</f>
        <v>668250</v>
      </c>
      <c r="O470" s="134" t="n">
        <f aca="false">0.075*K470</f>
        <v>12375</v>
      </c>
      <c r="Q470" s="135" t="s">
        <v>106</v>
      </c>
      <c r="T470" s="135" t="s">
        <v>106</v>
      </c>
      <c r="AB470" s="12" t="s">
        <v>95</v>
      </c>
    </row>
    <row r="471" customFormat="false" ht="12.75" hidden="false" customHeight="false" outlineLevel="1" collapsed="false">
      <c r="A471" s="10" t="n">
        <v>63</v>
      </c>
      <c r="B471" s="10" t="s">
        <v>329</v>
      </c>
      <c r="C471" s="62" t="n">
        <v>36790</v>
      </c>
      <c r="D471" s="12" t="s">
        <v>183</v>
      </c>
      <c r="E471" s="12" t="s">
        <v>89</v>
      </c>
      <c r="F471" s="12" t="s">
        <v>109</v>
      </c>
      <c r="G471" s="12" t="s">
        <v>236</v>
      </c>
      <c r="H471" s="63" t="n">
        <v>0</v>
      </c>
      <c r="I471" s="14" t="n">
        <f aca="false">+H471*K471</f>
        <v>0</v>
      </c>
      <c r="J471" s="85" t="n">
        <v>37135</v>
      </c>
      <c r="K471" s="13" t="n">
        <v>165000</v>
      </c>
      <c r="L471" s="38" t="s">
        <v>8</v>
      </c>
      <c r="M471" s="86" t="n">
        <v>4.05</v>
      </c>
      <c r="N471" s="133" t="n">
        <f aca="false">K471*M471</f>
        <v>668250</v>
      </c>
      <c r="O471" s="134" t="n">
        <f aca="false">0.075*K471</f>
        <v>12375</v>
      </c>
      <c r="Q471" s="135" t="s">
        <v>106</v>
      </c>
      <c r="T471" s="135" t="s">
        <v>106</v>
      </c>
      <c r="AB471" s="12" t="s">
        <v>95</v>
      </c>
    </row>
    <row r="472" customFormat="false" ht="12.75" hidden="false" customHeight="false" outlineLevel="1" collapsed="false">
      <c r="A472" s="10" t="n">
        <v>63</v>
      </c>
      <c r="B472" s="10" t="s">
        <v>329</v>
      </c>
      <c r="C472" s="62" t="n">
        <v>36790</v>
      </c>
      <c r="D472" s="12" t="s">
        <v>183</v>
      </c>
      <c r="E472" s="12" t="s">
        <v>89</v>
      </c>
      <c r="F472" s="12" t="s">
        <v>109</v>
      </c>
      <c r="G472" s="12" t="s">
        <v>236</v>
      </c>
      <c r="H472" s="63" t="n">
        <v>0</v>
      </c>
      <c r="I472" s="14" t="n">
        <f aca="false">+H472*K472</f>
        <v>0</v>
      </c>
      <c r="J472" s="85" t="n">
        <v>37165</v>
      </c>
      <c r="K472" s="13" t="n">
        <v>165000</v>
      </c>
      <c r="L472" s="38" t="s">
        <v>8</v>
      </c>
      <c r="M472" s="86" t="n">
        <v>4.05</v>
      </c>
      <c r="N472" s="133" t="n">
        <f aca="false">K472*M472</f>
        <v>668250</v>
      </c>
      <c r="O472" s="134" t="n">
        <f aca="false">0.075*K472</f>
        <v>12375</v>
      </c>
      <c r="Q472" s="135" t="s">
        <v>106</v>
      </c>
      <c r="T472" s="135" t="s">
        <v>106</v>
      </c>
      <c r="AB472" s="12" t="s">
        <v>95</v>
      </c>
    </row>
    <row r="473" customFormat="false" ht="12.75" hidden="false" customHeight="false" outlineLevel="1" collapsed="false">
      <c r="A473" s="10" t="n">
        <v>63</v>
      </c>
      <c r="B473" s="10" t="s">
        <v>329</v>
      </c>
      <c r="C473" s="62" t="n">
        <v>36790</v>
      </c>
      <c r="D473" s="12" t="s">
        <v>183</v>
      </c>
      <c r="E473" s="12" t="s">
        <v>89</v>
      </c>
      <c r="F473" s="12" t="s">
        <v>109</v>
      </c>
      <c r="G473" s="12" t="s">
        <v>236</v>
      </c>
      <c r="H473" s="63" t="n">
        <v>0</v>
      </c>
      <c r="I473" s="14" t="n">
        <f aca="false">+H473*K473</f>
        <v>0</v>
      </c>
      <c r="J473" s="85" t="n">
        <v>37196</v>
      </c>
      <c r="K473" s="13" t="n">
        <v>165000</v>
      </c>
      <c r="L473" s="38" t="s">
        <v>8</v>
      </c>
      <c r="M473" s="86" t="n">
        <v>4.05</v>
      </c>
      <c r="N473" s="133" t="n">
        <f aca="false">K473*M473</f>
        <v>668250</v>
      </c>
      <c r="O473" s="134" t="n">
        <f aca="false">0.075*K473</f>
        <v>12375</v>
      </c>
      <c r="Q473" s="135" t="s">
        <v>106</v>
      </c>
      <c r="T473" s="135" t="s">
        <v>106</v>
      </c>
      <c r="AB473" s="12" t="s">
        <v>95</v>
      </c>
    </row>
    <row r="474" customFormat="false" ht="12.75" hidden="false" customHeight="false" outlineLevel="1" collapsed="false">
      <c r="A474" s="10" t="n">
        <v>63</v>
      </c>
      <c r="B474" s="10" t="s">
        <v>329</v>
      </c>
      <c r="C474" s="62" t="n">
        <v>36790</v>
      </c>
      <c r="D474" s="12" t="s">
        <v>183</v>
      </c>
      <c r="E474" s="12" t="s">
        <v>89</v>
      </c>
      <c r="F474" s="12" t="s">
        <v>109</v>
      </c>
      <c r="G474" s="12" t="s">
        <v>236</v>
      </c>
      <c r="H474" s="63" t="n">
        <v>0</v>
      </c>
      <c r="I474" s="14" t="n">
        <f aca="false">+H474*K474</f>
        <v>0</v>
      </c>
      <c r="J474" s="85" t="n">
        <v>37226</v>
      </c>
      <c r="K474" s="13" t="n">
        <v>165000</v>
      </c>
      <c r="L474" s="38" t="s">
        <v>8</v>
      </c>
      <c r="M474" s="86" t="n">
        <v>4.05</v>
      </c>
      <c r="N474" s="133" t="n">
        <f aca="false">K474*M474</f>
        <v>668250</v>
      </c>
      <c r="O474" s="134" t="n">
        <f aca="false">0.075*K474</f>
        <v>12375</v>
      </c>
      <c r="Q474" s="135" t="s">
        <v>106</v>
      </c>
      <c r="T474" s="135" t="s">
        <v>106</v>
      </c>
      <c r="AB474" s="12" t="s">
        <v>95</v>
      </c>
    </row>
    <row r="475" customFormat="false" ht="12.75" hidden="false" customHeight="false" outlineLevel="1" collapsed="false">
      <c r="A475" s="10" t="n">
        <v>63</v>
      </c>
      <c r="B475" s="10" t="s">
        <v>329</v>
      </c>
      <c r="C475" s="62" t="n">
        <v>36790</v>
      </c>
      <c r="D475" s="12" t="s">
        <v>183</v>
      </c>
      <c r="E475" s="12" t="s">
        <v>89</v>
      </c>
      <c r="F475" s="12" t="s">
        <v>109</v>
      </c>
      <c r="G475" s="12" t="s">
        <v>236</v>
      </c>
      <c r="H475" s="63" t="n">
        <v>0</v>
      </c>
      <c r="I475" s="14" t="n">
        <f aca="false">+H475*K475</f>
        <v>0</v>
      </c>
      <c r="J475" s="85" t="n">
        <v>37257</v>
      </c>
      <c r="K475" s="13" t="n">
        <v>165000</v>
      </c>
      <c r="L475" s="38" t="s">
        <v>8</v>
      </c>
      <c r="M475" s="86" t="n">
        <v>4.05</v>
      </c>
      <c r="N475" s="133" t="n">
        <f aca="false">K475*M475</f>
        <v>668250</v>
      </c>
      <c r="O475" s="134" t="n">
        <f aca="false">0.075*K475</f>
        <v>12375</v>
      </c>
      <c r="Q475" s="135" t="s">
        <v>106</v>
      </c>
      <c r="T475" s="135" t="s">
        <v>106</v>
      </c>
      <c r="AB475" s="12" t="s">
        <v>95</v>
      </c>
    </row>
    <row r="476" customFormat="false" ht="12.75" hidden="false" customHeight="false" outlineLevel="1" collapsed="false">
      <c r="A476" s="10" t="n">
        <v>63</v>
      </c>
      <c r="B476" s="10" t="s">
        <v>329</v>
      </c>
      <c r="C476" s="62" t="n">
        <v>36790</v>
      </c>
      <c r="D476" s="12" t="s">
        <v>183</v>
      </c>
      <c r="E476" s="12" t="s">
        <v>89</v>
      </c>
      <c r="F476" s="12" t="s">
        <v>109</v>
      </c>
      <c r="G476" s="12" t="s">
        <v>236</v>
      </c>
      <c r="H476" s="63" t="n">
        <v>0</v>
      </c>
      <c r="I476" s="14" t="n">
        <f aca="false">+H476*K476</f>
        <v>0</v>
      </c>
      <c r="J476" s="85" t="n">
        <v>37288</v>
      </c>
      <c r="K476" s="13" t="n">
        <v>165000</v>
      </c>
      <c r="L476" s="38" t="s">
        <v>8</v>
      </c>
      <c r="M476" s="86" t="n">
        <v>4.05</v>
      </c>
      <c r="N476" s="133" t="n">
        <f aca="false">K476*M476</f>
        <v>668250</v>
      </c>
      <c r="O476" s="134" t="n">
        <f aca="false">0.075*K476</f>
        <v>12375</v>
      </c>
      <c r="Q476" s="135" t="s">
        <v>106</v>
      </c>
      <c r="T476" s="135" t="s">
        <v>106</v>
      </c>
      <c r="AB476" s="12" t="s">
        <v>95</v>
      </c>
    </row>
    <row r="477" customFormat="false" ht="12.75" hidden="false" customHeight="false" outlineLevel="1" collapsed="false">
      <c r="A477" s="10" t="n">
        <v>63</v>
      </c>
      <c r="B477" s="10" t="s">
        <v>329</v>
      </c>
      <c r="C477" s="62" t="n">
        <v>36790</v>
      </c>
      <c r="D477" s="12" t="s">
        <v>183</v>
      </c>
      <c r="E477" s="12" t="s">
        <v>89</v>
      </c>
      <c r="F477" s="12" t="s">
        <v>109</v>
      </c>
      <c r="G477" s="12" t="s">
        <v>236</v>
      </c>
      <c r="H477" s="63" t="n">
        <v>0</v>
      </c>
      <c r="I477" s="14" t="n">
        <f aca="false">+H477*K477</f>
        <v>0</v>
      </c>
      <c r="J477" s="85" t="n">
        <v>37316</v>
      </c>
      <c r="K477" s="13" t="n">
        <v>165000</v>
      </c>
      <c r="L477" s="38" t="s">
        <v>8</v>
      </c>
      <c r="M477" s="86" t="n">
        <v>4.05</v>
      </c>
      <c r="N477" s="133" t="n">
        <f aca="false">K477*M477</f>
        <v>668250</v>
      </c>
      <c r="O477" s="134" t="n">
        <f aca="false">0.075*K477</f>
        <v>12375</v>
      </c>
      <c r="Q477" s="135" t="s">
        <v>106</v>
      </c>
      <c r="T477" s="135" t="s">
        <v>106</v>
      </c>
      <c r="AB477" s="12" t="s">
        <v>95</v>
      </c>
    </row>
    <row r="478" customFormat="false" ht="12.75" hidden="false" customHeight="false" outlineLevel="1" collapsed="false">
      <c r="A478" s="10" t="n">
        <v>63</v>
      </c>
      <c r="B478" s="10" t="s">
        <v>329</v>
      </c>
      <c r="C478" s="62" t="n">
        <v>36790</v>
      </c>
      <c r="D478" s="12" t="s">
        <v>183</v>
      </c>
      <c r="E478" s="12" t="s">
        <v>89</v>
      </c>
      <c r="F478" s="12" t="s">
        <v>109</v>
      </c>
      <c r="G478" s="12" t="s">
        <v>236</v>
      </c>
      <c r="H478" s="63" t="n">
        <v>0</v>
      </c>
      <c r="I478" s="14" t="n">
        <f aca="false">+H478*K478</f>
        <v>0</v>
      </c>
      <c r="J478" s="85" t="n">
        <v>37347</v>
      </c>
      <c r="K478" s="13" t="n">
        <v>165000</v>
      </c>
      <c r="L478" s="38" t="s">
        <v>8</v>
      </c>
      <c r="M478" s="86" t="n">
        <v>4.05</v>
      </c>
      <c r="N478" s="133" t="n">
        <f aca="false">K478*M478</f>
        <v>668250</v>
      </c>
      <c r="O478" s="134" t="n">
        <f aca="false">0.075*K478</f>
        <v>12375</v>
      </c>
      <c r="Q478" s="135" t="s">
        <v>106</v>
      </c>
      <c r="T478" s="135" t="s">
        <v>106</v>
      </c>
      <c r="AB478" s="12" t="s">
        <v>95</v>
      </c>
    </row>
    <row r="479" customFormat="false" ht="12.75" hidden="false" customHeight="false" outlineLevel="1" collapsed="false">
      <c r="A479" s="10" t="n">
        <v>63</v>
      </c>
      <c r="B479" s="10" t="s">
        <v>329</v>
      </c>
      <c r="C479" s="62" t="n">
        <v>36790</v>
      </c>
      <c r="D479" s="12" t="s">
        <v>183</v>
      </c>
      <c r="E479" s="12" t="s">
        <v>89</v>
      </c>
      <c r="F479" s="12" t="s">
        <v>109</v>
      </c>
      <c r="G479" s="12" t="s">
        <v>236</v>
      </c>
      <c r="H479" s="63" t="n">
        <v>0</v>
      </c>
      <c r="I479" s="14" t="n">
        <f aca="false">+H479*K479</f>
        <v>0</v>
      </c>
      <c r="J479" s="85" t="n">
        <v>37377</v>
      </c>
      <c r="K479" s="13" t="n">
        <v>165000</v>
      </c>
      <c r="L479" s="38" t="s">
        <v>8</v>
      </c>
      <c r="M479" s="86" t="n">
        <v>4.05</v>
      </c>
      <c r="N479" s="133" t="n">
        <f aca="false">K479*M479</f>
        <v>668250</v>
      </c>
      <c r="O479" s="134" t="n">
        <f aca="false">0.075*K479</f>
        <v>12375</v>
      </c>
      <c r="Q479" s="135" t="s">
        <v>106</v>
      </c>
      <c r="T479" s="135" t="s">
        <v>106</v>
      </c>
      <c r="AB479" s="12" t="s">
        <v>95</v>
      </c>
    </row>
    <row r="480" customFormat="false" ht="12.75" hidden="false" customHeight="false" outlineLevel="1" collapsed="false">
      <c r="A480" s="10" t="n">
        <v>63</v>
      </c>
      <c r="B480" s="10" t="s">
        <v>329</v>
      </c>
      <c r="C480" s="62" t="n">
        <v>36790</v>
      </c>
      <c r="D480" s="12" t="s">
        <v>183</v>
      </c>
      <c r="E480" s="12" t="s">
        <v>89</v>
      </c>
      <c r="F480" s="12" t="s">
        <v>109</v>
      </c>
      <c r="G480" s="12" t="s">
        <v>236</v>
      </c>
      <c r="H480" s="63" t="n">
        <v>0</v>
      </c>
      <c r="I480" s="14" t="n">
        <f aca="false">+H480*K480</f>
        <v>0</v>
      </c>
      <c r="J480" s="85" t="n">
        <v>37408</v>
      </c>
      <c r="K480" s="13" t="n">
        <v>165000</v>
      </c>
      <c r="L480" s="38" t="s">
        <v>8</v>
      </c>
      <c r="M480" s="86" t="n">
        <v>4.05</v>
      </c>
      <c r="N480" s="133" t="n">
        <f aca="false">K480*M480</f>
        <v>668250</v>
      </c>
      <c r="O480" s="134" t="n">
        <f aca="false">0.075*K480</f>
        <v>12375</v>
      </c>
      <c r="Q480" s="135" t="s">
        <v>106</v>
      </c>
      <c r="T480" s="135" t="s">
        <v>106</v>
      </c>
      <c r="AB480" s="12" t="s">
        <v>95</v>
      </c>
    </row>
    <row r="481" customFormat="false" ht="12.75" hidden="false" customHeight="false" outlineLevel="1" collapsed="false">
      <c r="A481" s="10" t="n">
        <v>63</v>
      </c>
      <c r="B481" s="10" t="s">
        <v>329</v>
      </c>
      <c r="C481" s="62" t="n">
        <v>36790</v>
      </c>
      <c r="D481" s="12" t="s">
        <v>183</v>
      </c>
      <c r="E481" s="12" t="s">
        <v>89</v>
      </c>
      <c r="F481" s="12" t="s">
        <v>109</v>
      </c>
      <c r="G481" s="12" t="s">
        <v>236</v>
      </c>
      <c r="H481" s="63" t="n">
        <v>0</v>
      </c>
      <c r="I481" s="14" t="n">
        <f aca="false">+H481*K481</f>
        <v>0</v>
      </c>
      <c r="J481" s="85" t="n">
        <v>37438</v>
      </c>
      <c r="K481" s="13" t="n">
        <v>165000</v>
      </c>
      <c r="L481" s="38" t="s">
        <v>8</v>
      </c>
      <c r="M481" s="86" t="n">
        <v>4.05</v>
      </c>
      <c r="N481" s="133" t="n">
        <f aca="false">K481*M481</f>
        <v>668250</v>
      </c>
      <c r="O481" s="134" t="n">
        <f aca="false">0.075*K481</f>
        <v>12375</v>
      </c>
      <c r="Q481" s="135" t="s">
        <v>106</v>
      </c>
      <c r="T481" s="135" t="s">
        <v>106</v>
      </c>
      <c r="AB481" s="12" t="s">
        <v>95</v>
      </c>
    </row>
    <row r="482" customFormat="false" ht="12.75" hidden="false" customHeight="false" outlineLevel="1" collapsed="false">
      <c r="A482" s="10" t="n">
        <v>63</v>
      </c>
      <c r="B482" s="10" t="s">
        <v>329</v>
      </c>
      <c r="C482" s="62" t="n">
        <v>36790</v>
      </c>
      <c r="D482" s="12" t="s">
        <v>183</v>
      </c>
      <c r="E482" s="12" t="s">
        <v>89</v>
      </c>
      <c r="F482" s="12" t="s">
        <v>109</v>
      </c>
      <c r="G482" s="12" t="s">
        <v>236</v>
      </c>
      <c r="H482" s="63" t="n">
        <v>0</v>
      </c>
      <c r="I482" s="14" t="n">
        <f aca="false">+H482*K482</f>
        <v>0</v>
      </c>
      <c r="J482" s="85" t="n">
        <v>37469</v>
      </c>
      <c r="K482" s="13" t="n">
        <v>165000</v>
      </c>
      <c r="L482" s="38" t="s">
        <v>8</v>
      </c>
      <c r="M482" s="86" t="n">
        <v>4.05</v>
      </c>
      <c r="N482" s="133" t="n">
        <f aca="false">K482*M482</f>
        <v>668250</v>
      </c>
      <c r="O482" s="134" t="n">
        <f aca="false">0.075*K482</f>
        <v>12375</v>
      </c>
      <c r="Q482" s="135" t="s">
        <v>106</v>
      </c>
      <c r="T482" s="135" t="s">
        <v>106</v>
      </c>
      <c r="AB482" s="12" t="s">
        <v>95</v>
      </c>
    </row>
    <row r="483" customFormat="false" ht="12.75" hidden="false" customHeight="false" outlineLevel="1" collapsed="false">
      <c r="A483" s="10" t="n">
        <v>63</v>
      </c>
      <c r="B483" s="10" t="s">
        <v>329</v>
      </c>
      <c r="C483" s="62" t="n">
        <v>36790</v>
      </c>
      <c r="D483" s="12" t="s">
        <v>183</v>
      </c>
      <c r="E483" s="12" t="s">
        <v>89</v>
      </c>
      <c r="F483" s="12" t="s">
        <v>109</v>
      </c>
      <c r="G483" s="12" t="s">
        <v>236</v>
      </c>
      <c r="H483" s="63" t="n">
        <v>0</v>
      </c>
      <c r="I483" s="14" t="n">
        <f aca="false">+H483*K483</f>
        <v>0</v>
      </c>
      <c r="J483" s="85" t="n">
        <v>37500</v>
      </c>
      <c r="K483" s="13" t="n">
        <v>165000</v>
      </c>
      <c r="L483" s="38" t="s">
        <v>8</v>
      </c>
      <c r="M483" s="86" t="n">
        <v>4.05</v>
      </c>
      <c r="N483" s="133" t="n">
        <f aca="false">K483*M483</f>
        <v>668250</v>
      </c>
      <c r="O483" s="134" t="n">
        <f aca="false">0.075*K483</f>
        <v>12375</v>
      </c>
      <c r="Q483" s="135" t="s">
        <v>106</v>
      </c>
      <c r="T483" s="135" t="s">
        <v>106</v>
      </c>
      <c r="AB483" s="12" t="s">
        <v>95</v>
      </c>
    </row>
    <row r="484" customFormat="false" ht="12.75" hidden="false" customHeight="false" outlineLevel="1" collapsed="false">
      <c r="A484" s="10" t="n">
        <v>63</v>
      </c>
      <c r="B484" s="10" t="s">
        <v>329</v>
      </c>
      <c r="C484" s="62" t="n">
        <v>36790</v>
      </c>
      <c r="D484" s="12" t="s">
        <v>183</v>
      </c>
      <c r="E484" s="12" t="s">
        <v>89</v>
      </c>
      <c r="F484" s="12" t="s">
        <v>109</v>
      </c>
      <c r="G484" s="12" t="s">
        <v>236</v>
      </c>
      <c r="H484" s="63" t="n">
        <v>0</v>
      </c>
      <c r="I484" s="14" t="n">
        <f aca="false">+H484*K484</f>
        <v>0</v>
      </c>
      <c r="J484" s="85" t="n">
        <v>37530</v>
      </c>
      <c r="K484" s="13" t="n">
        <v>165000</v>
      </c>
      <c r="L484" s="38" t="s">
        <v>8</v>
      </c>
      <c r="M484" s="86" t="n">
        <v>4.05</v>
      </c>
      <c r="N484" s="133" t="n">
        <f aca="false">K484*M484</f>
        <v>668250</v>
      </c>
      <c r="O484" s="134" t="n">
        <f aca="false">0.075*K484</f>
        <v>12375</v>
      </c>
      <c r="Q484" s="135" t="s">
        <v>106</v>
      </c>
      <c r="T484" s="135" t="s">
        <v>106</v>
      </c>
      <c r="AB484" s="12" t="s">
        <v>95</v>
      </c>
    </row>
    <row r="485" customFormat="false" ht="12.75" hidden="false" customHeight="false" outlineLevel="1" collapsed="false">
      <c r="A485" s="10" t="n">
        <v>63</v>
      </c>
      <c r="B485" s="10" t="s">
        <v>329</v>
      </c>
      <c r="C485" s="62" t="n">
        <v>36790</v>
      </c>
      <c r="D485" s="12" t="s">
        <v>183</v>
      </c>
      <c r="E485" s="12" t="s">
        <v>89</v>
      </c>
      <c r="F485" s="12" t="s">
        <v>109</v>
      </c>
      <c r="G485" s="12" t="s">
        <v>236</v>
      </c>
      <c r="H485" s="63" t="n">
        <v>0</v>
      </c>
      <c r="I485" s="14" t="n">
        <f aca="false">+H485*K485</f>
        <v>0</v>
      </c>
      <c r="J485" s="85" t="n">
        <v>37561</v>
      </c>
      <c r="K485" s="13" t="n">
        <v>165000</v>
      </c>
      <c r="L485" s="38" t="s">
        <v>8</v>
      </c>
      <c r="M485" s="86" t="n">
        <v>4.05</v>
      </c>
      <c r="N485" s="133" t="n">
        <f aca="false">K485*M485</f>
        <v>668250</v>
      </c>
      <c r="O485" s="134" t="n">
        <f aca="false">0.075*K485</f>
        <v>12375</v>
      </c>
      <c r="Q485" s="135" t="s">
        <v>106</v>
      </c>
      <c r="T485" s="135" t="s">
        <v>106</v>
      </c>
      <c r="AB485" s="12" t="s">
        <v>95</v>
      </c>
    </row>
    <row r="486" customFormat="false" ht="12.75" hidden="false" customHeight="false" outlineLevel="1" collapsed="false">
      <c r="A486" s="10" t="n">
        <v>63</v>
      </c>
      <c r="B486" s="10" t="s">
        <v>329</v>
      </c>
      <c r="C486" s="62" t="n">
        <v>36790</v>
      </c>
      <c r="D486" s="12" t="s">
        <v>183</v>
      </c>
      <c r="E486" s="12" t="s">
        <v>89</v>
      </c>
      <c r="F486" s="12" t="s">
        <v>109</v>
      </c>
      <c r="G486" s="12" t="s">
        <v>236</v>
      </c>
      <c r="H486" s="63" t="n">
        <v>0</v>
      </c>
      <c r="I486" s="14" t="n">
        <f aca="false">+H486*K486</f>
        <v>0</v>
      </c>
      <c r="J486" s="85" t="n">
        <v>37591</v>
      </c>
      <c r="K486" s="13" t="n">
        <v>165000</v>
      </c>
      <c r="L486" s="38" t="s">
        <v>8</v>
      </c>
      <c r="M486" s="86" t="n">
        <v>4.05</v>
      </c>
      <c r="N486" s="133" t="n">
        <f aca="false">K486*M486</f>
        <v>668250</v>
      </c>
      <c r="O486" s="134" t="n">
        <f aca="false">0.075*K486</f>
        <v>12375</v>
      </c>
      <c r="Q486" s="135" t="s">
        <v>106</v>
      </c>
      <c r="T486" s="135" t="s">
        <v>106</v>
      </c>
      <c r="AB486" s="12" t="s">
        <v>95</v>
      </c>
    </row>
    <row r="487" customFormat="false" ht="12.75" hidden="false" customHeight="false" outlineLevel="1" collapsed="false">
      <c r="A487" s="10" t="n">
        <v>63</v>
      </c>
      <c r="B487" s="10" t="s">
        <v>329</v>
      </c>
      <c r="C487" s="62" t="n">
        <v>36790</v>
      </c>
      <c r="D487" s="12" t="s">
        <v>183</v>
      </c>
      <c r="E487" s="12" t="s">
        <v>89</v>
      </c>
      <c r="F487" s="12" t="s">
        <v>109</v>
      </c>
      <c r="G487" s="12" t="s">
        <v>236</v>
      </c>
      <c r="H487" s="63" t="n">
        <v>0</v>
      </c>
      <c r="I487" s="14" t="n">
        <f aca="false">+H487*K487</f>
        <v>0</v>
      </c>
      <c r="J487" s="85" t="n">
        <v>37622</v>
      </c>
      <c r="K487" s="13" t="n">
        <v>165000</v>
      </c>
      <c r="L487" s="38" t="s">
        <v>8</v>
      </c>
      <c r="M487" s="86" t="n">
        <v>4.05</v>
      </c>
      <c r="N487" s="133" t="n">
        <f aca="false">K487*M487</f>
        <v>668250</v>
      </c>
      <c r="O487" s="134" t="n">
        <f aca="false">0.075*K487</f>
        <v>12375</v>
      </c>
      <c r="Q487" s="135" t="s">
        <v>106</v>
      </c>
      <c r="T487" s="135" t="s">
        <v>106</v>
      </c>
      <c r="AB487" s="12" t="s">
        <v>95</v>
      </c>
    </row>
    <row r="488" customFormat="false" ht="12.75" hidden="false" customHeight="false" outlineLevel="1" collapsed="false">
      <c r="A488" s="10" t="n">
        <v>63</v>
      </c>
      <c r="B488" s="10" t="s">
        <v>329</v>
      </c>
      <c r="C488" s="62" t="n">
        <v>36790</v>
      </c>
      <c r="D488" s="12" t="s">
        <v>183</v>
      </c>
      <c r="E488" s="12" t="s">
        <v>89</v>
      </c>
      <c r="F488" s="12" t="s">
        <v>109</v>
      </c>
      <c r="G488" s="12" t="s">
        <v>236</v>
      </c>
      <c r="H488" s="63" t="n">
        <v>0</v>
      </c>
      <c r="I488" s="14" t="n">
        <f aca="false">+H488*K488</f>
        <v>0</v>
      </c>
      <c r="J488" s="85" t="n">
        <v>37653</v>
      </c>
      <c r="K488" s="13" t="n">
        <v>165000</v>
      </c>
      <c r="L488" s="38" t="s">
        <v>8</v>
      </c>
      <c r="M488" s="86" t="n">
        <v>4.05</v>
      </c>
      <c r="N488" s="133" t="n">
        <f aca="false">K488*M488</f>
        <v>668250</v>
      </c>
      <c r="O488" s="134" t="n">
        <f aca="false">0.075*K488</f>
        <v>12375</v>
      </c>
      <c r="Q488" s="135" t="s">
        <v>106</v>
      </c>
      <c r="T488" s="135" t="s">
        <v>106</v>
      </c>
      <c r="AB488" s="12" t="s">
        <v>95</v>
      </c>
    </row>
    <row r="489" customFormat="false" ht="12.75" hidden="false" customHeight="false" outlineLevel="1" collapsed="false">
      <c r="A489" s="10" t="n">
        <v>63</v>
      </c>
      <c r="B489" s="10" t="s">
        <v>329</v>
      </c>
      <c r="C489" s="62" t="n">
        <v>36790</v>
      </c>
      <c r="D489" s="12" t="s">
        <v>183</v>
      </c>
      <c r="E489" s="12" t="s">
        <v>89</v>
      </c>
      <c r="F489" s="12" t="s">
        <v>109</v>
      </c>
      <c r="G489" s="12" t="s">
        <v>236</v>
      </c>
      <c r="H489" s="63" t="n">
        <v>0</v>
      </c>
      <c r="I489" s="14" t="n">
        <f aca="false">+H489*K489</f>
        <v>0</v>
      </c>
      <c r="J489" s="85" t="n">
        <v>37681</v>
      </c>
      <c r="K489" s="13" t="n">
        <v>165000</v>
      </c>
      <c r="L489" s="38" t="s">
        <v>8</v>
      </c>
      <c r="M489" s="86" t="n">
        <v>4.05</v>
      </c>
      <c r="N489" s="133" t="n">
        <f aca="false">K489*M489</f>
        <v>668250</v>
      </c>
      <c r="O489" s="134" t="n">
        <f aca="false">0.075*K489</f>
        <v>12375</v>
      </c>
      <c r="Q489" s="135" t="s">
        <v>106</v>
      </c>
      <c r="T489" s="135" t="s">
        <v>106</v>
      </c>
      <c r="AB489" s="12" t="s">
        <v>95</v>
      </c>
    </row>
    <row r="490" customFormat="false" ht="12.75" hidden="false" customHeight="false" outlineLevel="1" collapsed="false">
      <c r="A490" s="10" t="n">
        <v>63</v>
      </c>
      <c r="B490" s="10" t="s">
        <v>329</v>
      </c>
      <c r="C490" s="62" t="n">
        <v>36790</v>
      </c>
      <c r="D490" s="12" t="s">
        <v>183</v>
      </c>
      <c r="E490" s="12" t="s">
        <v>89</v>
      </c>
      <c r="F490" s="12" t="s">
        <v>109</v>
      </c>
      <c r="G490" s="12" t="s">
        <v>236</v>
      </c>
      <c r="H490" s="63" t="n">
        <v>0</v>
      </c>
      <c r="I490" s="14" t="n">
        <f aca="false">+H490*K490</f>
        <v>0</v>
      </c>
      <c r="J490" s="85" t="n">
        <v>37712</v>
      </c>
      <c r="K490" s="13" t="n">
        <v>165000</v>
      </c>
      <c r="L490" s="38" t="s">
        <v>8</v>
      </c>
      <c r="M490" s="86" t="n">
        <v>4.05</v>
      </c>
      <c r="N490" s="133" t="n">
        <f aca="false">K490*M490</f>
        <v>668250</v>
      </c>
      <c r="O490" s="134" t="n">
        <f aca="false">0.075*K490</f>
        <v>12375</v>
      </c>
      <c r="Q490" s="135" t="s">
        <v>106</v>
      </c>
      <c r="T490" s="135" t="s">
        <v>106</v>
      </c>
      <c r="AB490" s="12" t="s">
        <v>95</v>
      </c>
    </row>
    <row r="491" customFormat="false" ht="12.75" hidden="false" customHeight="false" outlineLevel="1" collapsed="false">
      <c r="A491" s="10" t="n">
        <v>63</v>
      </c>
      <c r="B491" s="10" t="s">
        <v>329</v>
      </c>
      <c r="C491" s="62" t="n">
        <v>36790</v>
      </c>
      <c r="D491" s="12" t="s">
        <v>183</v>
      </c>
      <c r="E491" s="12" t="s">
        <v>89</v>
      </c>
      <c r="F491" s="12" t="s">
        <v>109</v>
      </c>
      <c r="G491" s="12" t="s">
        <v>236</v>
      </c>
      <c r="H491" s="63" t="n">
        <v>0</v>
      </c>
      <c r="I491" s="14" t="n">
        <f aca="false">+H491*K491</f>
        <v>0</v>
      </c>
      <c r="J491" s="85" t="n">
        <v>37742</v>
      </c>
      <c r="K491" s="13" t="n">
        <v>165000</v>
      </c>
      <c r="L491" s="38" t="s">
        <v>8</v>
      </c>
      <c r="M491" s="86" t="n">
        <v>4.05</v>
      </c>
      <c r="N491" s="133" t="n">
        <f aca="false">K491*M491</f>
        <v>668250</v>
      </c>
      <c r="O491" s="134" t="n">
        <f aca="false">0.075*K491</f>
        <v>12375</v>
      </c>
      <c r="Q491" s="135" t="s">
        <v>106</v>
      </c>
      <c r="T491" s="135" t="s">
        <v>106</v>
      </c>
      <c r="AB491" s="12" t="s">
        <v>95</v>
      </c>
    </row>
    <row r="492" customFormat="false" ht="12.75" hidden="false" customHeight="false" outlineLevel="1" collapsed="false">
      <c r="A492" s="10" t="n">
        <v>63</v>
      </c>
      <c r="B492" s="10" t="s">
        <v>329</v>
      </c>
      <c r="C492" s="62" t="n">
        <v>36790</v>
      </c>
      <c r="D492" s="12" t="s">
        <v>183</v>
      </c>
      <c r="E492" s="12" t="s">
        <v>89</v>
      </c>
      <c r="F492" s="12" t="s">
        <v>109</v>
      </c>
      <c r="G492" s="12" t="s">
        <v>236</v>
      </c>
      <c r="H492" s="63" t="n">
        <v>0</v>
      </c>
      <c r="I492" s="14" t="n">
        <f aca="false">+H492*K492</f>
        <v>0</v>
      </c>
      <c r="J492" s="85" t="n">
        <v>37773</v>
      </c>
      <c r="K492" s="13" t="n">
        <v>165000</v>
      </c>
      <c r="L492" s="38" t="s">
        <v>8</v>
      </c>
      <c r="M492" s="86" t="n">
        <v>4.05</v>
      </c>
      <c r="N492" s="133" t="n">
        <f aca="false">K492*M492</f>
        <v>668250</v>
      </c>
      <c r="O492" s="134" t="n">
        <f aca="false">0.075*K492</f>
        <v>12375</v>
      </c>
      <c r="Q492" s="135" t="s">
        <v>106</v>
      </c>
      <c r="T492" s="135" t="s">
        <v>106</v>
      </c>
      <c r="AB492" s="12" t="s">
        <v>95</v>
      </c>
    </row>
    <row r="493" customFormat="false" ht="12.75" hidden="false" customHeight="false" outlineLevel="1" collapsed="false">
      <c r="A493" s="10" t="n">
        <v>63</v>
      </c>
      <c r="B493" s="10" t="s">
        <v>329</v>
      </c>
      <c r="C493" s="62" t="n">
        <v>36790</v>
      </c>
      <c r="D493" s="12" t="s">
        <v>183</v>
      </c>
      <c r="E493" s="12" t="s">
        <v>89</v>
      </c>
      <c r="F493" s="12" t="s">
        <v>109</v>
      </c>
      <c r="G493" s="12" t="s">
        <v>236</v>
      </c>
      <c r="H493" s="63" t="n">
        <v>0</v>
      </c>
      <c r="I493" s="14" t="n">
        <f aca="false">+H493*K493</f>
        <v>0</v>
      </c>
      <c r="J493" s="85" t="n">
        <v>37803</v>
      </c>
      <c r="K493" s="13" t="n">
        <v>165000</v>
      </c>
      <c r="L493" s="38" t="s">
        <v>8</v>
      </c>
      <c r="M493" s="86" t="n">
        <v>4.05</v>
      </c>
      <c r="N493" s="133" t="n">
        <f aca="false">K493*M493</f>
        <v>668250</v>
      </c>
      <c r="O493" s="134" t="n">
        <f aca="false">0.075*K493</f>
        <v>12375</v>
      </c>
      <c r="Q493" s="135" t="s">
        <v>106</v>
      </c>
      <c r="T493" s="135" t="s">
        <v>106</v>
      </c>
      <c r="AB493" s="12" t="s">
        <v>95</v>
      </c>
    </row>
    <row r="494" customFormat="false" ht="12.75" hidden="false" customHeight="false" outlineLevel="1" collapsed="false">
      <c r="A494" s="10" t="n">
        <v>63</v>
      </c>
      <c r="B494" s="10" t="s">
        <v>329</v>
      </c>
      <c r="C494" s="62" t="n">
        <v>36790</v>
      </c>
      <c r="D494" s="12" t="s">
        <v>183</v>
      </c>
      <c r="E494" s="12" t="s">
        <v>89</v>
      </c>
      <c r="F494" s="12" t="s">
        <v>109</v>
      </c>
      <c r="G494" s="12" t="s">
        <v>236</v>
      </c>
      <c r="H494" s="63" t="n">
        <v>0</v>
      </c>
      <c r="I494" s="14" t="n">
        <f aca="false">+H494*K494</f>
        <v>0</v>
      </c>
      <c r="J494" s="85" t="n">
        <v>37834</v>
      </c>
      <c r="K494" s="13" t="n">
        <v>165000</v>
      </c>
      <c r="L494" s="38" t="s">
        <v>8</v>
      </c>
      <c r="M494" s="86" t="n">
        <v>4.05</v>
      </c>
      <c r="N494" s="133" t="n">
        <f aca="false">K494*M494</f>
        <v>668250</v>
      </c>
      <c r="O494" s="134" t="n">
        <f aca="false">0.075*K494</f>
        <v>12375</v>
      </c>
      <c r="Q494" s="135" t="s">
        <v>106</v>
      </c>
      <c r="T494" s="135" t="s">
        <v>106</v>
      </c>
      <c r="AB494" s="12" t="s">
        <v>95</v>
      </c>
    </row>
    <row r="495" customFormat="false" ht="12.75" hidden="false" customHeight="false" outlineLevel="1" collapsed="false">
      <c r="A495" s="10" t="n">
        <v>63</v>
      </c>
      <c r="B495" s="10" t="s">
        <v>329</v>
      </c>
      <c r="C495" s="62" t="n">
        <v>36790</v>
      </c>
      <c r="D495" s="12" t="s">
        <v>183</v>
      </c>
      <c r="E495" s="12" t="s">
        <v>89</v>
      </c>
      <c r="F495" s="12" t="s">
        <v>109</v>
      </c>
      <c r="G495" s="12" t="s">
        <v>236</v>
      </c>
      <c r="H495" s="63" t="n">
        <v>0</v>
      </c>
      <c r="I495" s="14" t="n">
        <f aca="false">+H495*K495</f>
        <v>0</v>
      </c>
      <c r="J495" s="85" t="n">
        <v>37865</v>
      </c>
      <c r="K495" s="13" t="n">
        <v>165000</v>
      </c>
      <c r="L495" s="38" t="s">
        <v>8</v>
      </c>
      <c r="M495" s="86" t="n">
        <v>4.05</v>
      </c>
      <c r="N495" s="133" t="n">
        <f aca="false">K495*M495</f>
        <v>668250</v>
      </c>
      <c r="O495" s="134" t="n">
        <f aca="false">0.075*K495</f>
        <v>12375</v>
      </c>
      <c r="Q495" s="135" t="s">
        <v>106</v>
      </c>
      <c r="T495" s="135" t="s">
        <v>106</v>
      </c>
      <c r="AB495" s="12" t="s">
        <v>95</v>
      </c>
    </row>
    <row r="496" customFormat="false" ht="12.75" hidden="false" customHeight="false" outlineLevel="1" collapsed="false">
      <c r="A496" s="10" t="n">
        <v>63</v>
      </c>
      <c r="B496" s="10" t="s">
        <v>329</v>
      </c>
      <c r="C496" s="62" t="n">
        <v>36790</v>
      </c>
      <c r="D496" s="12" t="s">
        <v>183</v>
      </c>
      <c r="E496" s="12" t="s">
        <v>89</v>
      </c>
      <c r="F496" s="12" t="s">
        <v>109</v>
      </c>
      <c r="G496" s="12" t="s">
        <v>236</v>
      </c>
      <c r="H496" s="63" t="n">
        <v>0</v>
      </c>
      <c r="I496" s="14" t="n">
        <f aca="false">+H496*K496</f>
        <v>0</v>
      </c>
      <c r="J496" s="85" t="n">
        <v>37895</v>
      </c>
      <c r="K496" s="13" t="n">
        <v>165000</v>
      </c>
      <c r="L496" s="38" t="s">
        <v>8</v>
      </c>
      <c r="M496" s="86" t="n">
        <v>4.05</v>
      </c>
      <c r="N496" s="133" t="n">
        <f aca="false">K496*M496</f>
        <v>668250</v>
      </c>
      <c r="O496" s="134" t="n">
        <f aca="false">0.075*K496</f>
        <v>12375</v>
      </c>
      <c r="Q496" s="135" t="s">
        <v>106</v>
      </c>
      <c r="T496" s="135" t="s">
        <v>106</v>
      </c>
      <c r="AB496" s="12" t="s">
        <v>95</v>
      </c>
    </row>
    <row r="497" customFormat="false" ht="12.75" hidden="false" customHeight="false" outlineLevel="1" collapsed="false">
      <c r="A497" s="10" t="n">
        <v>63</v>
      </c>
      <c r="B497" s="10" t="s">
        <v>329</v>
      </c>
      <c r="C497" s="62" t="n">
        <v>36790</v>
      </c>
      <c r="D497" s="12" t="s">
        <v>183</v>
      </c>
      <c r="E497" s="12" t="s">
        <v>89</v>
      </c>
      <c r="F497" s="12" t="s">
        <v>109</v>
      </c>
      <c r="G497" s="12" t="s">
        <v>236</v>
      </c>
      <c r="H497" s="63" t="n">
        <v>0</v>
      </c>
      <c r="I497" s="14" t="n">
        <f aca="false">+H497*K497</f>
        <v>0</v>
      </c>
      <c r="J497" s="85" t="n">
        <v>37926</v>
      </c>
      <c r="K497" s="13" t="n">
        <v>165000</v>
      </c>
      <c r="L497" s="38" t="s">
        <v>8</v>
      </c>
      <c r="M497" s="86" t="n">
        <v>4.05</v>
      </c>
      <c r="N497" s="133" t="n">
        <f aca="false">K497*M497</f>
        <v>668250</v>
      </c>
      <c r="O497" s="134" t="n">
        <f aca="false">0.075*K497</f>
        <v>12375</v>
      </c>
      <c r="Q497" s="135" t="s">
        <v>106</v>
      </c>
      <c r="T497" s="135" t="s">
        <v>106</v>
      </c>
      <c r="AB497" s="12" t="s">
        <v>95</v>
      </c>
    </row>
    <row r="498" customFormat="false" ht="12.75" hidden="false" customHeight="false" outlineLevel="1" collapsed="false">
      <c r="A498" s="10" t="n">
        <v>63</v>
      </c>
      <c r="B498" s="10" t="s">
        <v>329</v>
      </c>
      <c r="C498" s="62" t="n">
        <v>36790</v>
      </c>
      <c r="D498" s="12" t="s">
        <v>183</v>
      </c>
      <c r="E498" s="12" t="s">
        <v>89</v>
      </c>
      <c r="F498" s="12" t="s">
        <v>109</v>
      </c>
      <c r="G498" s="12" t="s">
        <v>236</v>
      </c>
      <c r="H498" s="63" t="n">
        <v>0</v>
      </c>
      <c r="I498" s="14" t="n">
        <f aca="false">+H498*K498</f>
        <v>0</v>
      </c>
      <c r="J498" s="85" t="n">
        <v>37956</v>
      </c>
      <c r="K498" s="13" t="n">
        <v>165000</v>
      </c>
      <c r="L498" s="38" t="s">
        <v>8</v>
      </c>
      <c r="M498" s="86" t="n">
        <v>4.05</v>
      </c>
      <c r="N498" s="133" t="n">
        <f aca="false">K498*M498</f>
        <v>668250</v>
      </c>
      <c r="O498" s="134" t="n">
        <f aca="false">0.075*K498</f>
        <v>12375</v>
      </c>
      <c r="Q498" s="135" t="s">
        <v>106</v>
      </c>
      <c r="T498" s="135" t="s">
        <v>106</v>
      </c>
      <c r="AB498" s="12" t="s">
        <v>95</v>
      </c>
    </row>
    <row r="499" customFormat="false" ht="12.75" hidden="false" customHeight="false" outlineLevel="1" collapsed="false">
      <c r="A499" s="10" t="n">
        <v>63</v>
      </c>
      <c r="B499" s="10" t="s">
        <v>329</v>
      </c>
      <c r="C499" s="62" t="n">
        <v>36790</v>
      </c>
      <c r="D499" s="12" t="s">
        <v>183</v>
      </c>
      <c r="E499" s="12" t="s">
        <v>89</v>
      </c>
      <c r="F499" s="12" t="s">
        <v>109</v>
      </c>
      <c r="G499" s="12" t="s">
        <v>236</v>
      </c>
      <c r="H499" s="63" t="n">
        <v>0</v>
      </c>
      <c r="I499" s="14" t="n">
        <f aca="false">+H499*K499</f>
        <v>0</v>
      </c>
      <c r="J499" s="85" t="n">
        <v>37987</v>
      </c>
      <c r="K499" s="13" t="n">
        <v>165000</v>
      </c>
      <c r="L499" s="38" t="s">
        <v>8</v>
      </c>
      <c r="M499" s="86" t="n">
        <v>4.05</v>
      </c>
      <c r="N499" s="133" t="n">
        <f aca="false">K499*M499</f>
        <v>668250</v>
      </c>
      <c r="O499" s="134" t="n">
        <f aca="false">0.075*K499</f>
        <v>12375</v>
      </c>
      <c r="Q499" s="135" t="s">
        <v>106</v>
      </c>
      <c r="T499" s="135" t="s">
        <v>106</v>
      </c>
      <c r="AB499" s="12" t="s">
        <v>95</v>
      </c>
    </row>
    <row r="500" customFormat="false" ht="12.75" hidden="false" customHeight="false" outlineLevel="1" collapsed="false">
      <c r="A500" s="10" t="n">
        <v>63</v>
      </c>
      <c r="B500" s="10" t="s">
        <v>329</v>
      </c>
      <c r="C500" s="62" t="n">
        <v>36790</v>
      </c>
      <c r="D500" s="12" t="s">
        <v>183</v>
      </c>
      <c r="E500" s="12" t="s">
        <v>89</v>
      </c>
      <c r="F500" s="12" t="s">
        <v>109</v>
      </c>
      <c r="G500" s="12" t="s">
        <v>236</v>
      </c>
      <c r="H500" s="63" t="n">
        <v>0</v>
      </c>
      <c r="I500" s="14" t="n">
        <f aca="false">+H500*K500</f>
        <v>0</v>
      </c>
      <c r="J500" s="85" t="n">
        <v>38018</v>
      </c>
      <c r="K500" s="13" t="n">
        <v>165000</v>
      </c>
      <c r="L500" s="38" t="s">
        <v>8</v>
      </c>
      <c r="M500" s="86" t="n">
        <v>4.05</v>
      </c>
      <c r="N500" s="133" t="n">
        <f aca="false">K500*M500</f>
        <v>668250</v>
      </c>
      <c r="O500" s="134" t="n">
        <f aca="false">0.075*K500</f>
        <v>12375</v>
      </c>
      <c r="Q500" s="135" t="s">
        <v>106</v>
      </c>
      <c r="T500" s="135" t="s">
        <v>106</v>
      </c>
      <c r="AB500" s="12" t="s">
        <v>95</v>
      </c>
    </row>
    <row r="501" customFormat="false" ht="12.75" hidden="false" customHeight="false" outlineLevel="1" collapsed="false">
      <c r="A501" s="10" t="n">
        <v>63</v>
      </c>
      <c r="B501" s="10" t="s">
        <v>329</v>
      </c>
      <c r="C501" s="62" t="n">
        <v>36790</v>
      </c>
      <c r="D501" s="12" t="s">
        <v>183</v>
      </c>
      <c r="E501" s="12" t="s">
        <v>89</v>
      </c>
      <c r="F501" s="12" t="s">
        <v>109</v>
      </c>
      <c r="G501" s="12" t="s">
        <v>236</v>
      </c>
      <c r="H501" s="63" t="n">
        <v>0</v>
      </c>
      <c r="I501" s="14" t="n">
        <f aca="false">+H501*K501</f>
        <v>0</v>
      </c>
      <c r="J501" s="85" t="n">
        <v>38047</v>
      </c>
      <c r="K501" s="13" t="n">
        <v>165000</v>
      </c>
      <c r="L501" s="38" t="s">
        <v>8</v>
      </c>
      <c r="M501" s="86" t="n">
        <v>4.05</v>
      </c>
      <c r="N501" s="133" t="n">
        <f aca="false">K501*M501</f>
        <v>668250</v>
      </c>
      <c r="O501" s="134" t="n">
        <f aca="false">0.075*K501</f>
        <v>12375</v>
      </c>
      <c r="Q501" s="135" t="s">
        <v>106</v>
      </c>
      <c r="T501" s="135" t="s">
        <v>106</v>
      </c>
      <c r="AB501" s="12" t="s">
        <v>95</v>
      </c>
    </row>
    <row r="502" customFormat="false" ht="12.75" hidden="false" customHeight="false" outlineLevel="1" collapsed="false">
      <c r="A502" s="10" t="n">
        <v>63</v>
      </c>
      <c r="B502" s="10" t="s">
        <v>329</v>
      </c>
      <c r="C502" s="62" t="n">
        <v>36790</v>
      </c>
      <c r="D502" s="12" t="s">
        <v>183</v>
      </c>
      <c r="E502" s="12" t="s">
        <v>89</v>
      </c>
      <c r="F502" s="12" t="s">
        <v>109</v>
      </c>
      <c r="G502" s="12" t="s">
        <v>236</v>
      </c>
      <c r="H502" s="63" t="n">
        <v>0</v>
      </c>
      <c r="I502" s="14" t="n">
        <f aca="false">+H502*K502</f>
        <v>0</v>
      </c>
      <c r="J502" s="85" t="n">
        <v>38078</v>
      </c>
      <c r="K502" s="13" t="n">
        <v>165000</v>
      </c>
      <c r="L502" s="38" t="s">
        <v>8</v>
      </c>
      <c r="M502" s="86" t="n">
        <v>4.05</v>
      </c>
      <c r="N502" s="133" t="n">
        <f aca="false">K502*M502</f>
        <v>668250</v>
      </c>
      <c r="O502" s="134" t="n">
        <f aca="false">0.075*K502</f>
        <v>12375</v>
      </c>
      <c r="Q502" s="135" t="s">
        <v>106</v>
      </c>
      <c r="T502" s="135" t="s">
        <v>106</v>
      </c>
      <c r="AB502" s="12" t="s">
        <v>95</v>
      </c>
    </row>
    <row r="503" customFormat="false" ht="12.75" hidden="false" customHeight="false" outlineLevel="1" collapsed="false">
      <c r="A503" s="10" t="n">
        <v>63</v>
      </c>
      <c r="B503" s="10" t="s">
        <v>329</v>
      </c>
      <c r="C503" s="62" t="n">
        <v>36790</v>
      </c>
      <c r="D503" s="12" t="s">
        <v>183</v>
      </c>
      <c r="E503" s="12" t="s">
        <v>89</v>
      </c>
      <c r="F503" s="12" t="s">
        <v>109</v>
      </c>
      <c r="G503" s="12" t="s">
        <v>236</v>
      </c>
      <c r="H503" s="63" t="n">
        <v>0</v>
      </c>
      <c r="I503" s="14" t="n">
        <f aca="false">+H503*K503</f>
        <v>0</v>
      </c>
      <c r="J503" s="85" t="n">
        <v>38108</v>
      </c>
      <c r="K503" s="13" t="n">
        <v>165000</v>
      </c>
      <c r="L503" s="38" t="s">
        <v>8</v>
      </c>
      <c r="M503" s="86" t="n">
        <v>4.05</v>
      </c>
      <c r="N503" s="133" t="n">
        <f aca="false">K503*M503</f>
        <v>668250</v>
      </c>
      <c r="O503" s="134" t="n">
        <f aca="false">0.075*K503</f>
        <v>12375</v>
      </c>
      <c r="Q503" s="135" t="s">
        <v>106</v>
      </c>
      <c r="T503" s="135" t="s">
        <v>106</v>
      </c>
      <c r="AB503" s="12" t="s">
        <v>95</v>
      </c>
    </row>
    <row r="504" customFormat="false" ht="12.75" hidden="false" customHeight="false" outlineLevel="1" collapsed="false">
      <c r="A504" s="10" t="n">
        <v>63</v>
      </c>
      <c r="B504" s="10" t="s">
        <v>329</v>
      </c>
      <c r="C504" s="62" t="n">
        <v>36790</v>
      </c>
      <c r="D504" s="12" t="s">
        <v>183</v>
      </c>
      <c r="E504" s="12" t="s">
        <v>89</v>
      </c>
      <c r="F504" s="12" t="s">
        <v>109</v>
      </c>
      <c r="G504" s="12" t="s">
        <v>236</v>
      </c>
      <c r="H504" s="63" t="n">
        <v>0</v>
      </c>
      <c r="I504" s="14" t="n">
        <f aca="false">+H504*K504</f>
        <v>0</v>
      </c>
      <c r="J504" s="85" t="n">
        <v>38139</v>
      </c>
      <c r="K504" s="13" t="n">
        <v>165000</v>
      </c>
      <c r="L504" s="38" t="s">
        <v>8</v>
      </c>
      <c r="M504" s="86" t="n">
        <v>4.05</v>
      </c>
      <c r="N504" s="133" t="n">
        <f aca="false">K504*M504</f>
        <v>668250</v>
      </c>
      <c r="O504" s="134" t="n">
        <f aca="false">0.075*K504</f>
        <v>12375</v>
      </c>
      <c r="Q504" s="135" t="s">
        <v>106</v>
      </c>
      <c r="T504" s="135" t="s">
        <v>106</v>
      </c>
      <c r="AB504" s="12" t="s">
        <v>95</v>
      </c>
    </row>
    <row r="505" customFormat="false" ht="12.75" hidden="false" customHeight="false" outlineLevel="1" collapsed="false">
      <c r="A505" s="10" t="n">
        <v>63</v>
      </c>
      <c r="B505" s="10" t="s">
        <v>329</v>
      </c>
      <c r="C505" s="62" t="n">
        <v>36790</v>
      </c>
      <c r="D505" s="12" t="s">
        <v>183</v>
      </c>
      <c r="E505" s="12" t="s">
        <v>89</v>
      </c>
      <c r="F505" s="12" t="s">
        <v>109</v>
      </c>
      <c r="G505" s="12" t="s">
        <v>236</v>
      </c>
      <c r="H505" s="63" t="n">
        <v>0</v>
      </c>
      <c r="I505" s="14" t="n">
        <f aca="false">+H505*K505</f>
        <v>0</v>
      </c>
      <c r="J505" s="85" t="n">
        <v>38169</v>
      </c>
      <c r="K505" s="13" t="n">
        <v>165000</v>
      </c>
      <c r="L505" s="38" t="s">
        <v>8</v>
      </c>
      <c r="M505" s="86" t="n">
        <v>4.05</v>
      </c>
      <c r="N505" s="133" t="n">
        <f aca="false">K505*M505</f>
        <v>668250</v>
      </c>
      <c r="O505" s="134" t="n">
        <f aca="false">0.075*K505</f>
        <v>12375</v>
      </c>
      <c r="Q505" s="135" t="s">
        <v>106</v>
      </c>
      <c r="T505" s="135" t="s">
        <v>106</v>
      </c>
      <c r="AB505" s="12" t="s">
        <v>95</v>
      </c>
    </row>
    <row r="506" customFormat="false" ht="12.75" hidden="false" customHeight="false" outlineLevel="1" collapsed="false">
      <c r="A506" s="10" t="n">
        <v>63</v>
      </c>
      <c r="B506" s="10" t="s">
        <v>329</v>
      </c>
      <c r="C506" s="62" t="n">
        <v>36790</v>
      </c>
      <c r="D506" s="12" t="s">
        <v>183</v>
      </c>
      <c r="E506" s="12" t="s">
        <v>89</v>
      </c>
      <c r="F506" s="12" t="s">
        <v>109</v>
      </c>
      <c r="G506" s="12" t="s">
        <v>236</v>
      </c>
      <c r="H506" s="63" t="n">
        <v>0</v>
      </c>
      <c r="I506" s="14" t="n">
        <f aca="false">+H506*K506</f>
        <v>0</v>
      </c>
      <c r="J506" s="85" t="n">
        <v>38200</v>
      </c>
      <c r="K506" s="13" t="n">
        <v>165000</v>
      </c>
      <c r="L506" s="38" t="s">
        <v>8</v>
      </c>
      <c r="M506" s="86" t="n">
        <v>4.05</v>
      </c>
      <c r="N506" s="133" t="n">
        <f aca="false">K506*M506</f>
        <v>668250</v>
      </c>
      <c r="O506" s="134" t="n">
        <f aca="false">0.075*K506</f>
        <v>12375</v>
      </c>
      <c r="Q506" s="135" t="s">
        <v>106</v>
      </c>
      <c r="T506" s="135" t="s">
        <v>106</v>
      </c>
      <c r="AB506" s="12" t="s">
        <v>95</v>
      </c>
    </row>
    <row r="507" customFormat="false" ht="12.75" hidden="false" customHeight="false" outlineLevel="1" collapsed="false">
      <c r="A507" s="10" t="n">
        <v>63</v>
      </c>
      <c r="B507" s="10" t="s">
        <v>329</v>
      </c>
      <c r="C507" s="62" t="n">
        <v>36790</v>
      </c>
      <c r="D507" s="12" t="s">
        <v>183</v>
      </c>
      <c r="E507" s="12" t="s">
        <v>89</v>
      </c>
      <c r="F507" s="12" t="s">
        <v>109</v>
      </c>
      <c r="G507" s="12" t="s">
        <v>236</v>
      </c>
      <c r="H507" s="63" t="n">
        <v>0</v>
      </c>
      <c r="I507" s="14" t="n">
        <f aca="false">+H507*K507</f>
        <v>0</v>
      </c>
      <c r="J507" s="85" t="n">
        <v>38231</v>
      </c>
      <c r="K507" s="13" t="n">
        <v>165000</v>
      </c>
      <c r="L507" s="38" t="s">
        <v>8</v>
      </c>
      <c r="M507" s="86" t="n">
        <v>4.05</v>
      </c>
      <c r="N507" s="133" t="n">
        <f aca="false">K507*M507</f>
        <v>668250</v>
      </c>
      <c r="O507" s="134" t="n">
        <f aca="false">0.075*K507</f>
        <v>12375</v>
      </c>
      <c r="Q507" s="135" t="s">
        <v>106</v>
      </c>
      <c r="T507" s="135" t="s">
        <v>106</v>
      </c>
      <c r="AB507" s="12" t="s">
        <v>95</v>
      </c>
    </row>
    <row r="508" customFormat="false" ht="12.75" hidden="false" customHeight="false" outlineLevel="1" collapsed="false">
      <c r="A508" s="10" t="n">
        <v>63</v>
      </c>
      <c r="B508" s="10" t="s">
        <v>329</v>
      </c>
      <c r="C508" s="62" t="n">
        <v>36790</v>
      </c>
      <c r="D508" s="12" t="s">
        <v>183</v>
      </c>
      <c r="E508" s="12" t="s">
        <v>89</v>
      </c>
      <c r="F508" s="12" t="s">
        <v>109</v>
      </c>
      <c r="G508" s="12" t="s">
        <v>236</v>
      </c>
      <c r="H508" s="63" t="n">
        <v>0</v>
      </c>
      <c r="I508" s="14" t="n">
        <f aca="false">+H508*K508</f>
        <v>0</v>
      </c>
      <c r="J508" s="85" t="n">
        <v>38261</v>
      </c>
      <c r="K508" s="13" t="n">
        <v>165000</v>
      </c>
      <c r="L508" s="38" t="s">
        <v>8</v>
      </c>
      <c r="M508" s="86" t="n">
        <v>4.05</v>
      </c>
      <c r="N508" s="133" t="n">
        <f aca="false">K508*M508</f>
        <v>668250</v>
      </c>
      <c r="O508" s="134" t="n">
        <f aca="false">0.075*K508</f>
        <v>12375</v>
      </c>
      <c r="Q508" s="135" t="s">
        <v>106</v>
      </c>
      <c r="T508" s="135" t="s">
        <v>106</v>
      </c>
      <c r="AB508" s="12" t="s">
        <v>95</v>
      </c>
    </row>
    <row r="509" customFormat="false" ht="12.75" hidden="false" customHeight="false" outlineLevel="1" collapsed="false">
      <c r="A509" s="10" t="n">
        <v>63</v>
      </c>
      <c r="B509" s="10" t="s">
        <v>329</v>
      </c>
      <c r="C509" s="62" t="n">
        <v>36790</v>
      </c>
      <c r="D509" s="12" t="s">
        <v>183</v>
      </c>
      <c r="E509" s="12" t="s">
        <v>89</v>
      </c>
      <c r="F509" s="12" t="s">
        <v>109</v>
      </c>
      <c r="G509" s="12" t="s">
        <v>236</v>
      </c>
      <c r="H509" s="63" t="n">
        <v>0</v>
      </c>
      <c r="I509" s="14" t="n">
        <f aca="false">+H509*K509</f>
        <v>0</v>
      </c>
      <c r="J509" s="85" t="n">
        <v>38292</v>
      </c>
      <c r="K509" s="13" t="n">
        <v>165000</v>
      </c>
      <c r="L509" s="38" t="s">
        <v>8</v>
      </c>
      <c r="M509" s="86" t="n">
        <v>4.05</v>
      </c>
      <c r="N509" s="133" t="n">
        <f aca="false">K509*M509</f>
        <v>668250</v>
      </c>
      <c r="O509" s="134" t="n">
        <f aca="false">0.075*K509</f>
        <v>12375</v>
      </c>
      <c r="Q509" s="135" t="s">
        <v>106</v>
      </c>
      <c r="T509" s="135" t="s">
        <v>106</v>
      </c>
      <c r="AB509" s="12" t="s">
        <v>95</v>
      </c>
    </row>
    <row r="510" customFormat="false" ht="12.75" hidden="false" customHeight="false" outlineLevel="1" collapsed="false">
      <c r="A510" s="10" t="n">
        <v>63</v>
      </c>
      <c r="B510" s="10" t="s">
        <v>329</v>
      </c>
      <c r="C510" s="62" t="n">
        <v>36790</v>
      </c>
      <c r="D510" s="12" t="s">
        <v>183</v>
      </c>
      <c r="E510" s="12" t="s">
        <v>89</v>
      </c>
      <c r="F510" s="12" t="s">
        <v>109</v>
      </c>
      <c r="G510" s="12" t="s">
        <v>236</v>
      </c>
      <c r="H510" s="63" t="n">
        <v>0</v>
      </c>
      <c r="I510" s="14" t="n">
        <f aca="false">+H510*K510</f>
        <v>0</v>
      </c>
      <c r="J510" s="85" t="n">
        <v>38322</v>
      </c>
      <c r="K510" s="13" t="n">
        <v>165000</v>
      </c>
      <c r="L510" s="38" t="s">
        <v>8</v>
      </c>
      <c r="M510" s="86" t="n">
        <v>4.05</v>
      </c>
      <c r="N510" s="133" t="n">
        <f aca="false">K510*M510</f>
        <v>668250</v>
      </c>
      <c r="O510" s="134" t="n">
        <f aca="false">0.075*K510</f>
        <v>12375</v>
      </c>
      <c r="Q510" s="135" t="s">
        <v>106</v>
      </c>
      <c r="T510" s="135" t="s">
        <v>106</v>
      </c>
      <c r="AB510" s="12" t="s">
        <v>95</v>
      </c>
    </row>
    <row r="511" customFormat="false" ht="12.75" hidden="false" customHeight="false" outlineLevel="1" collapsed="false">
      <c r="A511" s="10" t="n">
        <v>63</v>
      </c>
      <c r="B511" s="10" t="s">
        <v>329</v>
      </c>
      <c r="C511" s="62" t="n">
        <v>36790</v>
      </c>
      <c r="D511" s="12" t="s">
        <v>183</v>
      </c>
      <c r="E511" s="12" t="s">
        <v>89</v>
      </c>
      <c r="F511" s="12" t="s">
        <v>109</v>
      </c>
      <c r="G511" s="12" t="s">
        <v>236</v>
      </c>
      <c r="H511" s="63" t="n">
        <v>0</v>
      </c>
      <c r="I511" s="14" t="n">
        <f aca="false">+H511*K511</f>
        <v>0</v>
      </c>
      <c r="J511" s="85" t="n">
        <v>38353</v>
      </c>
      <c r="K511" s="13" t="n">
        <v>165000</v>
      </c>
      <c r="L511" s="38" t="s">
        <v>8</v>
      </c>
      <c r="M511" s="86" t="n">
        <v>4.05</v>
      </c>
      <c r="N511" s="133" t="n">
        <f aca="false">K511*M511</f>
        <v>668250</v>
      </c>
      <c r="O511" s="134" t="n">
        <f aca="false">0.075*K511</f>
        <v>12375</v>
      </c>
      <c r="Q511" s="135" t="s">
        <v>106</v>
      </c>
      <c r="T511" s="135" t="s">
        <v>106</v>
      </c>
      <c r="AB511" s="12" t="s">
        <v>95</v>
      </c>
    </row>
    <row r="512" customFormat="false" ht="12.75" hidden="false" customHeight="false" outlineLevel="1" collapsed="false">
      <c r="A512" s="10" t="n">
        <v>63</v>
      </c>
      <c r="B512" s="10" t="s">
        <v>329</v>
      </c>
      <c r="C512" s="62" t="n">
        <v>36790</v>
      </c>
      <c r="D512" s="12" t="s">
        <v>183</v>
      </c>
      <c r="E512" s="12" t="s">
        <v>89</v>
      </c>
      <c r="F512" s="12" t="s">
        <v>109</v>
      </c>
      <c r="G512" s="12" t="s">
        <v>236</v>
      </c>
      <c r="H512" s="63" t="n">
        <v>0</v>
      </c>
      <c r="I512" s="14" t="n">
        <f aca="false">+H512*K512</f>
        <v>0</v>
      </c>
      <c r="J512" s="85" t="n">
        <v>38384</v>
      </c>
      <c r="K512" s="13" t="n">
        <v>165000</v>
      </c>
      <c r="L512" s="38" t="s">
        <v>8</v>
      </c>
      <c r="M512" s="86" t="n">
        <v>4.05</v>
      </c>
      <c r="N512" s="133" t="n">
        <f aca="false">K512*M512</f>
        <v>668250</v>
      </c>
      <c r="O512" s="134" t="n">
        <f aca="false">0.075*K512</f>
        <v>12375</v>
      </c>
      <c r="Q512" s="135" t="s">
        <v>106</v>
      </c>
      <c r="T512" s="135" t="s">
        <v>106</v>
      </c>
      <c r="AB512" s="12" t="s">
        <v>95</v>
      </c>
    </row>
    <row r="513" customFormat="false" ht="12.75" hidden="false" customHeight="false" outlineLevel="1" collapsed="false">
      <c r="A513" s="10" t="n">
        <v>63</v>
      </c>
      <c r="B513" s="10" t="s">
        <v>329</v>
      </c>
      <c r="C513" s="62" t="n">
        <v>36790</v>
      </c>
      <c r="D513" s="12" t="s">
        <v>183</v>
      </c>
      <c r="E513" s="12" t="s">
        <v>89</v>
      </c>
      <c r="F513" s="12" t="s">
        <v>109</v>
      </c>
      <c r="G513" s="12" t="s">
        <v>236</v>
      </c>
      <c r="H513" s="63" t="n">
        <v>0</v>
      </c>
      <c r="I513" s="14" t="n">
        <f aca="false">+H513*K513</f>
        <v>0</v>
      </c>
      <c r="J513" s="85" t="n">
        <v>38412</v>
      </c>
      <c r="K513" s="13" t="n">
        <v>165000</v>
      </c>
      <c r="L513" s="38" t="s">
        <v>8</v>
      </c>
      <c r="M513" s="86" t="n">
        <v>4.05</v>
      </c>
      <c r="N513" s="133" t="n">
        <f aca="false">K513*M513</f>
        <v>668250</v>
      </c>
      <c r="O513" s="134" t="n">
        <f aca="false">0.075*K513</f>
        <v>12375</v>
      </c>
      <c r="Q513" s="135" t="s">
        <v>106</v>
      </c>
      <c r="T513" s="135" t="s">
        <v>106</v>
      </c>
      <c r="AB513" s="12" t="s">
        <v>95</v>
      </c>
    </row>
    <row r="514" customFormat="false" ht="12.75" hidden="false" customHeight="false" outlineLevel="1" collapsed="false">
      <c r="A514" s="10" t="n">
        <v>63</v>
      </c>
      <c r="B514" s="10" t="s">
        <v>329</v>
      </c>
      <c r="C514" s="62" t="n">
        <v>36790</v>
      </c>
      <c r="D514" s="12" t="s">
        <v>183</v>
      </c>
      <c r="E514" s="12" t="s">
        <v>89</v>
      </c>
      <c r="F514" s="12" t="s">
        <v>109</v>
      </c>
      <c r="G514" s="12" t="s">
        <v>236</v>
      </c>
      <c r="H514" s="63" t="n">
        <v>0</v>
      </c>
      <c r="I514" s="14" t="n">
        <f aca="false">+H514*K514</f>
        <v>0</v>
      </c>
      <c r="J514" s="85" t="n">
        <v>38443</v>
      </c>
      <c r="K514" s="13" t="n">
        <v>165000</v>
      </c>
      <c r="L514" s="38" t="s">
        <v>8</v>
      </c>
      <c r="M514" s="86" t="n">
        <v>4.05</v>
      </c>
      <c r="N514" s="133" t="n">
        <f aca="false">K514*M514</f>
        <v>668250</v>
      </c>
      <c r="O514" s="134" t="n">
        <f aca="false">0.075*K514</f>
        <v>12375</v>
      </c>
      <c r="Q514" s="135" t="s">
        <v>106</v>
      </c>
      <c r="T514" s="135" t="s">
        <v>106</v>
      </c>
      <c r="AB514" s="12" t="s">
        <v>95</v>
      </c>
    </row>
    <row r="515" customFormat="false" ht="12.75" hidden="false" customHeight="false" outlineLevel="1" collapsed="false">
      <c r="A515" s="10" t="n">
        <v>63</v>
      </c>
      <c r="B515" s="10" t="s">
        <v>329</v>
      </c>
      <c r="C515" s="62" t="n">
        <v>36790</v>
      </c>
      <c r="D515" s="12" t="s">
        <v>183</v>
      </c>
      <c r="E515" s="12" t="s">
        <v>89</v>
      </c>
      <c r="F515" s="12" t="s">
        <v>109</v>
      </c>
      <c r="G515" s="12" t="s">
        <v>236</v>
      </c>
      <c r="H515" s="63" t="n">
        <v>0</v>
      </c>
      <c r="I515" s="14" t="n">
        <f aca="false">+H515*K515</f>
        <v>0</v>
      </c>
      <c r="J515" s="85" t="n">
        <v>38473</v>
      </c>
      <c r="K515" s="13" t="n">
        <v>165000</v>
      </c>
      <c r="L515" s="38" t="s">
        <v>8</v>
      </c>
      <c r="M515" s="86" t="n">
        <v>4.05</v>
      </c>
      <c r="N515" s="133" t="n">
        <f aca="false">K515*M515</f>
        <v>668250</v>
      </c>
      <c r="O515" s="134" t="n">
        <f aca="false">0.075*K515</f>
        <v>12375</v>
      </c>
      <c r="Q515" s="135" t="s">
        <v>106</v>
      </c>
      <c r="T515" s="135" t="s">
        <v>106</v>
      </c>
      <c r="AB515" s="12" t="s">
        <v>95</v>
      </c>
    </row>
    <row r="516" customFormat="false" ht="12.75" hidden="false" customHeight="false" outlineLevel="1" collapsed="false">
      <c r="A516" s="10" t="n">
        <v>63</v>
      </c>
      <c r="B516" s="10" t="s">
        <v>329</v>
      </c>
      <c r="C516" s="62" t="n">
        <v>36790</v>
      </c>
      <c r="D516" s="12" t="s">
        <v>183</v>
      </c>
      <c r="E516" s="12" t="s">
        <v>89</v>
      </c>
      <c r="F516" s="12" t="s">
        <v>109</v>
      </c>
      <c r="G516" s="12" t="s">
        <v>236</v>
      </c>
      <c r="H516" s="63" t="n">
        <v>0</v>
      </c>
      <c r="I516" s="14" t="n">
        <f aca="false">+H516*K516</f>
        <v>0</v>
      </c>
      <c r="J516" s="85" t="n">
        <v>38504</v>
      </c>
      <c r="K516" s="13" t="n">
        <v>165000</v>
      </c>
      <c r="L516" s="38" t="s">
        <v>8</v>
      </c>
      <c r="M516" s="86" t="n">
        <v>4.05</v>
      </c>
      <c r="N516" s="133" t="n">
        <f aca="false">K516*M516</f>
        <v>668250</v>
      </c>
      <c r="O516" s="134" t="n">
        <f aca="false">0.075*K516</f>
        <v>12375</v>
      </c>
      <c r="Q516" s="135" t="s">
        <v>106</v>
      </c>
      <c r="T516" s="135" t="s">
        <v>106</v>
      </c>
      <c r="AB516" s="12" t="s">
        <v>95</v>
      </c>
    </row>
    <row r="517" customFormat="false" ht="12.75" hidden="false" customHeight="false" outlineLevel="0" collapsed="false">
      <c r="A517" s="10" t="n">
        <v>63</v>
      </c>
      <c r="B517" s="10" t="s">
        <v>329</v>
      </c>
      <c r="C517" s="62" t="n">
        <v>36790</v>
      </c>
      <c r="D517" s="12" t="s">
        <v>183</v>
      </c>
      <c r="E517" s="12" t="s">
        <v>89</v>
      </c>
      <c r="F517" s="12" t="s">
        <v>109</v>
      </c>
      <c r="G517" s="12" t="s">
        <v>236</v>
      </c>
      <c r="H517" s="63" t="n">
        <v>0</v>
      </c>
      <c r="I517" s="14" t="n">
        <f aca="false">+H517*K517</f>
        <v>0</v>
      </c>
      <c r="J517" s="85" t="n">
        <v>38534</v>
      </c>
      <c r="K517" s="13" t="n">
        <v>165000</v>
      </c>
      <c r="L517" s="38" t="s">
        <v>8</v>
      </c>
      <c r="M517" s="86" t="n">
        <v>4.05</v>
      </c>
      <c r="N517" s="133" t="n">
        <f aca="false">K517*M517</f>
        <v>668250</v>
      </c>
      <c r="O517" s="134" t="n">
        <f aca="false">0.075*K517</f>
        <v>12375</v>
      </c>
      <c r="Q517" s="135" t="s">
        <v>106</v>
      </c>
      <c r="T517" s="135" t="s">
        <v>106</v>
      </c>
      <c r="AB517" s="12" t="s">
        <v>95</v>
      </c>
    </row>
    <row r="518" customFormat="false" ht="12.75" hidden="false" customHeight="false" outlineLevel="0" collapsed="false">
      <c r="A518" s="10" t="n">
        <v>63</v>
      </c>
      <c r="B518" s="10" t="s">
        <v>329</v>
      </c>
      <c r="C518" s="62" t="n">
        <v>36790</v>
      </c>
      <c r="D518" s="12" t="s">
        <v>183</v>
      </c>
      <c r="E518" s="12" t="s">
        <v>89</v>
      </c>
      <c r="F518" s="12" t="s">
        <v>109</v>
      </c>
      <c r="G518" s="12" t="s">
        <v>236</v>
      </c>
      <c r="H518" s="63" t="n">
        <v>0</v>
      </c>
      <c r="I518" s="14" t="n">
        <f aca="false">+H518*K518</f>
        <v>0</v>
      </c>
      <c r="J518" s="85" t="n">
        <v>38565</v>
      </c>
      <c r="K518" s="13" t="n">
        <v>165000</v>
      </c>
      <c r="L518" s="38" t="s">
        <v>8</v>
      </c>
      <c r="M518" s="86" t="n">
        <v>4.05</v>
      </c>
      <c r="N518" s="133" t="n">
        <f aca="false">K518*M518</f>
        <v>668250</v>
      </c>
      <c r="O518" s="134" t="n">
        <f aca="false">0.075*K518</f>
        <v>12375</v>
      </c>
      <c r="Q518" s="135" t="s">
        <v>106</v>
      </c>
      <c r="T518" s="135" t="s">
        <v>106</v>
      </c>
      <c r="AB518" s="12" t="s">
        <v>95</v>
      </c>
    </row>
    <row r="519" customFormat="false" ht="12.75" hidden="false" customHeight="false" outlineLevel="0" collapsed="false">
      <c r="A519" s="10" t="n">
        <v>63</v>
      </c>
      <c r="B519" s="10" t="s">
        <v>329</v>
      </c>
      <c r="C519" s="62" t="n">
        <v>36790</v>
      </c>
      <c r="D519" s="12" t="s">
        <v>183</v>
      </c>
      <c r="E519" s="12" t="s">
        <v>89</v>
      </c>
      <c r="F519" s="12" t="s">
        <v>109</v>
      </c>
      <c r="G519" s="12" t="s">
        <v>236</v>
      </c>
      <c r="H519" s="63" t="n">
        <v>0</v>
      </c>
      <c r="I519" s="14" t="n">
        <f aca="false">+H519*K519</f>
        <v>0</v>
      </c>
      <c r="J519" s="85" t="n">
        <v>38596</v>
      </c>
      <c r="K519" s="13" t="n">
        <v>165000</v>
      </c>
      <c r="L519" s="38" t="s">
        <v>8</v>
      </c>
      <c r="M519" s="86" t="n">
        <v>4.05</v>
      </c>
      <c r="N519" s="133" t="n">
        <f aca="false">K519*M519</f>
        <v>668250</v>
      </c>
      <c r="O519" s="134" t="n">
        <f aca="false">0.075*K519</f>
        <v>12375</v>
      </c>
      <c r="Q519" s="135" t="s">
        <v>106</v>
      </c>
      <c r="T519" s="135" t="s">
        <v>106</v>
      </c>
      <c r="AB519" s="12" t="s">
        <v>95</v>
      </c>
    </row>
    <row r="520" customFormat="false" ht="12.75" hidden="false" customHeight="false" outlineLevel="0" collapsed="false">
      <c r="G520" s="12" t="s">
        <v>331</v>
      </c>
      <c r="J520" s="85"/>
      <c r="M520" s="86"/>
      <c r="O520" s="134" t="n">
        <v>-400000</v>
      </c>
    </row>
    <row r="522" customFormat="false" ht="12.75" hidden="false" customHeight="false" outlineLevel="0" collapsed="false">
      <c r="A522" s="10" t="n">
        <v>64</v>
      </c>
      <c r="B522" s="10" t="s">
        <v>332</v>
      </c>
      <c r="C522" s="62" t="n">
        <v>36795</v>
      </c>
      <c r="D522" s="12" t="s">
        <v>333</v>
      </c>
      <c r="E522" s="12" t="s">
        <v>89</v>
      </c>
      <c r="F522" s="12" t="s">
        <v>235</v>
      </c>
      <c r="G522" s="12" t="s">
        <v>268</v>
      </c>
      <c r="H522" s="63" t="n">
        <v>0</v>
      </c>
      <c r="I522" s="14" t="n">
        <f aca="false">+H522*K522</f>
        <v>0</v>
      </c>
      <c r="J522" s="85" t="n">
        <v>36800</v>
      </c>
      <c r="K522" s="13" t="n">
        <v>11000</v>
      </c>
      <c r="L522" s="38" t="s">
        <v>8</v>
      </c>
      <c r="M522" s="63" t="n">
        <v>4.78</v>
      </c>
      <c r="N522" s="133" t="n">
        <f aca="false">K522*M522</f>
        <v>52580</v>
      </c>
      <c r="O522" s="134" t="n">
        <f aca="false">0.015*K522</f>
        <v>165</v>
      </c>
      <c r="Q522" s="135" t="n">
        <v>5.105</v>
      </c>
      <c r="T522" s="134" t="n">
        <f aca="false">(M522-Q522)*K522</f>
        <v>-3575</v>
      </c>
      <c r="Y522" s="12" t="s">
        <v>108</v>
      </c>
      <c r="AB522" s="12" t="s">
        <v>95</v>
      </c>
    </row>
    <row r="523" customFormat="false" ht="12.75" hidden="false" customHeight="false" outlineLevel="0" collapsed="false">
      <c r="A523" s="10" t="n">
        <v>64</v>
      </c>
      <c r="B523" s="10" t="s">
        <v>332</v>
      </c>
      <c r="C523" s="62" t="n">
        <v>36795</v>
      </c>
      <c r="D523" s="12" t="s">
        <v>333</v>
      </c>
      <c r="E523" s="12" t="s">
        <v>89</v>
      </c>
      <c r="F523" s="12" t="s">
        <v>235</v>
      </c>
      <c r="G523" s="12" t="s">
        <v>268</v>
      </c>
      <c r="H523" s="63" t="n">
        <v>0</v>
      </c>
      <c r="I523" s="14" t="n">
        <f aca="false">+H523*K523</f>
        <v>0</v>
      </c>
      <c r="J523" s="85" t="n">
        <v>36831</v>
      </c>
      <c r="K523" s="13" t="n">
        <v>11000</v>
      </c>
      <c r="L523" s="38" t="s">
        <v>8</v>
      </c>
      <c r="M523" s="63" t="n">
        <v>4.78</v>
      </c>
      <c r="N523" s="133" t="n">
        <f aca="false">K523*M523</f>
        <v>52580</v>
      </c>
      <c r="O523" s="134" t="n">
        <f aca="false">0.015*K523</f>
        <v>165</v>
      </c>
      <c r="Q523" s="135" t="n">
        <v>4.31</v>
      </c>
      <c r="T523" s="134" t="n">
        <f aca="false">(M523-Q523)*K523</f>
        <v>5170.00000000001</v>
      </c>
      <c r="AB523" s="12" t="s">
        <v>95</v>
      </c>
    </row>
    <row r="524" customFormat="false" ht="12.75" hidden="false" customHeight="false" outlineLevel="0" collapsed="false">
      <c r="A524" s="10" t="n">
        <v>64</v>
      </c>
      <c r="B524" s="10" t="s">
        <v>332</v>
      </c>
      <c r="C524" s="62" t="n">
        <v>36795</v>
      </c>
      <c r="D524" s="12" t="s">
        <v>333</v>
      </c>
      <c r="E524" s="12" t="s">
        <v>89</v>
      </c>
      <c r="F524" s="12" t="s">
        <v>235</v>
      </c>
      <c r="G524" s="12" t="s">
        <v>268</v>
      </c>
      <c r="H524" s="63" t="n">
        <v>0</v>
      </c>
      <c r="I524" s="14" t="n">
        <f aca="false">+H524*K524</f>
        <v>0</v>
      </c>
      <c r="J524" s="85" t="n">
        <v>36861</v>
      </c>
      <c r="K524" s="13" t="n">
        <v>11000</v>
      </c>
      <c r="L524" s="38" t="s">
        <v>8</v>
      </c>
      <c r="M524" s="63" t="n">
        <v>4.78</v>
      </c>
      <c r="N524" s="133" t="n">
        <f aca="false">K524*M524</f>
        <v>52580</v>
      </c>
      <c r="O524" s="134" t="n">
        <f aca="false">0.015*K524</f>
        <v>165</v>
      </c>
      <c r="Q524" s="135" t="n">
        <v>5.775</v>
      </c>
      <c r="T524" s="134" t="n">
        <f aca="false">(M524-Q524)*K524</f>
        <v>-10945</v>
      </c>
      <c r="AB524" s="12" t="s">
        <v>95</v>
      </c>
    </row>
    <row r="525" customFormat="false" ht="12.75" hidden="false" customHeight="false" outlineLevel="0" collapsed="false">
      <c r="A525" s="10" t="n">
        <v>64</v>
      </c>
      <c r="B525" s="10" t="s">
        <v>332</v>
      </c>
      <c r="C525" s="62" t="n">
        <v>36795</v>
      </c>
      <c r="D525" s="12" t="s">
        <v>333</v>
      </c>
      <c r="E525" s="12" t="s">
        <v>89</v>
      </c>
      <c r="F525" s="12" t="s">
        <v>235</v>
      </c>
      <c r="G525" s="12" t="s">
        <v>268</v>
      </c>
      <c r="H525" s="63" t="n">
        <v>0</v>
      </c>
      <c r="I525" s="14" t="n">
        <f aca="false">+H525*K525</f>
        <v>0</v>
      </c>
      <c r="J525" s="85" t="n">
        <v>36892</v>
      </c>
      <c r="K525" s="13" t="n">
        <v>11000</v>
      </c>
      <c r="L525" s="38" t="s">
        <v>8</v>
      </c>
      <c r="M525" s="63" t="n">
        <v>4.78</v>
      </c>
      <c r="N525" s="133" t="n">
        <f aca="false">K525*M525</f>
        <v>52580</v>
      </c>
      <c r="O525" s="134" t="n">
        <f aca="false">0.015*K525</f>
        <v>165</v>
      </c>
      <c r="Q525" s="135" t="n">
        <v>9.565</v>
      </c>
      <c r="T525" s="134" t="n">
        <f aca="false">(M525-Q525)*K525</f>
        <v>-52635</v>
      </c>
      <c r="AB525" s="12" t="s">
        <v>95</v>
      </c>
    </row>
    <row r="526" customFormat="false" ht="12.75" hidden="false" customHeight="false" outlineLevel="0" collapsed="false">
      <c r="A526" s="10" t="n">
        <v>64</v>
      </c>
      <c r="B526" s="10" t="s">
        <v>332</v>
      </c>
      <c r="C526" s="62" t="n">
        <v>36795</v>
      </c>
      <c r="D526" s="12" t="s">
        <v>333</v>
      </c>
      <c r="E526" s="12" t="s">
        <v>89</v>
      </c>
      <c r="F526" s="12" t="s">
        <v>235</v>
      </c>
      <c r="G526" s="12" t="s">
        <v>268</v>
      </c>
      <c r="H526" s="63" t="n">
        <v>0</v>
      </c>
      <c r="I526" s="14" t="n">
        <f aca="false">+H526*K526</f>
        <v>0</v>
      </c>
      <c r="J526" s="85" t="n">
        <v>36923</v>
      </c>
      <c r="K526" s="13" t="n">
        <v>11000</v>
      </c>
      <c r="L526" s="38" t="s">
        <v>8</v>
      </c>
      <c r="M526" s="63" t="n">
        <v>4.78</v>
      </c>
      <c r="N526" s="133" t="n">
        <f aca="false">K526*M526</f>
        <v>52580</v>
      </c>
      <c r="O526" s="134" t="n">
        <f aca="false">0.015*K526</f>
        <v>165</v>
      </c>
      <c r="AB526" s="12" t="s">
        <v>95</v>
      </c>
    </row>
    <row r="527" customFormat="false" ht="12.75" hidden="false" customHeight="false" outlineLevel="0" collapsed="false">
      <c r="A527" s="10" t="n">
        <v>64</v>
      </c>
      <c r="B527" s="10" t="s">
        <v>332</v>
      </c>
      <c r="C527" s="62" t="n">
        <v>36795</v>
      </c>
      <c r="D527" s="12" t="s">
        <v>333</v>
      </c>
      <c r="E527" s="12" t="s">
        <v>89</v>
      </c>
      <c r="F527" s="12" t="s">
        <v>235</v>
      </c>
      <c r="G527" s="12" t="s">
        <v>268</v>
      </c>
      <c r="H527" s="63" t="n">
        <v>0</v>
      </c>
      <c r="I527" s="14" t="n">
        <f aca="false">+H527*K527</f>
        <v>0</v>
      </c>
      <c r="J527" s="85" t="n">
        <v>36951</v>
      </c>
      <c r="K527" s="13" t="n">
        <v>11000</v>
      </c>
      <c r="L527" s="38" t="s">
        <v>8</v>
      </c>
      <c r="M527" s="63" t="n">
        <v>4.78</v>
      </c>
      <c r="N527" s="133" t="n">
        <f aca="false">K527*M527</f>
        <v>52580</v>
      </c>
      <c r="O527" s="134" t="n">
        <f aca="false">0.015*K527</f>
        <v>165</v>
      </c>
      <c r="AB527" s="12" t="s">
        <v>95</v>
      </c>
    </row>
    <row r="528" customFormat="false" ht="12.75" hidden="false" customHeight="false" outlineLevel="0" collapsed="false">
      <c r="A528" s="10" t="n">
        <v>64</v>
      </c>
      <c r="B528" s="10" t="s">
        <v>332</v>
      </c>
      <c r="C528" s="62" t="n">
        <v>36795</v>
      </c>
      <c r="D528" s="12" t="s">
        <v>333</v>
      </c>
      <c r="E528" s="12" t="s">
        <v>89</v>
      </c>
      <c r="F528" s="12" t="s">
        <v>235</v>
      </c>
      <c r="G528" s="12" t="s">
        <v>270</v>
      </c>
      <c r="I528" s="14" t="n">
        <f aca="false">+H528*K528</f>
        <v>0</v>
      </c>
      <c r="J528" s="85" t="n">
        <v>36982</v>
      </c>
      <c r="K528" s="13" t="n">
        <v>11000</v>
      </c>
      <c r="L528" s="38" t="s">
        <v>8</v>
      </c>
      <c r="M528" s="63" t="n">
        <v>4.78</v>
      </c>
      <c r="N528" s="133" t="n">
        <f aca="false">K528*M528</f>
        <v>52580</v>
      </c>
      <c r="O528" s="134" t="n">
        <v>0</v>
      </c>
      <c r="AB528" s="12" t="s">
        <v>95</v>
      </c>
    </row>
    <row r="529" customFormat="false" ht="12.75" hidden="false" customHeight="false" outlineLevel="0" collapsed="false">
      <c r="A529" s="10" t="n">
        <v>64</v>
      </c>
      <c r="B529" s="10" t="s">
        <v>332</v>
      </c>
      <c r="C529" s="62" t="n">
        <v>36795</v>
      </c>
      <c r="D529" s="12" t="s">
        <v>333</v>
      </c>
      <c r="E529" s="12" t="s">
        <v>89</v>
      </c>
      <c r="F529" s="12" t="s">
        <v>235</v>
      </c>
      <c r="G529" s="12" t="s">
        <v>270</v>
      </c>
      <c r="I529" s="14" t="n">
        <f aca="false">+H529*K529</f>
        <v>0</v>
      </c>
      <c r="J529" s="85" t="n">
        <v>37012</v>
      </c>
      <c r="K529" s="13" t="n">
        <v>11000</v>
      </c>
      <c r="L529" s="38" t="s">
        <v>8</v>
      </c>
      <c r="M529" s="63" t="n">
        <v>4.78</v>
      </c>
      <c r="N529" s="133" t="n">
        <f aca="false">K529*M529</f>
        <v>52580</v>
      </c>
      <c r="O529" s="134" t="n">
        <v>0</v>
      </c>
      <c r="AB529" s="12" t="s">
        <v>95</v>
      </c>
    </row>
    <row r="530" customFormat="false" ht="12.75" hidden="false" customHeight="false" outlineLevel="0" collapsed="false">
      <c r="A530" s="10" t="n">
        <v>64</v>
      </c>
      <c r="B530" s="10" t="s">
        <v>332</v>
      </c>
      <c r="C530" s="62" t="n">
        <v>36795</v>
      </c>
      <c r="D530" s="12" t="s">
        <v>333</v>
      </c>
      <c r="E530" s="12" t="s">
        <v>89</v>
      </c>
      <c r="F530" s="12" t="s">
        <v>235</v>
      </c>
      <c r="G530" s="12" t="s">
        <v>270</v>
      </c>
      <c r="I530" s="14" t="n">
        <f aca="false">+H530*K530</f>
        <v>0</v>
      </c>
      <c r="J530" s="85" t="n">
        <v>37043</v>
      </c>
      <c r="K530" s="13" t="n">
        <v>11000</v>
      </c>
      <c r="L530" s="38" t="s">
        <v>8</v>
      </c>
      <c r="M530" s="63" t="n">
        <v>4.78</v>
      </c>
      <c r="N530" s="133" t="n">
        <f aca="false">K530*M530</f>
        <v>52580</v>
      </c>
      <c r="O530" s="134" t="n">
        <v>0</v>
      </c>
      <c r="AB530" s="12" t="s">
        <v>95</v>
      </c>
    </row>
    <row r="531" customFormat="false" ht="12.75" hidden="false" customHeight="false" outlineLevel="0" collapsed="false">
      <c r="A531" s="10" t="n">
        <v>64</v>
      </c>
      <c r="B531" s="10" t="s">
        <v>332</v>
      </c>
      <c r="C531" s="62" t="n">
        <v>36795</v>
      </c>
      <c r="D531" s="12" t="s">
        <v>333</v>
      </c>
      <c r="E531" s="12" t="s">
        <v>89</v>
      </c>
      <c r="F531" s="12" t="s">
        <v>235</v>
      </c>
      <c r="G531" s="12" t="s">
        <v>270</v>
      </c>
      <c r="I531" s="14" t="n">
        <f aca="false">+H531*K531</f>
        <v>0</v>
      </c>
      <c r="J531" s="85" t="n">
        <v>37073</v>
      </c>
      <c r="K531" s="13" t="n">
        <v>11000</v>
      </c>
      <c r="L531" s="38" t="s">
        <v>8</v>
      </c>
      <c r="M531" s="63" t="n">
        <v>4.78</v>
      </c>
      <c r="N531" s="133" t="n">
        <f aca="false">K531*M531</f>
        <v>52580</v>
      </c>
      <c r="O531" s="134" t="n">
        <v>0</v>
      </c>
      <c r="AB531" s="12" t="s">
        <v>95</v>
      </c>
    </row>
    <row r="532" customFormat="false" ht="12.75" hidden="false" customHeight="false" outlineLevel="0" collapsed="false">
      <c r="A532" s="10" t="n">
        <v>64</v>
      </c>
      <c r="B532" s="10" t="s">
        <v>332</v>
      </c>
      <c r="C532" s="62" t="n">
        <v>36795</v>
      </c>
      <c r="D532" s="12" t="s">
        <v>333</v>
      </c>
      <c r="E532" s="12" t="s">
        <v>89</v>
      </c>
      <c r="F532" s="12" t="s">
        <v>235</v>
      </c>
      <c r="G532" s="12" t="s">
        <v>270</v>
      </c>
      <c r="I532" s="14" t="n">
        <f aca="false">+H532*K532</f>
        <v>0</v>
      </c>
      <c r="J532" s="85" t="n">
        <v>37104</v>
      </c>
      <c r="K532" s="13" t="n">
        <v>11000</v>
      </c>
      <c r="L532" s="38" t="s">
        <v>8</v>
      </c>
      <c r="M532" s="63" t="n">
        <v>4.78</v>
      </c>
      <c r="N532" s="133" t="n">
        <f aca="false">K532*M532</f>
        <v>52580</v>
      </c>
      <c r="O532" s="134" t="n">
        <v>0</v>
      </c>
      <c r="AB532" s="12" t="s">
        <v>95</v>
      </c>
    </row>
    <row r="533" customFormat="false" ht="12.75" hidden="false" customHeight="false" outlineLevel="0" collapsed="false">
      <c r="A533" s="10" t="n">
        <v>64</v>
      </c>
      <c r="B533" s="10" t="s">
        <v>332</v>
      </c>
      <c r="C533" s="62" t="n">
        <v>36795</v>
      </c>
      <c r="D533" s="12" t="s">
        <v>333</v>
      </c>
      <c r="E533" s="12" t="s">
        <v>89</v>
      </c>
      <c r="F533" s="12" t="s">
        <v>235</v>
      </c>
      <c r="G533" s="12" t="s">
        <v>270</v>
      </c>
      <c r="I533" s="14" t="n">
        <f aca="false">+H533*K533</f>
        <v>0</v>
      </c>
      <c r="J533" s="85" t="n">
        <v>37135</v>
      </c>
      <c r="K533" s="13" t="n">
        <v>11000</v>
      </c>
      <c r="L533" s="38" t="s">
        <v>8</v>
      </c>
      <c r="M533" s="63" t="n">
        <v>4.78</v>
      </c>
      <c r="N533" s="133" t="n">
        <f aca="false">K533*M533</f>
        <v>52580</v>
      </c>
      <c r="O533" s="134" t="n">
        <v>0</v>
      </c>
      <c r="AB533" s="12" t="s">
        <v>95</v>
      </c>
    </row>
    <row r="535" customFormat="false" ht="12.75" hidden="false" customHeight="false" outlineLevel="0" collapsed="false">
      <c r="A535" s="10" t="n">
        <v>65</v>
      </c>
      <c r="B535" s="10" t="s">
        <v>334</v>
      </c>
      <c r="C535" s="62" t="n">
        <v>36796</v>
      </c>
      <c r="D535" s="12" t="s">
        <v>166</v>
      </c>
      <c r="E535" s="12" t="s">
        <v>89</v>
      </c>
      <c r="F535" s="12" t="s">
        <v>235</v>
      </c>
      <c r="G535" s="12" t="s">
        <v>239</v>
      </c>
      <c r="H535" s="63" t="n">
        <v>0.23</v>
      </c>
      <c r="I535" s="14" t="n">
        <f aca="false">+H535*K535</f>
        <v>31970</v>
      </c>
      <c r="J535" s="85" t="n">
        <v>36831</v>
      </c>
      <c r="K535" s="13" t="n">
        <v>139000</v>
      </c>
      <c r="L535" s="38" t="s">
        <v>8</v>
      </c>
      <c r="M535" s="63" t="s">
        <v>335</v>
      </c>
      <c r="O535" s="134" t="n">
        <f aca="false">0.0125*K535</f>
        <v>1737.5</v>
      </c>
      <c r="Q535" s="135" t="n">
        <v>4.31</v>
      </c>
      <c r="T535" s="134" t="n">
        <f aca="false">(4.5-Q535)*K535</f>
        <v>26410.0000000001</v>
      </c>
      <c r="Y535" s="12" t="s">
        <v>93</v>
      </c>
      <c r="AA535" s="10" t="s">
        <v>94</v>
      </c>
      <c r="AB535" s="12" t="s">
        <v>245</v>
      </c>
    </row>
    <row r="536" customFormat="false" ht="12.75" hidden="false" customHeight="false" outlineLevel="0" collapsed="false">
      <c r="A536" s="10" t="n">
        <v>65</v>
      </c>
      <c r="B536" s="10" t="s">
        <v>334</v>
      </c>
      <c r="C536" s="62" t="n">
        <v>36796</v>
      </c>
      <c r="D536" s="12" t="s">
        <v>166</v>
      </c>
      <c r="E536" s="12" t="s">
        <v>89</v>
      </c>
      <c r="F536" s="12" t="s">
        <v>235</v>
      </c>
      <c r="G536" s="12" t="s">
        <v>239</v>
      </c>
      <c r="H536" s="63" t="n">
        <v>0.23</v>
      </c>
      <c r="I536" s="14" t="n">
        <f aca="false">+H536*K536</f>
        <v>31970</v>
      </c>
      <c r="J536" s="85" t="n">
        <v>36861</v>
      </c>
      <c r="K536" s="13" t="n">
        <v>139000</v>
      </c>
      <c r="L536" s="38" t="s">
        <v>8</v>
      </c>
      <c r="M536" s="63" t="s">
        <v>335</v>
      </c>
      <c r="O536" s="134" t="n">
        <f aca="false">0.0125*K536</f>
        <v>1737.5</v>
      </c>
      <c r="Q536" s="135" t="n">
        <v>5.775</v>
      </c>
      <c r="T536" s="134" t="n">
        <f aca="false">(5.75-Q536)*K536</f>
        <v>-3475.00000000005</v>
      </c>
      <c r="AA536" s="10" t="s">
        <v>94</v>
      </c>
      <c r="AB536" s="12" t="s">
        <v>245</v>
      </c>
    </row>
    <row r="537" customFormat="false" ht="12.75" hidden="false" customHeight="false" outlineLevel="0" collapsed="false">
      <c r="A537" s="10" t="n">
        <v>65</v>
      </c>
      <c r="B537" s="10" t="s">
        <v>334</v>
      </c>
      <c r="C537" s="62" t="n">
        <v>36796</v>
      </c>
      <c r="D537" s="12" t="s">
        <v>166</v>
      </c>
      <c r="E537" s="12" t="s">
        <v>89</v>
      </c>
      <c r="F537" s="12" t="s">
        <v>235</v>
      </c>
      <c r="G537" s="12" t="s">
        <v>239</v>
      </c>
      <c r="H537" s="63" t="n">
        <v>0.23</v>
      </c>
      <c r="I537" s="14" t="n">
        <f aca="false">+H537*K537</f>
        <v>31970</v>
      </c>
      <c r="J537" s="85" t="n">
        <v>36892</v>
      </c>
      <c r="K537" s="13" t="n">
        <v>139000</v>
      </c>
      <c r="L537" s="38" t="s">
        <v>8</v>
      </c>
      <c r="M537" s="63" t="s">
        <v>335</v>
      </c>
      <c r="O537" s="134" t="n">
        <f aca="false">0.0125*K537</f>
        <v>1737.5</v>
      </c>
      <c r="Q537" s="135" t="n">
        <v>9.565</v>
      </c>
      <c r="T537" s="134" t="n">
        <f aca="false">(5.75-Q537)*K537</f>
        <v>-530285</v>
      </c>
      <c r="AA537" s="10" t="s">
        <v>94</v>
      </c>
      <c r="AB537" s="12" t="s">
        <v>245</v>
      </c>
    </row>
    <row r="538" customFormat="false" ht="12.75" hidden="false" customHeight="false" outlineLevel="0" collapsed="false">
      <c r="A538" s="10" t="n">
        <v>65</v>
      </c>
      <c r="B538" s="10" t="s">
        <v>334</v>
      </c>
      <c r="C538" s="62" t="n">
        <v>36796</v>
      </c>
      <c r="D538" s="12" t="s">
        <v>166</v>
      </c>
      <c r="E538" s="12" t="s">
        <v>89</v>
      </c>
      <c r="F538" s="12" t="s">
        <v>235</v>
      </c>
      <c r="G538" s="12" t="s">
        <v>239</v>
      </c>
      <c r="H538" s="63" t="n">
        <v>0.23</v>
      </c>
      <c r="I538" s="14" t="n">
        <f aca="false">+H538*K538</f>
        <v>31970</v>
      </c>
      <c r="J538" s="85" t="n">
        <v>36923</v>
      </c>
      <c r="K538" s="13" t="n">
        <v>139000</v>
      </c>
      <c r="L538" s="38" t="s">
        <v>8</v>
      </c>
      <c r="M538" s="63" t="s">
        <v>335</v>
      </c>
      <c r="O538" s="134" t="n">
        <f aca="false">0.0125*K538</f>
        <v>1737.5</v>
      </c>
      <c r="AA538" s="10" t="s">
        <v>94</v>
      </c>
      <c r="AB538" s="12" t="s">
        <v>245</v>
      </c>
    </row>
    <row r="540" customFormat="false" ht="12.75" hidden="false" customHeight="false" outlineLevel="0" collapsed="false">
      <c r="A540" s="10" t="n">
        <v>66</v>
      </c>
      <c r="B540" s="10" t="s">
        <v>336</v>
      </c>
      <c r="C540" s="62" t="n">
        <v>36796</v>
      </c>
      <c r="D540" s="12" t="s">
        <v>167</v>
      </c>
      <c r="E540" s="12" t="s">
        <v>89</v>
      </c>
      <c r="F540" s="12" t="s">
        <v>235</v>
      </c>
      <c r="G540" s="12" t="s">
        <v>239</v>
      </c>
      <c r="H540" s="63" t="n">
        <v>0.23</v>
      </c>
      <c r="I540" s="14" t="n">
        <f aca="false">+H540*K540</f>
        <v>3680</v>
      </c>
      <c r="J540" s="85" t="n">
        <v>36831</v>
      </c>
      <c r="K540" s="13" t="n">
        <v>16000</v>
      </c>
      <c r="L540" s="38" t="s">
        <v>8</v>
      </c>
      <c r="M540" s="63" t="s">
        <v>335</v>
      </c>
      <c r="O540" s="134" t="n">
        <f aca="false">0.0125*K540</f>
        <v>200</v>
      </c>
      <c r="Q540" s="135" t="n">
        <v>4.31</v>
      </c>
      <c r="T540" s="134" t="n">
        <f aca="false">(4.5-Q540)*K540</f>
        <v>3040.00000000001</v>
      </c>
      <c r="Y540" s="12" t="s">
        <v>93</v>
      </c>
      <c r="AA540" s="10" t="s">
        <v>94</v>
      </c>
      <c r="AB540" s="12" t="s">
        <v>245</v>
      </c>
    </row>
    <row r="541" customFormat="false" ht="12.75" hidden="false" customHeight="false" outlineLevel="0" collapsed="false">
      <c r="A541" s="10" t="n">
        <v>66</v>
      </c>
      <c r="B541" s="10" t="s">
        <v>336</v>
      </c>
      <c r="C541" s="62" t="n">
        <v>36796</v>
      </c>
      <c r="D541" s="12" t="s">
        <v>167</v>
      </c>
      <c r="E541" s="12" t="s">
        <v>89</v>
      </c>
      <c r="F541" s="12" t="s">
        <v>235</v>
      </c>
      <c r="G541" s="12" t="s">
        <v>239</v>
      </c>
      <c r="H541" s="63" t="n">
        <v>0.23</v>
      </c>
      <c r="I541" s="14" t="n">
        <f aca="false">+H541*K541</f>
        <v>3680</v>
      </c>
      <c r="J541" s="85" t="n">
        <v>36861</v>
      </c>
      <c r="K541" s="13" t="n">
        <v>16000</v>
      </c>
      <c r="L541" s="38" t="s">
        <v>8</v>
      </c>
      <c r="M541" s="63" t="s">
        <v>335</v>
      </c>
      <c r="O541" s="134" t="n">
        <f aca="false">0.0125*K541</f>
        <v>200</v>
      </c>
      <c r="Q541" s="135" t="n">
        <v>5.775</v>
      </c>
      <c r="T541" s="134" t="n">
        <f aca="false">(5.75-Q541)*K541</f>
        <v>-400.000000000006</v>
      </c>
      <c r="AA541" s="10" t="s">
        <v>94</v>
      </c>
      <c r="AB541" s="12" t="s">
        <v>245</v>
      </c>
    </row>
    <row r="542" customFormat="false" ht="12.75" hidden="false" customHeight="false" outlineLevel="0" collapsed="false">
      <c r="A542" s="10" t="n">
        <v>66</v>
      </c>
      <c r="B542" s="10" t="s">
        <v>336</v>
      </c>
      <c r="C542" s="62" t="n">
        <v>36796</v>
      </c>
      <c r="D542" s="12" t="s">
        <v>167</v>
      </c>
      <c r="E542" s="12" t="s">
        <v>89</v>
      </c>
      <c r="F542" s="12" t="s">
        <v>235</v>
      </c>
      <c r="G542" s="12" t="s">
        <v>239</v>
      </c>
      <c r="H542" s="63" t="n">
        <v>0.23</v>
      </c>
      <c r="I542" s="14" t="n">
        <f aca="false">+H542*K542</f>
        <v>3680</v>
      </c>
      <c r="J542" s="85" t="n">
        <v>36892</v>
      </c>
      <c r="K542" s="13" t="n">
        <v>16000</v>
      </c>
      <c r="L542" s="38" t="s">
        <v>8</v>
      </c>
      <c r="M542" s="63" t="s">
        <v>335</v>
      </c>
      <c r="O542" s="134" t="n">
        <f aca="false">0.0125*K542</f>
        <v>200</v>
      </c>
      <c r="Q542" s="135" t="n">
        <v>9.565</v>
      </c>
      <c r="T542" s="134" t="n">
        <f aca="false">(5.75-Q542)*K542</f>
        <v>-61040</v>
      </c>
      <c r="AA542" s="10" t="s">
        <v>94</v>
      </c>
      <c r="AB542" s="12" t="s">
        <v>245</v>
      </c>
    </row>
    <row r="543" customFormat="false" ht="12.75" hidden="false" customHeight="false" outlineLevel="0" collapsed="false">
      <c r="A543" s="10" t="n">
        <v>66</v>
      </c>
      <c r="B543" s="10" t="s">
        <v>336</v>
      </c>
      <c r="C543" s="62" t="n">
        <v>36796</v>
      </c>
      <c r="D543" s="12" t="s">
        <v>167</v>
      </c>
      <c r="E543" s="12" t="s">
        <v>89</v>
      </c>
      <c r="F543" s="12" t="s">
        <v>235</v>
      </c>
      <c r="G543" s="12" t="s">
        <v>239</v>
      </c>
      <c r="H543" s="63" t="n">
        <v>0.23</v>
      </c>
      <c r="I543" s="14" t="n">
        <f aca="false">+H543*K543</f>
        <v>3680</v>
      </c>
      <c r="J543" s="85" t="n">
        <v>36923</v>
      </c>
      <c r="K543" s="13" t="n">
        <v>16000</v>
      </c>
      <c r="L543" s="38" t="s">
        <v>8</v>
      </c>
      <c r="M543" s="63" t="s">
        <v>335</v>
      </c>
      <c r="O543" s="134" t="n">
        <f aca="false">0.0125*K543</f>
        <v>200</v>
      </c>
      <c r="AA543" s="10" t="s">
        <v>94</v>
      </c>
      <c r="AB543" s="12" t="s">
        <v>245</v>
      </c>
    </row>
    <row r="545" customFormat="false" ht="12.75" hidden="false" customHeight="false" outlineLevel="0" collapsed="false">
      <c r="A545" s="10" t="n">
        <v>67</v>
      </c>
      <c r="B545" s="10" t="s">
        <v>337</v>
      </c>
      <c r="C545" s="62" t="n">
        <v>36796</v>
      </c>
      <c r="D545" s="12" t="s">
        <v>168</v>
      </c>
      <c r="E545" s="12" t="s">
        <v>89</v>
      </c>
      <c r="F545" s="12" t="s">
        <v>235</v>
      </c>
      <c r="G545" s="12" t="s">
        <v>239</v>
      </c>
      <c r="H545" s="63" t="n">
        <v>0.23</v>
      </c>
      <c r="I545" s="14" t="n">
        <f aca="false">+H545*K545</f>
        <v>3450</v>
      </c>
      <c r="J545" s="85" t="n">
        <v>36831</v>
      </c>
      <c r="K545" s="13" t="n">
        <v>15000</v>
      </c>
      <c r="L545" s="38" t="s">
        <v>8</v>
      </c>
      <c r="M545" s="63" t="s">
        <v>335</v>
      </c>
      <c r="O545" s="134" t="n">
        <f aca="false">0.0125*K545</f>
        <v>187.5</v>
      </c>
      <c r="Q545" s="135" t="n">
        <v>4.31</v>
      </c>
      <c r="T545" s="134" t="n">
        <f aca="false">(4.5-Q545)*K545</f>
        <v>2850.00000000001</v>
      </c>
      <c r="Y545" s="12" t="s">
        <v>93</v>
      </c>
      <c r="AA545" s="10" t="s">
        <v>94</v>
      </c>
      <c r="AB545" s="12" t="s">
        <v>245</v>
      </c>
    </row>
    <row r="546" customFormat="false" ht="12.75" hidden="false" customHeight="false" outlineLevel="0" collapsed="false">
      <c r="A546" s="10" t="n">
        <v>67</v>
      </c>
      <c r="B546" s="10" t="s">
        <v>337</v>
      </c>
      <c r="C546" s="62" t="n">
        <v>36796</v>
      </c>
      <c r="D546" s="12" t="s">
        <v>168</v>
      </c>
      <c r="E546" s="12" t="s">
        <v>89</v>
      </c>
      <c r="F546" s="12" t="s">
        <v>235</v>
      </c>
      <c r="G546" s="12" t="s">
        <v>239</v>
      </c>
      <c r="H546" s="63" t="n">
        <v>0.23</v>
      </c>
      <c r="I546" s="14" t="n">
        <f aca="false">+H546*K546</f>
        <v>3450</v>
      </c>
      <c r="J546" s="85" t="n">
        <v>36861</v>
      </c>
      <c r="K546" s="13" t="n">
        <v>15000</v>
      </c>
      <c r="L546" s="38" t="s">
        <v>8</v>
      </c>
      <c r="M546" s="63" t="s">
        <v>335</v>
      </c>
      <c r="O546" s="134" t="n">
        <f aca="false">0.0125*K546</f>
        <v>187.5</v>
      </c>
      <c r="Q546" s="135" t="n">
        <v>5.775</v>
      </c>
      <c r="T546" s="134" t="n">
        <f aca="false">(5.75-Q546)*K546</f>
        <v>-375.000000000005</v>
      </c>
      <c r="AA546" s="10" t="s">
        <v>94</v>
      </c>
      <c r="AB546" s="12" t="s">
        <v>245</v>
      </c>
    </row>
    <row r="547" customFormat="false" ht="12.75" hidden="false" customHeight="false" outlineLevel="0" collapsed="false">
      <c r="A547" s="10" t="n">
        <v>67</v>
      </c>
      <c r="B547" s="10" t="s">
        <v>337</v>
      </c>
      <c r="C547" s="62" t="n">
        <v>36796</v>
      </c>
      <c r="D547" s="12" t="s">
        <v>168</v>
      </c>
      <c r="E547" s="12" t="s">
        <v>89</v>
      </c>
      <c r="F547" s="12" t="s">
        <v>235</v>
      </c>
      <c r="G547" s="12" t="s">
        <v>239</v>
      </c>
      <c r="H547" s="63" t="n">
        <v>0.23</v>
      </c>
      <c r="I547" s="14" t="n">
        <f aca="false">+H547*K547</f>
        <v>3450</v>
      </c>
      <c r="J547" s="85" t="n">
        <v>36892</v>
      </c>
      <c r="K547" s="13" t="n">
        <v>15000</v>
      </c>
      <c r="L547" s="38" t="s">
        <v>8</v>
      </c>
      <c r="M547" s="63" t="s">
        <v>335</v>
      </c>
      <c r="O547" s="134" t="n">
        <f aca="false">0.0125*K547</f>
        <v>187.5</v>
      </c>
      <c r="Q547" s="135" t="n">
        <v>9.565</v>
      </c>
      <c r="T547" s="134" t="n">
        <f aca="false">(5.75-Q547)*K547</f>
        <v>-57225</v>
      </c>
      <c r="AA547" s="10" t="s">
        <v>94</v>
      </c>
      <c r="AB547" s="12" t="s">
        <v>245</v>
      </c>
    </row>
    <row r="548" customFormat="false" ht="12.75" hidden="false" customHeight="false" outlineLevel="0" collapsed="false">
      <c r="A548" s="10" t="n">
        <v>67</v>
      </c>
      <c r="B548" s="10" t="s">
        <v>337</v>
      </c>
      <c r="C548" s="62" t="n">
        <v>36796</v>
      </c>
      <c r="D548" s="12" t="s">
        <v>168</v>
      </c>
      <c r="E548" s="12" t="s">
        <v>89</v>
      </c>
      <c r="F548" s="12" t="s">
        <v>235</v>
      </c>
      <c r="G548" s="12" t="s">
        <v>239</v>
      </c>
      <c r="H548" s="63" t="n">
        <v>0.23</v>
      </c>
      <c r="I548" s="14" t="n">
        <f aca="false">+H548*K548</f>
        <v>3450</v>
      </c>
      <c r="J548" s="85" t="n">
        <v>36923</v>
      </c>
      <c r="K548" s="13" t="n">
        <v>15000</v>
      </c>
      <c r="L548" s="38" t="s">
        <v>8</v>
      </c>
      <c r="M548" s="63" t="s">
        <v>335</v>
      </c>
      <c r="O548" s="134" t="n">
        <f aca="false">0.0125*K548</f>
        <v>187.5</v>
      </c>
      <c r="AA548" s="10" t="s">
        <v>94</v>
      </c>
      <c r="AB548" s="12" t="s">
        <v>245</v>
      </c>
    </row>
    <row r="550" customFormat="false" ht="12.75" hidden="false" customHeight="false" outlineLevel="0" collapsed="false">
      <c r="A550" s="10" t="n">
        <v>68</v>
      </c>
      <c r="C550" s="62" t="n">
        <v>36797</v>
      </c>
      <c r="D550" s="12" t="s">
        <v>34</v>
      </c>
      <c r="E550" s="12" t="s">
        <v>89</v>
      </c>
      <c r="F550" s="12" t="s">
        <v>235</v>
      </c>
      <c r="G550" s="12" t="s">
        <v>236</v>
      </c>
      <c r="H550" s="63" t="n">
        <v>0</v>
      </c>
      <c r="I550" s="14" t="n">
        <f aca="false">+H550*K550</f>
        <v>0</v>
      </c>
      <c r="J550" s="85" t="n">
        <v>36617</v>
      </c>
      <c r="K550" s="13" t="n">
        <v>805151</v>
      </c>
      <c r="L550" s="38" t="s">
        <v>8</v>
      </c>
      <c r="M550" s="86" t="n">
        <v>4.5</v>
      </c>
      <c r="N550" s="133" t="n">
        <f aca="false">K550*M550</f>
        <v>3623179.5</v>
      </c>
      <c r="O550" s="134" t="n">
        <f aca="false">0.065*K550</f>
        <v>52334.815</v>
      </c>
      <c r="R550" s="136" t="n">
        <v>4.62</v>
      </c>
      <c r="U550" s="137" t="n">
        <f aca="false">(M550-R550)*K550</f>
        <v>-96618.1200000001</v>
      </c>
      <c r="Y550" s="12" t="s">
        <v>107</v>
      </c>
      <c r="AA550" s="10" t="s">
        <v>94</v>
      </c>
      <c r="AB550" s="12" t="s">
        <v>95</v>
      </c>
    </row>
    <row r="551" customFormat="false" ht="12.75" hidden="false" customHeight="false" outlineLevel="0" collapsed="false">
      <c r="A551" s="10" t="n">
        <v>68</v>
      </c>
      <c r="C551" s="62" t="n">
        <v>36797</v>
      </c>
      <c r="D551" s="12" t="s">
        <v>34</v>
      </c>
      <c r="E551" s="12" t="s">
        <v>89</v>
      </c>
      <c r="F551" s="12" t="s">
        <v>235</v>
      </c>
      <c r="G551" s="12" t="s">
        <v>236</v>
      </c>
      <c r="H551" s="63" t="n">
        <v>0</v>
      </c>
      <c r="I551" s="14" t="n">
        <f aca="false">+H551*K551</f>
        <v>0</v>
      </c>
      <c r="J551" s="85" t="n">
        <v>36647</v>
      </c>
      <c r="K551" s="13" t="n">
        <v>805151</v>
      </c>
      <c r="L551" s="38" t="s">
        <v>8</v>
      </c>
      <c r="M551" s="86" t="n">
        <v>4.5</v>
      </c>
      <c r="N551" s="133" t="n">
        <f aca="false">K551*M551</f>
        <v>3623179.5</v>
      </c>
      <c r="O551" s="134" t="n">
        <f aca="false">0.065*K551</f>
        <v>52334.815</v>
      </c>
      <c r="R551" s="136" t="n">
        <v>4.527</v>
      </c>
      <c r="U551" s="137" t="n">
        <f aca="false">(M551-R551)*K551</f>
        <v>-21739.0769999994</v>
      </c>
      <c r="AA551" s="10" t="s">
        <v>94</v>
      </c>
      <c r="AB551" s="12" t="s">
        <v>95</v>
      </c>
    </row>
    <row r="552" customFormat="false" ht="12.75" hidden="false" customHeight="false" outlineLevel="0" collapsed="false">
      <c r="A552" s="10" t="n">
        <v>68</v>
      </c>
      <c r="C552" s="62" t="n">
        <v>36797</v>
      </c>
      <c r="D552" s="12" t="s">
        <v>34</v>
      </c>
      <c r="E552" s="12" t="s">
        <v>89</v>
      </c>
      <c r="F552" s="12" t="s">
        <v>235</v>
      </c>
      <c r="G552" s="12" t="s">
        <v>236</v>
      </c>
      <c r="H552" s="63" t="n">
        <v>0</v>
      </c>
      <c r="I552" s="14" t="n">
        <f aca="false">+H552*K552</f>
        <v>0</v>
      </c>
      <c r="J552" s="85" t="n">
        <v>36678</v>
      </c>
      <c r="K552" s="13" t="n">
        <v>805151</v>
      </c>
      <c r="L552" s="38" t="s">
        <v>8</v>
      </c>
      <c r="M552" s="86" t="n">
        <v>4.5</v>
      </c>
      <c r="N552" s="133" t="n">
        <f aca="false">K552*M552</f>
        <v>3623179.5</v>
      </c>
      <c r="O552" s="134" t="n">
        <f aca="false">0.065*K552</f>
        <v>52334.815</v>
      </c>
      <c r="R552" s="136" t="n">
        <v>4.52</v>
      </c>
      <c r="U552" s="137" t="n">
        <f aca="false">(M552-R552)*K552</f>
        <v>-16103.0199999997</v>
      </c>
      <c r="AA552" s="10" t="s">
        <v>94</v>
      </c>
      <c r="AB552" s="12" t="s">
        <v>95</v>
      </c>
    </row>
    <row r="553" customFormat="false" ht="12.75" hidden="false" customHeight="false" outlineLevel="0" collapsed="false">
      <c r="A553" s="10" t="n">
        <v>68</v>
      </c>
      <c r="C553" s="62" t="n">
        <v>36797</v>
      </c>
      <c r="D553" s="12" t="s">
        <v>34</v>
      </c>
      <c r="E553" s="12" t="s">
        <v>89</v>
      </c>
      <c r="F553" s="12" t="s">
        <v>235</v>
      </c>
      <c r="G553" s="12" t="s">
        <v>236</v>
      </c>
      <c r="H553" s="63" t="n">
        <v>0</v>
      </c>
      <c r="I553" s="14" t="n">
        <f aca="false">+H553*K553</f>
        <v>0</v>
      </c>
      <c r="J553" s="85" t="n">
        <v>36708</v>
      </c>
      <c r="K553" s="13" t="n">
        <v>805151</v>
      </c>
      <c r="L553" s="38" t="s">
        <v>8</v>
      </c>
      <c r="M553" s="86" t="n">
        <v>4.5</v>
      </c>
      <c r="N553" s="133" t="n">
        <f aca="false">K553*M553</f>
        <v>3623179.5</v>
      </c>
      <c r="O553" s="134" t="n">
        <f aca="false">0.065*K553</f>
        <v>52334.815</v>
      </c>
      <c r="R553" s="136" t="n">
        <v>4.507</v>
      </c>
      <c r="U553" s="137" t="n">
        <f aca="false">(M553-R553)*K553</f>
        <v>-5636.05699999974</v>
      </c>
      <c r="AA553" s="10" t="s">
        <v>94</v>
      </c>
      <c r="AB553" s="12" t="s">
        <v>95</v>
      </c>
    </row>
    <row r="554" customFormat="false" ht="12.75" hidden="false" customHeight="false" outlineLevel="0" collapsed="false">
      <c r="A554" s="10" t="n">
        <v>68</v>
      </c>
      <c r="C554" s="62" t="n">
        <v>36797</v>
      </c>
      <c r="D554" s="12" t="s">
        <v>34</v>
      </c>
      <c r="E554" s="12" t="s">
        <v>89</v>
      </c>
      <c r="F554" s="12" t="s">
        <v>235</v>
      </c>
      <c r="G554" s="12" t="s">
        <v>236</v>
      </c>
      <c r="H554" s="63" t="n">
        <v>0</v>
      </c>
      <c r="I554" s="14" t="n">
        <f aca="false">+H554*K554</f>
        <v>0</v>
      </c>
      <c r="J554" s="85" t="n">
        <v>36739</v>
      </c>
      <c r="K554" s="13" t="n">
        <v>805151</v>
      </c>
      <c r="L554" s="38" t="s">
        <v>8</v>
      </c>
      <c r="M554" s="86" t="n">
        <v>4.5</v>
      </c>
      <c r="N554" s="133" t="n">
        <f aca="false">K554*M554</f>
        <v>3623179.5</v>
      </c>
      <c r="O554" s="134" t="n">
        <f aca="false">0.065*K554</f>
        <v>52334.815</v>
      </c>
      <c r="R554" s="136" t="n">
        <v>4.52</v>
      </c>
      <c r="U554" s="137" t="n">
        <f aca="false">(M554-R554)*K554</f>
        <v>-16103.0199999997</v>
      </c>
      <c r="AA554" s="10" t="s">
        <v>94</v>
      </c>
      <c r="AB554" s="12" t="s">
        <v>95</v>
      </c>
    </row>
    <row r="555" customFormat="false" ht="12.75" hidden="false" customHeight="false" outlineLevel="0" collapsed="false">
      <c r="A555" s="10" t="n">
        <v>68</v>
      </c>
      <c r="C555" s="62" t="n">
        <v>36797</v>
      </c>
      <c r="D555" s="12" t="s">
        <v>34</v>
      </c>
      <c r="E555" s="12" t="s">
        <v>89</v>
      </c>
      <c r="F555" s="12" t="s">
        <v>235</v>
      </c>
      <c r="G555" s="12" t="s">
        <v>236</v>
      </c>
      <c r="H555" s="63" t="n">
        <v>0</v>
      </c>
      <c r="I555" s="14" t="n">
        <f aca="false">+H555*K555</f>
        <v>0</v>
      </c>
      <c r="J555" s="85" t="n">
        <v>36770</v>
      </c>
      <c r="K555" s="13" t="n">
        <v>805151</v>
      </c>
      <c r="L555" s="38" t="s">
        <v>8</v>
      </c>
      <c r="M555" s="86" t="n">
        <v>4.5</v>
      </c>
      <c r="N555" s="133" t="n">
        <f aca="false">K555*M555</f>
        <v>3623179.5</v>
      </c>
      <c r="O555" s="134" t="n">
        <f aca="false">0.065*K555</f>
        <v>52334.815</v>
      </c>
      <c r="R555" s="136" t="n">
        <v>4.51</v>
      </c>
      <c r="U555" s="137" t="n">
        <f aca="false">(M555-R555)*K555</f>
        <v>-8051.50999999983</v>
      </c>
      <c r="AA555" s="10" t="s">
        <v>94</v>
      </c>
      <c r="AB555" s="12" t="s">
        <v>95</v>
      </c>
    </row>
    <row r="556" customFormat="false" ht="12.75" hidden="false" customHeight="false" outlineLevel="0" collapsed="false">
      <c r="J556" s="85"/>
      <c r="M556" s="86"/>
    </row>
    <row r="557" customFormat="false" ht="12.75" hidden="false" customHeight="false" outlineLevel="0" collapsed="false">
      <c r="A557" s="10" t="n">
        <v>69</v>
      </c>
      <c r="B557" s="10" t="s">
        <v>338</v>
      </c>
      <c r="C557" s="62" t="n">
        <v>36804</v>
      </c>
      <c r="D557" s="12" t="s">
        <v>136</v>
      </c>
      <c r="E557" s="12" t="s">
        <v>89</v>
      </c>
      <c r="F557" s="12" t="s">
        <v>235</v>
      </c>
      <c r="G557" s="12" t="s">
        <v>236</v>
      </c>
      <c r="H557" s="63" t="n">
        <v>0</v>
      </c>
      <c r="I557" s="14" t="n">
        <f aca="false">+H557*K557</f>
        <v>0</v>
      </c>
      <c r="J557" s="85" t="n">
        <v>36831</v>
      </c>
      <c r="K557" s="13" t="n">
        <v>640000</v>
      </c>
      <c r="L557" s="38" t="s">
        <v>8</v>
      </c>
      <c r="M557" s="86" t="n">
        <v>4.9</v>
      </c>
      <c r="N557" s="133" t="n">
        <f aca="false">K557*M557</f>
        <v>3136000</v>
      </c>
      <c r="O557" s="134" t="n">
        <f aca="false">-0.045*K557*Z557</f>
        <v>-28658.3545322668</v>
      </c>
      <c r="Q557" s="135" t="n">
        <v>4.31</v>
      </c>
      <c r="T557" s="134" t="n">
        <f aca="false">(M557-Q557)*K557</f>
        <v>377600</v>
      </c>
      <c r="Y557" s="12" t="s">
        <v>102</v>
      </c>
      <c r="Z557" s="12" t="n">
        <v>0.995081754592597</v>
      </c>
      <c r="AA557" s="10" t="s">
        <v>94</v>
      </c>
      <c r="AB557" s="12" t="s">
        <v>95</v>
      </c>
    </row>
    <row r="558" customFormat="false" ht="12.75" hidden="false" customHeight="false" outlineLevel="0" collapsed="false">
      <c r="A558" s="10" t="n">
        <v>69</v>
      </c>
      <c r="B558" s="10" t="s">
        <v>338</v>
      </c>
      <c r="C558" s="62" t="n">
        <v>36804</v>
      </c>
      <c r="D558" s="12" t="s">
        <v>136</v>
      </c>
      <c r="E558" s="12" t="s">
        <v>89</v>
      </c>
      <c r="F558" s="12" t="s">
        <v>235</v>
      </c>
      <c r="G558" s="12" t="s">
        <v>236</v>
      </c>
      <c r="H558" s="63" t="n">
        <v>0</v>
      </c>
      <c r="I558" s="14" t="n">
        <f aca="false">+H558*K558</f>
        <v>0</v>
      </c>
      <c r="J558" s="85" t="n">
        <v>36861</v>
      </c>
      <c r="K558" s="13" t="n">
        <v>850000</v>
      </c>
      <c r="L558" s="38" t="s">
        <v>8</v>
      </c>
      <c r="M558" s="86" t="n">
        <v>4.9</v>
      </c>
      <c r="N558" s="133" t="n">
        <f aca="false">K558*M558</f>
        <v>4165000</v>
      </c>
      <c r="O558" s="134" t="n">
        <f aca="false">-0.13*K558*Z558</f>
        <v>-109352.661662916</v>
      </c>
      <c r="Q558" s="135" t="n">
        <v>5.775</v>
      </c>
      <c r="T558" s="134" t="n">
        <f aca="false">(M558-Q558)*K558</f>
        <v>-743750</v>
      </c>
      <c r="W558" s="137"/>
      <c r="X558" s="137"/>
      <c r="Z558" s="12" t="n">
        <v>0.989616847628197</v>
      </c>
      <c r="AA558" s="10" t="s">
        <v>94</v>
      </c>
      <c r="AB558" s="12" t="s">
        <v>95</v>
      </c>
    </row>
    <row r="559" customFormat="false" ht="12.75" hidden="false" customHeight="false" outlineLevel="0" collapsed="false">
      <c r="A559" s="10" t="n">
        <v>69</v>
      </c>
      <c r="B559" s="10" t="s">
        <v>338</v>
      </c>
      <c r="C559" s="62" t="n">
        <v>36804</v>
      </c>
      <c r="D559" s="12" t="s">
        <v>136</v>
      </c>
      <c r="E559" s="12" t="s">
        <v>89</v>
      </c>
      <c r="F559" s="12" t="s">
        <v>235</v>
      </c>
      <c r="G559" s="12" t="s">
        <v>236</v>
      </c>
      <c r="H559" s="63" t="n">
        <v>0</v>
      </c>
      <c r="I559" s="14" t="n">
        <f aca="false">+H559*K559</f>
        <v>0</v>
      </c>
      <c r="J559" s="85" t="n">
        <v>36892</v>
      </c>
      <c r="K559" s="13" t="n">
        <v>900000</v>
      </c>
      <c r="L559" s="38" t="s">
        <v>8</v>
      </c>
      <c r="M559" s="86" t="n">
        <v>4.9</v>
      </c>
      <c r="N559" s="133" t="n">
        <f aca="false">K559*M559</f>
        <v>4410000</v>
      </c>
      <c r="O559" s="134" t="n">
        <f aca="false">-0.1*K559*Z559</f>
        <v>-88536.429865301</v>
      </c>
      <c r="Q559" s="135" t="n">
        <v>9.565</v>
      </c>
      <c r="T559" s="134" t="n">
        <f aca="false">(M559-Q559)*K559</f>
        <v>-4198500</v>
      </c>
      <c r="U559" s="134"/>
      <c r="Z559" s="12" t="n">
        <v>0.983738109614456</v>
      </c>
      <c r="AA559" s="10" t="s">
        <v>94</v>
      </c>
      <c r="AB559" s="12" t="s">
        <v>95</v>
      </c>
    </row>
    <row r="560" customFormat="false" ht="12.75" hidden="false" customHeight="false" outlineLevel="0" collapsed="false">
      <c r="A560" s="10" t="n">
        <v>69</v>
      </c>
      <c r="B560" s="10" t="s">
        <v>338</v>
      </c>
      <c r="C560" s="62" t="n">
        <v>36804</v>
      </c>
      <c r="D560" s="12" t="s">
        <v>136</v>
      </c>
      <c r="E560" s="12" t="s">
        <v>89</v>
      </c>
      <c r="F560" s="12" t="s">
        <v>235</v>
      </c>
      <c r="G560" s="12" t="s">
        <v>236</v>
      </c>
      <c r="H560" s="63" t="n">
        <v>0</v>
      </c>
      <c r="I560" s="14" t="n">
        <f aca="false">+H560*K560</f>
        <v>0</v>
      </c>
      <c r="J560" s="85" t="n">
        <v>36923</v>
      </c>
      <c r="K560" s="13" t="n">
        <v>790000</v>
      </c>
      <c r="L560" s="38" t="s">
        <v>8</v>
      </c>
      <c r="M560" s="86" t="n">
        <v>4.9</v>
      </c>
      <c r="N560" s="133" t="n">
        <f aca="false">K560*M560</f>
        <v>3871000</v>
      </c>
      <c r="O560" s="134" t="n">
        <f aca="false">0.0975*K560*Z560</f>
        <v>75334.5205609452</v>
      </c>
      <c r="R560" s="136" t="n">
        <v>8.26</v>
      </c>
      <c r="U560" s="134" t="n">
        <f aca="false">(M560-R560)*K560</f>
        <v>-2654400</v>
      </c>
      <c r="Z560" s="12" t="n">
        <v>0.978052847269655</v>
      </c>
      <c r="AA560" s="10" t="s">
        <v>94</v>
      </c>
      <c r="AB560" s="12" t="s">
        <v>95</v>
      </c>
    </row>
    <row r="561" customFormat="false" ht="12.75" hidden="false" customHeight="false" outlineLevel="0" collapsed="false">
      <c r="A561" s="10" t="n">
        <v>69</v>
      </c>
      <c r="B561" s="10" t="s">
        <v>338</v>
      </c>
      <c r="C561" s="62" t="n">
        <v>36804</v>
      </c>
      <c r="D561" s="12" t="s">
        <v>136</v>
      </c>
      <c r="E561" s="12" t="s">
        <v>89</v>
      </c>
      <c r="F561" s="12" t="s">
        <v>235</v>
      </c>
      <c r="G561" s="12" t="s">
        <v>236</v>
      </c>
      <c r="H561" s="63" t="n">
        <v>0</v>
      </c>
      <c r="I561" s="14" t="n">
        <f aca="false">+H561*K561</f>
        <v>0</v>
      </c>
      <c r="J561" s="85" t="n">
        <v>36951</v>
      </c>
      <c r="K561" s="13" t="n">
        <v>740000</v>
      </c>
      <c r="L561" s="38" t="s">
        <v>8</v>
      </c>
      <c r="M561" s="86" t="n">
        <v>4.9</v>
      </c>
      <c r="N561" s="133" t="n">
        <f aca="false">K561*M561</f>
        <v>3626000</v>
      </c>
      <c r="O561" s="134" t="n">
        <f aca="false">0.29*K561*Z561</f>
        <v>208816.525152043</v>
      </c>
      <c r="R561" s="136" t="n">
        <v>7.55</v>
      </c>
      <c r="U561" s="134" t="n">
        <f aca="false">(M561-R561)*K561</f>
        <v>-1961000</v>
      </c>
      <c r="Z561" s="12" t="n">
        <v>0.973049977409333</v>
      </c>
      <c r="AA561" s="10" t="s">
        <v>94</v>
      </c>
      <c r="AB561" s="12" t="s">
        <v>95</v>
      </c>
    </row>
    <row r="562" customFormat="false" ht="12.75" hidden="false" customHeight="false" outlineLevel="0" collapsed="false">
      <c r="J562" s="85"/>
    </row>
    <row r="563" customFormat="false" ht="12.75" hidden="false" customHeight="false" outlineLevel="0" collapsed="false">
      <c r="A563" s="10" t="n">
        <v>70</v>
      </c>
      <c r="B563" s="10" t="s">
        <v>339</v>
      </c>
      <c r="C563" s="62" t="n">
        <v>36804</v>
      </c>
      <c r="D563" s="12" t="s">
        <v>172</v>
      </c>
      <c r="E563" s="12" t="s">
        <v>89</v>
      </c>
      <c r="F563" s="12" t="s">
        <v>235</v>
      </c>
      <c r="G563" s="12" t="s">
        <v>236</v>
      </c>
      <c r="H563" s="63" t="n">
        <v>0</v>
      </c>
      <c r="I563" s="14" t="n">
        <f aca="false">+H563*K563</f>
        <v>0</v>
      </c>
      <c r="J563" s="85" t="n">
        <v>36831</v>
      </c>
      <c r="K563" s="13" t="n">
        <v>80000</v>
      </c>
      <c r="L563" s="38" t="s">
        <v>8</v>
      </c>
      <c r="M563" s="86" t="n">
        <v>4.9</v>
      </c>
      <c r="N563" s="133" t="n">
        <f aca="false">K563*M563</f>
        <v>392000</v>
      </c>
      <c r="O563" s="134" t="n">
        <f aca="false">-0.045*K563*Z563</f>
        <v>-3582.29431653335</v>
      </c>
      <c r="Q563" s="135" t="n">
        <v>4.31</v>
      </c>
      <c r="T563" s="134" t="n">
        <f aca="false">(M563-Q563)*K563</f>
        <v>47200.0000000001</v>
      </c>
      <c r="Y563" s="12" t="s">
        <v>102</v>
      </c>
      <c r="Z563" s="12" t="n">
        <v>0.995081754592597</v>
      </c>
      <c r="AA563" s="10" t="s">
        <v>94</v>
      </c>
      <c r="AB563" s="12" t="s">
        <v>95</v>
      </c>
    </row>
    <row r="564" customFormat="false" ht="12.75" hidden="false" customHeight="false" outlineLevel="0" collapsed="false">
      <c r="A564" s="10" t="n">
        <v>70</v>
      </c>
      <c r="B564" s="10" t="s">
        <v>339</v>
      </c>
      <c r="C564" s="62" t="n">
        <v>36804</v>
      </c>
      <c r="D564" s="12" t="s">
        <v>172</v>
      </c>
      <c r="E564" s="12" t="s">
        <v>89</v>
      </c>
      <c r="F564" s="12" t="s">
        <v>235</v>
      </c>
      <c r="G564" s="12" t="s">
        <v>236</v>
      </c>
      <c r="H564" s="63" t="n">
        <v>0</v>
      </c>
      <c r="I564" s="14" t="n">
        <f aca="false">+H564*K564</f>
        <v>0</v>
      </c>
      <c r="J564" s="85" t="n">
        <v>36861</v>
      </c>
      <c r="K564" s="13" t="n">
        <v>90000</v>
      </c>
      <c r="L564" s="38" t="s">
        <v>8</v>
      </c>
      <c r="M564" s="86" t="n">
        <v>4.9</v>
      </c>
      <c r="N564" s="133" t="n">
        <f aca="false">K564*M564</f>
        <v>441000</v>
      </c>
      <c r="O564" s="134" t="n">
        <f aca="false">-0.13*K564*Z564</f>
        <v>-11578.5171172499</v>
      </c>
      <c r="Q564" s="135" t="n">
        <v>5.775</v>
      </c>
      <c r="T564" s="134" t="n">
        <f aca="false">(M564-Q564)*K564</f>
        <v>-78750</v>
      </c>
      <c r="W564" s="137"/>
      <c r="X564" s="137"/>
      <c r="Z564" s="12" t="n">
        <v>0.989616847628197</v>
      </c>
      <c r="AA564" s="10" t="s">
        <v>94</v>
      </c>
      <c r="AB564" s="12" t="s">
        <v>95</v>
      </c>
    </row>
    <row r="565" customFormat="false" ht="12.75" hidden="false" customHeight="false" outlineLevel="0" collapsed="false">
      <c r="A565" s="10" t="n">
        <v>70</v>
      </c>
      <c r="B565" s="10" t="s">
        <v>339</v>
      </c>
      <c r="C565" s="62" t="n">
        <v>36804</v>
      </c>
      <c r="D565" s="12" t="s">
        <v>172</v>
      </c>
      <c r="E565" s="12" t="s">
        <v>89</v>
      </c>
      <c r="F565" s="12" t="s">
        <v>235</v>
      </c>
      <c r="G565" s="12" t="s">
        <v>236</v>
      </c>
      <c r="H565" s="63" t="n">
        <v>0</v>
      </c>
      <c r="I565" s="14" t="n">
        <f aca="false">+H565*K565</f>
        <v>0</v>
      </c>
      <c r="J565" s="85" t="n">
        <v>36892</v>
      </c>
      <c r="K565" s="13" t="n">
        <v>160000</v>
      </c>
      <c r="L565" s="38" t="s">
        <v>8</v>
      </c>
      <c r="M565" s="86" t="n">
        <v>4.9</v>
      </c>
      <c r="N565" s="133" t="n">
        <f aca="false">K565*M565</f>
        <v>784000</v>
      </c>
      <c r="O565" s="134" t="n">
        <f aca="false">-0.1*K565*Z565</f>
        <v>-15739.8097538313</v>
      </c>
      <c r="Q565" s="135" t="n">
        <v>9.565</v>
      </c>
      <c r="T565" s="134" t="n">
        <f aca="false">(M565-Q565)*K565</f>
        <v>-746400</v>
      </c>
      <c r="U565" s="134"/>
      <c r="Z565" s="12" t="n">
        <v>0.983738109614456</v>
      </c>
      <c r="AA565" s="10" t="s">
        <v>94</v>
      </c>
      <c r="AB565" s="12" t="s">
        <v>95</v>
      </c>
    </row>
    <row r="566" customFormat="false" ht="12.75" hidden="false" customHeight="false" outlineLevel="0" collapsed="false">
      <c r="A566" s="10" t="n">
        <v>70</v>
      </c>
      <c r="B566" s="10" t="s">
        <v>339</v>
      </c>
      <c r="C566" s="62" t="n">
        <v>36804</v>
      </c>
      <c r="D566" s="12" t="s">
        <v>172</v>
      </c>
      <c r="E566" s="12" t="s">
        <v>89</v>
      </c>
      <c r="F566" s="12" t="s">
        <v>235</v>
      </c>
      <c r="G566" s="12" t="s">
        <v>236</v>
      </c>
      <c r="H566" s="63" t="n">
        <v>0</v>
      </c>
      <c r="I566" s="14" t="n">
        <f aca="false">+H566*K566</f>
        <v>0</v>
      </c>
      <c r="J566" s="85" t="n">
        <v>36923</v>
      </c>
      <c r="K566" s="13" t="n">
        <v>140000</v>
      </c>
      <c r="L566" s="38" t="s">
        <v>8</v>
      </c>
      <c r="M566" s="86" t="n">
        <v>4.9</v>
      </c>
      <c r="N566" s="133" t="n">
        <f aca="false">K566*M566</f>
        <v>686000</v>
      </c>
      <c r="O566" s="134" t="n">
        <f aca="false">0.0975*K566*Z566</f>
        <v>13350.4213652308</v>
      </c>
      <c r="R566" s="136" t="n">
        <v>8.26</v>
      </c>
      <c r="U566" s="134" t="n">
        <f aca="false">(M566-R566)*K566</f>
        <v>-470400</v>
      </c>
      <c r="Z566" s="12" t="n">
        <v>0.978052847269655</v>
      </c>
      <c r="AA566" s="10" t="s">
        <v>94</v>
      </c>
      <c r="AB566" s="12" t="s">
        <v>95</v>
      </c>
    </row>
    <row r="567" customFormat="false" ht="12.75" hidden="false" customHeight="false" outlineLevel="0" collapsed="false">
      <c r="A567" s="10" t="n">
        <v>70</v>
      </c>
      <c r="B567" s="10" t="s">
        <v>339</v>
      </c>
      <c r="C567" s="62" t="n">
        <v>36804</v>
      </c>
      <c r="D567" s="12" t="s">
        <v>172</v>
      </c>
      <c r="E567" s="12" t="s">
        <v>89</v>
      </c>
      <c r="F567" s="12" t="s">
        <v>235</v>
      </c>
      <c r="G567" s="12" t="s">
        <v>236</v>
      </c>
      <c r="H567" s="63" t="n">
        <v>0</v>
      </c>
      <c r="I567" s="14" t="n">
        <f aca="false">+H567*K567</f>
        <v>0</v>
      </c>
      <c r="J567" s="85" t="n">
        <v>36951</v>
      </c>
      <c r="K567" s="13" t="n">
        <v>120000</v>
      </c>
      <c r="L567" s="38" t="s">
        <v>8</v>
      </c>
      <c r="M567" s="86" t="n">
        <v>4.9</v>
      </c>
      <c r="N567" s="133" t="n">
        <f aca="false">K567*M567</f>
        <v>588000</v>
      </c>
      <c r="O567" s="134" t="n">
        <f aca="false">0.29*K567*Z567</f>
        <v>33862.1392138448</v>
      </c>
      <c r="R567" s="136" t="n">
        <v>7.55</v>
      </c>
      <c r="U567" s="134" t="n">
        <f aca="false">(M567-R567)*K567</f>
        <v>-318000</v>
      </c>
      <c r="Z567" s="12" t="n">
        <v>0.973049977409333</v>
      </c>
      <c r="AA567" s="10" t="s">
        <v>94</v>
      </c>
      <c r="AB567" s="12" t="s">
        <v>95</v>
      </c>
    </row>
    <row r="569" customFormat="false" ht="12.75" hidden="false" customHeight="false" outlineLevel="0" collapsed="false">
      <c r="A569" s="10" t="n">
        <v>71</v>
      </c>
      <c r="C569" s="62" t="n">
        <v>36804</v>
      </c>
      <c r="D569" s="12" t="s">
        <v>192</v>
      </c>
      <c r="E569" s="12" t="s">
        <v>89</v>
      </c>
      <c r="F569" s="12" t="s">
        <v>109</v>
      </c>
      <c r="G569" s="12" t="s">
        <v>236</v>
      </c>
      <c r="H569" s="63" t="n">
        <v>0</v>
      </c>
      <c r="I569" s="14" t="n">
        <f aca="false">+H569*K569</f>
        <v>0</v>
      </c>
      <c r="J569" s="85" t="n">
        <v>36831</v>
      </c>
      <c r="K569" s="13" t="n">
        <v>60000</v>
      </c>
      <c r="L569" s="38" t="s">
        <v>8</v>
      </c>
      <c r="M569" s="86" t="n">
        <v>5.115</v>
      </c>
      <c r="N569" s="133" t="n">
        <f aca="false">K569*M569</f>
        <v>306900</v>
      </c>
      <c r="O569" s="134" t="n">
        <f aca="false">0.0025*K569</f>
        <v>150</v>
      </c>
      <c r="Q569" s="135" t="n">
        <v>4.46</v>
      </c>
      <c r="T569" s="134" t="n">
        <f aca="false">(M569-Q569)*K569</f>
        <v>39300</v>
      </c>
      <c r="Y569" s="12" t="s">
        <v>340</v>
      </c>
      <c r="AB569" s="12" t="s">
        <v>95</v>
      </c>
    </row>
    <row r="570" customFormat="false" ht="12.75" hidden="false" customHeight="false" outlineLevel="0" collapsed="false">
      <c r="A570" s="10" t="n">
        <v>71</v>
      </c>
      <c r="C570" s="62" t="n">
        <v>36804</v>
      </c>
      <c r="D570" s="12" t="s">
        <v>192</v>
      </c>
      <c r="E570" s="12" t="s">
        <v>89</v>
      </c>
      <c r="F570" s="12" t="s">
        <v>109</v>
      </c>
      <c r="G570" s="12" t="s">
        <v>236</v>
      </c>
      <c r="H570" s="63" t="n">
        <v>0</v>
      </c>
      <c r="I570" s="14" t="n">
        <f aca="false">+H570*K570</f>
        <v>0</v>
      </c>
      <c r="J570" s="85" t="n">
        <v>36861</v>
      </c>
      <c r="K570" s="13" t="n">
        <v>60000</v>
      </c>
      <c r="L570" s="38" t="s">
        <v>8</v>
      </c>
      <c r="M570" s="86" t="n">
        <v>5.175</v>
      </c>
      <c r="N570" s="133" t="n">
        <f aca="false">K570*M570</f>
        <v>310500</v>
      </c>
      <c r="O570" s="134" t="n">
        <f aca="false">0.0025*K570</f>
        <v>150</v>
      </c>
      <c r="Q570" s="135" t="n">
        <v>6</v>
      </c>
      <c r="T570" s="134" t="n">
        <f aca="false">(M570-Q570)*K570</f>
        <v>-49500</v>
      </c>
      <c r="W570" s="137"/>
      <c r="X570" s="137"/>
      <c r="AB570" s="12" t="s">
        <v>95</v>
      </c>
    </row>
    <row r="571" customFormat="false" ht="12.75" hidden="false" customHeight="false" outlineLevel="0" collapsed="false">
      <c r="A571" s="10" t="n">
        <v>71</v>
      </c>
      <c r="C571" s="62" t="n">
        <v>36804</v>
      </c>
      <c r="D571" s="12" t="s">
        <v>192</v>
      </c>
      <c r="E571" s="12" t="s">
        <v>89</v>
      </c>
      <c r="F571" s="12" t="s">
        <v>109</v>
      </c>
      <c r="G571" s="12" t="s">
        <v>236</v>
      </c>
      <c r="H571" s="63" t="n">
        <v>0</v>
      </c>
      <c r="I571" s="14" t="n">
        <f aca="false">+H571*K571</f>
        <v>0</v>
      </c>
      <c r="J571" s="85" t="n">
        <v>36892</v>
      </c>
      <c r="K571" s="13" t="n">
        <v>100000</v>
      </c>
      <c r="L571" s="38" t="s">
        <v>8</v>
      </c>
      <c r="M571" s="86" t="n">
        <v>5.11</v>
      </c>
      <c r="N571" s="133" t="n">
        <f aca="false">K571*M571</f>
        <v>511000</v>
      </c>
      <c r="O571" s="134" t="n">
        <f aca="false">0.0025*K571</f>
        <v>250</v>
      </c>
      <c r="Q571" s="135" t="n">
        <v>9.84</v>
      </c>
      <c r="T571" s="134" t="n">
        <f aca="false">(M571-Q571)*K571</f>
        <v>-473000</v>
      </c>
      <c r="AB571" s="12" t="s">
        <v>95</v>
      </c>
    </row>
    <row r="572" customFormat="false" ht="12.75" hidden="false" customHeight="false" outlineLevel="0" collapsed="false">
      <c r="J572" s="85"/>
      <c r="M572" s="86"/>
    </row>
    <row r="573" customFormat="false" ht="12.75" hidden="false" customHeight="false" outlineLevel="0" collapsed="false">
      <c r="A573" s="10" t="n">
        <v>72</v>
      </c>
      <c r="C573" s="62" t="n">
        <v>36804</v>
      </c>
      <c r="D573" s="12" t="s">
        <v>192</v>
      </c>
      <c r="E573" s="12" t="s">
        <v>89</v>
      </c>
      <c r="F573" s="12" t="s">
        <v>109</v>
      </c>
      <c r="G573" s="12" t="s">
        <v>341</v>
      </c>
      <c r="H573" s="63" t="n">
        <v>0.13</v>
      </c>
      <c r="I573" s="14" t="n">
        <f aca="false">+H573*K573</f>
        <v>7800</v>
      </c>
      <c r="J573" s="85" t="n">
        <v>36861</v>
      </c>
      <c r="K573" s="13" t="n">
        <v>60000</v>
      </c>
      <c r="L573" s="38" t="s">
        <v>8</v>
      </c>
      <c r="M573" s="86" t="n">
        <v>6.1</v>
      </c>
      <c r="O573" s="134" t="n">
        <f aca="false">0.01*K573</f>
        <v>600</v>
      </c>
      <c r="Q573" s="135" t="n">
        <v>6</v>
      </c>
      <c r="T573" s="134" t="n">
        <v>0</v>
      </c>
      <c r="AB573" s="12" t="s">
        <v>95</v>
      </c>
    </row>
    <row r="574" customFormat="false" ht="12.75" hidden="false" customHeight="false" outlineLevel="0" collapsed="false">
      <c r="A574" s="10" t="n">
        <v>72</v>
      </c>
      <c r="C574" s="62" t="n">
        <v>36804</v>
      </c>
      <c r="D574" s="12" t="s">
        <v>192</v>
      </c>
      <c r="E574" s="12" t="s">
        <v>89</v>
      </c>
      <c r="F574" s="12" t="s">
        <v>109</v>
      </c>
      <c r="G574" s="12" t="s">
        <v>341</v>
      </c>
      <c r="H574" s="63" t="n">
        <v>0.255</v>
      </c>
      <c r="I574" s="14" t="n">
        <f aca="false">+H574*K574</f>
        <v>25500</v>
      </c>
      <c r="J574" s="85" t="n">
        <v>36892</v>
      </c>
      <c r="K574" s="13" t="n">
        <v>100000</v>
      </c>
      <c r="L574" s="38" t="s">
        <v>8</v>
      </c>
      <c r="M574" s="86" t="n">
        <v>6.1</v>
      </c>
      <c r="O574" s="134" t="n">
        <f aca="false">0.01*K574</f>
        <v>1000</v>
      </c>
      <c r="Q574" s="135" t="n">
        <v>9.84</v>
      </c>
      <c r="T574" s="134" t="n">
        <f aca="false">-(6.1-Q574)*K574</f>
        <v>374000</v>
      </c>
      <c r="W574" s="137"/>
      <c r="X574" s="137"/>
      <c r="Y574" s="12" t="s">
        <v>340</v>
      </c>
      <c r="AB574" s="12" t="s">
        <v>95</v>
      </c>
    </row>
    <row r="575" customFormat="false" ht="12.75" hidden="false" customHeight="false" outlineLevel="0" collapsed="false">
      <c r="J575" s="85"/>
      <c r="M575" s="86"/>
    </row>
    <row r="576" customFormat="false" ht="12.75" hidden="false" customHeight="false" outlineLevel="0" collapsed="false">
      <c r="A576" s="10" t="n">
        <v>73</v>
      </c>
      <c r="C576" s="62" t="n">
        <v>36805</v>
      </c>
      <c r="D576" s="12" t="s">
        <v>192</v>
      </c>
      <c r="E576" s="12" t="s">
        <v>89</v>
      </c>
      <c r="F576" s="12" t="s">
        <v>109</v>
      </c>
      <c r="G576" s="12" t="s">
        <v>342</v>
      </c>
      <c r="H576" s="63" t="n">
        <v>0</v>
      </c>
      <c r="I576" s="14" t="n">
        <f aca="false">+H576*K576</f>
        <v>0</v>
      </c>
      <c r="J576" s="85" t="n">
        <v>36892</v>
      </c>
      <c r="K576" s="13" t="n">
        <v>40000</v>
      </c>
      <c r="L576" s="38" t="s">
        <v>8</v>
      </c>
      <c r="M576" s="86" t="n">
        <v>5.03</v>
      </c>
      <c r="N576" s="133" t="n">
        <f aca="false">K576*M576</f>
        <v>201200</v>
      </c>
      <c r="O576" s="134" t="n">
        <f aca="false">0.0025*K576</f>
        <v>100</v>
      </c>
      <c r="Q576" s="135" t="n">
        <v>9.84</v>
      </c>
      <c r="T576" s="134" t="n">
        <f aca="false">-(M576-Q576)*K576</f>
        <v>192400</v>
      </c>
      <c r="Y576" s="12" t="s">
        <v>340</v>
      </c>
      <c r="AB576" s="12" t="s">
        <v>95</v>
      </c>
    </row>
    <row r="578" customFormat="false" ht="12.75" hidden="false" customHeight="false" outlineLevel="0" collapsed="false">
      <c r="A578" s="10" t="n">
        <v>74</v>
      </c>
      <c r="B578" s="10" t="s">
        <v>343</v>
      </c>
      <c r="C578" s="62" t="n">
        <v>36811</v>
      </c>
      <c r="D578" s="12" t="s">
        <v>196</v>
      </c>
      <c r="E578" s="12" t="s">
        <v>89</v>
      </c>
      <c r="F578" s="12" t="s">
        <v>235</v>
      </c>
      <c r="G578" s="12" t="s">
        <v>236</v>
      </c>
      <c r="H578" s="63" t="n">
        <v>0</v>
      </c>
      <c r="I578" s="14" t="n">
        <f aca="false">+H578*K578</f>
        <v>0</v>
      </c>
      <c r="J578" s="85" t="n">
        <v>36831</v>
      </c>
      <c r="K578" s="13" t="n">
        <v>28000</v>
      </c>
      <c r="L578" s="38" t="s">
        <v>8</v>
      </c>
      <c r="M578" s="86" t="n">
        <v>5.44</v>
      </c>
      <c r="N578" s="133" t="n">
        <f aca="false">K578*M578</f>
        <v>152320</v>
      </c>
      <c r="O578" s="134" t="n">
        <f aca="false">0.0175*K578</f>
        <v>490</v>
      </c>
      <c r="Q578" s="135" t="n">
        <v>4.31</v>
      </c>
      <c r="T578" s="134" t="n">
        <f aca="false">(M578-Q578)*K578</f>
        <v>31640</v>
      </c>
      <c r="Y578" s="12" t="s">
        <v>344</v>
      </c>
      <c r="AA578" s="10" t="s">
        <v>94</v>
      </c>
      <c r="AB578" s="12" t="s">
        <v>95</v>
      </c>
    </row>
    <row r="579" customFormat="false" ht="12.75" hidden="false" customHeight="false" outlineLevel="0" collapsed="false">
      <c r="A579" s="10" t="n">
        <v>74</v>
      </c>
      <c r="B579" s="10" t="s">
        <v>343</v>
      </c>
      <c r="C579" s="62" t="n">
        <v>36811</v>
      </c>
      <c r="D579" s="12" t="s">
        <v>196</v>
      </c>
      <c r="E579" s="12" t="s">
        <v>89</v>
      </c>
      <c r="F579" s="12" t="s">
        <v>235</v>
      </c>
      <c r="G579" s="12" t="s">
        <v>236</v>
      </c>
      <c r="H579" s="63" t="n">
        <v>0</v>
      </c>
      <c r="I579" s="14" t="n">
        <f aca="false">+H579*K579</f>
        <v>0</v>
      </c>
      <c r="J579" s="85" t="n">
        <v>36861</v>
      </c>
      <c r="K579" s="13" t="n">
        <v>28000</v>
      </c>
      <c r="L579" s="38" t="s">
        <v>8</v>
      </c>
      <c r="M579" s="86" t="n">
        <v>5.44</v>
      </c>
      <c r="N579" s="133" t="n">
        <f aca="false">K579*M579</f>
        <v>152320</v>
      </c>
      <c r="O579" s="134" t="n">
        <f aca="false">0.0175*K579</f>
        <v>490</v>
      </c>
      <c r="Q579" s="135" t="n">
        <v>5.775</v>
      </c>
      <c r="T579" s="134" t="n">
        <f aca="false">(M579-Q579)*K579</f>
        <v>-9380</v>
      </c>
      <c r="W579" s="137"/>
      <c r="X579" s="137"/>
      <c r="AA579" s="10" t="s">
        <v>94</v>
      </c>
      <c r="AB579" s="12" t="s">
        <v>95</v>
      </c>
    </row>
    <row r="580" customFormat="false" ht="12.75" hidden="false" customHeight="false" outlineLevel="0" collapsed="false">
      <c r="A580" s="10" t="n">
        <v>74</v>
      </c>
      <c r="B580" s="10" t="s">
        <v>343</v>
      </c>
      <c r="C580" s="62" t="n">
        <v>36811</v>
      </c>
      <c r="D580" s="12" t="s">
        <v>196</v>
      </c>
      <c r="E580" s="12" t="s">
        <v>89</v>
      </c>
      <c r="F580" s="12" t="s">
        <v>235</v>
      </c>
      <c r="G580" s="12" t="s">
        <v>236</v>
      </c>
      <c r="H580" s="63" t="n">
        <v>0</v>
      </c>
      <c r="I580" s="14" t="n">
        <f aca="false">+H580*K580</f>
        <v>0</v>
      </c>
      <c r="J580" s="85" t="n">
        <v>36892</v>
      </c>
      <c r="K580" s="13" t="n">
        <v>28000</v>
      </c>
      <c r="L580" s="38" t="s">
        <v>8</v>
      </c>
      <c r="M580" s="86" t="n">
        <v>5.44</v>
      </c>
      <c r="N580" s="133" t="n">
        <f aca="false">K580*M580</f>
        <v>152320</v>
      </c>
      <c r="O580" s="134" t="n">
        <f aca="false">0.0175*K580</f>
        <v>490</v>
      </c>
      <c r="Q580" s="135" t="n">
        <v>9.565</v>
      </c>
      <c r="T580" s="134" t="n">
        <f aca="false">(M580-Q580)*K580</f>
        <v>-115500</v>
      </c>
      <c r="AA580" s="10" t="s">
        <v>94</v>
      </c>
      <c r="AB580" s="12" t="s">
        <v>95</v>
      </c>
    </row>
    <row r="581" customFormat="false" ht="12.75" hidden="false" customHeight="false" outlineLevel="0" collapsed="false">
      <c r="A581" s="10" t="n">
        <v>74</v>
      </c>
      <c r="B581" s="10" t="s">
        <v>343</v>
      </c>
      <c r="C581" s="62" t="n">
        <v>36811</v>
      </c>
      <c r="D581" s="12" t="s">
        <v>196</v>
      </c>
      <c r="E581" s="12" t="s">
        <v>89</v>
      </c>
      <c r="F581" s="12" t="s">
        <v>235</v>
      </c>
      <c r="G581" s="12" t="s">
        <v>236</v>
      </c>
      <c r="H581" s="63" t="n">
        <v>0</v>
      </c>
      <c r="I581" s="14" t="n">
        <f aca="false">+H581*K581</f>
        <v>0</v>
      </c>
      <c r="J581" s="85" t="n">
        <v>36923</v>
      </c>
      <c r="K581" s="13" t="n">
        <v>28000</v>
      </c>
      <c r="L581" s="38" t="s">
        <v>8</v>
      </c>
      <c r="M581" s="86" t="n">
        <v>5.44</v>
      </c>
      <c r="N581" s="133" t="n">
        <f aca="false">K581*M581</f>
        <v>152320</v>
      </c>
      <c r="O581" s="134" t="n">
        <f aca="false">0.0175*K581</f>
        <v>490</v>
      </c>
      <c r="R581" s="136" t="n">
        <v>5.092</v>
      </c>
      <c r="U581" s="137" t="n">
        <f aca="false">(M581-R581)*K581</f>
        <v>9744</v>
      </c>
      <c r="AA581" s="10" t="s">
        <v>94</v>
      </c>
      <c r="AB581" s="12" t="s">
        <v>95</v>
      </c>
    </row>
    <row r="582" customFormat="false" ht="12.75" hidden="false" customHeight="false" outlineLevel="0" collapsed="false">
      <c r="A582" s="10" t="n">
        <v>74</v>
      </c>
      <c r="B582" s="10" t="s">
        <v>343</v>
      </c>
      <c r="C582" s="62" t="n">
        <v>36811</v>
      </c>
      <c r="D582" s="12" t="s">
        <v>196</v>
      </c>
      <c r="E582" s="12" t="s">
        <v>89</v>
      </c>
      <c r="F582" s="12" t="s">
        <v>235</v>
      </c>
      <c r="G582" s="12" t="s">
        <v>236</v>
      </c>
      <c r="H582" s="63" t="n">
        <v>0</v>
      </c>
      <c r="I582" s="14" t="n">
        <f aca="false">+H582*K582</f>
        <v>0</v>
      </c>
      <c r="J582" s="85" t="n">
        <v>36951</v>
      </c>
      <c r="K582" s="13" t="n">
        <v>28000</v>
      </c>
      <c r="L582" s="38" t="s">
        <v>8</v>
      </c>
      <c r="M582" s="86" t="n">
        <v>5.44</v>
      </c>
      <c r="N582" s="133" t="n">
        <f aca="false">K582*M582</f>
        <v>152320</v>
      </c>
      <c r="O582" s="134" t="n">
        <f aca="false">0.0175*K582</f>
        <v>490</v>
      </c>
      <c r="R582" s="136" t="n">
        <v>4.856</v>
      </c>
      <c r="U582" s="137" t="n">
        <f aca="false">(M582-R582)*K582</f>
        <v>16352</v>
      </c>
      <c r="AA582" s="10" t="s">
        <v>94</v>
      </c>
      <c r="AB582" s="12" t="s">
        <v>95</v>
      </c>
    </row>
    <row r="584" customFormat="false" ht="12.75" hidden="false" customHeight="false" outlineLevel="0" collapsed="false">
      <c r="A584" s="10" t="n">
        <v>75</v>
      </c>
      <c r="B584" s="10" t="s">
        <v>345</v>
      </c>
      <c r="C584" s="62" t="n">
        <v>36812</v>
      </c>
      <c r="D584" s="12" t="s">
        <v>197</v>
      </c>
      <c r="E584" s="12" t="s">
        <v>89</v>
      </c>
      <c r="F584" s="12" t="s">
        <v>235</v>
      </c>
      <c r="G584" s="12" t="s">
        <v>236</v>
      </c>
      <c r="H584" s="63" t="n">
        <v>0</v>
      </c>
      <c r="I584" s="14" t="n">
        <f aca="false">+H584*K584</f>
        <v>0</v>
      </c>
      <c r="J584" s="85" t="n">
        <v>36831</v>
      </c>
      <c r="K584" s="13" t="n">
        <v>18500</v>
      </c>
      <c r="L584" s="38" t="s">
        <v>8</v>
      </c>
      <c r="M584" s="86" t="n">
        <v>5.35</v>
      </c>
      <c r="N584" s="133" t="n">
        <f aca="false">K584*M584</f>
        <v>98975</v>
      </c>
      <c r="O584" s="134" t="n">
        <f aca="false">0.02*K584</f>
        <v>370</v>
      </c>
      <c r="Q584" s="135" t="n">
        <v>4.31</v>
      </c>
      <c r="T584" s="134" t="n">
        <f aca="false">(M584-Q584)*K584</f>
        <v>19240</v>
      </c>
      <c r="Y584" s="12" t="s">
        <v>108</v>
      </c>
      <c r="AB584" s="12" t="s">
        <v>95</v>
      </c>
    </row>
    <row r="585" customFormat="false" ht="12.75" hidden="false" customHeight="false" outlineLevel="0" collapsed="false">
      <c r="A585" s="10" t="n">
        <v>75</v>
      </c>
      <c r="B585" s="10" t="s">
        <v>345</v>
      </c>
      <c r="C585" s="62" t="n">
        <v>36812</v>
      </c>
      <c r="D585" s="12" t="s">
        <v>197</v>
      </c>
      <c r="E585" s="12" t="s">
        <v>89</v>
      </c>
      <c r="F585" s="12" t="s">
        <v>235</v>
      </c>
      <c r="G585" s="12" t="s">
        <v>236</v>
      </c>
      <c r="H585" s="63" t="n">
        <v>0</v>
      </c>
      <c r="I585" s="14" t="n">
        <f aca="false">+H585*K585</f>
        <v>0</v>
      </c>
      <c r="J585" s="85" t="n">
        <v>36861</v>
      </c>
      <c r="K585" s="13" t="n">
        <v>18500</v>
      </c>
      <c r="L585" s="38" t="s">
        <v>8</v>
      </c>
      <c r="M585" s="86" t="n">
        <v>5.35</v>
      </c>
      <c r="N585" s="133" t="n">
        <f aca="false">K585*M585</f>
        <v>98975</v>
      </c>
      <c r="O585" s="134" t="n">
        <f aca="false">0.02*K585</f>
        <v>370</v>
      </c>
      <c r="Q585" s="135" t="n">
        <v>5.775</v>
      </c>
      <c r="T585" s="134" t="n">
        <f aca="false">(M585-Q585)*K585</f>
        <v>-7862.50000000001</v>
      </c>
      <c r="W585" s="137"/>
      <c r="X585" s="137"/>
      <c r="AB585" s="12" t="s">
        <v>95</v>
      </c>
    </row>
    <row r="586" customFormat="false" ht="12.75" hidden="false" customHeight="false" outlineLevel="0" collapsed="false">
      <c r="A586" s="10" t="n">
        <v>75</v>
      </c>
      <c r="B586" s="10" t="s">
        <v>345</v>
      </c>
      <c r="C586" s="62" t="n">
        <v>36812</v>
      </c>
      <c r="D586" s="12" t="s">
        <v>197</v>
      </c>
      <c r="E586" s="12" t="s">
        <v>89</v>
      </c>
      <c r="F586" s="12" t="s">
        <v>235</v>
      </c>
      <c r="G586" s="12" t="s">
        <v>236</v>
      </c>
      <c r="H586" s="63" t="n">
        <v>0</v>
      </c>
      <c r="I586" s="14" t="n">
        <f aca="false">+H586*K586</f>
        <v>0</v>
      </c>
      <c r="J586" s="85" t="n">
        <v>36892</v>
      </c>
      <c r="K586" s="13" t="n">
        <v>18500</v>
      </c>
      <c r="L586" s="38" t="s">
        <v>8</v>
      </c>
      <c r="M586" s="86" t="n">
        <v>5.35</v>
      </c>
      <c r="N586" s="133" t="n">
        <f aca="false">K586*M586</f>
        <v>98975</v>
      </c>
      <c r="O586" s="134" t="n">
        <f aca="false">0.02*K586</f>
        <v>370</v>
      </c>
      <c r="Q586" s="135" t="n">
        <v>9.565</v>
      </c>
      <c r="T586" s="134" t="n">
        <f aca="false">(M586-Q586)*K586</f>
        <v>-77977.5</v>
      </c>
      <c r="AB586" s="12" t="s">
        <v>95</v>
      </c>
    </row>
    <row r="587" customFormat="false" ht="12.75" hidden="false" customHeight="false" outlineLevel="0" collapsed="false">
      <c r="A587" s="10" t="n">
        <v>75</v>
      </c>
      <c r="B587" s="10" t="s">
        <v>345</v>
      </c>
      <c r="C587" s="62" t="n">
        <v>36812</v>
      </c>
      <c r="D587" s="12" t="s">
        <v>197</v>
      </c>
      <c r="E587" s="12" t="s">
        <v>89</v>
      </c>
      <c r="F587" s="12" t="s">
        <v>235</v>
      </c>
      <c r="G587" s="12" t="s">
        <v>236</v>
      </c>
      <c r="H587" s="63" t="n">
        <v>0</v>
      </c>
      <c r="I587" s="14" t="n">
        <f aca="false">+H587*K587</f>
        <v>0</v>
      </c>
      <c r="J587" s="85" t="n">
        <v>36923</v>
      </c>
      <c r="K587" s="13" t="n">
        <v>18500</v>
      </c>
      <c r="L587" s="38" t="s">
        <v>8</v>
      </c>
      <c r="M587" s="86" t="n">
        <v>5.35</v>
      </c>
      <c r="N587" s="133" t="n">
        <f aca="false">K587*M587</f>
        <v>98975</v>
      </c>
      <c r="O587" s="134" t="n">
        <f aca="false">0.02*K587</f>
        <v>370</v>
      </c>
      <c r="AB587" s="12" t="s">
        <v>95</v>
      </c>
    </row>
    <row r="588" customFormat="false" ht="12.75" hidden="false" customHeight="false" outlineLevel="0" collapsed="false">
      <c r="A588" s="10" t="n">
        <v>75</v>
      </c>
      <c r="B588" s="10" t="s">
        <v>345</v>
      </c>
      <c r="C588" s="62" t="n">
        <v>36812</v>
      </c>
      <c r="D588" s="12" t="s">
        <v>197</v>
      </c>
      <c r="E588" s="12" t="s">
        <v>89</v>
      </c>
      <c r="F588" s="12" t="s">
        <v>235</v>
      </c>
      <c r="G588" s="12" t="s">
        <v>236</v>
      </c>
      <c r="H588" s="63" t="n">
        <v>0</v>
      </c>
      <c r="I588" s="14" t="n">
        <f aca="false">+H588*K588</f>
        <v>0</v>
      </c>
      <c r="J588" s="85" t="n">
        <v>36951</v>
      </c>
      <c r="K588" s="13" t="n">
        <v>18500</v>
      </c>
      <c r="L588" s="38" t="s">
        <v>8</v>
      </c>
      <c r="M588" s="86" t="n">
        <v>5.35</v>
      </c>
      <c r="N588" s="133" t="n">
        <f aca="false">K588*M588</f>
        <v>98975</v>
      </c>
      <c r="O588" s="134" t="n">
        <f aca="false">0.02*K588</f>
        <v>370</v>
      </c>
      <c r="AB588" s="12" t="s">
        <v>95</v>
      </c>
    </row>
    <row r="590" customFormat="false" ht="12.75" hidden="false" customHeight="false" outlineLevel="0" collapsed="false">
      <c r="A590" s="10" t="n">
        <v>76</v>
      </c>
      <c r="B590" s="10" t="s">
        <v>346</v>
      </c>
      <c r="C590" s="62" t="n">
        <v>36817</v>
      </c>
      <c r="D590" s="12" t="s">
        <v>136</v>
      </c>
      <c r="E590" s="12" t="s">
        <v>89</v>
      </c>
      <c r="F590" s="12" t="s">
        <v>235</v>
      </c>
      <c r="G590" s="12" t="s">
        <v>236</v>
      </c>
      <c r="H590" s="63" t="n">
        <v>0</v>
      </c>
      <c r="I590" s="14" t="n">
        <f aca="false">+H590*K590</f>
        <v>0</v>
      </c>
      <c r="J590" s="85" t="n">
        <v>36831</v>
      </c>
      <c r="K590" s="13" t="n">
        <v>120000</v>
      </c>
      <c r="L590" s="38" t="s">
        <v>8</v>
      </c>
      <c r="M590" s="86" t="n">
        <v>5.2675</v>
      </c>
      <c r="N590" s="133" t="n">
        <f aca="false">K590*M590</f>
        <v>632100</v>
      </c>
      <c r="O590" s="134" t="n">
        <f aca="false">0.02*K590</f>
        <v>2400</v>
      </c>
      <c r="Q590" s="135" t="n">
        <v>4.31</v>
      </c>
      <c r="T590" s="134" t="n">
        <f aca="false">(M590-Q590)*K590</f>
        <v>114900</v>
      </c>
      <c r="Y590" s="12" t="s">
        <v>102</v>
      </c>
      <c r="AA590" s="10" t="s">
        <v>94</v>
      </c>
      <c r="AB590" s="12" t="s">
        <v>95</v>
      </c>
    </row>
    <row r="591" customFormat="false" ht="12.75" hidden="false" customHeight="false" outlineLevel="0" collapsed="false">
      <c r="A591" s="10" t="n">
        <v>76</v>
      </c>
      <c r="B591" s="10" t="s">
        <v>346</v>
      </c>
      <c r="C591" s="62" t="n">
        <v>36817</v>
      </c>
      <c r="D591" s="12" t="s">
        <v>136</v>
      </c>
      <c r="E591" s="12" t="s">
        <v>89</v>
      </c>
      <c r="F591" s="12" t="s">
        <v>235</v>
      </c>
      <c r="G591" s="12" t="s">
        <v>236</v>
      </c>
      <c r="H591" s="63" t="n">
        <v>0</v>
      </c>
      <c r="I591" s="14" t="n">
        <f aca="false">+H591*K591</f>
        <v>0</v>
      </c>
      <c r="J591" s="85" t="n">
        <v>36861</v>
      </c>
      <c r="K591" s="13" t="n">
        <v>120000</v>
      </c>
      <c r="L591" s="38" t="s">
        <v>8</v>
      </c>
      <c r="M591" s="86" t="n">
        <v>5.2675</v>
      </c>
      <c r="N591" s="133" t="n">
        <f aca="false">K591*M591</f>
        <v>632100</v>
      </c>
      <c r="O591" s="134" t="n">
        <f aca="false">0.02*K591</f>
        <v>2400</v>
      </c>
      <c r="Q591" s="135" t="n">
        <v>5.775</v>
      </c>
      <c r="T591" s="134" t="n">
        <f aca="false">(M591-Q591)*K591</f>
        <v>-60900</v>
      </c>
      <c r="W591" s="137"/>
      <c r="X591" s="137"/>
      <c r="AA591" s="10" t="s">
        <v>94</v>
      </c>
      <c r="AB591" s="12" t="s">
        <v>95</v>
      </c>
    </row>
    <row r="592" customFormat="false" ht="12.75" hidden="false" customHeight="false" outlineLevel="0" collapsed="false">
      <c r="A592" s="10" t="n">
        <v>76</v>
      </c>
      <c r="B592" s="10" t="s">
        <v>346</v>
      </c>
      <c r="C592" s="62" t="n">
        <v>36817</v>
      </c>
      <c r="D592" s="12" t="s">
        <v>136</v>
      </c>
      <c r="E592" s="12" t="s">
        <v>89</v>
      </c>
      <c r="F592" s="12" t="s">
        <v>235</v>
      </c>
      <c r="G592" s="12" t="s">
        <v>236</v>
      </c>
      <c r="H592" s="63" t="n">
        <v>0</v>
      </c>
      <c r="I592" s="14" t="n">
        <f aca="false">+H592*K592</f>
        <v>0</v>
      </c>
      <c r="J592" s="85" t="n">
        <v>36892</v>
      </c>
      <c r="K592" s="13" t="n">
        <v>120000</v>
      </c>
      <c r="L592" s="38" t="s">
        <v>8</v>
      </c>
      <c r="M592" s="86" t="n">
        <v>5.2675</v>
      </c>
      <c r="N592" s="133" t="n">
        <f aca="false">K592*M592</f>
        <v>632100</v>
      </c>
      <c r="O592" s="134" t="n">
        <f aca="false">0.02*K592</f>
        <v>2400</v>
      </c>
      <c r="Q592" s="135" t="n">
        <v>9.565</v>
      </c>
      <c r="T592" s="134" t="n">
        <f aca="false">(M592-Q592)*K592</f>
        <v>-515700</v>
      </c>
      <c r="U592" s="134"/>
      <c r="AA592" s="10" t="s">
        <v>94</v>
      </c>
      <c r="AB592" s="12" t="s">
        <v>95</v>
      </c>
    </row>
    <row r="593" customFormat="false" ht="12.75" hidden="false" customHeight="false" outlineLevel="0" collapsed="false">
      <c r="A593" s="10" t="n">
        <v>76</v>
      </c>
      <c r="B593" s="10" t="s">
        <v>346</v>
      </c>
      <c r="C593" s="62" t="n">
        <v>36817</v>
      </c>
      <c r="D593" s="12" t="s">
        <v>136</v>
      </c>
      <c r="E593" s="12" t="s">
        <v>89</v>
      </c>
      <c r="F593" s="12" t="s">
        <v>235</v>
      </c>
      <c r="G593" s="12" t="s">
        <v>236</v>
      </c>
      <c r="H593" s="63" t="n">
        <v>0</v>
      </c>
      <c r="I593" s="14" t="n">
        <f aca="false">+H593*K593</f>
        <v>0</v>
      </c>
      <c r="J593" s="85" t="n">
        <v>36923</v>
      </c>
      <c r="K593" s="13" t="n">
        <v>120000</v>
      </c>
      <c r="L593" s="38" t="s">
        <v>8</v>
      </c>
      <c r="M593" s="86" t="n">
        <v>5.2675</v>
      </c>
      <c r="N593" s="133" t="n">
        <f aca="false">K593*M593</f>
        <v>632100</v>
      </c>
      <c r="O593" s="134" t="n">
        <f aca="false">0.02*K593</f>
        <v>2400</v>
      </c>
      <c r="R593" s="136" t="n">
        <v>8.26</v>
      </c>
      <c r="U593" s="134" t="n">
        <f aca="false">(M593-R593)*K593</f>
        <v>-359100</v>
      </c>
      <c r="AA593" s="10" t="s">
        <v>94</v>
      </c>
      <c r="AB593" s="12" t="s">
        <v>95</v>
      </c>
    </row>
    <row r="594" customFormat="false" ht="12.75" hidden="false" customHeight="false" outlineLevel="0" collapsed="false">
      <c r="A594" s="10" t="n">
        <v>76</v>
      </c>
      <c r="B594" s="10" t="s">
        <v>346</v>
      </c>
      <c r="C594" s="62" t="n">
        <v>36817</v>
      </c>
      <c r="D594" s="12" t="s">
        <v>136</v>
      </c>
      <c r="E594" s="12" t="s">
        <v>89</v>
      </c>
      <c r="F594" s="12" t="s">
        <v>235</v>
      </c>
      <c r="G594" s="12" t="s">
        <v>236</v>
      </c>
      <c r="H594" s="63" t="n">
        <v>0</v>
      </c>
      <c r="I594" s="14" t="n">
        <f aca="false">+H594*K594</f>
        <v>0</v>
      </c>
      <c r="J594" s="85" t="n">
        <v>36951</v>
      </c>
      <c r="K594" s="13" t="n">
        <v>120000</v>
      </c>
      <c r="L594" s="38" t="s">
        <v>8</v>
      </c>
      <c r="M594" s="86" t="n">
        <v>5.2675</v>
      </c>
      <c r="N594" s="133" t="n">
        <f aca="false">K594*M594</f>
        <v>632100</v>
      </c>
      <c r="O594" s="134" t="n">
        <f aca="false">0.02*K594</f>
        <v>2400</v>
      </c>
      <c r="R594" s="136" t="n">
        <v>7.55</v>
      </c>
      <c r="U594" s="134" t="n">
        <f aca="false">(M594-R594)*K594</f>
        <v>-273900</v>
      </c>
      <c r="AA594" s="10" t="s">
        <v>94</v>
      </c>
      <c r="AB594" s="12" t="s">
        <v>95</v>
      </c>
    </row>
    <row r="596" customFormat="false" ht="12.75" hidden="false" customHeight="false" outlineLevel="0" collapsed="false">
      <c r="A596" s="10" t="n">
        <v>77</v>
      </c>
      <c r="C596" s="62" t="n">
        <v>36818</v>
      </c>
      <c r="D596" s="12" t="s">
        <v>198</v>
      </c>
      <c r="E596" s="12" t="s">
        <v>89</v>
      </c>
      <c r="F596" s="12" t="s">
        <v>235</v>
      </c>
      <c r="G596" s="12" t="s">
        <v>236</v>
      </c>
      <c r="H596" s="63" t="n">
        <v>0</v>
      </c>
      <c r="I596" s="14" t="n">
        <f aca="false">+H596*K596</f>
        <v>0</v>
      </c>
      <c r="J596" s="85" t="n">
        <v>36951</v>
      </c>
      <c r="K596" s="13" t="n">
        <v>75850</v>
      </c>
      <c r="L596" s="38" t="s">
        <v>8</v>
      </c>
      <c r="M596" s="86" t="n">
        <v>4.5</v>
      </c>
      <c r="N596" s="133" t="n">
        <f aca="false">K596*M596</f>
        <v>341325</v>
      </c>
      <c r="O596" s="134" t="n">
        <f aca="false">0.04*K596</f>
        <v>3034</v>
      </c>
      <c r="R596" s="136" t="n">
        <v>4.2</v>
      </c>
      <c r="U596" s="137" t="n">
        <f aca="false">(M596-R596)*K596</f>
        <v>22755</v>
      </c>
      <c r="Y596" s="12" t="s">
        <v>108</v>
      </c>
      <c r="AA596" s="10" t="s">
        <v>116</v>
      </c>
      <c r="AB596" s="12" t="s">
        <v>95</v>
      </c>
    </row>
    <row r="597" customFormat="false" ht="12.75" hidden="false" customHeight="false" outlineLevel="0" collapsed="false">
      <c r="A597" s="10" t="n">
        <v>77</v>
      </c>
      <c r="C597" s="62" t="n">
        <v>36818</v>
      </c>
      <c r="D597" s="12" t="s">
        <v>198</v>
      </c>
      <c r="E597" s="12" t="s">
        <v>89</v>
      </c>
      <c r="F597" s="12" t="s">
        <v>235</v>
      </c>
      <c r="G597" s="12" t="s">
        <v>236</v>
      </c>
      <c r="H597" s="63" t="n">
        <v>0</v>
      </c>
      <c r="I597" s="14" t="n">
        <f aca="false">+H597*K597</f>
        <v>0</v>
      </c>
      <c r="J597" s="85" t="n">
        <v>36982</v>
      </c>
      <c r="K597" s="13" t="n">
        <f aca="false">+K596</f>
        <v>75850</v>
      </c>
      <c r="L597" s="38" t="s">
        <v>8</v>
      </c>
      <c r="M597" s="86" t="n">
        <v>4.5</v>
      </c>
      <c r="N597" s="133" t="n">
        <f aca="false">K597*M597</f>
        <v>341325</v>
      </c>
      <c r="O597" s="134" t="n">
        <f aca="false">0.04*K597</f>
        <v>3034</v>
      </c>
      <c r="R597" s="136" t="n">
        <v>4.2</v>
      </c>
      <c r="U597" s="137" t="n">
        <f aca="false">(M597-R597)*K597</f>
        <v>22755</v>
      </c>
      <c r="W597" s="137"/>
      <c r="X597" s="137"/>
      <c r="AA597" s="10" t="s">
        <v>116</v>
      </c>
      <c r="AB597" s="12" t="s">
        <v>95</v>
      </c>
    </row>
    <row r="598" customFormat="false" ht="12.75" hidden="false" customHeight="false" outlineLevel="0" collapsed="false">
      <c r="A598" s="10" t="n">
        <v>77</v>
      </c>
      <c r="C598" s="62" t="n">
        <v>36818</v>
      </c>
      <c r="D598" s="12" t="s">
        <v>198</v>
      </c>
      <c r="E598" s="12" t="s">
        <v>89</v>
      </c>
      <c r="F598" s="12" t="s">
        <v>235</v>
      </c>
      <c r="G598" s="12" t="s">
        <v>236</v>
      </c>
      <c r="H598" s="63" t="n">
        <v>0</v>
      </c>
      <c r="I598" s="14" t="n">
        <f aca="false">+H598*K598</f>
        <v>0</v>
      </c>
      <c r="J598" s="85" t="n">
        <v>37012</v>
      </c>
      <c r="K598" s="13" t="n">
        <f aca="false">+K597</f>
        <v>75850</v>
      </c>
      <c r="L598" s="38" t="s">
        <v>8</v>
      </c>
      <c r="M598" s="86" t="n">
        <v>4.5</v>
      </c>
      <c r="N598" s="133" t="n">
        <f aca="false">K598*M598</f>
        <v>341325</v>
      </c>
      <c r="O598" s="134" t="n">
        <f aca="false">0.04*K598</f>
        <v>3034</v>
      </c>
      <c r="R598" s="136" t="n">
        <v>4.2</v>
      </c>
      <c r="U598" s="137" t="n">
        <f aca="false">(M598-R598)*K598</f>
        <v>22755</v>
      </c>
      <c r="AA598" s="10" t="s">
        <v>116</v>
      </c>
      <c r="AB598" s="12" t="s">
        <v>95</v>
      </c>
    </row>
    <row r="599" customFormat="false" ht="12.75" hidden="false" customHeight="false" outlineLevel="0" collapsed="false">
      <c r="A599" s="10" t="n">
        <v>77</v>
      </c>
      <c r="C599" s="62" t="n">
        <v>36818</v>
      </c>
      <c r="D599" s="12" t="s">
        <v>198</v>
      </c>
      <c r="E599" s="12" t="s">
        <v>89</v>
      </c>
      <c r="F599" s="12" t="s">
        <v>235</v>
      </c>
      <c r="G599" s="12" t="s">
        <v>236</v>
      </c>
      <c r="H599" s="63" t="n">
        <v>0</v>
      </c>
      <c r="I599" s="14" t="n">
        <f aca="false">+H599*K599</f>
        <v>0</v>
      </c>
      <c r="J599" s="85" t="n">
        <v>37043</v>
      </c>
      <c r="K599" s="13" t="n">
        <f aca="false">+K598</f>
        <v>75850</v>
      </c>
      <c r="L599" s="38" t="s">
        <v>8</v>
      </c>
      <c r="M599" s="86" t="n">
        <v>4.5</v>
      </c>
      <c r="N599" s="133" t="n">
        <f aca="false">K599*M599</f>
        <v>341325</v>
      </c>
      <c r="O599" s="134" t="n">
        <f aca="false">0.04*K599</f>
        <v>3034</v>
      </c>
      <c r="R599" s="136" t="n">
        <v>4.2</v>
      </c>
      <c r="U599" s="137" t="n">
        <f aca="false">(M599-R599)*K599</f>
        <v>22755</v>
      </c>
      <c r="AA599" s="10" t="s">
        <v>116</v>
      </c>
      <c r="AB599" s="12" t="s">
        <v>95</v>
      </c>
    </row>
    <row r="600" customFormat="false" ht="12.75" hidden="false" customHeight="false" outlineLevel="0" collapsed="false">
      <c r="A600" s="10" t="n">
        <v>77</v>
      </c>
      <c r="C600" s="62" t="n">
        <v>36818</v>
      </c>
      <c r="D600" s="12" t="s">
        <v>198</v>
      </c>
      <c r="E600" s="12" t="s">
        <v>89</v>
      </c>
      <c r="F600" s="12" t="s">
        <v>235</v>
      </c>
      <c r="G600" s="12" t="s">
        <v>236</v>
      </c>
      <c r="H600" s="63" t="n">
        <v>0</v>
      </c>
      <c r="I600" s="14" t="n">
        <f aca="false">+H600*K600</f>
        <v>0</v>
      </c>
      <c r="J600" s="85" t="n">
        <v>37073</v>
      </c>
      <c r="K600" s="13" t="n">
        <f aca="false">+K599</f>
        <v>75850</v>
      </c>
      <c r="L600" s="38" t="s">
        <v>8</v>
      </c>
      <c r="M600" s="86" t="n">
        <v>4.5</v>
      </c>
      <c r="N600" s="133" t="n">
        <f aca="false">K600*M600</f>
        <v>341325</v>
      </c>
      <c r="O600" s="134" t="n">
        <f aca="false">0.04*K600</f>
        <v>3034</v>
      </c>
      <c r="R600" s="136" t="n">
        <v>4.2</v>
      </c>
      <c r="U600" s="137" t="n">
        <f aca="false">(M600-R600)*K600</f>
        <v>22755</v>
      </c>
      <c r="AA600" s="10" t="s">
        <v>116</v>
      </c>
      <c r="AB600" s="12" t="s">
        <v>95</v>
      </c>
    </row>
    <row r="601" customFormat="false" ht="12.75" hidden="false" customHeight="false" outlineLevel="0" collapsed="false">
      <c r="A601" s="10" t="n">
        <v>77</v>
      </c>
      <c r="C601" s="62" t="n">
        <v>36818</v>
      </c>
      <c r="D601" s="12" t="s">
        <v>198</v>
      </c>
      <c r="E601" s="12" t="s">
        <v>89</v>
      </c>
      <c r="F601" s="12" t="s">
        <v>235</v>
      </c>
      <c r="G601" s="12" t="s">
        <v>236</v>
      </c>
      <c r="H601" s="63" t="n">
        <v>0</v>
      </c>
      <c r="I601" s="14" t="n">
        <f aca="false">+H601*K601</f>
        <v>0</v>
      </c>
      <c r="J601" s="85" t="n">
        <v>37104</v>
      </c>
      <c r="K601" s="13" t="n">
        <f aca="false">+K600</f>
        <v>75850</v>
      </c>
      <c r="L601" s="38" t="s">
        <v>8</v>
      </c>
      <c r="M601" s="86" t="n">
        <v>4.5</v>
      </c>
      <c r="N601" s="133" t="n">
        <f aca="false">K601*M601</f>
        <v>341325</v>
      </c>
      <c r="O601" s="134" t="n">
        <f aca="false">0.04*K601</f>
        <v>3034</v>
      </c>
      <c r="R601" s="136" t="n">
        <v>4.2</v>
      </c>
      <c r="U601" s="137" t="n">
        <f aca="false">(M601-R601)*K601</f>
        <v>22755</v>
      </c>
      <c r="AA601" s="10" t="s">
        <v>116</v>
      </c>
      <c r="AB601" s="12" t="s">
        <v>95</v>
      </c>
    </row>
    <row r="602" customFormat="false" ht="12.75" hidden="false" customHeight="false" outlineLevel="0" collapsed="false">
      <c r="A602" s="10" t="n">
        <v>77</v>
      </c>
      <c r="C602" s="62" t="n">
        <v>36818</v>
      </c>
      <c r="D602" s="12" t="s">
        <v>198</v>
      </c>
      <c r="E602" s="12" t="s">
        <v>89</v>
      </c>
      <c r="F602" s="12" t="s">
        <v>235</v>
      </c>
      <c r="G602" s="12" t="s">
        <v>236</v>
      </c>
      <c r="H602" s="63" t="n">
        <v>0</v>
      </c>
      <c r="I602" s="14" t="n">
        <f aca="false">+H602*K602</f>
        <v>0</v>
      </c>
      <c r="J602" s="85" t="n">
        <v>37135</v>
      </c>
      <c r="K602" s="13" t="n">
        <f aca="false">+K601</f>
        <v>75850</v>
      </c>
      <c r="L602" s="38" t="s">
        <v>8</v>
      </c>
      <c r="M602" s="86" t="n">
        <v>4.5</v>
      </c>
      <c r="N602" s="133" t="n">
        <f aca="false">K602*M602</f>
        <v>341325</v>
      </c>
      <c r="O602" s="134" t="n">
        <f aca="false">0.04*K602</f>
        <v>3034</v>
      </c>
      <c r="R602" s="136" t="n">
        <v>4.2</v>
      </c>
      <c r="U602" s="137" t="n">
        <f aca="false">(M602-R602)*K602</f>
        <v>22755</v>
      </c>
      <c r="AA602" s="10" t="s">
        <v>116</v>
      </c>
      <c r="AB602" s="12" t="s">
        <v>95</v>
      </c>
    </row>
    <row r="603" customFormat="false" ht="12.75" hidden="false" customHeight="false" outlineLevel="0" collapsed="false">
      <c r="A603" s="10" t="n">
        <v>77</v>
      </c>
      <c r="C603" s="62" t="n">
        <v>36818</v>
      </c>
      <c r="D603" s="12" t="s">
        <v>198</v>
      </c>
      <c r="E603" s="12" t="s">
        <v>89</v>
      </c>
      <c r="F603" s="12" t="s">
        <v>235</v>
      </c>
      <c r="G603" s="12" t="s">
        <v>236</v>
      </c>
      <c r="H603" s="63" t="n">
        <v>0</v>
      </c>
      <c r="I603" s="14" t="n">
        <f aca="false">+H603*K603</f>
        <v>0</v>
      </c>
      <c r="J603" s="85" t="n">
        <v>37165</v>
      </c>
      <c r="K603" s="13" t="n">
        <f aca="false">+K602</f>
        <v>75850</v>
      </c>
      <c r="L603" s="38" t="s">
        <v>8</v>
      </c>
      <c r="M603" s="86" t="n">
        <v>4.5</v>
      </c>
      <c r="N603" s="133" t="n">
        <f aca="false">K603*M603</f>
        <v>341325</v>
      </c>
      <c r="O603" s="134" t="n">
        <f aca="false">0.04*K603</f>
        <v>3034</v>
      </c>
      <c r="R603" s="136" t="n">
        <v>4.2</v>
      </c>
      <c r="U603" s="137" t="n">
        <f aca="false">(M603-R603)*K603</f>
        <v>22755</v>
      </c>
      <c r="AA603" s="10" t="s">
        <v>116</v>
      </c>
      <c r="AB603" s="12" t="s">
        <v>95</v>
      </c>
    </row>
    <row r="604" customFormat="false" ht="12.75" hidden="false" customHeight="false" outlineLevel="0" collapsed="false">
      <c r="A604" s="10" t="n">
        <v>77</v>
      </c>
      <c r="C604" s="62" t="n">
        <v>36818</v>
      </c>
      <c r="D604" s="12" t="s">
        <v>198</v>
      </c>
      <c r="E604" s="12" t="s">
        <v>89</v>
      </c>
      <c r="F604" s="12" t="s">
        <v>235</v>
      </c>
      <c r="G604" s="12" t="s">
        <v>236</v>
      </c>
      <c r="H604" s="63" t="n">
        <v>0</v>
      </c>
      <c r="I604" s="14" t="n">
        <f aca="false">+H604*K604</f>
        <v>0</v>
      </c>
      <c r="J604" s="85" t="n">
        <v>37196</v>
      </c>
      <c r="K604" s="13" t="n">
        <f aca="false">+K603</f>
        <v>75850</v>
      </c>
      <c r="L604" s="38" t="s">
        <v>8</v>
      </c>
      <c r="M604" s="86" t="n">
        <v>4.5</v>
      </c>
      <c r="N604" s="133" t="n">
        <f aca="false">K604*M604</f>
        <v>341325</v>
      </c>
      <c r="O604" s="134" t="n">
        <f aca="false">0.04*K604</f>
        <v>3034</v>
      </c>
      <c r="R604" s="136" t="n">
        <v>4.2</v>
      </c>
      <c r="U604" s="137" t="n">
        <f aca="false">(M604-R604)*K604</f>
        <v>22755</v>
      </c>
      <c r="AA604" s="10" t="s">
        <v>116</v>
      </c>
      <c r="AB604" s="12" t="s">
        <v>95</v>
      </c>
    </row>
    <row r="605" customFormat="false" ht="12.75" hidden="false" customHeight="false" outlineLevel="0" collapsed="false">
      <c r="A605" s="10" t="n">
        <v>77</v>
      </c>
      <c r="C605" s="62" t="n">
        <v>36818</v>
      </c>
      <c r="D605" s="12" t="s">
        <v>198</v>
      </c>
      <c r="E605" s="12" t="s">
        <v>89</v>
      </c>
      <c r="F605" s="12" t="s">
        <v>235</v>
      </c>
      <c r="G605" s="12" t="s">
        <v>236</v>
      </c>
      <c r="H605" s="63" t="n">
        <v>0</v>
      </c>
      <c r="I605" s="14" t="n">
        <f aca="false">+H605*K605</f>
        <v>0</v>
      </c>
      <c r="J605" s="85" t="n">
        <v>37226</v>
      </c>
      <c r="K605" s="13" t="n">
        <f aca="false">+K604</f>
        <v>75850</v>
      </c>
      <c r="L605" s="38" t="s">
        <v>8</v>
      </c>
      <c r="M605" s="86" t="n">
        <v>4.5</v>
      </c>
      <c r="N605" s="133" t="n">
        <f aca="false">K605*M605</f>
        <v>341325</v>
      </c>
      <c r="O605" s="134" t="n">
        <f aca="false">0.04*K605</f>
        <v>3034</v>
      </c>
      <c r="R605" s="136" t="n">
        <v>4.2</v>
      </c>
      <c r="U605" s="137" t="n">
        <f aca="false">(M605-R605)*K605</f>
        <v>22755</v>
      </c>
      <c r="AA605" s="10" t="s">
        <v>116</v>
      </c>
      <c r="AB605" s="12" t="s">
        <v>95</v>
      </c>
    </row>
    <row r="607" customFormat="false" ht="12.75" hidden="false" customHeight="false" outlineLevel="0" collapsed="false">
      <c r="A607" s="10" t="n">
        <v>78</v>
      </c>
      <c r="C607" s="62" t="n">
        <v>36818</v>
      </c>
      <c r="D607" s="12" t="s">
        <v>38</v>
      </c>
      <c r="E607" s="12" t="s">
        <v>89</v>
      </c>
      <c r="F607" s="12" t="s">
        <v>235</v>
      </c>
      <c r="G607" s="12" t="s">
        <v>236</v>
      </c>
      <c r="H607" s="63" t="n">
        <v>0</v>
      </c>
      <c r="I607" s="14" t="n">
        <f aca="false">+H607*K607</f>
        <v>0</v>
      </c>
      <c r="J607" s="85" t="n">
        <v>36951</v>
      </c>
      <c r="K607" s="13" t="n">
        <v>20350</v>
      </c>
      <c r="L607" s="38" t="s">
        <v>8</v>
      </c>
      <c r="M607" s="86" t="n">
        <v>4.5</v>
      </c>
      <c r="N607" s="133" t="n">
        <f aca="false">K607*M607</f>
        <v>91575</v>
      </c>
      <c r="O607" s="134" t="n">
        <f aca="false">0.04*K607</f>
        <v>814</v>
      </c>
      <c r="R607" s="136" t="n">
        <v>4.2</v>
      </c>
      <c r="U607" s="137" t="n">
        <f aca="false">(M607-R607)*K607</f>
        <v>6105</v>
      </c>
      <c r="Y607" s="12" t="s">
        <v>108</v>
      </c>
      <c r="AA607" s="10" t="s">
        <v>116</v>
      </c>
      <c r="AB607" s="12" t="s">
        <v>95</v>
      </c>
    </row>
    <row r="608" customFormat="false" ht="12.75" hidden="false" customHeight="false" outlineLevel="0" collapsed="false">
      <c r="A608" s="10" t="n">
        <v>78</v>
      </c>
      <c r="C608" s="62" t="n">
        <v>36818</v>
      </c>
      <c r="D608" s="12" t="s">
        <v>38</v>
      </c>
      <c r="E608" s="12" t="s">
        <v>89</v>
      </c>
      <c r="F608" s="12" t="s">
        <v>235</v>
      </c>
      <c r="G608" s="12" t="s">
        <v>236</v>
      </c>
      <c r="H608" s="63" t="n">
        <v>0</v>
      </c>
      <c r="I608" s="14" t="n">
        <f aca="false">+H608*K608</f>
        <v>0</v>
      </c>
      <c r="J608" s="85" t="n">
        <v>36982</v>
      </c>
      <c r="K608" s="13" t="n">
        <f aca="false">+K607</f>
        <v>20350</v>
      </c>
      <c r="L608" s="38" t="s">
        <v>8</v>
      </c>
      <c r="M608" s="86" t="n">
        <v>4.5</v>
      </c>
      <c r="N608" s="133" t="n">
        <f aca="false">K608*M608</f>
        <v>91575</v>
      </c>
      <c r="O608" s="134" t="n">
        <f aca="false">0.04*K608</f>
        <v>814</v>
      </c>
      <c r="R608" s="136" t="n">
        <v>4.2</v>
      </c>
      <c r="U608" s="137" t="n">
        <f aca="false">(M608-R608)*K608</f>
        <v>6105</v>
      </c>
      <c r="W608" s="137"/>
      <c r="X608" s="137"/>
      <c r="AA608" s="10" t="s">
        <v>116</v>
      </c>
      <c r="AB608" s="12" t="s">
        <v>95</v>
      </c>
    </row>
    <row r="609" customFormat="false" ht="12.75" hidden="false" customHeight="false" outlineLevel="0" collapsed="false">
      <c r="A609" s="10" t="n">
        <v>78</v>
      </c>
      <c r="C609" s="62" t="n">
        <v>36818</v>
      </c>
      <c r="D609" s="12" t="s">
        <v>38</v>
      </c>
      <c r="E609" s="12" t="s">
        <v>89</v>
      </c>
      <c r="F609" s="12" t="s">
        <v>235</v>
      </c>
      <c r="G609" s="12" t="s">
        <v>236</v>
      </c>
      <c r="H609" s="63" t="n">
        <v>0</v>
      </c>
      <c r="I609" s="14" t="n">
        <f aca="false">+H609*K609</f>
        <v>0</v>
      </c>
      <c r="J609" s="85" t="n">
        <v>37012</v>
      </c>
      <c r="K609" s="13" t="n">
        <f aca="false">+K608</f>
        <v>20350</v>
      </c>
      <c r="L609" s="38" t="s">
        <v>8</v>
      </c>
      <c r="M609" s="86" t="n">
        <v>4.5</v>
      </c>
      <c r="N609" s="133" t="n">
        <f aca="false">K609*M609</f>
        <v>91575</v>
      </c>
      <c r="O609" s="134" t="n">
        <f aca="false">0.04*K609</f>
        <v>814</v>
      </c>
      <c r="R609" s="136" t="n">
        <v>4.2</v>
      </c>
      <c r="U609" s="137" t="n">
        <f aca="false">(M609-R609)*K609</f>
        <v>6105</v>
      </c>
      <c r="AA609" s="10" t="s">
        <v>116</v>
      </c>
      <c r="AB609" s="12" t="s">
        <v>95</v>
      </c>
    </row>
    <row r="610" customFormat="false" ht="12.75" hidden="false" customHeight="false" outlineLevel="0" collapsed="false">
      <c r="A610" s="10" t="n">
        <v>78</v>
      </c>
      <c r="C610" s="62" t="n">
        <v>36818</v>
      </c>
      <c r="D610" s="12" t="s">
        <v>38</v>
      </c>
      <c r="E610" s="12" t="s">
        <v>89</v>
      </c>
      <c r="F610" s="12" t="s">
        <v>235</v>
      </c>
      <c r="G610" s="12" t="s">
        <v>236</v>
      </c>
      <c r="H610" s="63" t="n">
        <v>0</v>
      </c>
      <c r="I610" s="14" t="n">
        <f aca="false">+H610*K610</f>
        <v>0</v>
      </c>
      <c r="J610" s="85" t="n">
        <v>37043</v>
      </c>
      <c r="K610" s="13" t="n">
        <f aca="false">+K609</f>
        <v>20350</v>
      </c>
      <c r="L610" s="38" t="s">
        <v>8</v>
      </c>
      <c r="M610" s="86" t="n">
        <v>4.5</v>
      </c>
      <c r="N610" s="133" t="n">
        <f aca="false">K610*M610</f>
        <v>91575</v>
      </c>
      <c r="O610" s="134" t="n">
        <f aca="false">0.04*K610</f>
        <v>814</v>
      </c>
      <c r="R610" s="136" t="n">
        <v>4.2</v>
      </c>
      <c r="U610" s="137" t="n">
        <f aca="false">(M610-R610)*K610</f>
        <v>6105</v>
      </c>
      <c r="AA610" s="10" t="s">
        <v>116</v>
      </c>
      <c r="AB610" s="12" t="s">
        <v>95</v>
      </c>
    </row>
    <row r="611" customFormat="false" ht="12.75" hidden="false" customHeight="false" outlineLevel="0" collapsed="false">
      <c r="A611" s="10" t="n">
        <v>78</v>
      </c>
      <c r="C611" s="62" t="n">
        <v>36818</v>
      </c>
      <c r="D611" s="12" t="s">
        <v>38</v>
      </c>
      <c r="E611" s="12" t="s">
        <v>89</v>
      </c>
      <c r="F611" s="12" t="s">
        <v>235</v>
      </c>
      <c r="G611" s="12" t="s">
        <v>236</v>
      </c>
      <c r="H611" s="63" t="n">
        <v>0</v>
      </c>
      <c r="I611" s="14" t="n">
        <f aca="false">+H611*K611</f>
        <v>0</v>
      </c>
      <c r="J611" s="85" t="n">
        <v>37073</v>
      </c>
      <c r="K611" s="13" t="n">
        <f aca="false">+K610</f>
        <v>20350</v>
      </c>
      <c r="L611" s="38" t="s">
        <v>8</v>
      </c>
      <c r="M611" s="86" t="n">
        <v>4.5</v>
      </c>
      <c r="N611" s="133" t="n">
        <f aca="false">K611*M611</f>
        <v>91575</v>
      </c>
      <c r="O611" s="134" t="n">
        <f aca="false">0.04*K611</f>
        <v>814</v>
      </c>
      <c r="R611" s="136" t="n">
        <v>4.2</v>
      </c>
      <c r="U611" s="137" t="n">
        <f aca="false">(M611-R611)*K611</f>
        <v>6105</v>
      </c>
      <c r="AA611" s="10" t="s">
        <v>116</v>
      </c>
      <c r="AB611" s="12" t="s">
        <v>95</v>
      </c>
    </row>
    <row r="612" customFormat="false" ht="12.75" hidden="false" customHeight="false" outlineLevel="0" collapsed="false">
      <c r="A612" s="10" t="n">
        <v>78</v>
      </c>
      <c r="C612" s="62" t="n">
        <v>36818</v>
      </c>
      <c r="D612" s="12" t="s">
        <v>38</v>
      </c>
      <c r="E612" s="12" t="s">
        <v>89</v>
      </c>
      <c r="F612" s="12" t="s">
        <v>235</v>
      </c>
      <c r="G612" s="12" t="s">
        <v>236</v>
      </c>
      <c r="H612" s="63" t="n">
        <v>0</v>
      </c>
      <c r="I612" s="14" t="n">
        <f aca="false">+H612*K612</f>
        <v>0</v>
      </c>
      <c r="J612" s="85" t="n">
        <v>37104</v>
      </c>
      <c r="K612" s="13" t="n">
        <f aca="false">+K611</f>
        <v>20350</v>
      </c>
      <c r="L612" s="38" t="s">
        <v>8</v>
      </c>
      <c r="M612" s="86" t="n">
        <v>4.5</v>
      </c>
      <c r="N612" s="133" t="n">
        <f aca="false">K612*M612</f>
        <v>91575</v>
      </c>
      <c r="O612" s="134" t="n">
        <f aca="false">0.04*K612</f>
        <v>814</v>
      </c>
      <c r="R612" s="136" t="n">
        <v>4.2</v>
      </c>
      <c r="U612" s="137" t="n">
        <f aca="false">(M612-R612)*K612</f>
        <v>6105</v>
      </c>
      <c r="AA612" s="10" t="s">
        <v>116</v>
      </c>
      <c r="AB612" s="12" t="s">
        <v>95</v>
      </c>
    </row>
    <row r="613" customFormat="false" ht="12.75" hidden="false" customHeight="false" outlineLevel="0" collapsed="false">
      <c r="A613" s="10" t="n">
        <v>78</v>
      </c>
      <c r="C613" s="62" t="n">
        <v>36818</v>
      </c>
      <c r="D613" s="12" t="s">
        <v>38</v>
      </c>
      <c r="E613" s="12" t="s">
        <v>89</v>
      </c>
      <c r="F613" s="12" t="s">
        <v>235</v>
      </c>
      <c r="G613" s="12" t="s">
        <v>236</v>
      </c>
      <c r="H613" s="63" t="n">
        <v>0</v>
      </c>
      <c r="I613" s="14" t="n">
        <f aca="false">+H613*K613</f>
        <v>0</v>
      </c>
      <c r="J613" s="85" t="n">
        <v>37135</v>
      </c>
      <c r="K613" s="13" t="n">
        <f aca="false">+K612</f>
        <v>20350</v>
      </c>
      <c r="L613" s="38" t="s">
        <v>8</v>
      </c>
      <c r="M613" s="86" t="n">
        <v>4.5</v>
      </c>
      <c r="N613" s="133" t="n">
        <f aca="false">K613*M613</f>
        <v>91575</v>
      </c>
      <c r="O613" s="134" t="n">
        <f aca="false">0.04*K613</f>
        <v>814</v>
      </c>
      <c r="R613" s="136" t="n">
        <v>4.2</v>
      </c>
      <c r="U613" s="137" t="n">
        <f aca="false">(M613-R613)*K613</f>
        <v>6105</v>
      </c>
      <c r="AA613" s="10" t="s">
        <v>116</v>
      </c>
      <c r="AB613" s="12" t="s">
        <v>95</v>
      </c>
    </row>
    <row r="614" customFormat="false" ht="12.75" hidden="false" customHeight="false" outlineLevel="0" collapsed="false">
      <c r="A614" s="10" t="n">
        <v>78</v>
      </c>
      <c r="C614" s="62" t="n">
        <v>36818</v>
      </c>
      <c r="D614" s="12" t="s">
        <v>38</v>
      </c>
      <c r="E614" s="12" t="s">
        <v>89</v>
      </c>
      <c r="F614" s="12" t="s">
        <v>235</v>
      </c>
      <c r="G614" s="12" t="s">
        <v>236</v>
      </c>
      <c r="H614" s="63" t="n">
        <v>0</v>
      </c>
      <c r="I614" s="14" t="n">
        <f aca="false">+H614*K614</f>
        <v>0</v>
      </c>
      <c r="J614" s="85" t="n">
        <v>37165</v>
      </c>
      <c r="K614" s="13" t="n">
        <f aca="false">+K613</f>
        <v>20350</v>
      </c>
      <c r="L614" s="38" t="s">
        <v>8</v>
      </c>
      <c r="M614" s="86" t="n">
        <v>4.5</v>
      </c>
      <c r="N614" s="133" t="n">
        <f aca="false">K614*M614</f>
        <v>91575</v>
      </c>
      <c r="O614" s="134" t="n">
        <f aca="false">0.04*K614</f>
        <v>814</v>
      </c>
      <c r="R614" s="136" t="n">
        <v>4.2</v>
      </c>
      <c r="U614" s="137" t="n">
        <f aca="false">(M614-R614)*K614</f>
        <v>6105</v>
      </c>
      <c r="AA614" s="10" t="s">
        <v>116</v>
      </c>
      <c r="AB614" s="12" t="s">
        <v>95</v>
      </c>
    </row>
    <row r="615" customFormat="false" ht="12.75" hidden="false" customHeight="false" outlineLevel="0" collapsed="false">
      <c r="A615" s="10" t="n">
        <v>78</v>
      </c>
      <c r="C615" s="62" t="n">
        <v>36818</v>
      </c>
      <c r="D615" s="12" t="s">
        <v>38</v>
      </c>
      <c r="E615" s="12" t="s">
        <v>89</v>
      </c>
      <c r="F615" s="12" t="s">
        <v>235</v>
      </c>
      <c r="G615" s="12" t="s">
        <v>236</v>
      </c>
      <c r="H615" s="63" t="n">
        <v>0</v>
      </c>
      <c r="I615" s="14" t="n">
        <f aca="false">+H615*K615</f>
        <v>0</v>
      </c>
      <c r="J615" s="85" t="n">
        <v>37196</v>
      </c>
      <c r="K615" s="13" t="n">
        <f aca="false">+K614</f>
        <v>20350</v>
      </c>
      <c r="L615" s="38" t="s">
        <v>8</v>
      </c>
      <c r="M615" s="86" t="n">
        <v>4.5</v>
      </c>
      <c r="N615" s="133" t="n">
        <f aca="false">K615*M615</f>
        <v>91575</v>
      </c>
      <c r="O615" s="134" t="n">
        <f aca="false">0.04*K615</f>
        <v>814</v>
      </c>
      <c r="R615" s="136" t="n">
        <v>4.2</v>
      </c>
      <c r="T615" s="135"/>
      <c r="U615" s="137" t="n">
        <f aca="false">(M615-R615)*K615</f>
        <v>6105</v>
      </c>
      <c r="AA615" s="10" t="s">
        <v>116</v>
      </c>
      <c r="AB615" s="12" t="s">
        <v>95</v>
      </c>
    </row>
    <row r="616" customFormat="false" ht="12.75" hidden="false" customHeight="false" outlineLevel="0" collapsed="false">
      <c r="A616" s="10" t="n">
        <v>78</v>
      </c>
      <c r="C616" s="62" t="n">
        <v>36818</v>
      </c>
      <c r="D616" s="12" t="s">
        <v>38</v>
      </c>
      <c r="E616" s="12" t="s">
        <v>89</v>
      </c>
      <c r="F616" s="12" t="s">
        <v>235</v>
      </c>
      <c r="G616" s="12" t="s">
        <v>236</v>
      </c>
      <c r="H616" s="63" t="n">
        <v>0</v>
      </c>
      <c r="I616" s="14" t="n">
        <f aca="false">+H616*K616</f>
        <v>0</v>
      </c>
      <c r="J616" s="85" t="n">
        <v>37226</v>
      </c>
      <c r="K616" s="13" t="n">
        <f aca="false">+K615</f>
        <v>20350</v>
      </c>
      <c r="L616" s="38" t="s">
        <v>8</v>
      </c>
      <c r="M616" s="86" t="n">
        <v>4.5</v>
      </c>
      <c r="N616" s="133" t="n">
        <f aca="false">K616*M616</f>
        <v>91575</v>
      </c>
      <c r="O616" s="134" t="n">
        <f aca="false">0.04*K616</f>
        <v>814</v>
      </c>
      <c r="R616" s="136" t="n">
        <v>4.2</v>
      </c>
      <c r="U616" s="137" t="n">
        <f aca="false">(M616-R616)*K616</f>
        <v>6105</v>
      </c>
      <c r="AA616" s="10" t="s">
        <v>116</v>
      </c>
      <c r="AB616" s="12" t="s">
        <v>95</v>
      </c>
    </row>
    <row r="618" customFormat="false" ht="12.75" hidden="false" customHeight="false" outlineLevel="0" collapsed="false">
      <c r="A618" s="10" t="n">
        <v>79</v>
      </c>
      <c r="C618" s="62" t="n">
        <v>36818</v>
      </c>
      <c r="D618" s="12" t="s">
        <v>34</v>
      </c>
      <c r="E618" s="12" t="s">
        <v>89</v>
      </c>
      <c r="F618" s="12" t="s">
        <v>105</v>
      </c>
      <c r="G618" s="12" t="s">
        <v>236</v>
      </c>
      <c r="H618" s="63" t="n">
        <v>0</v>
      </c>
      <c r="I618" s="14" t="n">
        <f aca="false">+H618*K618</f>
        <v>0</v>
      </c>
      <c r="J618" s="85" t="n">
        <v>36951</v>
      </c>
      <c r="K618" s="13" t="n">
        <v>21081</v>
      </c>
      <c r="L618" s="38" t="s">
        <v>8</v>
      </c>
      <c r="M618" s="86" t="n">
        <v>4.915</v>
      </c>
      <c r="N618" s="133" t="n">
        <f aca="false">K618*M618</f>
        <v>103613.115</v>
      </c>
      <c r="O618" s="134" t="n">
        <f aca="false">0.015*K618</f>
        <v>316.215</v>
      </c>
      <c r="Y618" s="12" t="s">
        <v>107</v>
      </c>
      <c r="AA618" s="10" t="s">
        <v>94</v>
      </c>
      <c r="AB618" s="12" t="s">
        <v>95</v>
      </c>
    </row>
    <row r="619" customFormat="false" ht="12.75" hidden="false" customHeight="false" outlineLevel="0" collapsed="false">
      <c r="A619" s="10" t="n">
        <v>79</v>
      </c>
      <c r="C619" s="62" t="n">
        <v>36818</v>
      </c>
      <c r="D619" s="12" t="s">
        <v>34</v>
      </c>
      <c r="E619" s="12" t="s">
        <v>89</v>
      </c>
      <c r="F619" s="12" t="s">
        <v>105</v>
      </c>
      <c r="G619" s="12" t="s">
        <v>236</v>
      </c>
      <c r="H619" s="63" t="n">
        <v>0</v>
      </c>
      <c r="I619" s="14" t="n">
        <f aca="false">+H619*K619</f>
        <v>0</v>
      </c>
      <c r="J619" s="85" t="n">
        <v>36982</v>
      </c>
      <c r="K619" s="13" t="n">
        <v>21081</v>
      </c>
      <c r="L619" s="38" t="s">
        <v>8</v>
      </c>
      <c r="M619" s="86" t="n">
        <v>4.915</v>
      </c>
      <c r="N619" s="133" t="n">
        <f aca="false">K619*M619</f>
        <v>103613.115</v>
      </c>
      <c r="O619" s="134" t="n">
        <f aca="false">0.015*K619</f>
        <v>316.215</v>
      </c>
      <c r="AA619" s="10" t="s">
        <v>94</v>
      </c>
      <c r="AB619" s="12" t="s">
        <v>95</v>
      </c>
    </row>
    <row r="620" customFormat="false" ht="12.75" hidden="false" customHeight="false" outlineLevel="0" collapsed="false">
      <c r="A620" s="10" t="n">
        <v>79</v>
      </c>
      <c r="C620" s="62" t="n">
        <v>36818</v>
      </c>
      <c r="D620" s="12" t="s">
        <v>34</v>
      </c>
      <c r="E620" s="12" t="s">
        <v>89</v>
      </c>
      <c r="F620" s="12" t="s">
        <v>105</v>
      </c>
      <c r="G620" s="12" t="s">
        <v>236</v>
      </c>
      <c r="H620" s="63" t="n">
        <v>0</v>
      </c>
      <c r="I620" s="14" t="n">
        <f aca="false">+H620*K620</f>
        <v>0</v>
      </c>
      <c r="J620" s="85" t="n">
        <v>37012</v>
      </c>
      <c r="K620" s="13" t="n">
        <v>21081</v>
      </c>
      <c r="L620" s="38" t="s">
        <v>8</v>
      </c>
      <c r="M620" s="86" t="n">
        <v>4.915</v>
      </c>
      <c r="N620" s="133" t="n">
        <f aca="false">K620*M620</f>
        <v>103613.115</v>
      </c>
      <c r="O620" s="134" t="n">
        <f aca="false">0.015*K620</f>
        <v>316.215</v>
      </c>
      <c r="AA620" s="10" t="s">
        <v>94</v>
      </c>
      <c r="AB620" s="12" t="s">
        <v>95</v>
      </c>
    </row>
    <row r="621" customFormat="false" ht="12.75" hidden="false" customHeight="false" outlineLevel="0" collapsed="false">
      <c r="A621" s="10" t="n">
        <v>79</v>
      </c>
      <c r="C621" s="62" t="n">
        <v>36818</v>
      </c>
      <c r="D621" s="12" t="s">
        <v>34</v>
      </c>
      <c r="E621" s="12" t="s">
        <v>89</v>
      </c>
      <c r="F621" s="12" t="s">
        <v>105</v>
      </c>
      <c r="G621" s="12" t="s">
        <v>236</v>
      </c>
      <c r="H621" s="63" t="n">
        <v>0</v>
      </c>
      <c r="I621" s="14" t="n">
        <f aca="false">+H621*K621</f>
        <v>0</v>
      </c>
      <c r="J621" s="85" t="n">
        <v>37043</v>
      </c>
      <c r="K621" s="13" t="n">
        <v>21081</v>
      </c>
      <c r="L621" s="38" t="s">
        <v>8</v>
      </c>
      <c r="M621" s="86" t="n">
        <v>4.915</v>
      </c>
      <c r="N621" s="133" t="n">
        <f aca="false">K621*M621</f>
        <v>103613.115</v>
      </c>
      <c r="O621" s="134" t="n">
        <f aca="false">0.015*K621</f>
        <v>316.215</v>
      </c>
      <c r="AA621" s="10" t="s">
        <v>94</v>
      </c>
      <c r="AB621" s="12" t="s">
        <v>95</v>
      </c>
    </row>
    <row r="622" customFormat="false" ht="12.75" hidden="false" customHeight="false" outlineLevel="0" collapsed="false">
      <c r="A622" s="10" t="n">
        <v>79</v>
      </c>
      <c r="C622" s="62" t="n">
        <v>36818</v>
      </c>
      <c r="D622" s="12" t="s">
        <v>34</v>
      </c>
      <c r="E622" s="12" t="s">
        <v>89</v>
      </c>
      <c r="F622" s="12" t="s">
        <v>105</v>
      </c>
      <c r="G622" s="12" t="s">
        <v>236</v>
      </c>
      <c r="H622" s="63" t="n">
        <v>0</v>
      </c>
      <c r="I622" s="14" t="n">
        <f aca="false">+H622*K622</f>
        <v>0</v>
      </c>
      <c r="J622" s="85" t="n">
        <v>37073</v>
      </c>
      <c r="K622" s="13" t="n">
        <v>21081</v>
      </c>
      <c r="L622" s="38" t="s">
        <v>8</v>
      </c>
      <c r="M622" s="86" t="n">
        <v>4.915</v>
      </c>
      <c r="N622" s="133" t="n">
        <f aca="false">K622*M622</f>
        <v>103613.115</v>
      </c>
      <c r="O622" s="134" t="n">
        <f aca="false">0.015*K622</f>
        <v>316.215</v>
      </c>
      <c r="AA622" s="10" t="s">
        <v>94</v>
      </c>
      <c r="AB622" s="12" t="s">
        <v>95</v>
      </c>
    </row>
    <row r="623" customFormat="false" ht="12.75" hidden="false" customHeight="false" outlineLevel="0" collapsed="false">
      <c r="A623" s="10" t="n">
        <v>79</v>
      </c>
      <c r="C623" s="62" t="n">
        <v>36818</v>
      </c>
      <c r="D623" s="12" t="s">
        <v>34</v>
      </c>
      <c r="E623" s="12" t="s">
        <v>89</v>
      </c>
      <c r="F623" s="12" t="s">
        <v>105</v>
      </c>
      <c r="G623" s="12" t="s">
        <v>236</v>
      </c>
      <c r="H623" s="63" t="n">
        <v>0</v>
      </c>
      <c r="I623" s="14" t="n">
        <f aca="false">+H623*K623</f>
        <v>0</v>
      </c>
      <c r="J623" s="85" t="n">
        <v>37104</v>
      </c>
      <c r="K623" s="13" t="n">
        <v>21081</v>
      </c>
      <c r="L623" s="38" t="s">
        <v>8</v>
      </c>
      <c r="M623" s="86" t="n">
        <v>4.915</v>
      </c>
      <c r="N623" s="133" t="n">
        <f aca="false">K623*M623</f>
        <v>103613.115</v>
      </c>
      <c r="O623" s="134" t="n">
        <f aca="false">0.015*K623</f>
        <v>316.215</v>
      </c>
      <c r="AA623" s="10" t="s">
        <v>94</v>
      </c>
      <c r="AB623" s="12" t="s">
        <v>95</v>
      </c>
    </row>
    <row r="624" customFormat="false" ht="12.75" hidden="false" customHeight="false" outlineLevel="0" collapsed="false">
      <c r="A624" s="10" t="n">
        <v>79</v>
      </c>
      <c r="C624" s="62" t="n">
        <v>36818</v>
      </c>
      <c r="D624" s="12" t="s">
        <v>34</v>
      </c>
      <c r="E624" s="12" t="s">
        <v>89</v>
      </c>
      <c r="F624" s="12" t="s">
        <v>105</v>
      </c>
      <c r="G624" s="12" t="s">
        <v>236</v>
      </c>
      <c r="H624" s="63" t="n">
        <v>0</v>
      </c>
      <c r="I624" s="14" t="n">
        <f aca="false">+H624*K624</f>
        <v>0</v>
      </c>
      <c r="J624" s="85" t="n">
        <v>37135</v>
      </c>
      <c r="K624" s="13" t="n">
        <v>21081</v>
      </c>
      <c r="L624" s="38" t="s">
        <v>8</v>
      </c>
      <c r="M624" s="86" t="n">
        <v>4.915</v>
      </c>
      <c r="N624" s="133" t="n">
        <f aca="false">K624*M624</f>
        <v>103613.115</v>
      </c>
      <c r="O624" s="134" t="n">
        <f aca="false">0.015*K624</f>
        <v>316.215</v>
      </c>
      <c r="AA624" s="10" t="s">
        <v>94</v>
      </c>
      <c r="AB624" s="12" t="s">
        <v>95</v>
      </c>
    </row>
    <row r="625" customFormat="false" ht="12.75" hidden="false" customHeight="false" outlineLevel="0" collapsed="false">
      <c r="J625" s="85"/>
      <c r="M625" s="86"/>
    </row>
    <row r="626" customFormat="false" ht="12.75" hidden="false" customHeight="false" outlineLevel="0" collapsed="false">
      <c r="A626" s="10" t="n">
        <v>80</v>
      </c>
      <c r="B626" s="10" t="s">
        <v>347</v>
      </c>
      <c r="C626" s="62" t="n">
        <v>36818</v>
      </c>
      <c r="D626" s="12" t="s">
        <v>228</v>
      </c>
      <c r="F626" s="12" t="s">
        <v>109</v>
      </c>
      <c r="G626" s="12" t="s">
        <v>236</v>
      </c>
      <c r="H626" s="63" t="n">
        <v>0</v>
      </c>
      <c r="I626" s="14" t="n">
        <f aca="false">+H626*K626</f>
        <v>0</v>
      </c>
      <c r="J626" s="85" t="n">
        <v>36831</v>
      </c>
      <c r="K626" s="13" t="n">
        <v>350000</v>
      </c>
      <c r="L626" s="38" t="s">
        <v>8</v>
      </c>
      <c r="M626" s="86" t="n">
        <v>4.945</v>
      </c>
      <c r="N626" s="133" t="n">
        <f aca="false">K626*M626</f>
        <v>1730750</v>
      </c>
      <c r="O626" s="134" t="n">
        <f aca="false">0.0125*K626</f>
        <v>4375</v>
      </c>
      <c r="Q626" s="135" t="n">
        <v>4.46</v>
      </c>
      <c r="T626" s="134" t="n">
        <f aca="false">(M626-Q626)*K626</f>
        <v>169750</v>
      </c>
      <c r="AB626" s="12" t="s">
        <v>245</v>
      </c>
    </row>
    <row r="627" customFormat="false" ht="12.75" hidden="false" customHeight="false" outlineLevel="0" collapsed="false">
      <c r="A627" s="10" t="n">
        <v>80</v>
      </c>
      <c r="B627" s="10" t="s">
        <v>347</v>
      </c>
      <c r="C627" s="62" t="n">
        <v>36818</v>
      </c>
      <c r="D627" s="12" t="s">
        <v>228</v>
      </c>
      <c r="F627" s="12" t="s">
        <v>109</v>
      </c>
      <c r="G627" s="12" t="s">
        <v>236</v>
      </c>
      <c r="H627" s="63" t="n">
        <v>0</v>
      </c>
      <c r="I627" s="14" t="n">
        <f aca="false">+H627*K627</f>
        <v>0</v>
      </c>
      <c r="J627" s="85" t="n">
        <v>36861</v>
      </c>
      <c r="K627" s="13" t="n">
        <v>160000</v>
      </c>
      <c r="L627" s="38" t="s">
        <v>8</v>
      </c>
      <c r="M627" s="86" t="n">
        <v>5.045</v>
      </c>
      <c r="N627" s="133" t="n">
        <f aca="false">K627*M627</f>
        <v>807200</v>
      </c>
      <c r="O627" s="134" t="n">
        <f aca="false">0.01*K627</f>
        <v>1600</v>
      </c>
      <c r="Q627" s="135" t="n">
        <v>6</v>
      </c>
      <c r="T627" s="134" t="n">
        <f aca="false">(M627-Q627)*K627</f>
        <v>-152800</v>
      </c>
      <c r="AB627" s="12" t="s">
        <v>245</v>
      </c>
    </row>
    <row r="628" customFormat="false" ht="12.75" hidden="false" customHeight="false" outlineLevel="0" collapsed="false">
      <c r="A628" s="10" t="n">
        <v>80</v>
      </c>
      <c r="B628" s="10" t="s">
        <v>347</v>
      </c>
      <c r="C628" s="62" t="n">
        <v>36818</v>
      </c>
      <c r="D628" s="12" t="s">
        <v>228</v>
      </c>
      <c r="F628" s="12" t="s">
        <v>109</v>
      </c>
      <c r="G628" s="12" t="s">
        <v>236</v>
      </c>
      <c r="H628" s="63" t="n">
        <v>0</v>
      </c>
      <c r="I628" s="14" t="n">
        <f aca="false">+H628*K628</f>
        <v>0</v>
      </c>
      <c r="J628" s="85" t="n">
        <v>36892</v>
      </c>
      <c r="K628" s="13" t="n">
        <v>150000</v>
      </c>
      <c r="L628" s="38" t="s">
        <v>8</v>
      </c>
      <c r="M628" s="86" t="n">
        <v>5.065</v>
      </c>
      <c r="N628" s="133" t="n">
        <f aca="false">K628*M628</f>
        <v>759750</v>
      </c>
      <c r="O628" s="134" t="n">
        <f aca="false">0.01*K628</f>
        <v>1500</v>
      </c>
      <c r="Q628" s="135" t="n">
        <v>9.84</v>
      </c>
      <c r="T628" s="134" t="n">
        <f aca="false">(M628-Q628)*K628</f>
        <v>-716250</v>
      </c>
      <c r="AB628" s="12" t="s">
        <v>245</v>
      </c>
    </row>
    <row r="629" customFormat="false" ht="12.75" hidden="false" customHeight="false" outlineLevel="0" collapsed="false">
      <c r="J629" s="85"/>
      <c r="M629" s="86"/>
    </row>
    <row r="630" customFormat="false" ht="12.75" hidden="false" customHeight="false" outlineLevel="0" collapsed="false">
      <c r="A630" s="10" t="n">
        <v>81</v>
      </c>
      <c r="B630" s="10" t="s">
        <v>348</v>
      </c>
      <c r="C630" s="62" t="n">
        <v>36818</v>
      </c>
      <c r="D630" s="12" t="s">
        <v>228</v>
      </c>
      <c r="F630" s="12" t="s">
        <v>109</v>
      </c>
      <c r="G630" s="12" t="s">
        <v>239</v>
      </c>
      <c r="H630" s="63" t="n">
        <v>0.15</v>
      </c>
      <c r="I630" s="14" t="n">
        <f aca="false">+H630*K630</f>
        <v>30000</v>
      </c>
      <c r="J630" s="85" t="n">
        <v>36861</v>
      </c>
      <c r="K630" s="13" t="n">
        <v>200000</v>
      </c>
      <c r="L630" s="38" t="s">
        <v>8</v>
      </c>
      <c r="M630" s="63" t="s">
        <v>349</v>
      </c>
      <c r="O630" s="134" t="n">
        <f aca="false">0.01*K630</f>
        <v>2000</v>
      </c>
      <c r="Q630" s="135" t="n">
        <v>6</v>
      </c>
      <c r="T630" s="134" t="n">
        <f aca="false">(5.5-Q630)*K630</f>
        <v>-100000</v>
      </c>
      <c r="AB630" s="12" t="s">
        <v>245</v>
      </c>
    </row>
    <row r="631" customFormat="false" ht="12.75" hidden="false" customHeight="false" outlineLevel="0" collapsed="false">
      <c r="A631" s="10" t="n">
        <v>81</v>
      </c>
      <c r="B631" s="10" t="s">
        <v>348</v>
      </c>
      <c r="C631" s="62" t="n">
        <v>36818</v>
      </c>
      <c r="D631" s="12" t="s">
        <v>228</v>
      </c>
      <c r="F631" s="12" t="s">
        <v>109</v>
      </c>
      <c r="G631" s="12" t="s">
        <v>239</v>
      </c>
      <c r="H631" s="63" t="n">
        <v>0.15</v>
      </c>
      <c r="I631" s="14" t="n">
        <f aca="false">+H631*K631</f>
        <v>30000</v>
      </c>
      <c r="J631" s="85" t="n">
        <v>36892</v>
      </c>
      <c r="K631" s="13" t="n">
        <v>200000</v>
      </c>
      <c r="L631" s="38" t="s">
        <v>8</v>
      </c>
      <c r="M631" s="63" t="s">
        <v>350</v>
      </c>
      <c r="O631" s="134" t="n">
        <f aca="false">0.01*K631</f>
        <v>2000</v>
      </c>
      <c r="Q631" s="135" t="n">
        <v>9.84</v>
      </c>
      <c r="T631" s="134" t="n">
        <f aca="false">(5.5-Q631)*K631</f>
        <v>-868000</v>
      </c>
      <c r="AB631" s="12" t="s">
        <v>245</v>
      </c>
    </row>
    <row r="632" customFormat="false" ht="12.75" hidden="false" customHeight="false" outlineLevel="0" collapsed="false">
      <c r="J632" s="85"/>
      <c r="M632" s="86"/>
    </row>
    <row r="633" customFormat="false" ht="12.75" hidden="false" customHeight="false" outlineLevel="0" collapsed="false">
      <c r="A633" s="10" t="n">
        <v>82</v>
      </c>
      <c r="B633" s="10" t="s">
        <v>351</v>
      </c>
      <c r="C633" s="62" t="n">
        <v>36818</v>
      </c>
      <c r="D633" s="12" t="s">
        <v>231</v>
      </c>
      <c r="F633" s="12" t="s">
        <v>109</v>
      </c>
      <c r="G633" s="12" t="s">
        <v>236</v>
      </c>
      <c r="H633" s="63" t="n">
        <v>0</v>
      </c>
      <c r="I633" s="14" t="n">
        <f aca="false">+H633*K633</f>
        <v>0</v>
      </c>
      <c r="J633" s="85" t="n">
        <v>36831</v>
      </c>
      <c r="K633" s="13" t="n">
        <v>860000</v>
      </c>
      <c r="L633" s="38" t="s">
        <v>8</v>
      </c>
      <c r="M633" s="86" t="n">
        <v>4.9525</v>
      </c>
      <c r="N633" s="133" t="n">
        <f aca="false">K633*M633</f>
        <v>4259150</v>
      </c>
      <c r="O633" s="134" t="n">
        <f aca="false">0.02*K633</f>
        <v>17200</v>
      </c>
      <c r="Q633" s="135" t="n">
        <v>4.46</v>
      </c>
      <c r="T633" s="134" t="n">
        <f aca="false">(M633-Q633)*K633</f>
        <v>423550</v>
      </c>
      <c r="AB633" s="12" t="s">
        <v>95</v>
      </c>
    </row>
    <row r="634" customFormat="false" ht="12.75" hidden="false" customHeight="false" outlineLevel="0" collapsed="false">
      <c r="A634" s="10" t="n">
        <v>82</v>
      </c>
      <c r="B634" s="10" t="s">
        <v>351</v>
      </c>
      <c r="C634" s="62" t="n">
        <v>36818</v>
      </c>
      <c r="D634" s="12" t="s">
        <v>231</v>
      </c>
      <c r="F634" s="12" t="s">
        <v>109</v>
      </c>
      <c r="G634" s="12" t="s">
        <v>236</v>
      </c>
      <c r="H634" s="63" t="n">
        <v>0</v>
      </c>
      <c r="I634" s="14" t="n">
        <f aca="false">+H634*K634</f>
        <v>0</v>
      </c>
      <c r="J634" s="85" t="n">
        <v>36861</v>
      </c>
      <c r="K634" s="13" t="n">
        <v>60000</v>
      </c>
      <c r="L634" s="38" t="s">
        <v>8</v>
      </c>
      <c r="M634" s="86" t="n">
        <v>5.03</v>
      </c>
      <c r="N634" s="133" t="n">
        <f aca="false">K634*M634</f>
        <v>301800</v>
      </c>
      <c r="O634" s="134" t="n">
        <f aca="false">0.005*K634</f>
        <v>300</v>
      </c>
      <c r="Q634" s="135" t="n">
        <v>6</v>
      </c>
      <c r="T634" s="134" t="n">
        <f aca="false">(M634-Q634)*K634</f>
        <v>-58200</v>
      </c>
      <c r="AB634" s="12" t="s">
        <v>95</v>
      </c>
    </row>
    <row r="635" customFormat="false" ht="12.75" hidden="false" customHeight="false" outlineLevel="0" collapsed="false">
      <c r="A635" s="10" t="n">
        <v>82</v>
      </c>
      <c r="B635" s="10" t="s">
        <v>351</v>
      </c>
      <c r="C635" s="62" t="n">
        <v>36818</v>
      </c>
      <c r="D635" s="12" t="s">
        <v>231</v>
      </c>
      <c r="F635" s="12" t="s">
        <v>109</v>
      </c>
      <c r="G635" s="12" t="s">
        <v>236</v>
      </c>
      <c r="H635" s="63" t="n">
        <v>0</v>
      </c>
      <c r="I635" s="14" t="n">
        <f aca="false">+H635*K635</f>
        <v>0</v>
      </c>
      <c r="J635" s="85" t="n">
        <v>36892</v>
      </c>
      <c r="K635" s="13" t="n">
        <v>60000</v>
      </c>
      <c r="L635" s="38" t="s">
        <v>8</v>
      </c>
      <c r="M635" s="86" t="n">
        <v>5.07</v>
      </c>
      <c r="N635" s="133" t="n">
        <f aca="false">K635*M635</f>
        <v>304200</v>
      </c>
      <c r="O635" s="134" t="n">
        <f aca="false">0.015*K635</f>
        <v>900</v>
      </c>
      <c r="Q635" s="135" t="n">
        <v>9.84</v>
      </c>
      <c r="T635" s="134" t="n">
        <f aca="false">(M635-Q635)*K635</f>
        <v>-286200</v>
      </c>
      <c r="AB635" s="12" t="s">
        <v>95</v>
      </c>
    </row>
    <row r="636" customFormat="false" ht="12.75" hidden="false" customHeight="false" outlineLevel="0" collapsed="false">
      <c r="J636" s="85"/>
      <c r="M636" s="86"/>
    </row>
    <row r="637" customFormat="false" ht="12.75" hidden="false" customHeight="false" outlineLevel="0" collapsed="false">
      <c r="A637" s="10" t="n">
        <v>83</v>
      </c>
      <c r="B637" s="10" t="s">
        <v>351</v>
      </c>
      <c r="C637" s="62" t="n">
        <v>36818</v>
      </c>
      <c r="D637" s="12" t="s">
        <v>231</v>
      </c>
      <c r="F637" s="12" t="s">
        <v>109</v>
      </c>
      <c r="G637" s="12" t="s">
        <v>239</v>
      </c>
      <c r="H637" s="63" t="n">
        <v>0.15</v>
      </c>
      <c r="I637" s="14" t="n">
        <f aca="false">+H637*K637</f>
        <v>120000</v>
      </c>
      <c r="J637" s="85" t="n">
        <v>36861</v>
      </c>
      <c r="K637" s="13" t="n">
        <v>800000</v>
      </c>
      <c r="L637" s="38" t="s">
        <v>8</v>
      </c>
      <c r="M637" s="63" t="s">
        <v>349</v>
      </c>
      <c r="O637" s="134" t="n">
        <f aca="false">0.015*K637</f>
        <v>12000</v>
      </c>
      <c r="Q637" s="135" t="n">
        <v>6</v>
      </c>
      <c r="T637" s="134" t="n">
        <f aca="false">(5.5-Q637)*K637</f>
        <v>-400000</v>
      </c>
      <c r="AB637" s="12" t="s">
        <v>95</v>
      </c>
    </row>
    <row r="638" customFormat="false" ht="12.75" hidden="false" customHeight="false" outlineLevel="0" collapsed="false">
      <c r="A638" s="10" t="n">
        <v>83</v>
      </c>
      <c r="B638" s="10" t="s">
        <v>351</v>
      </c>
      <c r="C638" s="62" t="n">
        <v>36818</v>
      </c>
      <c r="D638" s="12" t="s">
        <v>231</v>
      </c>
      <c r="F638" s="12" t="s">
        <v>109</v>
      </c>
      <c r="G638" s="12" t="s">
        <v>239</v>
      </c>
      <c r="H638" s="63" t="n">
        <v>0.15</v>
      </c>
      <c r="I638" s="14" t="n">
        <f aca="false">+H638*K638</f>
        <v>120000</v>
      </c>
      <c r="J638" s="85" t="n">
        <v>36892</v>
      </c>
      <c r="K638" s="13" t="n">
        <v>800000</v>
      </c>
      <c r="L638" s="38" t="s">
        <v>8</v>
      </c>
      <c r="M638" s="63" t="s">
        <v>352</v>
      </c>
      <c r="O638" s="134" t="n">
        <f aca="false">0.02*K638</f>
        <v>16000</v>
      </c>
      <c r="Q638" s="135" t="n">
        <v>9.84</v>
      </c>
      <c r="T638" s="134" t="n">
        <f aca="false">(5.5-Q638)*K638</f>
        <v>-3472000</v>
      </c>
      <c r="AB638" s="12" t="s">
        <v>95</v>
      </c>
    </row>
    <row r="639" customFormat="false" ht="12.75" hidden="false" customHeight="false" outlineLevel="0" collapsed="false">
      <c r="J639" s="85"/>
      <c r="M639" s="86"/>
    </row>
    <row r="640" customFormat="false" ht="12.75" hidden="false" customHeight="false" outlineLevel="0" collapsed="false">
      <c r="A640" s="10" t="n">
        <v>84</v>
      </c>
      <c r="B640" s="10" t="s">
        <v>353</v>
      </c>
      <c r="C640" s="62" t="n">
        <v>36818</v>
      </c>
      <c r="D640" s="12" t="s">
        <v>136</v>
      </c>
      <c r="E640" s="12" t="s">
        <v>89</v>
      </c>
      <c r="F640" s="12" t="s">
        <v>235</v>
      </c>
      <c r="G640" s="12" t="s">
        <v>236</v>
      </c>
      <c r="H640" s="63" t="n">
        <v>0</v>
      </c>
      <c r="I640" s="14" t="n">
        <f aca="false">+H640*K640</f>
        <v>0</v>
      </c>
      <c r="J640" s="85" t="n">
        <v>36831</v>
      </c>
      <c r="K640" s="13" t="n">
        <v>10800</v>
      </c>
      <c r="L640" s="38" t="s">
        <v>8</v>
      </c>
      <c r="M640" s="86" t="n">
        <v>4.86</v>
      </c>
      <c r="N640" s="133" t="n">
        <f aca="false">K640*M640</f>
        <v>52488</v>
      </c>
      <c r="O640" s="134" t="n">
        <f aca="false">0.005*K640</f>
        <v>54</v>
      </c>
      <c r="Q640" s="135" t="n">
        <v>4.31</v>
      </c>
      <c r="T640" s="134" t="n">
        <f aca="false">(M640-Q640)*K640</f>
        <v>5940.00000000001</v>
      </c>
      <c r="Y640" s="12" t="s">
        <v>102</v>
      </c>
      <c r="AA640" s="10" t="s">
        <v>94</v>
      </c>
      <c r="AB640" s="12" t="s">
        <v>95</v>
      </c>
    </row>
    <row r="641" customFormat="false" ht="12.75" hidden="false" customHeight="false" outlineLevel="0" collapsed="false">
      <c r="A641" s="10" t="n">
        <v>84</v>
      </c>
      <c r="B641" s="10" t="s">
        <v>353</v>
      </c>
      <c r="C641" s="62" t="n">
        <v>36818</v>
      </c>
      <c r="D641" s="12" t="s">
        <v>136</v>
      </c>
      <c r="E641" s="12" t="s">
        <v>89</v>
      </c>
      <c r="F641" s="12" t="s">
        <v>235</v>
      </c>
      <c r="G641" s="12" t="s">
        <v>236</v>
      </c>
      <c r="H641" s="63" t="n">
        <v>0</v>
      </c>
      <c r="I641" s="14" t="n">
        <f aca="false">+H641*K641</f>
        <v>0</v>
      </c>
      <c r="J641" s="85" t="n">
        <v>36861</v>
      </c>
      <c r="K641" s="13" t="n">
        <f aca="false">K640</f>
        <v>10800</v>
      </c>
      <c r="L641" s="38" t="s">
        <v>8</v>
      </c>
      <c r="M641" s="86" t="n">
        <v>4.86</v>
      </c>
      <c r="N641" s="133" t="n">
        <f aca="false">K641*M641</f>
        <v>52488</v>
      </c>
      <c r="O641" s="134" t="n">
        <f aca="false">0.005*K641</f>
        <v>54</v>
      </c>
      <c r="Q641" s="135" t="n">
        <v>5.775</v>
      </c>
      <c r="T641" s="134" t="n">
        <f aca="false">(M641-Q641)*K641</f>
        <v>-9882</v>
      </c>
      <c r="W641" s="137"/>
      <c r="X641" s="137"/>
      <c r="AA641" s="10" t="s">
        <v>94</v>
      </c>
      <c r="AB641" s="12" t="s">
        <v>95</v>
      </c>
    </row>
    <row r="642" customFormat="false" ht="12.75" hidden="false" customHeight="false" outlineLevel="0" collapsed="false">
      <c r="A642" s="10" t="n">
        <v>84</v>
      </c>
      <c r="B642" s="10" t="s">
        <v>353</v>
      </c>
      <c r="C642" s="62" t="n">
        <v>36818</v>
      </c>
      <c r="D642" s="12" t="s">
        <v>136</v>
      </c>
      <c r="E642" s="12" t="s">
        <v>89</v>
      </c>
      <c r="F642" s="12" t="s">
        <v>235</v>
      </c>
      <c r="G642" s="12" t="s">
        <v>236</v>
      </c>
      <c r="H642" s="63" t="n">
        <v>0</v>
      </c>
      <c r="I642" s="14" t="n">
        <f aca="false">+H642*K642</f>
        <v>0</v>
      </c>
      <c r="J642" s="85" t="n">
        <v>36892</v>
      </c>
      <c r="K642" s="13" t="n">
        <f aca="false">K641</f>
        <v>10800</v>
      </c>
      <c r="L642" s="38" t="s">
        <v>8</v>
      </c>
      <c r="M642" s="86" t="n">
        <v>4.86</v>
      </c>
      <c r="N642" s="133" t="n">
        <f aca="false">K642*M642</f>
        <v>52488</v>
      </c>
      <c r="O642" s="134" t="n">
        <f aca="false">0.005*K642</f>
        <v>54</v>
      </c>
      <c r="Q642" s="135" t="n">
        <v>9.565</v>
      </c>
      <c r="T642" s="134" t="n">
        <f aca="false">(M642-Q642)*K642</f>
        <v>-50814</v>
      </c>
      <c r="U642" s="134"/>
      <c r="AA642" s="10" t="s">
        <v>94</v>
      </c>
      <c r="AB642" s="12" t="s">
        <v>95</v>
      </c>
    </row>
    <row r="643" customFormat="false" ht="12.75" hidden="false" customHeight="false" outlineLevel="0" collapsed="false">
      <c r="A643" s="10" t="n">
        <v>84</v>
      </c>
      <c r="B643" s="10" t="s">
        <v>353</v>
      </c>
      <c r="C643" s="62" t="n">
        <v>36818</v>
      </c>
      <c r="D643" s="12" t="s">
        <v>136</v>
      </c>
      <c r="E643" s="12" t="s">
        <v>89</v>
      </c>
      <c r="F643" s="12" t="s">
        <v>235</v>
      </c>
      <c r="G643" s="12" t="s">
        <v>236</v>
      </c>
      <c r="H643" s="63" t="n">
        <v>0</v>
      </c>
      <c r="I643" s="14" t="n">
        <f aca="false">+H643*K643</f>
        <v>0</v>
      </c>
      <c r="J643" s="85" t="n">
        <v>36923</v>
      </c>
      <c r="K643" s="13" t="n">
        <f aca="false">K642</f>
        <v>10800</v>
      </c>
      <c r="L643" s="38" t="s">
        <v>8</v>
      </c>
      <c r="M643" s="86" t="n">
        <v>4.86</v>
      </c>
      <c r="N643" s="133" t="n">
        <f aca="false">K643*M643</f>
        <v>52488</v>
      </c>
      <c r="O643" s="134" t="n">
        <f aca="false">0.005*K643</f>
        <v>54</v>
      </c>
      <c r="R643" s="136" t="n">
        <v>8.26</v>
      </c>
      <c r="U643" s="134" t="n">
        <f aca="false">(M643-R643)*K643</f>
        <v>-36720</v>
      </c>
      <c r="AA643" s="10" t="s">
        <v>94</v>
      </c>
      <c r="AB643" s="12" t="s">
        <v>95</v>
      </c>
    </row>
    <row r="644" customFormat="false" ht="12.75" hidden="false" customHeight="false" outlineLevel="0" collapsed="false">
      <c r="A644" s="10" t="n">
        <v>84</v>
      </c>
      <c r="B644" s="10" t="s">
        <v>353</v>
      </c>
      <c r="C644" s="62" t="n">
        <v>36818</v>
      </c>
      <c r="D644" s="12" t="s">
        <v>136</v>
      </c>
      <c r="E644" s="12" t="s">
        <v>89</v>
      </c>
      <c r="F644" s="12" t="s">
        <v>235</v>
      </c>
      <c r="G644" s="12" t="s">
        <v>236</v>
      </c>
      <c r="H644" s="63" t="n">
        <v>0</v>
      </c>
      <c r="I644" s="14" t="n">
        <f aca="false">+H644*K644</f>
        <v>0</v>
      </c>
      <c r="J644" s="85" t="n">
        <v>36951</v>
      </c>
      <c r="K644" s="13" t="n">
        <f aca="false">K643</f>
        <v>10800</v>
      </c>
      <c r="L644" s="38" t="s">
        <v>8</v>
      </c>
      <c r="M644" s="86" t="n">
        <v>4.86</v>
      </c>
      <c r="N644" s="133" t="n">
        <f aca="false">K644*M644</f>
        <v>52488</v>
      </c>
      <c r="O644" s="134" t="n">
        <f aca="false">0.005*K644</f>
        <v>54</v>
      </c>
      <c r="R644" s="136" t="n">
        <v>7.55</v>
      </c>
      <c r="U644" s="134" t="n">
        <f aca="false">(M644-R644)*K644</f>
        <v>-29052</v>
      </c>
      <c r="AA644" s="10" t="s">
        <v>94</v>
      </c>
      <c r="AB644" s="12" t="s">
        <v>95</v>
      </c>
    </row>
    <row r="646" customFormat="false" ht="12.75" hidden="false" customHeight="false" outlineLevel="0" collapsed="false">
      <c r="A646" s="10" t="n">
        <v>85</v>
      </c>
      <c r="B646" s="10" t="s">
        <v>354</v>
      </c>
      <c r="C646" s="62" t="n">
        <v>36818</v>
      </c>
      <c r="D646" s="12" t="s">
        <v>136</v>
      </c>
      <c r="E646" s="12" t="s">
        <v>89</v>
      </c>
      <c r="F646" s="12" t="s">
        <v>235</v>
      </c>
      <c r="G646" s="12" t="s">
        <v>236</v>
      </c>
      <c r="H646" s="63" t="n">
        <v>0</v>
      </c>
      <c r="I646" s="14" t="n">
        <f aca="false">+H646*K646</f>
        <v>0</v>
      </c>
      <c r="J646" s="85" t="n">
        <v>36831</v>
      </c>
      <c r="K646" s="13" t="n">
        <v>120000</v>
      </c>
      <c r="L646" s="38" t="s">
        <v>8</v>
      </c>
      <c r="M646" s="86" t="n">
        <v>4.86</v>
      </c>
      <c r="N646" s="133" t="n">
        <f aca="false">K646*M646</f>
        <v>583200</v>
      </c>
      <c r="O646" s="134" t="n">
        <f aca="false">0.02*K646</f>
        <v>2400</v>
      </c>
      <c r="Q646" s="135" t="n">
        <v>4.31</v>
      </c>
      <c r="T646" s="134" t="n">
        <f aca="false">(M646-Q646)*K646</f>
        <v>66000.0000000001</v>
      </c>
      <c r="Y646" s="12" t="s">
        <v>102</v>
      </c>
      <c r="AA646" s="10" t="s">
        <v>94</v>
      </c>
      <c r="AB646" s="12" t="s">
        <v>95</v>
      </c>
    </row>
    <row r="647" customFormat="false" ht="12.75" hidden="false" customHeight="false" outlineLevel="0" collapsed="false">
      <c r="A647" s="10" t="n">
        <v>85</v>
      </c>
      <c r="B647" s="10" t="s">
        <v>354</v>
      </c>
      <c r="C647" s="62" t="n">
        <v>36818</v>
      </c>
      <c r="D647" s="12" t="s">
        <v>136</v>
      </c>
      <c r="E647" s="12" t="s">
        <v>89</v>
      </c>
      <c r="F647" s="12" t="s">
        <v>235</v>
      </c>
      <c r="G647" s="12" t="s">
        <v>236</v>
      </c>
      <c r="H647" s="63" t="n">
        <v>0</v>
      </c>
      <c r="I647" s="14" t="n">
        <f aca="false">+H647*K647</f>
        <v>0</v>
      </c>
      <c r="J647" s="85" t="n">
        <v>36861</v>
      </c>
      <c r="K647" s="13" t="n">
        <f aca="false">K646</f>
        <v>120000</v>
      </c>
      <c r="L647" s="38" t="s">
        <v>8</v>
      </c>
      <c r="M647" s="86" t="n">
        <f aca="false">+M646</f>
        <v>4.86</v>
      </c>
      <c r="N647" s="133" t="n">
        <f aca="false">K647*M647</f>
        <v>583200</v>
      </c>
      <c r="O647" s="134" t="n">
        <f aca="false">0.02*K647</f>
        <v>2400</v>
      </c>
      <c r="Q647" s="135" t="n">
        <v>5.775</v>
      </c>
      <c r="T647" s="134" t="n">
        <f aca="false">(M647-Q647)*K647</f>
        <v>-109800</v>
      </c>
      <c r="W647" s="137"/>
      <c r="X647" s="137"/>
      <c r="AA647" s="10" t="s">
        <v>94</v>
      </c>
      <c r="AB647" s="12" t="s">
        <v>95</v>
      </c>
    </row>
    <row r="648" customFormat="false" ht="12.75" hidden="false" customHeight="false" outlineLevel="0" collapsed="false">
      <c r="A648" s="10" t="n">
        <v>85</v>
      </c>
      <c r="B648" s="10" t="s">
        <v>354</v>
      </c>
      <c r="C648" s="62" t="n">
        <v>36818</v>
      </c>
      <c r="D648" s="12" t="s">
        <v>136</v>
      </c>
      <c r="E648" s="12" t="s">
        <v>89</v>
      </c>
      <c r="F648" s="12" t="s">
        <v>235</v>
      </c>
      <c r="G648" s="12" t="s">
        <v>236</v>
      </c>
      <c r="H648" s="63" t="n">
        <v>0</v>
      </c>
      <c r="I648" s="14" t="n">
        <f aca="false">+H648*K648</f>
        <v>0</v>
      </c>
      <c r="J648" s="85" t="n">
        <v>36892</v>
      </c>
      <c r="K648" s="13" t="n">
        <f aca="false">K647</f>
        <v>120000</v>
      </c>
      <c r="L648" s="38" t="s">
        <v>8</v>
      </c>
      <c r="M648" s="86" t="n">
        <f aca="false">+M647</f>
        <v>4.86</v>
      </c>
      <c r="N648" s="133" t="n">
        <f aca="false">K648*M648</f>
        <v>583200</v>
      </c>
      <c r="O648" s="134" t="n">
        <f aca="false">0.02*K648</f>
        <v>2400</v>
      </c>
      <c r="Q648" s="135" t="n">
        <v>9.565</v>
      </c>
      <c r="T648" s="134" t="n">
        <f aca="false">(M648-Q648)*K648</f>
        <v>-564600</v>
      </c>
      <c r="U648" s="134"/>
      <c r="AA648" s="10" t="s">
        <v>94</v>
      </c>
      <c r="AB648" s="12" t="s">
        <v>95</v>
      </c>
    </row>
    <row r="649" customFormat="false" ht="12.75" hidden="false" customHeight="false" outlineLevel="0" collapsed="false">
      <c r="A649" s="10" t="n">
        <v>85</v>
      </c>
      <c r="B649" s="10" t="s">
        <v>354</v>
      </c>
      <c r="C649" s="62" t="n">
        <v>36818</v>
      </c>
      <c r="D649" s="12" t="s">
        <v>136</v>
      </c>
      <c r="E649" s="12" t="s">
        <v>89</v>
      </c>
      <c r="F649" s="12" t="s">
        <v>235</v>
      </c>
      <c r="G649" s="12" t="s">
        <v>236</v>
      </c>
      <c r="H649" s="63" t="n">
        <v>0</v>
      </c>
      <c r="I649" s="14" t="n">
        <f aca="false">+H649*K649</f>
        <v>0</v>
      </c>
      <c r="J649" s="85" t="n">
        <v>36923</v>
      </c>
      <c r="K649" s="13" t="n">
        <f aca="false">K648</f>
        <v>120000</v>
      </c>
      <c r="L649" s="38" t="s">
        <v>8</v>
      </c>
      <c r="M649" s="86" t="n">
        <f aca="false">+M648</f>
        <v>4.86</v>
      </c>
      <c r="N649" s="133" t="n">
        <f aca="false">K649*M649</f>
        <v>583200</v>
      </c>
      <c r="O649" s="134" t="n">
        <f aca="false">0.02*K649</f>
        <v>2400</v>
      </c>
      <c r="R649" s="136" t="n">
        <v>8.26</v>
      </c>
      <c r="U649" s="134" t="n">
        <f aca="false">(M649-R649)*K649</f>
        <v>-408000</v>
      </c>
      <c r="AA649" s="10" t="s">
        <v>94</v>
      </c>
      <c r="AB649" s="12" t="s">
        <v>95</v>
      </c>
    </row>
    <row r="650" customFormat="false" ht="12.75" hidden="false" customHeight="false" outlineLevel="0" collapsed="false">
      <c r="A650" s="10" t="n">
        <v>85</v>
      </c>
      <c r="B650" s="10" t="s">
        <v>354</v>
      </c>
      <c r="C650" s="62" t="n">
        <v>36818</v>
      </c>
      <c r="D650" s="12" t="s">
        <v>136</v>
      </c>
      <c r="E650" s="12" t="s">
        <v>89</v>
      </c>
      <c r="F650" s="12" t="s">
        <v>235</v>
      </c>
      <c r="G650" s="12" t="s">
        <v>236</v>
      </c>
      <c r="H650" s="63" t="n">
        <v>0</v>
      </c>
      <c r="I650" s="14" t="n">
        <f aca="false">+H650*K650</f>
        <v>0</v>
      </c>
      <c r="J650" s="85" t="n">
        <v>36951</v>
      </c>
      <c r="K650" s="13" t="n">
        <f aca="false">K649</f>
        <v>120000</v>
      </c>
      <c r="L650" s="38" t="s">
        <v>8</v>
      </c>
      <c r="M650" s="86" t="n">
        <f aca="false">+M649</f>
        <v>4.86</v>
      </c>
      <c r="N650" s="133" t="n">
        <f aca="false">K650*M650</f>
        <v>583200</v>
      </c>
      <c r="O650" s="134" t="n">
        <f aca="false">0.02*K650</f>
        <v>2400</v>
      </c>
      <c r="R650" s="136" t="n">
        <v>7.55</v>
      </c>
      <c r="U650" s="134" t="n">
        <f aca="false">(M650-R650)*K650</f>
        <v>-322800</v>
      </c>
      <c r="AA650" s="10" t="s">
        <v>94</v>
      </c>
      <c r="AB650" s="12" t="s">
        <v>95</v>
      </c>
    </row>
    <row r="651" customFormat="false" ht="12.75" hidden="false" customHeight="false" outlineLevel="0" collapsed="false">
      <c r="A651" s="10" t="n">
        <v>85</v>
      </c>
      <c r="B651" s="10" t="s">
        <v>354</v>
      </c>
      <c r="C651" s="62" t="n">
        <v>36818</v>
      </c>
      <c r="D651" s="12" t="s">
        <v>136</v>
      </c>
      <c r="E651" s="12" t="s">
        <v>89</v>
      </c>
      <c r="F651" s="12" t="s">
        <v>235</v>
      </c>
      <c r="G651" s="12" t="s">
        <v>236</v>
      </c>
      <c r="H651" s="63" t="n">
        <v>0</v>
      </c>
      <c r="I651" s="14" t="n">
        <f aca="false">+H651*K651</f>
        <v>0</v>
      </c>
      <c r="J651" s="85" t="n">
        <v>36982</v>
      </c>
      <c r="K651" s="13" t="n">
        <v>80000</v>
      </c>
      <c r="L651" s="38" t="s">
        <v>8</v>
      </c>
      <c r="M651" s="86" t="n">
        <v>4.3</v>
      </c>
      <c r="N651" s="133" t="n">
        <f aca="false">K651*M651</f>
        <v>344000</v>
      </c>
      <c r="O651" s="134" t="n">
        <f aca="false">0.01*K651</f>
        <v>800</v>
      </c>
      <c r="R651" s="136" t="n">
        <v>5.495</v>
      </c>
      <c r="U651" s="134" t="n">
        <f aca="false">(M651-R651)*K651</f>
        <v>-95600</v>
      </c>
      <c r="AA651" s="10" t="s">
        <v>94</v>
      </c>
      <c r="AB651" s="12" t="s">
        <v>95</v>
      </c>
    </row>
    <row r="652" customFormat="false" ht="12.75" hidden="false" customHeight="false" outlineLevel="0" collapsed="false">
      <c r="A652" s="10" t="n">
        <v>85</v>
      </c>
      <c r="B652" s="10" t="s">
        <v>354</v>
      </c>
      <c r="C652" s="62" t="n">
        <v>36818</v>
      </c>
      <c r="D652" s="12" t="s">
        <v>136</v>
      </c>
      <c r="E652" s="12" t="s">
        <v>89</v>
      </c>
      <c r="F652" s="12" t="s">
        <v>235</v>
      </c>
      <c r="G652" s="12" t="s">
        <v>236</v>
      </c>
      <c r="H652" s="63" t="n">
        <v>0</v>
      </c>
      <c r="I652" s="14" t="n">
        <f aca="false">+H652*K652</f>
        <v>0</v>
      </c>
      <c r="J652" s="85" t="n">
        <v>37012</v>
      </c>
      <c r="K652" s="13" t="n">
        <f aca="false">K651</f>
        <v>80000</v>
      </c>
      <c r="L652" s="38" t="s">
        <v>8</v>
      </c>
      <c r="M652" s="86" t="n">
        <f aca="false">+M651</f>
        <v>4.3</v>
      </c>
      <c r="N652" s="133" t="n">
        <f aca="false">K652*M652</f>
        <v>344000</v>
      </c>
      <c r="O652" s="134" t="n">
        <f aca="false">0.01*K652</f>
        <v>800</v>
      </c>
      <c r="R652" s="136" t="n">
        <v>5.06</v>
      </c>
      <c r="U652" s="134" t="n">
        <f aca="false">(M652-R652)*K652</f>
        <v>-60800</v>
      </c>
      <c r="AA652" s="10" t="s">
        <v>94</v>
      </c>
      <c r="AB652" s="12" t="s">
        <v>95</v>
      </c>
    </row>
    <row r="653" customFormat="false" ht="12.75" hidden="false" customHeight="false" outlineLevel="0" collapsed="false">
      <c r="A653" s="10" t="n">
        <v>85</v>
      </c>
      <c r="B653" s="10" t="s">
        <v>354</v>
      </c>
      <c r="C653" s="62" t="n">
        <v>36818</v>
      </c>
      <c r="D653" s="12" t="s">
        <v>136</v>
      </c>
      <c r="E653" s="12" t="s">
        <v>89</v>
      </c>
      <c r="F653" s="12" t="s">
        <v>235</v>
      </c>
      <c r="G653" s="12" t="s">
        <v>236</v>
      </c>
      <c r="H653" s="63" t="n">
        <v>0</v>
      </c>
      <c r="I653" s="14" t="n">
        <f aca="false">+H653*K653</f>
        <v>0</v>
      </c>
      <c r="J653" s="85" t="n">
        <v>37043</v>
      </c>
      <c r="K653" s="13" t="n">
        <f aca="false">K652</f>
        <v>80000</v>
      </c>
      <c r="L653" s="38" t="s">
        <v>8</v>
      </c>
      <c r="M653" s="86" t="n">
        <f aca="false">+M652</f>
        <v>4.3</v>
      </c>
      <c r="N653" s="133" t="n">
        <f aca="false">K653*M653</f>
        <v>344000</v>
      </c>
      <c r="O653" s="134" t="n">
        <f aca="false">0.01*K653</f>
        <v>800</v>
      </c>
      <c r="R653" s="136" t="n">
        <v>4.98</v>
      </c>
      <c r="U653" s="134" t="n">
        <f aca="false">(M653-R653)*K653</f>
        <v>-54400.0000000001</v>
      </c>
      <c r="AA653" s="10" t="s">
        <v>94</v>
      </c>
      <c r="AB653" s="12" t="s">
        <v>95</v>
      </c>
    </row>
    <row r="654" customFormat="false" ht="12.75" hidden="false" customHeight="false" outlineLevel="0" collapsed="false">
      <c r="A654" s="10" t="n">
        <v>85</v>
      </c>
      <c r="B654" s="10" t="s">
        <v>354</v>
      </c>
      <c r="C654" s="62" t="n">
        <v>36818</v>
      </c>
      <c r="D654" s="12" t="s">
        <v>136</v>
      </c>
      <c r="E654" s="12" t="s">
        <v>89</v>
      </c>
      <c r="F654" s="12" t="s">
        <v>235</v>
      </c>
      <c r="G654" s="12" t="s">
        <v>236</v>
      </c>
      <c r="H654" s="63" t="n">
        <v>0</v>
      </c>
      <c r="I654" s="14" t="n">
        <f aca="false">+H654*K654</f>
        <v>0</v>
      </c>
      <c r="J654" s="85" t="n">
        <v>37073</v>
      </c>
      <c r="K654" s="13" t="n">
        <f aca="false">K653</f>
        <v>80000</v>
      </c>
      <c r="L654" s="38" t="s">
        <v>8</v>
      </c>
      <c r="M654" s="86" t="n">
        <f aca="false">+M653</f>
        <v>4.3</v>
      </c>
      <c r="N654" s="133" t="n">
        <f aca="false">K654*M654</f>
        <v>344000</v>
      </c>
      <c r="O654" s="134" t="n">
        <f aca="false">0.01*K654</f>
        <v>800</v>
      </c>
      <c r="R654" s="136" t="n">
        <v>5.06</v>
      </c>
      <c r="U654" s="134" t="n">
        <f aca="false">(M654-R654)*K654</f>
        <v>-60800</v>
      </c>
      <c r="AA654" s="10" t="s">
        <v>94</v>
      </c>
      <c r="AB654" s="12" t="s">
        <v>95</v>
      </c>
    </row>
    <row r="655" customFormat="false" ht="12.75" hidden="false" customHeight="false" outlineLevel="0" collapsed="false">
      <c r="A655" s="10" t="n">
        <v>85</v>
      </c>
      <c r="B655" s="10" t="s">
        <v>354</v>
      </c>
      <c r="C655" s="62" t="n">
        <v>36818</v>
      </c>
      <c r="D655" s="12" t="s">
        <v>136</v>
      </c>
      <c r="E655" s="12" t="s">
        <v>89</v>
      </c>
      <c r="F655" s="12" t="s">
        <v>235</v>
      </c>
      <c r="G655" s="12" t="s">
        <v>236</v>
      </c>
      <c r="H655" s="63" t="n">
        <v>0</v>
      </c>
      <c r="I655" s="14" t="n">
        <f aca="false">+H655*K655</f>
        <v>0</v>
      </c>
      <c r="J655" s="85" t="n">
        <v>37104</v>
      </c>
      <c r="K655" s="13" t="n">
        <f aca="false">K654</f>
        <v>80000</v>
      </c>
      <c r="L655" s="38" t="s">
        <v>8</v>
      </c>
      <c r="M655" s="86" t="n">
        <f aca="false">+M654</f>
        <v>4.3</v>
      </c>
      <c r="N655" s="133" t="n">
        <f aca="false">K655*M655</f>
        <v>344000</v>
      </c>
      <c r="O655" s="134" t="n">
        <f aca="false">0.01*K655</f>
        <v>800</v>
      </c>
      <c r="R655" s="136" t="n">
        <v>4.99</v>
      </c>
      <c r="U655" s="134" t="n">
        <f aca="false">(M655-R655)*K655</f>
        <v>-55200</v>
      </c>
      <c r="AA655" s="10" t="s">
        <v>94</v>
      </c>
      <c r="AB655" s="12" t="s">
        <v>95</v>
      </c>
    </row>
    <row r="656" customFormat="false" ht="12.75" hidden="false" customHeight="false" outlineLevel="0" collapsed="false">
      <c r="A656" s="10" t="n">
        <v>85</v>
      </c>
      <c r="B656" s="10" t="s">
        <v>354</v>
      </c>
      <c r="C656" s="62" t="n">
        <v>36818</v>
      </c>
      <c r="D656" s="12" t="s">
        <v>136</v>
      </c>
      <c r="E656" s="12" t="s">
        <v>89</v>
      </c>
      <c r="F656" s="12" t="s">
        <v>235</v>
      </c>
      <c r="G656" s="12" t="s">
        <v>236</v>
      </c>
      <c r="H656" s="63" t="n">
        <v>0</v>
      </c>
      <c r="I656" s="14" t="n">
        <f aca="false">+H656*K656</f>
        <v>0</v>
      </c>
      <c r="J656" s="85" t="n">
        <v>37135</v>
      </c>
      <c r="K656" s="13" t="n">
        <f aca="false">K655</f>
        <v>80000</v>
      </c>
      <c r="L656" s="38" t="s">
        <v>8</v>
      </c>
      <c r="M656" s="86" t="n">
        <f aca="false">+M655</f>
        <v>4.3</v>
      </c>
      <c r="N656" s="133" t="n">
        <f aca="false">K656*M656</f>
        <v>344000</v>
      </c>
      <c r="O656" s="134" t="n">
        <f aca="false">0.01*K656</f>
        <v>800</v>
      </c>
      <c r="R656" s="136" t="n">
        <v>4.945</v>
      </c>
      <c r="U656" s="134" t="n">
        <f aca="false">(M656-R656)*K656</f>
        <v>-51600</v>
      </c>
      <c r="AA656" s="10" t="s">
        <v>94</v>
      </c>
      <c r="AB656" s="12" t="s">
        <v>95</v>
      </c>
    </row>
    <row r="658" customFormat="false" ht="12.75" hidden="false" customHeight="false" outlineLevel="0" collapsed="false">
      <c r="A658" s="10" t="n">
        <v>86</v>
      </c>
      <c r="B658" s="10" t="s">
        <v>355</v>
      </c>
      <c r="C658" s="62" t="n">
        <v>36819</v>
      </c>
      <c r="D658" s="12" t="s">
        <v>205</v>
      </c>
      <c r="F658" s="12" t="s">
        <v>109</v>
      </c>
      <c r="G658" s="12" t="s">
        <v>239</v>
      </c>
      <c r="H658" s="63" t="n">
        <v>0</v>
      </c>
      <c r="I658" s="14" t="n">
        <f aca="false">+H658*K658</f>
        <v>0</v>
      </c>
      <c r="J658" s="85" t="n">
        <v>36831</v>
      </c>
      <c r="K658" s="13" t="n">
        <v>610000</v>
      </c>
      <c r="L658" s="38" t="s">
        <v>8</v>
      </c>
      <c r="M658" s="63" t="s">
        <v>350</v>
      </c>
      <c r="O658" s="134" t="n">
        <f aca="false">0.0075*K658</f>
        <v>4575</v>
      </c>
      <c r="Q658" s="135" t="n">
        <v>4.46</v>
      </c>
      <c r="T658" s="134" t="n">
        <f aca="false">(4.5-Q658)*K658</f>
        <v>24400</v>
      </c>
      <c r="AB658" s="12" t="s">
        <v>95</v>
      </c>
    </row>
    <row r="659" customFormat="false" ht="12.75" hidden="false" customHeight="false" outlineLevel="0" collapsed="false">
      <c r="A659" s="10" t="n">
        <v>86</v>
      </c>
      <c r="B659" s="10" t="s">
        <v>355</v>
      </c>
      <c r="C659" s="62" t="n">
        <v>36819</v>
      </c>
      <c r="D659" s="12" t="s">
        <v>205</v>
      </c>
      <c r="F659" s="12" t="s">
        <v>109</v>
      </c>
      <c r="G659" s="12" t="s">
        <v>239</v>
      </c>
      <c r="H659" s="63" t="n">
        <v>0.14</v>
      </c>
      <c r="I659" s="14" t="n">
        <f aca="false">+H659*K659</f>
        <v>88200</v>
      </c>
      <c r="J659" s="85" t="n">
        <v>36861</v>
      </c>
      <c r="K659" s="13" t="n">
        <v>630000</v>
      </c>
      <c r="L659" s="38" t="s">
        <v>8</v>
      </c>
      <c r="M659" s="63" t="s">
        <v>356</v>
      </c>
      <c r="O659" s="134" t="n">
        <f aca="false">0.045*K659</f>
        <v>28350</v>
      </c>
      <c r="Q659" s="135" t="n">
        <v>6</v>
      </c>
      <c r="T659" s="134" t="n">
        <f aca="false">(Q659-5.5)*K659</f>
        <v>315000</v>
      </c>
      <c r="AB659" s="12" t="s">
        <v>95</v>
      </c>
    </row>
    <row r="660" customFormat="false" ht="12.75" hidden="false" customHeight="false" outlineLevel="0" collapsed="false">
      <c r="A660" s="10" t="n">
        <v>86</v>
      </c>
      <c r="B660" s="10" t="s">
        <v>355</v>
      </c>
      <c r="C660" s="62" t="n">
        <v>36819</v>
      </c>
      <c r="D660" s="12" t="s">
        <v>205</v>
      </c>
      <c r="F660" s="12" t="s">
        <v>109</v>
      </c>
      <c r="G660" s="12" t="s">
        <v>239</v>
      </c>
      <c r="H660" s="63" t="n">
        <v>0.15</v>
      </c>
      <c r="I660" s="14" t="n">
        <f aca="false">+H660*K660</f>
        <v>94500</v>
      </c>
      <c r="J660" s="85" t="n">
        <v>36892</v>
      </c>
      <c r="K660" s="13" t="n">
        <v>630000</v>
      </c>
      <c r="L660" s="38" t="s">
        <v>8</v>
      </c>
      <c r="M660" s="63" t="s">
        <v>356</v>
      </c>
      <c r="O660" s="134" t="n">
        <f aca="false">0.01*K660</f>
        <v>6300</v>
      </c>
      <c r="Q660" s="135" t="n">
        <v>9.84</v>
      </c>
      <c r="T660" s="134" t="n">
        <f aca="false">(5.5-Q660)*K660</f>
        <v>-2734200</v>
      </c>
      <c r="AB660" s="12" t="s">
        <v>95</v>
      </c>
    </row>
    <row r="661" customFormat="false" ht="12.75" hidden="false" customHeight="false" outlineLevel="0" collapsed="false">
      <c r="J661" s="85"/>
      <c r="M661" s="86"/>
    </row>
    <row r="662" customFormat="false" ht="12.75" hidden="false" customHeight="false" outlineLevel="0" collapsed="false">
      <c r="A662" s="10" t="n">
        <v>87</v>
      </c>
      <c r="C662" s="62" t="n">
        <v>36819</v>
      </c>
      <c r="D662" s="12" t="s">
        <v>207</v>
      </c>
      <c r="F662" s="12" t="s">
        <v>109</v>
      </c>
      <c r="G662" s="12" t="s">
        <v>239</v>
      </c>
      <c r="H662" s="63" t="n">
        <v>0</v>
      </c>
      <c r="I662" s="14" t="n">
        <f aca="false">+H662*K662</f>
        <v>0</v>
      </c>
      <c r="J662" s="85" t="n">
        <v>36831</v>
      </c>
      <c r="K662" s="13" t="n">
        <v>30000</v>
      </c>
      <c r="L662" s="38" t="s">
        <v>8</v>
      </c>
      <c r="M662" s="63" t="s">
        <v>350</v>
      </c>
      <c r="O662" s="134" t="n">
        <f aca="false">0.0075*K662</f>
        <v>225</v>
      </c>
      <c r="Q662" s="135" t="n">
        <v>4.46</v>
      </c>
      <c r="T662" s="134" t="n">
        <f aca="false">(4.5-Q662)*K662</f>
        <v>1200</v>
      </c>
      <c r="AB662" s="12" t="s">
        <v>95</v>
      </c>
    </row>
    <row r="663" customFormat="false" ht="12.75" hidden="false" customHeight="false" outlineLevel="0" collapsed="false">
      <c r="A663" s="10" t="n">
        <v>87</v>
      </c>
      <c r="C663" s="62" t="n">
        <v>36819</v>
      </c>
      <c r="D663" s="12" t="s">
        <v>207</v>
      </c>
      <c r="F663" s="12" t="s">
        <v>109</v>
      </c>
      <c r="G663" s="12" t="s">
        <v>239</v>
      </c>
      <c r="H663" s="63" t="n">
        <v>0.14</v>
      </c>
      <c r="I663" s="14" t="n">
        <f aca="false">+H663*K663</f>
        <v>4200</v>
      </c>
      <c r="J663" s="85" t="n">
        <v>36861</v>
      </c>
      <c r="K663" s="13" t="n">
        <v>30000</v>
      </c>
      <c r="L663" s="38" t="s">
        <v>8</v>
      </c>
      <c r="M663" s="63" t="s">
        <v>356</v>
      </c>
      <c r="O663" s="134" t="n">
        <f aca="false">0.045*K663</f>
        <v>1350</v>
      </c>
      <c r="Q663" s="135" t="n">
        <v>6</v>
      </c>
      <c r="T663" s="134" t="n">
        <f aca="false">(Q663-5.5)*K663</f>
        <v>15000</v>
      </c>
      <c r="AB663" s="12" t="s">
        <v>95</v>
      </c>
    </row>
    <row r="664" customFormat="false" ht="12.75" hidden="false" customHeight="false" outlineLevel="0" collapsed="false">
      <c r="A664" s="10" t="n">
        <v>87</v>
      </c>
      <c r="C664" s="62" t="n">
        <v>36819</v>
      </c>
      <c r="D664" s="12" t="s">
        <v>207</v>
      </c>
      <c r="F664" s="12" t="s">
        <v>109</v>
      </c>
      <c r="G664" s="12" t="s">
        <v>239</v>
      </c>
      <c r="H664" s="63" t="n">
        <v>0.15</v>
      </c>
      <c r="I664" s="14" t="n">
        <f aca="false">+H664*K664</f>
        <v>4500</v>
      </c>
      <c r="J664" s="85" t="n">
        <v>36892</v>
      </c>
      <c r="K664" s="13" t="n">
        <v>30000</v>
      </c>
      <c r="L664" s="38" t="s">
        <v>8</v>
      </c>
      <c r="M664" s="63" t="s">
        <v>356</v>
      </c>
      <c r="O664" s="134" t="n">
        <f aca="false">0.01*K664</f>
        <v>300</v>
      </c>
      <c r="Q664" s="135" t="n">
        <v>9.84</v>
      </c>
      <c r="T664" s="134" t="n">
        <f aca="false">(5.5-Q664)*K664</f>
        <v>-130200</v>
      </c>
      <c r="AB664" s="12" t="s">
        <v>95</v>
      </c>
    </row>
    <row r="666" customFormat="false" ht="12.75" hidden="false" customHeight="false" outlineLevel="0" collapsed="false">
      <c r="A666" s="10" t="n">
        <v>88</v>
      </c>
      <c r="B666" s="10" t="s">
        <v>357</v>
      </c>
      <c r="C666" s="62" t="n">
        <v>36819</v>
      </c>
      <c r="D666" s="12" t="s">
        <v>205</v>
      </c>
      <c r="F666" s="12" t="s">
        <v>109</v>
      </c>
      <c r="G666" s="12" t="s">
        <v>236</v>
      </c>
      <c r="H666" s="63" t="n">
        <v>0</v>
      </c>
      <c r="I666" s="14" t="n">
        <f aca="false">+H666*K666</f>
        <v>0</v>
      </c>
      <c r="J666" s="85" t="n">
        <v>36831</v>
      </c>
      <c r="K666" s="13" t="n">
        <v>60000</v>
      </c>
      <c r="L666" s="38" t="s">
        <v>8</v>
      </c>
      <c r="M666" s="86" t="n">
        <v>4.92</v>
      </c>
      <c r="N666" s="133" t="n">
        <f aca="false">K666*M666</f>
        <v>295200</v>
      </c>
      <c r="O666" s="134" t="n">
        <f aca="false">0.0425*K666</f>
        <v>2550</v>
      </c>
      <c r="Q666" s="135" t="n">
        <v>4.46</v>
      </c>
      <c r="T666" s="134" t="n">
        <f aca="false">(M666-Q666)*K666</f>
        <v>27600</v>
      </c>
      <c r="AB666" s="12" t="s">
        <v>95</v>
      </c>
    </row>
    <row r="667" customFormat="false" ht="12.75" hidden="false" customHeight="false" outlineLevel="0" collapsed="false">
      <c r="A667" s="10" t="n">
        <v>88</v>
      </c>
      <c r="B667" s="10" t="s">
        <v>357</v>
      </c>
      <c r="C667" s="62" t="n">
        <v>36819</v>
      </c>
      <c r="D667" s="12" t="s">
        <v>205</v>
      </c>
      <c r="F667" s="12" t="s">
        <v>109</v>
      </c>
      <c r="G667" s="12" t="s">
        <v>236</v>
      </c>
      <c r="H667" s="63" t="n">
        <v>0</v>
      </c>
      <c r="I667" s="14" t="n">
        <f aca="false">+H667*K667</f>
        <v>0</v>
      </c>
      <c r="J667" s="85" t="n">
        <v>36861</v>
      </c>
      <c r="K667" s="13" t="n">
        <v>60000</v>
      </c>
      <c r="L667" s="38" t="s">
        <v>8</v>
      </c>
      <c r="M667" s="86" t="n">
        <v>5.01</v>
      </c>
      <c r="N667" s="133" t="n">
        <f aca="false">K667*M667</f>
        <v>300600</v>
      </c>
      <c r="O667" s="134" t="n">
        <f aca="false">0.0375*K667</f>
        <v>2250</v>
      </c>
      <c r="Q667" s="135" t="n">
        <v>6</v>
      </c>
      <c r="T667" s="134" t="n">
        <f aca="false">(M667-Q667)*K667</f>
        <v>-59400</v>
      </c>
      <c r="AB667" s="12" t="s">
        <v>95</v>
      </c>
    </row>
    <row r="668" customFormat="false" ht="12.75" hidden="false" customHeight="false" outlineLevel="0" collapsed="false">
      <c r="A668" s="10" t="n">
        <v>88</v>
      </c>
      <c r="B668" s="10" t="s">
        <v>357</v>
      </c>
      <c r="C668" s="62" t="n">
        <v>36819</v>
      </c>
      <c r="D668" s="12" t="s">
        <v>205</v>
      </c>
      <c r="F668" s="12" t="s">
        <v>109</v>
      </c>
      <c r="G668" s="12" t="s">
        <v>236</v>
      </c>
      <c r="H668" s="63" t="n">
        <v>0</v>
      </c>
      <c r="I668" s="14" t="n">
        <f aca="false">+H668*K668</f>
        <v>0</v>
      </c>
      <c r="J668" s="85" t="n">
        <v>36892</v>
      </c>
      <c r="K668" s="13" t="n">
        <v>60000</v>
      </c>
      <c r="L668" s="38" t="s">
        <v>8</v>
      </c>
      <c r="M668" s="86" t="n">
        <v>5.01</v>
      </c>
      <c r="N668" s="133" t="n">
        <f aca="false">K668*M668</f>
        <v>300600</v>
      </c>
      <c r="O668" s="134" t="n">
        <f aca="false">0.0275*K668</f>
        <v>1650</v>
      </c>
      <c r="Q668" s="135" t="n">
        <v>9.84</v>
      </c>
      <c r="T668" s="134" t="n">
        <f aca="false">(M668-Q668)*K668</f>
        <v>-289800</v>
      </c>
      <c r="AB668" s="12" t="s">
        <v>95</v>
      </c>
    </row>
    <row r="670" customFormat="false" ht="12.75" hidden="false" customHeight="false" outlineLevel="0" collapsed="false">
      <c r="A670" s="10" t="n">
        <v>89</v>
      </c>
      <c r="C670" s="62" t="n">
        <v>36819</v>
      </c>
      <c r="D670" s="12" t="s">
        <v>207</v>
      </c>
      <c r="F670" s="12" t="s">
        <v>109</v>
      </c>
      <c r="G670" s="12" t="s">
        <v>236</v>
      </c>
      <c r="H670" s="63" t="n">
        <v>0</v>
      </c>
      <c r="I670" s="14" t="n">
        <f aca="false">+H670*K670</f>
        <v>0</v>
      </c>
      <c r="J670" s="85" t="n">
        <v>36831</v>
      </c>
      <c r="K670" s="13" t="n">
        <v>60000</v>
      </c>
      <c r="L670" s="38" t="s">
        <v>8</v>
      </c>
      <c r="M670" s="86" t="n">
        <v>4.92</v>
      </c>
      <c r="N670" s="133" t="n">
        <f aca="false">K670*M670</f>
        <v>295200</v>
      </c>
      <c r="O670" s="134" t="n">
        <f aca="false">0.0425*K670</f>
        <v>2550</v>
      </c>
      <c r="Q670" s="135" t="n">
        <v>4.46</v>
      </c>
      <c r="T670" s="134" t="n">
        <f aca="false">(M670-Q670)*K670</f>
        <v>27600</v>
      </c>
      <c r="AB670" s="12" t="s">
        <v>95</v>
      </c>
    </row>
    <row r="671" customFormat="false" ht="12.75" hidden="false" customHeight="false" outlineLevel="0" collapsed="false">
      <c r="A671" s="10" t="n">
        <v>89</v>
      </c>
      <c r="C671" s="62" t="n">
        <v>36819</v>
      </c>
      <c r="D671" s="12" t="s">
        <v>207</v>
      </c>
      <c r="F671" s="12" t="s">
        <v>109</v>
      </c>
      <c r="G671" s="12" t="s">
        <v>236</v>
      </c>
      <c r="H671" s="63" t="n">
        <v>0</v>
      </c>
      <c r="I671" s="14" t="n">
        <f aca="false">+H671*K671</f>
        <v>0</v>
      </c>
      <c r="J671" s="85" t="n">
        <v>36861</v>
      </c>
      <c r="K671" s="13" t="n">
        <v>60000</v>
      </c>
      <c r="L671" s="38" t="s">
        <v>8</v>
      </c>
      <c r="M671" s="86" t="n">
        <v>5.01</v>
      </c>
      <c r="N671" s="133" t="n">
        <f aca="false">K671*M671</f>
        <v>300600</v>
      </c>
      <c r="O671" s="134" t="n">
        <f aca="false">0.0375*K671</f>
        <v>2250</v>
      </c>
      <c r="Q671" s="135" t="n">
        <v>6</v>
      </c>
      <c r="T671" s="134" t="n">
        <f aca="false">(M671-Q671)*K671</f>
        <v>-59400</v>
      </c>
      <c r="AB671" s="12" t="s">
        <v>95</v>
      </c>
    </row>
    <row r="672" customFormat="false" ht="12.75" hidden="false" customHeight="false" outlineLevel="0" collapsed="false">
      <c r="A672" s="10" t="n">
        <v>89</v>
      </c>
      <c r="C672" s="62" t="n">
        <v>36819</v>
      </c>
      <c r="D672" s="12" t="s">
        <v>207</v>
      </c>
      <c r="F672" s="12" t="s">
        <v>109</v>
      </c>
      <c r="G672" s="12" t="s">
        <v>236</v>
      </c>
      <c r="H672" s="63" t="n">
        <v>0</v>
      </c>
      <c r="I672" s="14" t="n">
        <f aca="false">+H672*K672</f>
        <v>0</v>
      </c>
      <c r="J672" s="85" t="n">
        <v>36892</v>
      </c>
      <c r="K672" s="13" t="n">
        <v>60000</v>
      </c>
      <c r="L672" s="38" t="s">
        <v>8</v>
      </c>
      <c r="M672" s="86" t="n">
        <v>5.01</v>
      </c>
      <c r="N672" s="133" t="n">
        <f aca="false">K672*M672</f>
        <v>300600</v>
      </c>
      <c r="O672" s="134" t="n">
        <f aca="false">0.0275*K672</f>
        <v>1650</v>
      </c>
      <c r="Q672" s="135" t="n">
        <v>9.84</v>
      </c>
      <c r="T672" s="134" t="n">
        <f aca="false">(M672-Q672)*K672</f>
        <v>-289800</v>
      </c>
      <c r="AB672" s="12" t="s">
        <v>95</v>
      </c>
    </row>
    <row r="674" customFormat="false" ht="12.75" hidden="false" customHeight="false" outlineLevel="0" collapsed="false">
      <c r="A674" s="10" t="n">
        <v>90</v>
      </c>
      <c r="C674" s="62" t="n">
        <v>36819</v>
      </c>
      <c r="D674" s="12" t="s">
        <v>192</v>
      </c>
      <c r="E674" s="12" t="s">
        <v>89</v>
      </c>
      <c r="F674" s="12" t="s">
        <v>109</v>
      </c>
      <c r="G674" s="12" t="s">
        <v>236</v>
      </c>
      <c r="H674" s="63" t="n">
        <v>0</v>
      </c>
      <c r="I674" s="14" t="n">
        <f aca="false">+H674*K674</f>
        <v>0</v>
      </c>
      <c r="J674" s="85" t="n">
        <v>36892</v>
      </c>
      <c r="K674" s="13" t="n">
        <v>40000</v>
      </c>
      <c r="L674" s="38" t="s">
        <v>8</v>
      </c>
      <c r="M674" s="86" t="n">
        <v>4.975</v>
      </c>
      <c r="N674" s="133" t="n">
        <f aca="false">K674*M674</f>
        <v>199000</v>
      </c>
      <c r="O674" s="134" t="n">
        <f aca="false">0.0025*K674</f>
        <v>100</v>
      </c>
      <c r="Q674" s="135" t="n">
        <v>9.84</v>
      </c>
      <c r="T674" s="134" t="n">
        <f aca="false">(M674-Q674)*K674</f>
        <v>-194600</v>
      </c>
      <c r="Y674" s="12" t="s">
        <v>340</v>
      </c>
      <c r="AB674" s="12" t="s">
        <v>95</v>
      </c>
    </row>
    <row r="676" customFormat="false" ht="12.75" hidden="false" customHeight="false" outlineLevel="0" collapsed="false">
      <c r="A676" s="10" t="n">
        <v>91</v>
      </c>
      <c r="B676" s="10" t="s">
        <v>358</v>
      </c>
      <c r="C676" s="62" t="n">
        <v>36822</v>
      </c>
      <c r="D676" s="12" t="s">
        <v>136</v>
      </c>
      <c r="E676" s="12" t="s">
        <v>89</v>
      </c>
      <c r="F676" s="12" t="s">
        <v>235</v>
      </c>
      <c r="G676" s="12" t="s">
        <v>236</v>
      </c>
      <c r="H676" s="63" t="n">
        <v>0</v>
      </c>
      <c r="I676" s="14" t="n">
        <f aca="false">+H676*K676</f>
        <v>0</v>
      </c>
      <c r="J676" s="85" t="n">
        <v>36831</v>
      </c>
      <c r="K676" s="13" t="n">
        <v>93700</v>
      </c>
      <c r="L676" s="38" t="s">
        <v>8</v>
      </c>
      <c r="M676" s="86" t="n">
        <v>4.8</v>
      </c>
      <c r="N676" s="133" t="n">
        <f aca="false">K676*M676</f>
        <v>449760</v>
      </c>
      <c r="O676" s="134" t="n">
        <f aca="false">0.027*K676</f>
        <v>2529.9</v>
      </c>
      <c r="Q676" s="135" t="n">
        <v>4.31</v>
      </c>
      <c r="T676" s="134" t="n">
        <f aca="false">(M676-Q676)*K676</f>
        <v>45913</v>
      </c>
      <c r="Y676" s="12" t="s">
        <v>102</v>
      </c>
      <c r="AA676" s="10" t="s">
        <v>94</v>
      </c>
      <c r="AB676" s="12" t="s">
        <v>95</v>
      </c>
    </row>
    <row r="677" customFormat="false" ht="12.75" hidden="false" customHeight="false" outlineLevel="0" collapsed="false">
      <c r="A677" s="10" t="n">
        <v>91</v>
      </c>
      <c r="B677" s="10" t="s">
        <v>358</v>
      </c>
      <c r="C677" s="62" t="n">
        <v>36822</v>
      </c>
      <c r="D677" s="12" t="s">
        <v>136</v>
      </c>
      <c r="E677" s="12" t="s">
        <v>89</v>
      </c>
      <c r="F677" s="12" t="s">
        <v>235</v>
      </c>
      <c r="G677" s="12" t="s">
        <v>236</v>
      </c>
      <c r="H677" s="63" t="n">
        <v>0</v>
      </c>
      <c r="I677" s="14" t="n">
        <f aca="false">+H677*K677</f>
        <v>0</v>
      </c>
      <c r="J677" s="85" t="n">
        <v>36861</v>
      </c>
      <c r="K677" s="13" t="n">
        <v>96600</v>
      </c>
      <c r="L677" s="38" t="s">
        <v>8</v>
      </c>
      <c r="M677" s="86" t="n">
        <f aca="false">+M676</f>
        <v>4.8</v>
      </c>
      <c r="N677" s="133" t="n">
        <f aca="false">K677*M677</f>
        <v>463680</v>
      </c>
      <c r="O677" s="134" t="n">
        <f aca="false">0.027*K677</f>
        <v>2608.2</v>
      </c>
      <c r="Q677" s="135" t="n">
        <v>5.775</v>
      </c>
      <c r="T677" s="134" t="n">
        <f aca="false">(M677-Q677)*K677</f>
        <v>-94185.0000000001</v>
      </c>
      <c r="W677" s="137"/>
      <c r="X677" s="137"/>
      <c r="AA677" s="10" t="s">
        <v>94</v>
      </c>
      <c r="AB677" s="12" t="s">
        <v>95</v>
      </c>
    </row>
    <row r="678" customFormat="false" ht="12.75" hidden="false" customHeight="false" outlineLevel="0" collapsed="false">
      <c r="A678" s="10" t="n">
        <v>91</v>
      </c>
      <c r="B678" s="10" t="s">
        <v>358</v>
      </c>
      <c r="C678" s="62" t="n">
        <v>36822</v>
      </c>
      <c r="D678" s="12" t="s">
        <v>136</v>
      </c>
      <c r="E678" s="12" t="s">
        <v>89</v>
      </c>
      <c r="F678" s="12" t="s">
        <v>235</v>
      </c>
      <c r="G678" s="12" t="s">
        <v>236</v>
      </c>
      <c r="H678" s="63" t="n">
        <v>0</v>
      </c>
      <c r="I678" s="14" t="n">
        <f aca="false">+H678*K678</f>
        <v>0</v>
      </c>
      <c r="J678" s="85" t="n">
        <v>36892</v>
      </c>
      <c r="K678" s="13" t="n">
        <v>85300</v>
      </c>
      <c r="L678" s="38" t="s">
        <v>8</v>
      </c>
      <c r="M678" s="86" t="n">
        <f aca="false">+M677</f>
        <v>4.8</v>
      </c>
      <c r="N678" s="133" t="n">
        <f aca="false">K678*M678</f>
        <v>409440</v>
      </c>
      <c r="O678" s="134" t="n">
        <f aca="false">0.027*K678</f>
        <v>2303.1</v>
      </c>
      <c r="Q678" s="135" t="n">
        <v>9.565</v>
      </c>
      <c r="T678" s="134" t="n">
        <f aca="false">(M678-Q678)*K678</f>
        <v>-406454.5</v>
      </c>
      <c r="U678" s="134"/>
      <c r="AA678" s="10" t="s">
        <v>94</v>
      </c>
      <c r="AB678" s="12" t="s">
        <v>95</v>
      </c>
    </row>
    <row r="679" customFormat="false" ht="12.75" hidden="false" customHeight="false" outlineLevel="0" collapsed="false">
      <c r="A679" s="10" t="n">
        <v>91</v>
      </c>
      <c r="B679" s="10" t="s">
        <v>358</v>
      </c>
      <c r="C679" s="62" t="n">
        <v>36822</v>
      </c>
      <c r="D679" s="12" t="s">
        <v>136</v>
      </c>
      <c r="E679" s="12" t="s">
        <v>89</v>
      </c>
      <c r="F679" s="12" t="s">
        <v>235</v>
      </c>
      <c r="G679" s="12" t="s">
        <v>236</v>
      </c>
      <c r="H679" s="63" t="n">
        <v>0</v>
      </c>
      <c r="I679" s="14" t="n">
        <f aca="false">+H679*K679</f>
        <v>0</v>
      </c>
      <c r="J679" s="85" t="n">
        <v>36923</v>
      </c>
      <c r="K679" s="13" t="n">
        <v>67900</v>
      </c>
      <c r="L679" s="38" t="s">
        <v>8</v>
      </c>
      <c r="M679" s="86" t="n">
        <f aca="false">+M678</f>
        <v>4.8</v>
      </c>
      <c r="N679" s="133" t="n">
        <f aca="false">K679*M679</f>
        <v>325920</v>
      </c>
      <c r="O679" s="134" t="n">
        <f aca="false">0.027*K679</f>
        <v>1833.3</v>
      </c>
      <c r="R679" s="136" t="n">
        <v>8.26</v>
      </c>
      <c r="U679" s="134" t="n">
        <f aca="false">(M679-R679)*K679</f>
        <v>-234934</v>
      </c>
      <c r="AA679" s="10" t="s">
        <v>94</v>
      </c>
      <c r="AB679" s="12" t="s">
        <v>95</v>
      </c>
    </row>
    <row r="680" customFormat="false" ht="12.75" hidden="false" customHeight="false" outlineLevel="0" collapsed="false">
      <c r="A680" s="10" t="n">
        <v>91</v>
      </c>
      <c r="B680" s="10" t="s">
        <v>358</v>
      </c>
      <c r="C680" s="62" t="n">
        <v>36822</v>
      </c>
      <c r="D680" s="12" t="s">
        <v>136</v>
      </c>
      <c r="E680" s="12" t="s">
        <v>89</v>
      </c>
      <c r="F680" s="12" t="s">
        <v>235</v>
      </c>
      <c r="G680" s="12" t="s">
        <v>236</v>
      </c>
      <c r="H680" s="63" t="n">
        <v>0</v>
      </c>
      <c r="I680" s="14" t="n">
        <f aca="false">+H680*K680</f>
        <v>0</v>
      </c>
      <c r="J680" s="85" t="n">
        <v>36951</v>
      </c>
      <c r="K680" s="13" t="n">
        <v>42500</v>
      </c>
      <c r="L680" s="38" t="s">
        <v>8</v>
      </c>
      <c r="M680" s="86" t="n">
        <f aca="false">+M679</f>
        <v>4.8</v>
      </c>
      <c r="N680" s="133" t="n">
        <f aca="false">K680*M680</f>
        <v>204000</v>
      </c>
      <c r="O680" s="134" t="n">
        <f aca="false">0.027*K680</f>
        <v>1147.5</v>
      </c>
      <c r="R680" s="136" t="n">
        <v>7.55</v>
      </c>
      <c r="U680" s="134" t="n">
        <f aca="false">(M680-R680)*K680</f>
        <v>-116875</v>
      </c>
      <c r="AA680" s="10" t="s">
        <v>94</v>
      </c>
      <c r="AB680" s="12" t="s">
        <v>95</v>
      </c>
    </row>
    <row r="682" customFormat="false" ht="12.75" hidden="false" customHeight="false" outlineLevel="0" collapsed="false">
      <c r="A682" s="10" t="n">
        <v>92</v>
      </c>
      <c r="C682" s="62" t="n">
        <v>36823</v>
      </c>
      <c r="D682" s="12" t="s">
        <v>192</v>
      </c>
      <c r="E682" s="12" t="s">
        <v>89</v>
      </c>
      <c r="F682" s="12" t="s">
        <v>109</v>
      </c>
      <c r="G682" s="12" t="s">
        <v>236</v>
      </c>
      <c r="H682" s="63" t="n">
        <v>0</v>
      </c>
      <c r="I682" s="14" t="n">
        <f aca="false">+H682*K682</f>
        <v>0</v>
      </c>
      <c r="J682" s="85" t="n">
        <v>36831</v>
      </c>
      <c r="K682" s="13" t="n">
        <v>40000</v>
      </c>
      <c r="L682" s="38" t="s">
        <v>8</v>
      </c>
      <c r="M682" s="86" t="n">
        <v>4.79</v>
      </c>
      <c r="N682" s="133" t="n">
        <f aca="false">K682*M682</f>
        <v>191600</v>
      </c>
      <c r="O682" s="134" t="n">
        <f aca="false">0.0175*K682</f>
        <v>700</v>
      </c>
      <c r="Q682" s="135" t="n">
        <v>4.46</v>
      </c>
      <c r="T682" s="134" t="n">
        <f aca="false">(M682-Q682)*K682</f>
        <v>13200</v>
      </c>
      <c r="Y682" s="12" t="s">
        <v>340</v>
      </c>
      <c r="AB682" s="12" t="s">
        <v>95</v>
      </c>
    </row>
    <row r="684" customFormat="false" ht="12.75" hidden="false" customHeight="false" outlineLevel="0" collapsed="false">
      <c r="A684" s="10" t="n">
        <v>93</v>
      </c>
      <c r="B684" s="10" t="s">
        <v>359</v>
      </c>
      <c r="C684" s="62" t="n">
        <v>36824</v>
      </c>
      <c r="D684" s="12" t="s">
        <v>192</v>
      </c>
      <c r="E684" s="12" t="s">
        <v>89</v>
      </c>
      <c r="F684" s="12" t="s">
        <v>109</v>
      </c>
      <c r="G684" s="12" t="s">
        <v>236</v>
      </c>
      <c r="H684" s="63" t="n">
        <v>0</v>
      </c>
      <c r="I684" s="14" t="n">
        <f aca="false">+H684*K684</f>
        <v>0</v>
      </c>
      <c r="J684" s="85" t="n">
        <v>36861</v>
      </c>
      <c r="K684" s="13" t="n">
        <v>40000</v>
      </c>
      <c r="L684" s="38" t="s">
        <v>8</v>
      </c>
      <c r="M684" s="86" t="n">
        <v>4.8</v>
      </c>
      <c r="N684" s="133" t="n">
        <f aca="false">K684*M684</f>
        <v>192000</v>
      </c>
      <c r="O684" s="134" t="n">
        <f aca="false">0.045*K684</f>
        <v>1800</v>
      </c>
      <c r="Q684" s="135" t="n">
        <v>6</v>
      </c>
      <c r="T684" s="134" t="n">
        <f aca="false">(M684-Q684)*K684</f>
        <v>-48000</v>
      </c>
      <c r="Y684" s="12" t="s">
        <v>340</v>
      </c>
      <c r="AB684" s="12" t="s">
        <v>95</v>
      </c>
    </row>
    <row r="686" customFormat="false" ht="12.75" hidden="false" customHeight="false" outlineLevel="0" collapsed="false">
      <c r="A686" s="10" t="n">
        <v>94</v>
      </c>
      <c r="B686" s="10" t="s">
        <v>360</v>
      </c>
      <c r="C686" s="62" t="n">
        <v>36825</v>
      </c>
      <c r="D686" s="12" t="s">
        <v>183</v>
      </c>
      <c r="E686" s="12" t="s">
        <v>89</v>
      </c>
      <c r="F686" s="12" t="s">
        <v>109</v>
      </c>
      <c r="G686" s="12" t="s">
        <v>342</v>
      </c>
      <c r="H686" s="63" t="n">
        <v>0</v>
      </c>
      <c r="I686" s="14" t="n">
        <f aca="false">+H686*K686</f>
        <v>0</v>
      </c>
      <c r="J686" s="85" t="n">
        <v>36831</v>
      </c>
      <c r="K686" s="13" t="n">
        <v>165000</v>
      </c>
      <c r="L686" s="38" t="s">
        <v>8</v>
      </c>
      <c r="M686" s="86" t="n">
        <v>4.24</v>
      </c>
      <c r="N686" s="133" t="n">
        <f aca="false">K686*M686</f>
        <v>699600</v>
      </c>
      <c r="O686" s="134" t="n">
        <f aca="false">0.03*K686</f>
        <v>4950</v>
      </c>
      <c r="Q686" s="135" t="n">
        <v>4.46</v>
      </c>
      <c r="T686" s="134" t="n">
        <f aca="false">-(M686-Q686)*K686</f>
        <v>36300</v>
      </c>
      <c r="Y686" s="12" t="s">
        <v>330</v>
      </c>
      <c r="AB686" s="12" t="s">
        <v>95</v>
      </c>
    </row>
    <row r="687" customFormat="false" ht="12.75" hidden="false" customHeight="false" outlineLevel="0" collapsed="false">
      <c r="A687" s="10" t="n">
        <v>94</v>
      </c>
      <c r="B687" s="10" t="s">
        <v>360</v>
      </c>
      <c r="C687" s="62" t="n">
        <v>36825</v>
      </c>
      <c r="D687" s="12" t="s">
        <v>183</v>
      </c>
      <c r="E687" s="12" t="s">
        <v>89</v>
      </c>
      <c r="F687" s="12" t="s">
        <v>109</v>
      </c>
      <c r="G687" s="12" t="s">
        <v>342</v>
      </c>
      <c r="H687" s="63" t="n">
        <v>0</v>
      </c>
      <c r="I687" s="14" t="n">
        <f aca="false">+H687*K687</f>
        <v>0</v>
      </c>
      <c r="J687" s="85" t="n">
        <v>36861</v>
      </c>
      <c r="K687" s="13" t="n">
        <f aca="false">+K686</f>
        <v>165000</v>
      </c>
      <c r="L687" s="38" t="s">
        <v>8</v>
      </c>
      <c r="M687" s="86" t="n">
        <v>4.24</v>
      </c>
      <c r="N687" s="133" t="n">
        <f aca="false">K687*M687</f>
        <v>699600</v>
      </c>
      <c r="O687" s="134" t="n">
        <f aca="false">0.03*K687</f>
        <v>4950</v>
      </c>
      <c r="Q687" s="135" t="s">
        <v>106</v>
      </c>
      <c r="T687" s="135" t="s">
        <v>106</v>
      </c>
      <c r="AB687" s="12" t="s">
        <v>95</v>
      </c>
    </row>
    <row r="688" customFormat="false" ht="12.75" hidden="false" customHeight="false" outlineLevel="0" collapsed="false">
      <c r="A688" s="10" t="n">
        <v>94</v>
      </c>
      <c r="B688" s="10" t="s">
        <v>360</v>
      </c>
      <c r="C688" s="62" t="n">
        <v>36825</v>
      </c>
      <c r="D688" s="12" t="s">
        <v>183</v>
      </c>
      <c r="E688" s="12" t="s">
        <v>89</v>
      </c>
      <c r="F688" s="12" t="s">
        <v>109</v>
      </c>
      <c r="G688" s="12" t="s">
        <v>342</v>
      </c>
      <c r="H688" s="63" t="n">
        <v>0</v>
      </c>
      <c r="I688" s="14" t="n">
        <f aca="false">+H688*K688</f>
        <v>0</v>
      </c>
      <c r="J688" s="85" t="n">
        <v>36892</v>
      </c>
      <c r="K688" s="13" t="n">
        <f aca="false">+K687</f>
        <v>165000</v>
      </c>
      <c r="L688" s="38" t="s">
        <v>8</v>
      </c>
      <c r="M688" s="86" t="n">
        <v>4.24</v>
      </c>
      <c r="N688" s="133" t="n">
        <f aca="false">K688*M688</f>
        <v>699600</v>
      </c>
      <c r="O688" s="134" t="n">
        <f aca="false">0.03*K688</f>
        <v>4950</v>
      </c>
      <c r="Q688" s="135" t="s">
        <v>106</v>
      </c>
      <c r="T688" s="135" t="s">
        <v>106</v>
      </c>
      <c r="AB688" s="12" t="s">
        <v>95</v>
      </c>
    </row>
    <row r="689" customFormat="false" ht="12.75" hidden="false" customHeight="false" outlineLevel="0" collapsed="false">
      <c r="A689" s="10" t="n">
        <v>94</v>
      </c>
      <c r="B689" s="10" t="s">
        <v>360</v>
      </c>
      <c r="C689" s="62" t="n">
        <v>36825</v>
      </c>
      <c r="D689" s="12" t="s">
        <v>183</v>
      </c>
      <c r="E689" s="12" t="s">
        <v>89</v>
      </c>
      <c r="F689" s="12" t="s">
        <v>109</v>
      </c>
      <c r="G689" s="12" t="s">
        <v>342</v>
      </c>
      <c r="H689" s="63" t="n">
        <v>0</v>
      </c>
      <c r="I689" s="14" t="n">
        <f aca="false">+H689*K689</f>
        <v>0</v>
      </c>
      <c r="J689" s="85" t="n">
        <v>36923</v>
      </c>
      <c r="K689" s="13" t="n">
        <f aca="false">+K688</f>
        <v>165000</v>
      </c>
      <c r="L689" s="38" t="s">
        <v>8</v>
      </c>
      <c r="M689" s="86" t="n">
        <v>4.24</v>
      </c>
      <c r="N689" s="133" t="n">
        <f aca="false">K689*M689</f>
        <v>699600</v>
      </c>
      <c r="O689" s="134" t="n">
        <f aca="false">0.03*K689</f>
        <v>4950</v>
      </c>
      <c r="Q689" s="135" t="s">
        <v>106</v>
      </c>
      <c r="T689" s="135" t="s">
        <v>106</v>
      </c>
      <c r="AB689" s="12" t="s">
        <v>95</v>
      </c>
    </row>
    <row r="690" customFormat="false" ht="12.75" hidden="false" customHeight="false" outlineLevel="0" collapsed="false">
      <c r="A690" s="10" t="n">
        <v>94</v>
      </c>
      <c r="B690" s="10" t="s">
        <v>360</v>
      </c>
      <c r="C690" s="62" t="n">
        <v>36825</v>
      </c>
      <c r="D690" s="12" t="s">
        <v>183</v>
      </c>
      <c r="E690" s="12" t="s">
        <v>89</v>
      </c>
      <c r="F690" s="12" t="s">
        <v>109</v>
      </c>
      <c r="G690" s="12" t="s">
        <v>342</v>
      </c>
      <c r="H690" s="63" t="n">
        <v>0</v>
      </c>
      <c r="I690" s="14" t="n">
        <f aca="false">+H690*K690</f>
        <v>0</v>
      </c>
      <c r="J690" s="85" t="n">
        <v>36951</v>
      </c>
      <c r="K690" s="13" t="n">
        <f aca="false">+K689</f>
        <v>165000</v>
      </c>
      <c r="L690" s="38" t="s">
        <v>8</v>
      </c>
      <c r="M690" s="86" t="n">
        <v>4.24</v>
      </c>
      <c r="N690" s="133" t="n">
        <f aca="false">K690*M690</f>
        <v>699600</v>
      </c>
      <c r="O690" s="134" t="n">
        <f aca="false">0.03*K690</f>
        <v>4950</v>
      </c>
      <c r="Q690" s="135" t="s">
        <v>106</v>
      </c>
      <c r="T690" s="135" t="s">
        <v>106</v>
      </c>
      <c r="AB690" s="12" t="s">
        <v>95</v>
      </c>
    </row>
    <row r="691" customFormat="false" ht="12.75" hidden="false" customHeight="false" outlineLevel="0" collapsed="false">
      <c r="A691" s="10" t="n">
        <v>94</v>
      </c>
      <c r="B691" s="10" t="s">
        <v>360</v>
      </c>
      <c r="C691" s="62" t="n">
        <v>36825</v>
      </c>
      <c r="D691" s="12" t="s">
        <v>183</v>
      </c>
      <c r="E691" s="12" t="s">
        <v>89</v>
      </c>
      <c r="F691" s="12" t="s">
        <v>109</v>
      </c>
      <c r="G691" s="12" t="s">
        <v>342</v>
      </c>
      <c r="H691" s="63" t="n">
        <v>0</v>
      </c>
      <c r="I691" s="14" t="n">
        <f aca="false">+H691*K691</f>
        <v>0</v>
      </c>
      <c r="J691" s="85" t="n">
        <v>36982</v>
      </c>
      <c r="K691" s="13" t="n">
        <f aca="false">+K690</f>
        <v>165000</v>
      </c>
      <c r="L691" s="38" t="s">
        <v>8</v>
      </c>
      <c r="M691" s="86" t="n">
        <v>4.24</v>
      </c>
      <c r="N691" s="133" t="n">
        <f aca="false">K691*M691</f>
        <v>699600</v>
      </c>
      <c r="O691" s="134" t="n">
        <f aca="false">0.03*K691</f>
        <v>4950</v>
      </c>
      <c r="Q691" s="135" t="s">
        <v>106</v>
      </c>
      <c r="T691" s="135" t="s">
        <v>106</v>
      </c>
      <c r="AB691" s="12" t="s">
        <v>95</v>
      </c>
    </row>
    <row r="692" customFormat="false" ht="12.75" hidden="false" customHeight="false" outlineLevel="0" collapsed="false">
      <c r="A692" s="10" t="n">
        <v>94</v>
      </c>
      <c r="B692" s="10" t="s">
        <v>360</v>
      </c>
      <c r="C692" s="62" t="n">
        <v>36825</v>
      </c>
      <c r="D692" s="12" t="s">
        <v>183</v>
      </c>
      <c r="E692" s="12" t="s">
        <v>89</v>
      </c>
      <c r="F692" s="12" t="s">
        <v>109</v>
      </c>
      <c r="G692" s="12" t="s">
        <v>342</v>
      </c>
      <c r="H692" s="63" t="n">
        <v>0</v>
      </c>
      <c r="I692" s="14" t="n">
        <f aca="false">+H692*K692</f>
        <v>0</v>
      </c>
      <c r="J692" s="85" t="n">
        <v>37012</v>
      </c>
      <c r="K692" s="13" t="n">
        <f aca="false">+K691</f>
        <v>165000</v>
      </c>
      <c r="L692" s="38" t="s">
        <v>8</v>
      </c>
      <c r="M692" s="86" t="n">
        <v>4.24</v>
      </c>
      <c r="N692" s="133" t="n">
        <f aca="false">K692*M692</f>
        <v>699600</v>
      </c>
      <c r="O692" s="134" t="n">
        <f aca="false">0.03*K692</f>
        <v>4950</v>
      </c>
      <c r="Q692" s="135" t="s">
        <v>106</v>
      </c>
      <c r="T692" s="135" t="s">
        <v>106</v>
      </c>
      <c r="AB692" s="12" t="s">
        <v>95</v>
      </c>
    </row>
    <row r="693" customFormat="false" ht="12.75" hidden="false" customHeight="false" outlineLevel="0" collapsed="false">
      <c r="A693" s="10" t="n">
        <v>94</v>
      </c>
      <c r="B693" s="10" t="s">
        <v>360</v>
      </c>
      <c r="C693" s="62" t="n">
        <v>36825</v>
      </c>
      <c r="D693" s="12" t="s">
        <v>183</v>
      </c>
      <c r="E693" s="12" t="s">
        <v>89</v>
      </c>
      <c r="F693" s="12" t="s">
        <v>109</v>
      </c>
      <c r="G693" s="12" t="s">
        <v>342</v>
      </c>
      <c r="H693" s="63" t="n">
        <v>0</v>
      </c>
      <c r="I693" s="14" t="n">
        <f aca="false">+H693*K693</f>
        <v>0</v>
      </c>
      <c r="J693" s="85" t="n">
        <v>37043</v>
      </c>
      <c r="K693" s="13" t="n">
        <f aca="false">+K692</f>
        <v>165000</v>
      </c>
      <c r="L693" s="38" t="s">
        <v>8</v>
      </c>
      <c r="M693" s="86" t="n">
        <v>4.24</v>
      </c>
      <c r="N693" s="133" t="n">
        <f aca="false">K693*M693</f>
        <v>699600</v>
      </c>
      <c r="O693" s="134" t="n">
        <f aca="false">0.03*K693</f>
        <v>4950</v>
      </c>
      <c r="Q693" s="135" t="s">
        <v>106</v>
      </c>
      <c r="T693" s="135" t="s">
        <v>106</v>
      </c>
      <c r="AB693" s="12" t="s">
        <v>95</v>
      </c>
    </row>
    <row r="694" customFormat="false" ht="12.75" hidden="false" customHeight="false" outlineLevel="0" collapsed="false">
      <c r="A694" s="10" t="n">
        <v>94</v>
      </c>
      <c r="B694" s="10" t="s">
        <v>360</v>
      </c>
      <c r="C694" s="62" t="n">
        <v>36825</v>
      </c>
      <c r="D694" s="12" t="s">
        <v>183</v>
      </c>
      <c r="E694" s="12" t="s">
        <v>89</v>
      </c>
      <c r="F694" s="12" t="s">
        <v>109</v>
      </c>
      <c r="G694" s="12" t="s">
        <v>342</v>
      </c>
      <c r="H694" s="63" t="n">
        <v>0</v>
      </c>
      <c r="I694" s="14" t="n">
        <f aca="false">+H694*K694</f>
        <v>0</v>
      </c>
      <c r="J694" s="85" t="n">
        <v>37073</v>
      </c>
      <c r="K694" s="13" t="n">
        <f aca="false">+K693</f>
        <v>165000</v>
      </c>
      <c r="L694" s="38" t="s">
        <v>8</v>
      </c>
      <c r="M694" s="86" t="n">
        <v>4.24</v>
      </c>
      <c r="N694" s="133" t="n">
        <f aca="false">K694*M694</f>
        <v>699600</v>
      </c>
      <c r="O694" s="134" t="n">
        <f aca="false">0.03*K694</f>
        <v>4950</v>
      </c>
      <c r="Q694" s="135" t="s">
        <v>106</v>
      </c>
      <c r="T694" s="135" t="s">
        <v>106</v>
      </c>
      <c r="W694" s="137"/>
      <c r="X694" s="137"/>
      <c r="AB694" s="12" t="s">
        <v>95</v>
      </c>
    </row>
    <row r="695" customFormat="false" ht="12.75" hidden="false" customHeight="false" outlineLevel="0" collapsed="false">
      <c r="A695" s="10" t="n">
        <v>94</v>
      </c>
      <c r="B695" s="10" t="s">
        <v>360</v>
      </c>
      <c r="C695" s="62" t="n">
        <v>36825</v>
      </c>
      <c r="D695" s="12" t="s">
        <v>183</v>
      </c>
      <c r="E695" s="12" t="s">
        <v>89</v>
      </c>
      <c r="F695" s="12" t="s">
        <v>109</v>
      </c>
      <c r="G695" s="12" t="s">
        <v>342</v>
      </c>
      <c r="H695" s="63" t="n">
        <v>0</v>
      </c>
      <c r="I695" s="14" t="n">
        <f aca="false">+H695*K695</f>
        <v>0</v>
      </c>
      <c r="J695" s="85" t="n">
        <v>37104</v>
      </c>
      <c r="K695" s="13" t="n">
        <f aca="false">+K694</f>
        <v>165000</v>
      </c>
      <c r="L695" s="38" t="s">
        <v>8</v>
      </c>
      <c r="M695" s="86" t="n">
        <v>4.24</v>
      </c>
      <c r="N695" s="133" t="n">
        <f aca="false">K695*M695</f>
        <v>699600</v>
      </c>
      <c r="O695" s="134" t="n">
        <f aca="false">0.03*K695</f>
        <v>4950</v>
      </c>
      <c r="Q695" s="135" t="s">
        <v>106</v>
      </c>
      <c r="T695" s="135" t="s">
        <v>106</v>
      </c>
      <c r="AB695" s="12" t="s">
        <v>95</v>
      </c>
    </row>
    <row r="696" customFormat="false" ht="12.75" hidden="false" customHeight="false" outlineLevel="0" collapsed="false">
      <c r="A696" s="10" t="n">
        <v>94</v>
      </c>
      <c r="B696" s="10" t="s">
        <v>360</v>
      </c>
      <c r="C696" s="62" t="n">
        <v>36825</v>
      </c>
      <c r="D696" s="12" t="s">
        <v>183</v>
      </c>
      <c r="E696" s="12" t="s">
        <v>89</v>
      </c>
      <c r="F696" s="12" t="s">
        <v>109</v>
      </c>
      <c r="G696" s="12" t="s">
        <v>342</v>
      </c>
      <c r="H696" s="63" t="n">
        <v>0</v>
      </c>
      <c r="I696" s="14" t="n">
        <f aca="false">+H696*K696</f>
        <v>0</v>
      </c>
      <c r="J696" s="85" t="n">
        <v>37135</v>
      </c>
      <c r="K696" s="13" t="n">
        <f aca="false">+K695</f>
        <v>165000</v>
      </c>
      <c r="L696" s="38" t="s">
        <v>8</v>
      </c>
      <c r="M696" s="86" t="n">
        <v>4.24</v>
      </c>
      <c r="N696" s="133" t="n">
        <f aca="false">K696*M696</f>
        <v>699600</v>
      </c>
      <c r="O696" s="134" t="n">
        <f aca="false">0.03*K696</f>
        <v>4950</v>
      </c>
      <c r="Q696" s="135" t="s">
        <v>106</v>
      </c>
      <c r="T696" s="135" t="s">
        <v>106</v>
      </c>
      <c r="AB696" s="12" t="s">
        <v>95</v>
      </c>
    </row>
    <row r="697" customFormat="false" ht="12.75" hidden="false" customHeight="false" outlineLevel="1" collapsed="false">
      <c r="A697" s="10" t="n">
        <v>94</v>
      </c>
      <c r="B697" s="10" t="s">
        <v>360</v>
      </c>
      <c r="C697" s="62" t="n">
        <v>36825</v>
      </c>
      <c r="D697" s="12" t="s">
        <v>183</v>
      </c>
      <c r="E697" s="12" t="s">
        <v>89</v>
      </c>
      <c r="F697" s="12" t="s">
        <v>109</v>
      </c>
      <c r="G697" s="12" t="s">
        <v>342</v>
      </c>
      <c r="H697" s="63" t="n">
        <v>0</v>
      </c>
      <c r="I697" s="14" t="n">
        <f aca="false">+H697*K697</f>
        <v>0</v>
      </c>
      <c r="J697" s="85" t="n">
        <v>37165</v>
      </c>
      <c r="K697" s="13" t="n">
        <f aca="false">+K696</f>
        <v>165000</v>
      </c>
      <c r="L697" s="38" t="s">
        <v>8</v>
      </c>
      <c r="M697" s="86" t="n">
        <v>4.24</v>
      </c>
      <c r="N697" s="133" t="n">
        <f aca="false">K697*M697</f>
        <v>699600</v>
      </c>
      <c r="O697" s="134" t="n">
        <f aca="false">0.03*K697</f>
        <v>4950</v>
      </c>
      <c r="Q697" s="135" t="s">
        <v>106</v>
      </c>
      <c r="T697" s="135" t="s">
        <v>106</v>
      </c>
      <c r="AB697" s="12" t="s">
        <v>95</v>
      </c>
    </row>
    <row r="698" customFormat="false" ht="12.75" hidden="false" customHeight="false" outlineLevel="1" collapsed="false">
      <c r="A698" s="10" t="n">
        <v>94</v>
      </c>
      <c r="B698" s="10" t="s">
        <v>360</v>
      </c>
      <c r="C698" s="62" t="n">
        <v>36825</v>
      </c>
      <c r="D698" s="12" t="s">
        <v>183</v>
      </c>
      <c r="E698" s="12" t="s">
        <v>89</v>
      </c>
      <c r="F698" s="12" t="s">
        <v>109</v>
      </c>
      <c r="G698" s="12" t="s">
        <v>342</v>
      </c>
      <c r="H698" s="63" t="n">
        <v>0</v>
      </c>
      <c r="I698" s="14" t="n">
        <f aca="false">+H698*K698</f>
        <v>0</v>
      </c>
      <c r="J698" s="85" t="n">
        <v>37196</v>
      </c>
      <c r="K698" s="13" t="n">
        <f aca="false">+K697</f>
        <v>165000</v>
      </c>
      <c r="L698" s="38" t="s">
        <v>8</v>
      </c>
      <c r="M698" s="86" t="n">
        <v>4.24</v>
      </c>
      <c r="N698" s="133" t="n">
        <f aca="false">K698*M698</f>
        <v>699600</v>
      </c>
      <c r="O698" s="134" t="n">
        <f aca="false">0.03*K698</f>
        <v>4950</v>
      </c>
      <c r="Q698" s="135" t="s">
        <v>106</v>
      </c>
      <c r="T698" s="135" t="s">
        <v>106</v>
      </c>
      <c r="AB698" s="12" t="s">
        <v>95</v>
      </c>
    </row>
    <row r="699" customFormat="false" ht="12.75" hidden="false" customHeight="false" outlineLevel="1" collapsed="false">
      <c r="A699" s="10" t="n">
        <v>94</v>
      </c>
      <c r="B699" s="10" t="s">
        <v>360</v>
      </c>
      <c r="C699" s="62" t="n">
        <v>36825</v>
      </c>
      <c r="D699" s="12" t="s">
        <v>183</v>
      </c>
      <c r="E699" s="12" t="s">
        <v>89</v>
      </c>
      <c r="F699" s="12" t="s">
        <v>109</v>
      </c>
      <c r="G699" s="12" t="s">
        <v>342</v>
      </c>
      <c r="H699" s="63" t="n">
        <v>0</v>
      </c>
      <c r="I699" s="14" t="n">
        <f aca="false">+H699*K699</f>
        <v>0</v>
      </c>
      <c r="J699" s="85" t="n">
        <v>37226</v>
      </c>
      <c r="K699" s="13" t="n">
        <f aca="false">+K698</f>
        <v>165000</v>
      </c>
      <c r="L699" s="38" t="s">
        <v>8</v>
      </c>
      <c r="M699" s="86" t="n">
        <v>4.24</v>
      </c>
      <c r="N699" s="133" t="n">
        <f aca="false">K699*M699</f>
        <v>699600</v>
      </c>
      <c r="O699" s="134" t="n">
        <f aca="false">0.03*K699</f>
        <v>4950</v>
      </c>
      <c r="Q699" s="135" t="s">
        <v>106</v>
      </c>
      <c r="T699" s="135" t="s">
        <v>106</v>
      </c>
      <c r="AB699" s="12" t="s">
        <v>95</v>
      </c>
    </row>
    <row r="700" customFormat="false" ht="12.75" hidden="false" customHeight="false" outlineLevel="1" collapsed="false">
      <c r="A700" s="10" t="n">
        <v>94</v>
      </c>
      <c r="B700" s="10" t="s">
        <v>360</v>
      </c>
      <c r="C700" s="62" t="n">
        <v>36825</v>
      </c>
      <c r="D700" s="12" t="s">
        <v>183</v>
      </c>
      <c r="E700" s="12" t="s">
        <v>89</v>
      </c>
      <c r="F700" s="12" t="s">
        <v>109</v>
      </c>
      <c r="G700" s="12" t="s">
        <v>342</v>
      </c>
      <c r="H700" s="63" t="n">
        <v>0</v>
      </c>
      <c r="I700" s="14" t="n">
        <f aca="false">+H700*K700</f>
        <v>0</v>
      </c>
      <c r="J700" s="85" t="n">
        <v>37257</v>
      </c>
      <c r="K700" s="13" t="n">
        <f aca="false">+K699</f>
        <v>165000</v>
      </c>
      <c r="L700" s="38" t="s">
        <v>8</v>
      </c>
      <c r="M700" s="86" t="n">
        <v>4.24</v>
      </c>
      <c r="N700" s="133" t="n">
        <f aca="false">K700*M700</f>
        <v>699600</v>
      </c>
      <c r="O700" s="134" t="n">
        <f aca="false">0.03*K700</f>
        <v>4950</v>
      </c>
      <c r="Q700" s="135" t="s">
        <v>106</v>
      </c>
      <c r="T700" s="135" t="s">
        <v>106</v>
      </c>
      <c r="AB700" s="12" t="s">
        <v>95</v>
      </c>
    </row>
    <row r="701" customFormat="false" ht="12.75" hidden="false" customHeight="false" outlineLevel="1" collapsed="false">
      <c r="A701" s="10" t="n">
        <v>94</v>
      </c>
      <c r="B701" s="10" t="s">
        <v>360</v>
      </c>
      <c r="C701" s="62" t="n">
        <v>36825</v>
      </c>
      <c r="D701" s="12" t="s">
        <v>183</v>
      </c>
      <c r="E701" s="12" t="s">
        <v>89</v>
      </c>
      <c r="F701" s="12" t="s">
        <v>109</v>
      </c>
      <c r="G701" s="12" t="s">
        <v>342</v>
      </c>
      <c r="H701" s="63" t="n">
        <v>0</v>
      </c>
      <c r="I701" s="14" t="n">
        <f aca="false">+H701*K701</f>
        <v>0</v>
      </c>
      <c r="J701" s="85" t="n">
        <v>37288</v>
      </c>
      <c r="K701" s="13" t="n">
        <f aca="false">+K700</f>
        <v>165000</v>
      </c>
      <c r="L701" s="38" t="s">
        <v>8</v>
      </c>
      <c r="M701" s="86" t="n">
        <v>4.24</v>
      </c>
      <c r="N701" s="133" t="n">
        <f aca="false">K701*M701</f>
        <v>699600</v>
      </c>
      <c r="O701" s="134" t="n">
        <f aca="false">0.03*K701</f>
        <v>4950</v>
      </c>
      <c r="Q701" s="135" t="s">
        <v>106</v>
      </c>
      <c r="T701" s="135" t="s">
        <v>106</v>
      </c>
      <c r="AB701" s="12" t="s">
        <v>95</v>
      </c>
    </row>
    <row r="703" customFormat="false" ht="12.75" hidden="false" customHeight="false" outlineLevel="0" collapsed="false">
      <c r="A703" s="10" t="n">
        <v>95</v>
      </c>
      <c r="C703" s="62" t="n">
        <v>36829</v>
      </c>
      <c r="D703" s="12" t="s">
        <v>192</v>
      </c>
      <c r="E703" s="12" t="s">
        <v>89</v>
      </c>
      <c r="F703" s="12" t="s">
        <v>109</v>
      </c>
      <c r="G703" s="12" t="s">
        <v>342</v>
      </c>
      <c r="H703" s="63" t="n">
        <v>0</v>
      </c>
      <c r="I703" s="14" t="n">
        <f aca="false">+H703*K703</f>
        <v>0</v>
      </c>
      <c r="J703" s="85" t="n">
        <v>36861</v>
      </c>
      <c r="K703" s="13" t="n">
        <v>60000</v>
      </c>
      <c r="L703" s="38" t="s">
        <v>8</v>
      </c>
      <c r="M703" s="86" t="n">
        <v>4.44</v>
      </c>
      <c r="N703" s="133" t="n">
        <f aca="false">K703*M703</f>
        <v>266400</v>
      </c>
      <c r="O703" s="134" t="n">
        <f aca="false">0.0075*K703</f>
        <v>450</v>
      </c>
      <c r="Q703" s="135" t="n">
        <v>6</v>
      </c>
      <c r="T703" s="134" t="n">
        <f aca="false">-(M703-Q703)*K703</f>
        <v>93600</v>
      </c>
      <c r="Y703" s="12" t="s">
        <v>340</v>
      </c>
      <c r="AB703" s="12" t="s">
        <v>95</v>
      </c>
    </row>
    <row r="704" customFormat="false" ht="12.75" hidden="false" customHeight="false" outlineLevel="0" collapsed="false">
      <c r="A704" s="10" t="n">
        <v>95</v>
      </c>
      <c r="C704" s="62" t="n">
        <v>36829</v>
      </c>
      <c r="D704" s="12" t="s">
        <v>192</v>
      </c>
      <c r="E704" s="12" t="s">
        <v>89</v>
      </c>
      <c r="F704" s="12" t="s">
        <v>109</v>
      </c>
      <c r="G704" s="12" t="s">
        <v>342</v>
      </c>
      <c r="J704" s="85" t="n">
        <v>36892</v>
      </c>
      <c r="K704" s="13" t="n">
        <f aca="false">+K703</f>
        <v>60000</v>
      </c>
      <c r="L704" s="38" t="s">
        <v>8</v>
      </c>
      <c r="M704" s="86" t="n">
        <v>4.4825</v>
      </c>
      <c r="N704" s="133" t="n">
        <f aca="false">K704*M704</f>
        <v>268950</v>
      </c>
      <c r="O704" s="134" t="n">
        <f aca="false">0.005*K704</f>
        <v>300</v>
      </c>
      <c r="Q704" s="135" t="n">
        <v>9.84</v>
      </c>
      <c r="T704" s="134" t="n">
        <f aca="false">-(M704-Q704)*K704</f>
        <v>321450</v>
      </c>
      <c r="AB704" s="12" t="s">
        <v>95</v>
      </c>
    </row>
    <row r="706" customFormat="false" ht="12.75" hidden="false" customHeight="false" outlineLevel="0" collapsed="false">
      <c r="A706" s="10" t="n">
        <v>96</v>
      </c>
      <c r="C706" s="62" t="n">
        <v>36832</v>
      </c>
      <c r="D706" s="12" t="s">
        <v>218</v>
      </c>
      <c r="F706" s="12" t="s">
        <v>109</v>
      </c>
      <c r="G706" s="12" t="s">
        <v>92</v>
      </c>
      <c r="H706" s="63" t="n">
        <v>0.31</v>
      </c>
      <c r="I706" s="14" t="n">
        <f aca="false">+H706*K706</f>
        <v>3875</v>
      </c>
      <c r="J706" s="85" t="n">
        <v>36861</v>
      </c>
      <c r="K706" s="13" t="n">
        <v>12500</v>
      </c>
      <c r="L706" s="38" t="s">
        <v>8</v>
      </c>
      <c r="M706" s="86" t="n">
        <v>5.3</v>
      </c>
      <c r="N706" s="133" t="n">
        <f aca="false">K706*M706</f>
        <v>66250</v>
      </c>
      <c r="O706" s="134" t="n">
        <f aca="false">0*K706</f>
        <v>0</v>
      </c>
      <c r="Q706" s="135" t="n">
        <v>6</v>
      </c>
      <c r="T706" s="134" t="n">
        <f aca="false">(M706-Q706)*K706</f>
        <v>-8750</v>
      </c>
      <c r="Y706" s="12" t="s">
        <v>307</v>
      </c>
      <c r="AB706" s="12" t="s">
        <v>95</v>
      </c>
    </row>
    <row r="707" customFormat="false" ht="12.75" hidden="false" customHeight="false" outlineLevel="0" collapsed="false">
      <c r="A707" s="10" t="n">
        <v>96</v>
      </c>
      <c r="C707" s="62" t="n">
        <v>36832</v>
      </c>
      <c r="D707" s="12" t="s">
        <v>218</v>
      </c>
      <c r="F707" s="12" t="s">
        <v>109</v>
      </c>
      <c r="G707" s="12" t="s">
        <v>92</v>
      </c>
      <c r="H707" s="63" t="n">
        <v>0.31</v>
      </c>
      <c r="I707" s="14" t="n">
        <f aca="false">+H707*K707</f>
        <v>3875</v>
      </c>
      <c r="J707" s="85" t="n">
        <v>36892</v>
      </c>
      <c r="K707" s="13" t="n">
        <f aca="false">+K706</f>
        <v>12500</v>
      </c>
      <c r="L707" s="38" t="s">
        <v>8</v>
      </c>
      <c r="M707" s="86" t="n">
        <v>5.3</v>
      </c>
      <c r="N707" s="133" t="n">
        <f aca="false">K707*M707</f>
        <v>66250</v>
      </c>
      <c r="O707" s="134" t="n">
        <f aca="false">0*K707</f>
        <v>0</v>
      </c>
      <c r="Q707" s="135" t="n">
        <v>9.84</v>
      </c>
      <c r="T707" s="134" t="n">
        <f aca="false">(5.3-Q707)*K707</f>
        <v>-56750</v>
      </c>
      <c r="AB707" s="12" t="s">
        <v>95</v>
      </c>
    </row>
    <row r="708" customFormat="false" ht="12.75" hidden="false" customHeight="false" outlineLevel="0" collapsed="false">
      <c r="A708" s="10" t="n">
        <v>96</v>
      </c>
      <c r="C708" s="62" t="n">
        <v>36832</v>
      </c>
      <c r="D708" s="12" t="s">
        <v>218</v>
      </c>
      <c r="F708" s="12" t="s">
        <v>109</v>
      </c>
      <c r="G708" s="12" t="s">
        <v>92</v>
      </c>
      <c r="H708" s="63" t="n">
        <v>0.31</v>
      </c>
      <c r="I708" s="14" t="n">
        <f aca="false">+H708*K708</f>
        <v>3875</v>
      </c>
      <c r="J708" s="85" t="n">
        <v>36923</v>
      </c>
      <c r="K708" s="13" t="n">
        <f aca="false">+K707</f>
        <v>12500</v>
      </c>
      <c r="L708" s="38" t="s">
        <v>8</v>
      </c>
      <c r="M708" s="86" t="n">
        <v>5.3</v>
      </c>
      <c r="N708" s="133" t="n">
        <f aca="false">K708*M708</f>
        <v>66250</v>
      </c>
      <c r="O708" s="134" t="n">
        <f aca="false">0*K708</f>
        <v>0</v>
      </c>
      <c r="AB708" s="12" t="s">
        <v>95</v>
      </c>
    </row>
    <row r="709" customFormat="false" ht="12.75" hidden="false" customHeight="false" outlineLevel="0" collapsed="false">
      <c r="A709" s="10" t="n">
        <v>96</v>
      </c>
      <c r="C709" s="62" t="n">
        <v>36832</v>
      </c>
      <c r="D709" s="12" t="s">
        <v>218</v>
      </c>
      <c r="F709" s="12" t="s">
        <v>109</v>
      </c>
      <c r="G709" s="12" t="s">
        <v>92</v>
      </c>
      <c r="H709" s="63" t="n">
        <v>0.31</v>
      </c>
      <c r="I709" s="14" t="n">
        <f aca="false">+H709*K709</f>
        <v>3875</v>
      </c>
      <c r="J709" s="85" t="n">
        <v>36951</v>
      </c>
      <c r="K709" s="13" t="n">
        <f aca="false">+K708</f>
        <v>12500</v>
      </c>
      <c r="L709" s="38" t="s">
        <v>8</v>
      </c>
      <c r="M709" s="86" t="n">
        <v>5.3</v>
      </c>
      <c r="N709" s="133" t="n">
        <f aca="false">K709*M709</f>
        <v>66250</v>
      </c>
      <c r="O709" s="134" t="n">
        <f aca="false">0*K709</f>
        <v>0</v>
      </c>
      <c r="AB709" s="12" t="s">
        <v>95</v>
      </c>
    </row>
    <row r="710" customFormat="false" ht="12.75" hidden="false" customHeight="false" outlineLevel="0" collapsed="false">
      <c r="J710" s="85"/>
      <c r="M710" s="86"/>
    </row>
    <row r="711" customFormat="false" ht="12.75" hidden="false" customHeight="false" outlineLevel="0" collapsed="false">
      <c r="A711" s="10" t="n">
        <v>97</v>
      </c>
      <c r="C711" s="62" t="n">
        <v>36833</v>
      </c>
      <c r="D711" s="12" t="s">
        <v>218</v>
      </c>
      <c r="F711" s="12" t="s">
        <v>109</v>
      </c>
      <c r="G711" s="12" t="s">
        <v>92</v>
      </c>
      <c r="H711" s="63" t="n">
        <v>0.3475</v>
      </c>
      <c r="I711" s="14" t="n">
        <f aca="false">+H711*K711</f>
        <v>16332.5</v>
      </c>
      <c r="J711" s="85" t="n">
        <v>36861</v>
      </c>
      <c r="K711" s="13" t="n">
        <v>47000</v>
      </c>
      <c r="L711" s="38" t="s">
        <v>8</v>
      </c>
      <c r="M711" s="86" t="n">
        <v>5.3</v>
      </c>
      <c r="N711" s="133" t="n">
        <f aca="false">K711*M711</f>
        <v>249100</v>
      </c>
      <c r="O711" s="134" t="n">
        <f aca="false">0.0025*K711</f>
        <v>117.5</v>
      </c>
      <c r="Q711" s="135" t="n">
        <v>6</v>
      </c>
      <c r="T711" s="134" t="n">
        <f aca="false">(M711-Q711)*K711</f>
        <v>-32900</v>
      </c>
      <c r="Y711" s="12" t="s">
        <v>307</v>
      </c>
      <c r="AB711" s="12" t="s">
        <v>95</v>
      </c>
    </row>
    <row r="712" customFormat="false" ht="12.75" hidden="false" customHeight="false" outlineLevel="0" collapsed="false">
      <c r="A712" s="10" t="n">
        <v>97</v>
      </c>
      <c r="C712" s="62" t="n">
        <v>36833</v>
      </c>
      <c r="D712" s="12" t="s">
        <v>218</v>
      </c>
      <c r="F712" s="12" t="s">
        <v>109</v>
      </c>
      <c r="G712" s="12" t="s">
        <v>92</v>
      </c>
      <c r="H712" s="63" t="n">
        <v>0.3475</v>
      </c>
      <c r="I712" s="14" t="n">
        <f aca="false">+H712*K712</f>
        <v>16332.5</v>
      </c>
      <c r="J712" s="85" t="n">
        <v>36892</v>
      </c>
      <c r="K712" s="13" t="n">
        <f aca="false">+K711</f>
        <v>47000</v>
      </c>
      <c r="L712" s="38" t="s">
        <v>8</v>
      </c>
      <c r="M712" s="86" t="n">
        <v>5.3</v>
      </c>
      <c r="N712" s="133" t="n">
        <f aca="false">K712*M712</f>
        <v>249100</v>
      </c>
      <c r="O712" s="134" t="n">
        <f aca="false">0.0025*K712</f>
        <v>117.5</v>
      </c>
      <c r="Q712" s="135" t="n">
        <v>9.84</v>
      </c>
      <c r="T712" s="134" t="n">
        <f aca="false">(5.3-Q712)*K712</f>
        <v>-213380</v>
      </c>
      <c r="AB712" s="12" t="s">
        <v>95</v>
      </c>
    </row>
    <row r="713" customFormat="false" ht="12.75" hidden="false" customHeight="false" outlineLevel="0" collapsed="false">
      <c r="A713" s="10" t="n">
        <v>97</v>
      </c>
      <c r="C713" s="62" t="n">
        <v>36833</v>
      </c>
      <c r="D713" s="12" t="s">
        <v>218</v>
      </c>
      <c r="F713" s="12" t="s">
        <v>109</v>
      </c>
      <c r="G713" s="12" t="s">
        <v>92</v>
      </c>
      <c r="H713" s="63" t="n">
        <v>0.3475</v>
      </c>
      <c r="I713" s="14" t="n">
        <f aca="false">+H713*K713</f>
        <v>16332.5</v>
      </c>
      <c r="J713" s="85" t="n">
        <v>36923</v>
      </c>
      <c r="K713" s="13" t="n">
        <f aca="false">+K712</f>
        <v>47000</v>
      </c>
      <c r="L713" s="38" t="s">
        <v>8</v>
      </c>
      <c r="M713" s="86" t="n">
        <v>5.3</v>
      </c>
      <c r="N713" s="133" t="n">
        <f aca="false">K713*M713</f>
        <v>249100</v>
      </c>
      <c r="O713" s="134" t="n">
        <f aca="false">0.0025*K713</f>
        <v>117.5</v>
      </c>
      <c r="AB713" s="12" t="s">
        <v>95</v>
      </c>
    </row>
    <row r="714" customFormat="false" ht="12.75" hidden="false" customHeight="false" outlineLevel="0" collapsed="false">
      <c r="A714" s="10" t="n">
        <v>97</v>
      </c>
      <c r="C714" s="62" t="n">
        <v>36833</v>
      </c>
      <c r="D714" s="12" t="s">
        <v>218</v>
      </c>
      <c r="F714" s="12" t="s">
        <v>109</v>
      </c>
      <c r="G714" s="12" t="s">
        <v>92</v>
      </c>
      <c r="H714" s="63" t="n">
        <v>0.3475</v>
      </c>
      <c r="I714" s="14" t="n">
        <f aca="false">+H714*K714</f>
        <v>16332.5</v>
      </c>
      <c r="J714" s="85" t="n">
        <v>36951</v>
      </c>
      <c r="K714" s="13" t="n">
        <f aca="false">+K713</f>
        <v>47000</v>
      </c>
      <c r="L714" s="38" t="s">
        <v>8</v>
      </c>
      <c r="M714" s="86" t="n">
        <v>5.3</v>
      </c>
      <c r="N714" s="133" t="n">
        <f aca="false">K714*M714</f>
        <v>249100</v>
      </c>
      <c r="O714" s="134" t="n">
        <f aca="false">0.0025*K714</f>
        <v>117.5</v>
      </c>
      <c r="AB714" s="12" t="s">
        <v>95</v>
      </c>
    </row>
    <row r="716" customFormat="false" ht="12.75" hidden="false" customHeight="false" outlineLevel="0" collapsed="false">
      <c r="A716" s="10" t="n">
        <v>98</v>
      </c>
      <c r="C716" s="62" t="n">
        <v>36839</v>
      </c>
      <c r="D716" s="12" t="s">
        <v>34</v>
      </c>
      <c r="E716" s="12" t="s">
        <v>89</v>
      </c>
      <c r="F716" s="12" t="s">
        <v>235</v>
      </c>
      <c r="G716" s="12" t="s">
        <v>342</v>
      </c>
      <c r="H716" s="63" t="n">
        <v>0</v>
      </c>
      <c r="I716" s="14" t="n">
        <f aca="false">+H716*K716</f>
        <v>0</v>
      </c>
      <c r="J716" s="85" t="n">
        <v>36617</v>
      </c>
      <c r="K716" s="13" t="n">
        <v>805151</v>
      </c>
      <c r="L716" s="38" t="s">
        <v>8</v>
      </c>
      <c r="M716" s="86" t="n">
        <v>4.5</v>
      </c>
      <c r="N716" s="133" t="n">
        <f aca="false">K716*M716</f>
        <v>3623179.5</v>
      </c>
      <c r="O716" s="134" t="n">
        <f aca="false">0.02*K716</f>
        <v>16103.02</v>
      </c>
      <c r="R716" s="136" t="n">
        <v>4.62</v>
      </c>
      <c r="U716" s="134" t="n">
        <f aca="false">(M716-R716)*K716</f>
        <v>-96618.1200000001</v>
      </c>
      <c r="Y716" s="12" t="s">
        <v>107</v>
      </c>
      <c r="AA716" s="10" t="s">
        <v>94</v>
      </c>
      <c r="AB716" s="12" t="s">
        <v>95</v>
      </c>
    </row>
    <row r="717" customFormat="false" ht="12.75" hidden="false" customHeight="false" outlineLevel="0" collapsed="false">
      <c r="A717" s="10" t="n">
        <v>98</v>
      </c>
      <c r="C717" s="62" t="n">
        <v>36839</v>
      </c>
      <c r="D717" s="12" t="s">
        <v>34</v>
      </c>
      <c r="E717" s="12" t="s">
        <v>89</v>
      </c>
      <c r="F717" s="12" t="s">
        <v>235</v>
      </c>
      <c r="G717" s="12" t="s">
        <v>342</v>
      </c>
      <c r="H717" s="63" t="n">
        <v>0</v>
      </c>
      <c r="I717" s="14" t="n">
        <f aca="false">+H717*K717</f>
        <v>0</v>
      </c>
      <c r="J717" s="85" t="n">
        <v>36647</v>
      </c>
      <c r="K717" s="13" t="n">
        <v>805151</v>
      </c>
      <c r="L717" s="38" t="s">
        <v>8</v>
      </c>
      <c r="M717" s="86" t="n">
        <v>4.5</v>
      </c>
      <c r="N717" s="133" t="n">
        <f aca="false">K717*M717</f>
        <v>3623179.5</v>
      </c>
      <c r="O717" s="134" t="n">
        <f aca="false">0.02*K717</f>
        <v>16103.02</v>
      </c>
      <c r="R717" s="136" t="n">
        <v>4.527</v>
      </c>
      <c r="U717" s="134" t="n">
        <f aca="false">(M717-R717)*K717</f>
        <v>-21739.0769999994</v>
      </c>
      <c r="AA717" s="10" t="s">
        <v>94</v>
      </c>
      <c r="AB717" s="12" t="s">
        <v>95</v>
      </c>
    </row>
    <row r="718" customFormat="false" ht="12.75" hidden="false" customHeight="false" outlineLevel="0" collapsed="false">
      <c r="A718" s="10" t="n">
        <v>98</v>
      </c>
      <c r="C718" s="62" t="n">
        <v>36839</v>
      </c>
      <c r="D718" s="12" t="s">
        <v>34</v>
      </c>
      <c r="E718" s="12" t="s">
        <v>89</v>
      </c>
      <c r="F718" s="12" t="s">
        <v>235</v>
      </c>
      <c r="G718" s="12" t="s">
        <v>342</v>
      </c>
      <c r="H718" s="63" t="n">
        <v>0</v>
      </c>
      <c r="I718" s="14" t="n">
        <f aca="false">+H718*K718</f>
        <v>0</v>
      </c>
      <c r="J718" s="85" t="n">
        <v>36678</v>
      </c>
      <c r="K718" s="13" t="n">
        <v>805151</v>
      </c>
      <c r="L718" s="38" t="s">
        <v>8</v>
      </c>
      <c r="M718" s="86" t="n">
        <v>4.5</v>
      </c>
      <c r="N718" s="133" t="n">
        <f aca="false">K718*M718</f>
        <v>3623179.5</v>
      </c>
      <c r="O718" s="134" t="n">
        <f aca="false">0.02*K718</f>
        <v>16103.02</v>
      </c>
      <c r="R718" s="136" t="n">
        <v>4.52</v>
      </c>
      <c r="U718" s="134" t="n">
        <f aca="false">(M718-R718)*K718</f>
        <v>-16103.0199999997</v>
      </c>
      <c r="AA718" s="10" t="s">
        <v>94</v>
      </c>
      <c r="AB718" s="12" t="s">
        <v>95</v>
      </c>
    </row>
    <row r="719" customFormat="false" ht="12.75" hidden="false" customHeight="false" outlineLevel="0" collapsed="false">
      <c r="A719" s="10" t="n">
        <v>98</v>
      </c>
      <c r="C719" s="62" t="n">
        <v>36839</v>
      </c>
      <c r="D719" s="12" t="s">
        <v>34</v>
      </c>
      <c r="E719" s="12" t="s">
        <v>89</v>
      </c>
      <c r="F719" s="12" t="s">
        <v>235</v>
      </c>
      <c r="G719" s="12" t="s">
        <v>342</v>
      </c>
      <c r="H719" s="63" t="n">
        <v>0</v>
      </c>
      <c r="I719" s="14" t="n">
        <f aca="false">+H719*K719</f>
        <v>0</v>
      </c>
      <c r="J719" s="85" t="n">
        <v>36708</v>
      </c>
      <c r="K719" s="13" t="n">
        <v>805151</v>
      </c>
      <c r="L719" s="38" t="s">
        <v>8</v>
      </c>
      <c r="M719" s="86" t="n">
        <v>4.5</v>
      </c>
      <c r="N719" s="133" t="n">
        <f aca="false">K719*M719</f>
        <v>3623179.5</v>
      </c>
      <c r="O719" s="134" t="n">
        <f aca="false">0.02*K719</f>
        <v>16103.02</v>
      </c>
      <c r="R719" s="136" t="n">
        <v>4.507</v>
      </c>
      <c r="U719" s="134" t="n">
        <f aca="false">(M719-R719)*K719</f>
        <v>-5636.05699999974</v>
      </c>
      <c r="AA719" s="10" t="s">
        <v>94</v>
      </c>
      <c r="AB719" s="12" t="s">
        <v>95</v>
      </c>
    </row>
    <row r="720" customFormat="false" ht="12.75" hidden="false" customHeight="false" outlineLevel="0" collapsed="false">
      <c r="A720" s="10" t="n">
        <v>98</v>
      </c>
      <c r="C720" s="62" t="n">
        <v>36839</v>
      </c>
      <c r="D720" s="12" t="s">
        <v>34</v>
      </c>
      <c r="E720" s="12" t="s">
        <v>89</v>
      </c>
      <c r="F720" s="12" t="s">
        <v>235</v>
      </c>
      <c r="G720" s="12" t="s">
        <v>342</v>
      </c>
      <c r="H720" s="63" t="n">
        <v>0</v>
      </c>
      <c r="I720" s="14" t="n">
        <f aca="false">+H720*K720</f>
        <v>0</v>
      </c>
      <c r="J720" s="85" t="n">
        <v>36739</v>
      </c>
      <c r="K720" s="13" t="n">
        <v>805151</v>
      </c>
      <c r="L720" s="38" t="s">
        <v>8</v>
      </c>
      <c r="M720" s="86" t="n">
        <v>4.5</v>
      </c>
      <c r="N720" s="133" t="n">
        <f aca="false">K720*M720</f>
        <v>3623179.5</v>
      </c>
      <c r="O720" s="134" t="n">
        <f aca="false">0.02*K720</f>
        <v>16103.02</v>
      </c>
      <c r="R720" s="136" t="n">
        <v>4.52</v>
      </c>
      <c r="U720" s="134" t="n">
        <f aca="false">(M720-R720)*K720</f>
        <v>-16103.0199999997</v>
      </c>
      <c r="AA720" s="10" t="s">
        <v>94</v>
      </c>
      <c r="AB720" s="12" t="s">
        <v>95</v>
      </c>
    </row>
    <row r="721" customFormat="false" ht="12.75" hidden="false" customHeight="false" outlineLevel="0" collapsed="false">
      <c r="A721" s="10" t="n">
        <v>98</v>
      </c>
      <c r="C721" s="62" t="n">
        <v>36839</v>
      </c>
      <c r="D721" s="12" t="s">
        <v>34</v>
      </c>
      <c r="E721" s="12" t="s">
        <v>89</v>
      </c>
      <c r="F721" s="12" t="s">
        <v>235</v>
      </c>
      <c r="G721" s="12" t="s">
        <v>342</v>
      </c>
      <c r="H721" s="63" t="n">
        <v>0</v>
      </c>
      <c r="I721" s="14" t="n">
        <f aca="false">+H721*K721</f>
        <v>0</v>
      </c>
      <c r="J721" s="85" t="n">
        <v>36770</v>
      </c>
      <c r="K721" s="13" t="n">
        <v>805151</v>
      </c>
      <c r="L721" s="38" t="s">
        <v>8</v>
      </c>
      <c r="M721" s="86" t="n">
        <v>4.5</v>
      </c>
      <c r="N721" s="133" t="n">
        <f aca="false">K721*M721</f>
        <v>3623179.5</v>
      </c>
      <c r="O721" s="134" t="n">
        <f aca="false">0.02*K721</f>
        <v>16103.02</v>
      </c>
      <c r="R721" s="136" t="n">
        <v>4.51</v>
      </c>
      <c r="U721" s="134" t="n">
        <f aca="false">(M721-R721)*K721</f>
        <v>-8051.50999999983</v>
      </c>
      <c r="AA721" s="10" t="s">
        <v>94</v>
      </c>
      <c r="AB721" s="12" t="s">
        <v>95</v>
      </c>
    </row>
    <row r="723" customFormat="false" ht="12.75" hidden="false" customHeight="false" outlineLevel="0" collapsed="false">
      <c r="A723" s="10" t="n">
        <v>99</v>
      </c>
      <c r="B723" s="10" t="s">
        <v>361</v>
      </c>
      <c r="C723" s="62" t="n">
        <v>36843</v>
      </c>
      <c r="D723" s="12" t="s">
        <v>183</v>
      </c>
      <c r="E723" s="12" t="s">
        <v>89</v>
      </c>
      <c r="F723" s="12" t="s">
        <v>109</v>
      </c>
      <c r="G723" s="20" t="s">
        <v>362</v>
      </c>
      <c r="J723" s="164" t="s">
        <v>221</v>
      </c>
      <c r="M723" s="86"/>
      <c r="O723" s="134" t="n">
        <v>0</v>
      </c>
      <c r="T723" s="134" t="n">
        <v>-450466</v>
      </c>
      <c r="AB723" s="12" t="s">
        <v>95</v>
      </c>
    </row>
    <row r="725" customFormat="false" ht="12.75" hidden="false" customHeight="false" outlineLevel="0" collapsed="false">
      <c r="A725" s="10" t="n">
        <v>100</v>
      </c>
      <c r="C725" s="62" t="n">
        <v>36861</v>
      </c>
      <c r="D725" s="12" t="s">
        <v>183</v>
      </c>
      <c r="E725" s="12" t="s">
        <v>89</v>
      </c>
      <c r="F725" s="12" t="s">
        <v>109</v>
      </c>
      <c r="G725" s="12" t="s">
        <v>342</v>
      </c>
      <c r="H725" s="63" t="n">
        <v>0</v>
      </c>
      <c r="I725" s="14" t="n">
        <f aca="false">+H725*K725</f>
        <v>0</v>
      </c>
      <c r="J725" s="85" t="n">
        <v>37316</v>
      </c>
      <c r="K725" s="13" t="n">
        <v>165000</v>
      </c>
      <c r="L725" s="38" t="s">
        <v>8</v>
      </c>
      <c r="M725" s="86" t="n">
        <v>4.05</v>
      </c>
      <c r="N725" s="133" t="n">
        <f aca="false">K725*M725</f>
        <v>668250</v>
      </c>
      <c r="O725" s="134" t="n">
        <f aca="false">0.0275*K725</f>
        <v>4537.5</v>
      </c>
      <c r="Q725" s="135" t="s">
        <v>106</v>
      </c>
      <c r="T725" s="135" t="s">
        <v>106</v>
      </c>
      <c r="AB725" s="12" t="s">
        <v>95</v>
      </c>
    </row>
    <row r="726" customFormat="false" ht="12.75" hidden="false" customHeight="false" outlineLevel="0" collapsed="false">
      <c r="A726" s="10" t="n">
        <v>100</v>
      </c>
      <c r="C726" s="62" t="n">
        <v>36861</v>
      </c>
      <c r="D726" s="12" t="s">
        <v>183</v>
      </c>
      <c r="E726" s="12" t="s">
        <v>89</v>
      </c>
      <c r="F726" s="12" t="s">
        <v>109</v>
      </c>
      <c r="G726" s="12" t="s">
        <v>342</v>
      </c>
      <c r="H726" s="63" t="n">
        <v>0</v>
      </c>
      <c r="I726" s="14" t="n">
        <f aca="false">+H726*K726</f>
        <v>0</v>
      </c>
      <c r="J726" s="85" t="n">
        <v>37347</v>
      </c>
      <c r="K726" s="13" t="n">
        <f aca="false">+K725</f>
        <v>165000</v>
      </c>
      <c r="L726" s="38" t="s">
        <v>8</v>
      </c>
      <c r="M726" s="86" t="n">
        <f aca="false">+M725</f>
        <v>4.05</v>
      </c>
      <c r="N726" s="133" t="n">
        <f aca="false">K726*M726</f>
        <v>668250</v>
      </c>
      <c r="O726" s="134" t="n">
        <f aca="false">0.0275*K726</f>
        <v>4537.5</v>
      </c>
      <c r="Q726" s="135" t="s">
        <v>106</v>
      </c>
      <c r="T726" s="135" t="s">
        <v>106</v>
      </c>
      <c r="AB726" s="12" t="s">
        <v>95</v>
      </c>
    </row>
    <row r="727" customFormat="false" ht="12.75" hidden="false" customHeight="false" outlineLevel="1" collapsed="false">
      <c r="A727" s="10" t="n">
        <v>100</v>
      </c>
      <c r="C727" s="62" t="n">
        <v>36861</v>
      </c>
      <c r="D727" s="12" t="s">
        <v>183</v>
      </c>
      <c r="E727" s="12" t="s">
        <v>89</v>
      </c>
      <c r="F727" s="12" t="s">
        <v>109</v>
      </c>
      <c r="G727" s="12" t="s">
        <v>342</v>
      </c>
      <c r="H727" s="63" t="n">
        <v>0</v>
      </c>
      <c r="I727" s="14" t="n">
        <f aca="false">+H727*K727</f>
        <v>0</v>
      </c>
      <c r="J727" s="85" t="n">
        <v>37377</v>
      </c>
      <c r="K727" s="13" t="n">
        <f aca="false">+K726</f>
        <v>165000</v>
      </c>
      <c r="L727" s="38" t="s">
        <v>8</v>
      </c>
      <c r="M727" s="86" t="n">
        <f aca="false">+M726</f>
        <v>4.05</v>
      </c>
      <c r="N727" s="133" t="n">
        <f aca="false">K727*M727</f>
        <v>668250</v>
      </c>
      <c r="O727" s="134" t="n">
        <f aca="false">0.0275*K727</f>
        <v>4537.5</v>
      </c>
      <c r="Q727" s="135" t="s">
        <v>106</v>
      </c>
      <c r="T727" s="135" t="s">
        <v>106</v>
      </c>
      <c r="AB727" s="12" t="s">
        <v>95</v>
      </c>
    </row>
    <row r="728" customFormat="false" ht="12.75" hidden="false" customHeight="false" outlineLevel="1" collapsed="false">
      <c r="A728" s="10" t="n">
        <v>100</v>
      </c>
      <c r="C728" s="62" t="n">
        <v>36861</v>
      </c>
      <c r="D728" s="12" t="s">
        <v>183</v>
      </c>
      <c r="E728" s="12" t="s">
        <v>89</v>
      </c>
      <c r="F728" s="12" t="s">
        <v>109</v>
      </c>
      <c r="G728" s="12" t="s">
        <v>342</v>
      </c>
      <c r="H728" s="63" t="n">
        <v>0</v>
      </c>
      <c r="I728" s="14" t="n">
        <f aca="false">+H728*K728</f>
        <v>0</v>
      </c>
      <c r="J728" s="85" t="n">
        <v>37408</v>
      </c>
      <c r="K728" s="13" t="n">
        <f aca="false">+K727</f>
        <v>165000</v>
      </c>
      <c r="L728" s="38" t="s">
        <v>8</v>
      </c>
      <c r="M728" s="86" t="n">
        <f aca="false">+M727</f>
        <v>4.05</v>
      </c>
      <c r="N728" s="133" t="n">
        <f aca="false">K728*M728</f>
        <v>668250</v>
      </c>
      <c r="O728" s="134" t="n">
        <f aca="false">0.0275*K728</f>
        <v>4537.5</v>
      </c>
      <c r="Q728" s="135" t="s">
        <v>106</v>
      </c>
      <c r="T728" s="135" t="s">
        <v>106</v>
      </c>
      <c r="AB728" s="12" t="s">
        <v>95</v>
      </c>
    </row>
    <row r="729" customFormat="false" ht="12.75" hidden="false" customHeight="false" outlineLevel="1" collapsed="false">
      <c r="A729" s="10" t="n">
        <v>100</v>
      </c>
      <c r="C729" s="62" t="n">
        <v>36861</v>
      </c>
      <c r="D729" s="12" t="s">
        <v>183</v>
      </c>
      <c r="E729" s="12" t="s">
        <v>89</v>
      </c>
      <c r="F729" s="12" t="s">
        <v>109</v>
      </c>
      <c r="G729" s="12" t="s">
        <v>342</v>
      </c>
      <c r="H729" s="63" t="n">
        <v>0</v>
      </c>
      <c r="I729" s="14" t="n">
        <f aca="false">+H729*K729</f>
        <v>0</v>
      </c>
      <c r="J729" s="85" t="n">
        <v>37438</v>
      </c>
      <c r="K729" s="13" t="n">
        <f aca="false">+K728</f>
        <v>165000</v>
      </c>
      <c r="L729" s="38" t="s">
        <v>8</v>
      </c>
      <c r="M729" s="86" t="n">
        <f aca="false">+M728</f>
        <v>4.05</v>
      </c>
      <c r="N729" s="133" t="n">
        <f aca="false">K729*M729</f>
        <v>668250</v>
      </c>
      <c r="O729" s="134" t="n">
        <f aca="false">0.0275*K729</f>
        <v>4537.5</v>
      </c>
      <c r="Q729" s="135" t="s">
        <v>106</v>
      </c>
      <c r="T729" s="135" t="s">
        <v>106</v>
      </c>
      <c r="AB729" s="12" t="s">
        <v>95</v>
      </c>
    </row>
    <row r="730" customFormat="false" ht="12.75" hidden="false" customHeight="false" outlineLevel="1" collapsed="false">
      <c r="A730" s="10" t="n">
        <v>100</v>
      </c>
      <c r="C730" s="62" t="n">
        <v>36861</v>
      </c>
      <c r="D730" s="12" t="s">
        <v>183</v>
      </c>
      <c r="E730" s="12" t="s">
        <v>89</v>
      </c>
      <c r="F730" s="12" t="s">
        <v>109</v>
      </c>
      <c r="G730" s="12" t="s">
        <v>342</v>
      </c>
      <c r="H730" s="63" t="n">
        <v>0</v>
      </c>
      <c r="I730" s="14" t="n">
        <f aca="false">+H730*K730</f>
        <v>0</v>
      </c>
      <c r="J730" s="85" t="n">
        <v>37469</v>
      </c>
      <c r="K730" s="13" t="n">
        <f aca="false">+K729</f>
        <v>165000</v>
      </c>
      <c r="L730" s="38" t="s">
        <v>8</v>
      </c>
      <c r="M730" s="86" t="n">
        <f aca="false">+M729</f>
        <v>4.05</v>
      </c>
      <c r="N730" s="133" t="n">
        <f aca="false">K730*M730</f>
        <v>668250</v>
      </c>
      <c r="O730" s="134" t="n">
        <f aca="false">0.0275*K730</f>
        <v>4537.5</v>
      </c>
      <c r="Q730" s="135" t="s">
        <v>106</v>
      </c>
      <c r="T730" s="135" t="s">
        <v>106</v>
      </c>
      <c r="AB730" s="12" t="s">
        <v>95</v>
      </c>
    </row>
    <row r="731" customFormat="false" ht="12.75" hidden="false" customHeight="false" outlineLevel="1" collapsed="false">
      <c r="A731" s="10" t="n">
        <v>100</v>
      </c>
      <c r="C731" s="62" t="n">
        <v>36861</v>
      </c>
      <c r="D731" s="12" t="s">
        <v>183</v>
      </c>
      <c r="E731" s="12" t="s">
        <v>89</v>
      </c>
      <c r="F731" s="12" t="s">
        <v>109</v>
      </c>
      <c r="G731" s="12" t="s">
        <v>342</v>
      </c>
      <c r="H731" s="63" t="n">
        <v>0</v>
      </c>
      <c r="I731" s="14" t="n">
        <f aca="false">+H731*K731</f>
        <v>0</v>
      </c>
      <c r="J731" s="85" t="n">
        <v>37500</v>
      </c>
      <c r="K731" s="13" t="n">
        <f aca="false">+K730</f>
        <v>165000</v>
      </c>
      <c r="L731" s="38" t="s">
        <v>8</v>
      </c>
      <c r="M731" s="86" t="n">
        <f aca="false">+M730</f>
        <v>4.05</v>
      </c>
      <c r="N731" s="133" t="n">
        <f aca="false">K731*M731</f>
        <v>668250</v>
      </c>
      <c r="O731" s="134" t="n">
        <f aca="false">0.0275*K731</f>
        <v>4537.5</v>
      </c>
      <c r="Q731" s="135" t="s">
        <v>106</v>
      </c>
      <c r="T731" s="135" t="s">
        <v>106</v>
      </c>
      <c r="AB731" s="12" t="s">
        <v>95</v>
      </c>
    </row>
    <row r="732" customFormat="false" ht="12.75" hidden="false" customHeight="false" outlineLevel="1" collapsed="false">
      <c r="A732" s="10" t="n">
        <v>100</v>
      </c>
      <c r="C732" s="62" t="n">
        <v>36861</v>
      </c>
      <c r="D732" s="12" t="s">
        <v>183</v>
      </c>
      <c r="E732" s="12" t="s">
        <v>89</v>
      </c>
      <c r="F732" s="12" t="s">
        <v>109</v>
      </c>
      <c r="G732" s="12" t="s">
        <v>342</v>
      </c>
      <c r="H732" s="63" t="n">
        <v>0</v>
      </c>
      <c r="I732" s="14" t="n">
        <f aca="false">+H732*K732</f>
        <v>0</v>
      </c>
      <c r="J732" s="85" t="n">
        <v>37530</v>
      </c>
      <c r="K732" s="13" t="n">
        <f aca="false">+K731</f>
        <v>165000</v>
      </c>
      <c r="L732" s="38" t="s">
        <v>8</v>
      </c>
      <c r="M732" s="86" t="n">
        <f aca="false">+M731</f>
        <v>4.05</v>
      </c>
      <c r="N732" s="133" t="n">
        <f aca="false">K732*M732</f>
        <v>668250</v>
      </c>
      <c r="O732" s="134" t="n">
        <f aca="false">0.0275*K732</f>
        <v>4537.5</v>
      </c>
      <c r="Q732" s="135" t="s">
        <v>106</v>
      </c>
      <c r="T732" s="135" t="s">
        <v>106</v>
      </c>
      <c r="AB732" s="12" t="s">
        <v>95</v>
      </c>
    </row>
    <row r="733" customFormat="false" ht="12.75" hidden="false" customHeight="false" outlineLevel="1" collapsed="false">
      <c r="A733" s="10" t="n">
        <v>100</v>
      </c>
      <c r="C733" s="62" t="n">
        <v>36861</v>
      </c>
      <c r="D733" s="12" t="s">
        <v>183</v>
      </c>
      <c r="E733" s="12" t="s">
        <v>89</v>
      </c>
      <c r="F733" s="12" t="s">
        <v>109</v>
      </c>
      <c r="G733" s="12" t="s">
        <v>342</v>
      </c>
      <c r="H733" s="63" t="n">
        <v>0</v>
      </c>
      <c r="I733" s="14" t="n">
        <f aca="false">+H733*K733</f>
        <v>0</v>
      </c>
      <c r="J733" s="85" t="n">
        <v>37561</v>
      </c>
      <c r="K733" s="13" t="n">
        <f aca="false">+K732</f>
        <v>165000</v>
      </c>
      <c r="L733" s="38" t="s">
        <v>8</v>
      </c>
      <c r="M733" s="86" t="n">
        <f aca="false">+M732</f>
        <v>4.05</v>
      </c>
      <c r="N733" s="133" t="n">
        <f aca="false">K733*M733</f>
        <v>668250</v>
      </c>
      <c r="O733" s="134" t="n">
        <f aca="false">0.0275*K733</f>
        <v>4537.5</v>
      </c>
      <c r="Q733" s="135" t="s">
        <v>106</v>
      </c>
      <c r="T733" s="135" t="s">
        <v>106</v>
      </c>
      <c r="AB733" s="12" t="s">
        <v>95</v>
      </c>
    </row>
    <row r="734" customFormat="false" ht="12.75" hidden="false" customHeight="false" outlineLevel="1" collapsed="false">
      <c r="A734" s="10" t="n">
        <v>100</v>
      </c>
      <c r="C734" s="62" t="n">
        <v>36861</v>
      </c>
      <c r="D734" s="12" t="s">
        <v>183</v>
      </c>
      <c r="E734" s="12" t="s">
        <v>89</v>
      </c>
      <c r="F734" s="12" t="s">
        <v>109</v>
      </c>
      <c r="G734" s="12" t="s">
        <v>342</v>
      </c>
      <c r="H734" s="63" t="n">
        <v>0</v>
      </c>
      <c r="I734" s="14" t="n">
        <f aca="false">+H734*K734</f>
        <v>0</v>
      </c>
      <c r="J734" s="85" t="n">
        <v>37591</v>
      </c>
      <c r="K734" s="13" t="n">
        <f aca="false">+K733</f>
        <v>165000</v>
      </c>
      <c r="L734" s="38" t="s">
        <v>8</v>
      </c>
      <c r="M734" s="86" t="n">
        <f aca="false">+M733</f>
        <v>4.05</v>
      </c>
      <c r="N734" s="133" t="n">
        <f aca="false">K734*M734</f>
        <v>668250</v>
      </c>
      <c r="O734" s="134" t="n">
        <f aca="false">0.0275*K734</f>
        <v>4537.5</v>
      </c>
      <c r="Q734" s="135" t="s">
        <v>106</v>
      </c>
      <c r="T734" s="135" t="s">
        <v>106</v>
      </c>
      <c r="AB734" s="12" t="s">
        <v>95</v>
      </c>
    </row>
    <row r="735" customFormat="false" ht="12.75" hidden="false" customHeight="false" outlineLevel="1" collapsed="false">
      <c r="A735" s="10" t="n">
        <v>100</v>
      </c>
      <c r="C735" s="62" t="n">
        <v>36861</v>
      </c>
      <c r="D735" s="12" t="s">
        <v>183</v>
      </c>
      <c r="E735" s="12" t="s">
        <v>89</v>
      </c>
      <c r="F735" s="12" t="s">
        <v>109</v>
      </c>
      <c r="G735" s="12" t="s">
        <v>342</v>
      </c>
      <c r="H735" s="63" t="n">
        <v>0</v>
      </c>
      <c r="I735" s="14" t="n">
        <f aca="false">+H735*K735</f>
        <v>0</v>
      </c>
      <c r="J735" s="85" t="n">
        <v>37622</v>
      </c>
      <c r="K735" s="13" t="n">
        <f aca="false">+K734</f>
        <v>165000</v>
      </c>
      <c r="L735" s="38" t="s">
        <v>8</v>
      </c>
      <c r="M735" s="86" t="n">
        <f aca="false">+M734</f>
        <v>4.05</v>
      </c>
      <c r="N735" s="133" t="n">
        <f aca="false">K735*M735</f>
        <v>668250</v>
      </c>
      <c r="O735" s="134" t="n">
        <f aca="false">0.0275*K735</f>
        <v>4537.5</v>
      </c>
      <c r="Q735" s="135" t="s">
        <v>106</v>
      </c>
      <c r="T735" s="135" t="s">
        <v>106</v>
      </c>
      <c r="AB735" s="12" t="s">
        <v>95</v>
      </c>
    </row>
    <row r="736" customFormat="false" ht="12.75" hidden="false" customHeight="false" outlineLevel="1" collapsed="false">
      <c r="A736" s="10" t="n">
        <v>100</v>
      </c>
      <c r="C736" s="62" t="n">
        <v>36861</v>
      </c>
      <c r="D736" s="12" t="s">
        <v>183</v>
      </c>
      <c r="E736" s="12" t="s">
        <v>89</v>
      </c>
      <c r="F736" s="12" t="s">
        <v>109</v>
      </c>
      <c r="G736" s="12" t="s">
        <v>342</v>
      </c>
      <c r="H736" s="63" t="n">
        <v>0</v>
      </c>
      <c r="I736" s="14" t="n">
        <f aca="false">+H736*K736</f>
        <v>0</v>
      </c>
      <c r="J736" s="85" t="n">
        <v>37653</v>
      </c>
      <c r="K736" s="13" t="n">
        <f aca="false">+K735</f>
        <v>165000</v>
      </c>
      <c r="L736" s="38" t="s">
        <v>8</v>
      </c>
      <c r="M736" s="86" t="n">
        <f aca="false">+M735</f>
        <v>4.05</v>
      </c>
      <c r="N736" s="133" t="n">
        <f aca="false">K736*M736</f>
        <v>668250</v>
      </c>
      <c r="O736" s="134" t="n">
        <f aca="false">0.0275*K736</f>
        <v>4537.5</v>
      </c>
      <c r="Q736" s="135" t="s">
        <v>106</v>
      </c>
      <c r="T736" s="135" t="s">
        <v>106</v>
      </c>
      <c r="AB736" s="12" t="s">
        <v>95</v>
      </c>
    </row>
    <row r="737" customFormat="false" ht="12.75" hidden="false" customHeight="false" outlineLevel="1" collapsed="false">
      <c r="A737" s="10" t="n">
        <v>100</v>
      </c>
      <c r="C737" s="62" t="n">
        <v>36861</v>
      </c>
      <c r="D737" s="12" t="s">
        <v>183</v>
      </c>
      <c r="E737" s="12" t="s">
        <v>89</v>
      </c>
      <c r="F737" s="12" t="s">
        <v>109</v>
      </c>
      <c r="G737" s="12" t="s">
        <v>342</v>
      </c>
      <c r="H737" s="63" t="n">
        <v>0</v>
      </c>
      <c r="I737" s="14" t="n">
        <f aca="false">+H737*K737</f>
        <v>0</v>
      </c>
      <c r="J737" s="85" t="n">
        <v>37681</v>
      </c>
      <c r="K737" s="13" t="n">
        <f aca="false">+K736</f>
        <v>165000</v>
      </c>
      <c r="L737" s="38" t="s">
        <v>8</v>
      </c>
      <c r="M737" s="86" t="n">
        <f aca="false">+M736</f>
        <v>4.05</v>
      </c>
      <c r="N737" s="133" t="n">
        <f aca="false">K737*M737</f>
        <v>668250</v>
      </c>
      <c r="O737" s="134" t="n">
        <f aca="false">0.0275*K737</f>
        <v>4537.5</v>
      </c>
      <c r="Q737" s="135" t="s">
        <v>106</v>
      </c>
      <c r="T737" s="135" t="s">
        <v>106</v>
      </c>
      <c r="AB737" s="12" t="s">
        <v>95</v>
      </c>
    </row>
    <row r="738" customFormat="false" ht="12.75" hidden="false" customHeight="false" outlineLevel="1" collapsed="false">
      <c r="A738" s="10" t="n">
        <v>100</v>
      </c>
      <c r="C738" s="62" t="n">
        <v>36861</v>
      </c>
      <c r="D738" s="12" t="s">
        <v>183</v>
      </c>
      <c r="E738" s="12" t="s">
        <v>89</v>
      </c>
      <c r="F738" s="12" t="s">
        <v>109</v>
      </c>
      <c r="G738" s="12" t="s">
        <v>342</v>
      </c>
      <c r="H738" s="63" t="n">
        <v>0</v>
      </c>
      <c r="I738" s="14" t="n">
        <f aca="false">+H738*K738</f>
        <v>0</v>
      </c>
      <c r="J738" s="85" t="n">
        <v>37712</v>
      </c>
      <c r="K738" s="13" t="n">
        <f aca="false">+K737</f>
        <v>165000</v>
      </c>
      <c r="L738" s="38" t="s">
        <v>8</v>
      </c>
      <c r="M738" s="86" t="n">
        <f aca="false">+M737</f>
        <v>4.05</v>
      </c>
      <c r="N738" s="133" t="n">
        <f aca="false">K738*M738</f>
        <v>668250</v>
      </c>
      <c r="O738" s="134" t="n">
        <f aca="false">0.0275*K738</f>
        <v>4537.5</v>
      </c>
      <c r="Q738" s="135" t="s">
        <v>106</v>
      </c>
      <c r="T738" s="135" t="s">
        <v>106</v>
      </c>
      <c r="AB738" s="12" t="s">
        <v>95</v>
      </c>
    </row>
    <row r="739" customFormat="false" ht="12.75" hidden="false" customHeight="false" outlineLevel="1" collapsed="false">
      <c r="A739" s="10" t="n">
        <v>100</v>
      </c>
      <c r="C739" s="62" t="n">
        <v>36861</v>
      </c>
      <c r="D739" s="12" t="s">
        <v>183</v>
      </c>
      <c r="E739" s="12" t="s">
        <v>89</v>
      </c>
      <c r="F739" s="12" t="s">
        <v>109</v>
      </c>
      <c r="G739" s="12" t="s">
        <v>342</v>
      </c>
      <c r="H739" s="63" t="n">
        <v>0</v>
      </c>
      <c r="I739" s="14" t="n">
        <f aca="false">+H739*K739</f>
        <v>0</v>
      </c>
      <c r="J739" s="85" t="n">
        <v>37742</v>
      </c>
      <c r="K739" s="13" t="n">
        <f aca="false">+K738</f>
        <v>165000</v>
      </c>
      <c r="L739" s="38" t="s">
        <v>8</v>
      </c>
      <c r="M739" s="86" t="n">
        <f aca="false">+M738</f>
        <v>4.05</v>
      </c>
      <c r="N739" s="133" t="n">
        <f aca="false">K739*M739</f>
        <v>668250</v>
      </c>
      <c r="O739" s="134" t="n">
        <f aca="false">0.0275*K739</f>
        <v>4537.5</v>
      </c>
      <c r="Q739" s="135" t="s">
        <v>106</v>
      </c>
      <c r="T739" s="135" t="s">
        <v>106</v>
      </c>
      <c r="AB739" s="12" t="s">
        <v>95</v>
      </c>
    </row>
    <row r="740" customFormat="false" ht="12.75" hidden="false" customHeight="false" outlineLevel="1" collapsed="false">
      <c r="A740" s="10" t="n">
        <v>100</v>
      </c>
      <c r="C740" s="62" t="n">
        <v>36861</v>
      </c>
      <c r="D740" s="12" t="s">
        <v>183</v>
      </c>
      <c r="E740" s="12" t="s">
        <v>89</v>
      </c>
      <c r="F740" s="12" t="s">
        <v>109</v>
      </c>
      <c r="G740" s="12" t="s">
        <v>342</v>
      </c>
      <c r="H740" s="63" t="n">
        <v>0</v>
      </c>
      <c r="I740" s="14" t="n">
        <f aca="false">+H740*K740</f>
        <v>0</v>
      </c>
      <c r="J740" s="85" t="n">
        <v>37773</v>
      </c>
      <c r="K740" s="13" t="n">
        <f aca="false">+K739</f>
        <v>165000</v>
      </c>
      <c r="L740" s="38" t="s">
        <v>8</v>
      </c>
      <c r="M740" s="86" t="n">
        <f aca="false">+M739</f>
        <v>4.05</v>
      </c>
      <c r="N740" s="133" t="n">
        <f aca="false">K740*M740</f>
        <v>668250</v>
      </c>
      <c r="O740" s="134" t="n">
        <f aca="false">0.0275*K740</f>
        <v>4537.5</v>
      </c>
      <c r="Q740" s="135" t="s">
        <v>106</v>
      </c>
      <c r="T740" s="135" t="s">
        <v>106</v>
      </c>
      <c r="AB740" s="12" t="s">
        <v>95</v>
      </c>
    </row>
    <row r="741" customFormat="false" ht="12.75" hidden="false" customHeight="false" outlineLevel="1" collapsed="false">
      <c r="A741" s="10" t="n">
        <v>100</v>
      </c>
      <c r="C741" s="62" t="n">
        <v>36861</v>
      </c>
      <c r="D741" s="12" t="s">
        <v>183</v>
      </c>
      <c r="E741" s="12" t="s">
        <v>89</v>
      </c>
      <c r="F741" s="12" t="s">
        <v>109</v>
      </c>
      <c r="G741" s="12" t="s">
        <v>342</v>
      </c>
      <c r="H741" s="63" t="n">
        <v>0</v>
      </c>
      <c r="I741" s="14" t="n">
        <f aca="false">+H741*K741</f>
        <v>0</v>
      </c>
      <c r="J741" s="85" t="n">
        <v>37803</v>
      </c>
      <c r="K741" s="13" t="n">
        <f aca="false">+K740</f>
        <v>165000</v>
      </c>
      <c r="L741" s="38" t="s">
        <v>8</v>
      </c>
      <c r="M741" s="86" t="n">
        <f aca="false">+M740</f>
        <v>4.05</v>
      </c>
      <c r="N741" s="133" t="n">
        <f aca="false">K741*M741</f>
        <v>668250</v>
      </c>
      <c r="O741" s="134" t="n">
        <f aca="false">0.0275*K741</f>
        <v>4537.5</v>
      </c>
      <c r="Q741" s="135" t="s">
        <v>106</v>
      </c>
      <c r="T741" s="135" t="s">
        <v>106</v>
      </c>
      <c r="AB741" s="12" t="s">
        <v>95</v>
      </c>
    </row>
    <row r="742" customFormat="false" ht="12.75" hidden="false" customHeight="false" outlineLevel="1" collapsed="false">
      <c r="A742" s="10" t="n">
        <v>100</v>
      </c>
      <c r="C742" s="62" t="n">
        <v>36861</v>
      </c>
      <c r="D742" s="12" t="s">
        <v>183</v>
      </c>
      <c r="E742" s="12" t="s">
        <v>89</v>
      </c>
      <c r="F742" s="12" t="s">
        <v>109</v>
      </c>
      <c r="G742" s="12" t="s">
        <v>342</v>
      </c>
      <c r="H742" s="63" t="n">
        <v>0</v>
      </c>
      <c r="I742" s="14" t="n">
        <f aca="false">+H742*K742</f>
        <v>0</v>
      </c>
      <c r="J742" s="85" t="n">
        <v>37834</v>
      </c>
      <c r="K742" s="13" t="n">
        <f aca="false">+K741</f>
        <v>165000</v>
      </c>
      <c r="L742" s="38" t="s">
        <v>8</v>
      </c>
      <c r="M742" s="86" t="n">
        <f aca="false">+M741</f>
        <v>4.05</v>
      </c>
      <c r="N742" s="133" t="n">
        <f aca="false">K742*M742</f>
        <v>668250</v>
      </c>
      <c r="O742" s="134" t="n">
        <f aca="false">0.0275*K742</f>
        <v>4537.5</v>
      </c>
      <c r="Q742" s="135" t="s">
        <v>106</v>
      </c>
      <c r="T742" s="135" t="s">
        <v>106</v>
      </c>
      <c r="AB742" s="12" t="s">
        <v>95</v>
      </c>
    </row>
    <row r="743" customFormat="false" ht="12.75" hidden="false" customHeight="false" outlineLevel="1" collapsed="false">
      <c r="A743" s="10" t="n">
        <v>100</v>
      </c>
      <c r="C743" s="62" t="n">
        <v>36861</v>
      </c>
      <c r="D743" s="12" t="s">
        <v>183</v>
      </c>
      <c r="E743" s="12" t="s">
        <v>89</v>
      </c>
      <c r="F743" s="12" t="s">
        <v>109</v>
      </c>
      <c r="G743" s="12" t="s">
        <v>342</v>
      </c>
      <c r="H743" s="63" t="n">
        <v>0</v>
      </c>
      <c r="I743" s="14" t="n">
        <f aca="false">+H743*K743</f>
        <v>0</v>
      </c>
      <c r="J743" s="85" t="n">
        <v>37865</v>
      </c>
      <c r="K743" s="13" t="n">
        <f aca="false">+K742</f>
        <v>165000</v>
      </c>
      <c r="L743" s="38" t="s">
        <v>8</v>
      </c>
      <c r="M743" s="86" t="n">
        <f aca="false">+M742</f>
        <v>4.05</v>
      </c>
      <c r="N743" s="133" t="n">
        <f aca="false">K743*M743</f>
        <v>668250</v>
      </c>
      <c r="O743" s="134" t="n">
        <f aca="false">0.0275*K743</f>
        <v>4537.5</v>
      </c>
      <c r="Q743" s="135" t="s">
        <v>106</v>
      </c>
      <c r="T743" s="135" t="s">
        <v>106</v>
      </c>
      <c r="AB743" s="12" t="s">
        <v>95</v>
      </c>
    </row>
    <row r="744" customFormat="false" ht="12.75" hidden="false" customHeight="false" outlineLevel="1" collapsed="false">
      <c r="A744" s="10" t="n">
        <v>100</v>
      </c>
      <c r="C744" s="62" t="n">
        <v>36861</v>
      </c>
      <c r="D744" s="12" t="s">
        <v>183</v>
      </c>
      <c r="E744" s="12" t="s">
        <v>89</v>
      </c>
      <c r="F744" s="12" t="s">
        <v>109</v>
      </c>
      <c r="G744" s="12" t="s">
        <v>342</v>
      </c>
      <c r="H744" s="63" t="n">
        <v>0</v>
      </c>
      <c r="I744" s="14" t="n">
        <f aca="false">+H744*K744</f>
        <v>0</v>
      </c>
      <c r="J744" s="85" t="n">
        <v>37895</v>
      </c>
      <c r="K744" s="13" t="n">
        <f aca="false">+K743</f>
        <v>165000</v>
      </c>
      <c r="L744" s="38" t="s">
        <v>8</v>
      </c>
      <c r="M744" s="86" t="n">
        <f aca="false">+M743</f>
        <v>4.05</v>
      </c>
      <c r="N744" s="133" t="n">
        <f aca="false">K744*M744</f>
        <v>668250</v>
      </c>
      <c r="O744" s="134" t="n">
        <f aca="false">0.0275*K744</f>
        <v>4537.5</v>
      </c>
      <c r="Q744" s="135" t="s">
        <v>106</v>
      </c>
      <c r="T744" s="135" t="s">
        <v>106</v>
      </c>
      <c r="AB744" s="12" t="s">
        <v>95</v>
      </c>
    </row>
    <row r="745" customFormat="false" ht="12.75" hidden="false" customHeight="false" outlineLevel="1" collapsed="false">
      <c r="A745" s="10" t="n">
        <v>100</v>
      </c>
      <c r="C745" s="62" t="n">
        <v>36861</v>
      </c>
      <c r="D745" s="12" t="s">
        <v>183</v>
      </c>
      <c r="E745" s="12" t="s">
        <v>89</v>
      </c>
      <c r="F745" s="12" t="s">
        <v>109</v>
      </c>
      <c r="G745" s="12" t="s">
        <v>342</v>
      </c>
      <c r="H745" s="63" t="n">
        <v>0</v>
      </c>
      <c r="I745" s="14" t="n">
        <f aca="false">+H745*K745</f>
        <v>0</v>
      </c>
      <c r="J745" s="85" t="n">
        <v>37926</v>
      </c>
      <c r="K745" s="13" t="n">
        <f aca="false">+K744</f>
        <v>165000</v>
      </c>
      <c r="L745" s="38" t="s">
        <v>8</v>
      </c>
      <c r="M745" s="86" t="n">
        <f aca="false">+M744</f>
        <v>4.05</v>
      </c>
      <c r="N745" s="133" t="n">
        <f aca="false">K745*M745</f>
        <v>668250</v>
      </c>
      <c r="O745" s="134" t="n">
        <f aca="false">0.0275*K745</f>
        <v>4537.5</v>
      </c>
      <c r="Q745" s="135" t="s">
        <v>106</v>
      </c>
      <c r="T745" s="135" t="s">
        <v>106</v>
      </c>
      <c r="AB745" s="12" t="s">
        <v>95</v>
      </c>
    </row>
    <row r="746" customFormat="false" ht="12.75" hidden="false" customHeight="false" outlineLevel="1" collapsed="false">
      <c r="A746" s="10" t="n">
        <v>100</v>
      </c>
      <c r="C746" s="62" t="n">
        <v>36861</v>
      </c>
      <c r="D746" s="12" t="s">
        <v>183</v>
      </c>
      <c r="E746" s="12" t="s">
        <v>89</v>
      </c>
      <c r="F746" s="12" t="s">
        <v>109</v>
      </c>
      <c r="G746" s="12" t="s">
        <v>342</v>
      </c>
      <c r="H746" s="63" t="n">
        <v>0</v>
      </c>
      <c r="I746" s="14" t="n">
        <f aca="false">+H746*K746</f>
        <v>0</v>
      </c>
      <c r="J746" s="85" t="n">
        <v>37956</v>
      </c>
      <c r="K746" s="13" t="n">
        <f aca="false">+K745</f>
        <v>165000</v>
      </c>
      <c r="L746" s="38" t="s">
        <v>8</v>
      </c>
      <c r="M746" s="86" t="n">
        <f aca="false">+M745</f>
        <v>4.05</v>
      </c>
      <c r="N746" s="133" t="n">
        <f aca="false">K746*M746</f>
        <v>668250</v>
      </c>
      <c r="O746" s="134" t="n">
        <f aca="false">0.0275*K746</f>
        <v>4537.5</v>
      </c>
      <c r="Q746" s="135" t="s">
        <v>106</v>
      </c>
      <c r="T746" s="135" t="s">
        <v>106</v>
      </c>
      <c r="AB746" s="12" t="s">
        <v>95</v>
      </c>
    </row>
    <row r="747" customFormat="false" ht="12.75" hidden="false" customHeight="false" outlineLevel="1" collapsed="false">
      <c r="A747" s="10" t="n">
        <v>100</v>
      </c>
      <c r="C747" s="62" t="n">
        <v>36861</v>
      </c>
      <c r="D747" s="12" t="s">
        <v>183</v>
      </c>
      <c r="E747" s="12" t="s">
        <v>89</v>
      </c>
      <c r="F747" s="12" t="s">
        <v>109</v>
      </c>
      <c r="G747" s="12" t="s">
        <v>342</v>
      </c>
      <c r="H747" s="63" t="n">
        <v>0</v>
      </c>
      <c r="I747" s="14" t="n">
        <f aca="false">+H747*K747</f>
        <v>0</v>
      </c>
      <c r="J747" s="85" t="n">
        <v>37987</v>
      </c>
      <c r="K747" s="13" t="n">
        <f aca="false">+K746</f>
        <v>165000</v>
      </c>
      <c r="L747" s="38" t="s">
        <v>8</v>
      </c>
      <c r="M747" s="86" t="n">
        <f aca="false">+M746</f>
        <v>4.05</v>
      </c>
      <c r="N747" s="133" t="n">
        <f aca="false">K747*M747</f>
        <v>668250</v>
      </c>
      <c r="O747" s="134" t="n">
        <f aca="false">0.0275*K747</f>
        <v>4537.5</v>
      </c>
      <c r="Q747" s="135" t="s">
        <v>106</v>
      </c>
      <c r="T747" s="135" t="s">
        <v>106</v>
      </c>
      <c r="AB747" s="12" t="s">
        <v>95</v>
      </c>
    </row>
    <row r="748" customFormat="false" ht="12.75" hidden="false" customHeight="false" outlineLevel="1" collapsed="false">
      <c r="A748" s="10" t="n">
        <v>100</v>
      </c>
      <c r="C748" s="62" t="n">
        <v>36861</v>
      </c>
      <c r="D748" s="12" t="s">
        <v>183</v>
      </c>
      <c r="E748" s="12" t="s">
        <v>89</v>
      </c>
      <c r="F748" s="12" t="s">
        <v>109</v>
      </c>
      <c r="G748" s="12" t="s">
        <v>342</v>
      </c>
      <c r="H748" s="63" t="n">
        <v>0</v>
      </c>
      <c r="I748" s="14" t="n">
        <f aca="false">+H748*K748</f>
        <v>0</v>
      </c>
      <c r="J748" s="85" t="n">
        <v>38018</v>
      </c>
      <c r="K748" s="13" t="n">
        <f aca="false">+K747</f>
        <v>165000</v>
      </c>
      <c r="L748" s="38" t="s">
        <v>8</v>
      </c>
      <c r="M748" s="86" t="n">
        <f aca="false">+M747</f>
        <v>4.05</v>
      </c>
      <c r="N748" s="133" t="n">
        <f aca="false">K748*M748</f>
        <v>668250</v>
      </c>
      <c r="O748" s="134" t="n">
        <f aca="false">0.0275*K748</f>
        <v>4537.5</v>
      </c>
      <c r="Q748" s="135" t="s">
        <v>106</v>
      </c>
      <c r="T748" s="135" t="s">
        <v>106</v>
      </c>
      <c r="AB748" s="12" t="s">
        <v>95</v>
      </c>
    </row>
    <row r="749" customFormat="false" ht="12.75" hidden="false" customHeight="false" outlineLevel="1" collapsed="false">
      <c r="A749" s="10" t="n">
        <v>100</v>
      </c>
      <c r="C749" s="62" t="n">
        <v>36861</v>
      </c>
      <c r="D749" s="12" t="s">
        <v>183</v>
      </c>
      <c r="E749" s="12" t="s">
        <v>89</v>
      </c>
      <c r="F749" s="12" t="s">
        <v>109</v>
      </c>
      <c r="G749" s="12" t="s">
        <v>342</v>
      </c>
      <c r="H749" s="63" t="n">
        <v>0</v>
      </c>
      <c r="I749" s="14" t="n">
        <f aca="false">+H749*K749</f>
        <v>0</v>
      </c>
      <c r="J749" s="85" t="n">
        <v>38047</v>
      </c>
      <c r="K749" s="13" t="n">
        <f aca="false">+K748</f>
        <v>165000</v>
      </c>
      <c r="L749" s="38" t="s">
        <v>8</v>
      </c>
      <c r="M749" s="86" t="n">
        <f aca="false">+M748</f>
        <v>4.05</v>
      </c>
      <c r="N749" s="133" t="n">
        <f aca="false">K749*M749</f>
        <v>668250</v>
      </c>
      <c r="O749" s="134" t="n">
        <f aca="false">0.0275*K749</f>
        <v>4537.5</v>
      </c>
      <c r="Q749" s="135" t="s">
        <v>106</v>
      </c>
      <c r="T749" s="135" t="s">
        <v>106</v>
      </c>
      <c r="AB749" s="12" t="s">
        <v>95</v>
      </c>
    </row>
    <row r="750" customFormat="false" ht="12.75" hidden="false" customHeight="false" outlineLevel="1" collapsed="false">
      <c r="A750" s="10" t="n">
        <v>100</v>
      </c>
      <c r="C750" s="62" t="n">
        <v>36861</v>
      </c>
      <c r="D750" s="12" t="s">
        <v>183</v>
      </c>
      <c r="E750" s="12" t="s">
        <v>89</v>
      </c>
      <c r="F750" s="12" t="s">
        <v>109</v>
      </c>
      <c r="G750" s="12" t="s">
        <v>342</v>
      </c>
      <c r="H750" s="63" t="n">
        <v>0</v>
      </c>
      <c r="I750" s="14" t="n">
        <f aca="false">+H750*K750</f>
        <v>0</v>
      </c>
      <c r="J750" s="85" t="n">
        <v>38078</v>
      </c>
      <c r="K750" s="13" t="n">
        <f aca="false">+K749</f>
        <v>165000</v>
      </c>
      <c r="L750" s="38" t="s">
        <v>8</v>
      </c>
      <c r="M750" s="86" t="n">
        <f aca="false">+M749</f>
        <v>4.05</v>
      </c>
      <c r="N750" s="133" t="n">
        <f aca="false">K750*M750</f>
        <v>668250</v>
      </c>
      <c r="O750" s="134" t="n">
        <f aca="false">0.0275*K750</f>
        <v>4537.5</v>
      </c>
      <c r="Q750" s="135" t="s">
        <v>106</v>
      </c>
      <c r="T750" s="135" t="s">
        <v>106</v>
      </c>
      <c r="AB750" s="12" t="s">
        <v>95</v>
      </c>
    </row>
    <row r="751" customFormat="false" ht="12.75" hidden="false" customHeight="false" outlineLevel="1" collapsed="false">
      <c r="A751" s="10" t="n">
        <v>100</v>
      </c>
      <c r="C751" s="62" t="n">
        <v>36861</v>
      </c>
      <c r="D751" s="12" t="s">
        <v>183</v>
      </c>
      <c r="E751" s="12" t="s">
        <v>89</v>
      </c>
      <c r="F751" s="12" t="s">
        <v>109</v>
      </c>
      <c r="G751" s="12" t="s">
        <v>342</v>
      </c>
      <c r="H751" s="63" t="n">
        <v>0</v>
      </c>
      <c r="I751" s="14" t="n">
        <f aca="false">+H751*K751</f>
        <v>0</v>
      </c>
      <c r="J751" s="85" t="n">
        <v>38108</v>
      </c>
      <c r="K751" s="13" t="n">
        <f aca="false">+K750</f>
        <v>165000</v>
      </c>
      <c r="L751" s="38" t="s">
        <v>8</v>
      </c>
      <c r="M751" s="86" t="n">
        <f aca="false">+M750</f>
        <v>4.05</v>
      </c>
      <c r="N751" s="133" t="n">
        <f aca="false">K751*M751</f>
        <v>668250</v>
      </c>
      <c r="O751" s="134" t="n">
        <f aca="false">0.0275*K751</f>
        <v>4537.5</v>
      </c>
      <c r="Q751" s="135" t="s">
        <v>106</v>
      </c>
      <c r="T751" s="135" t="s">
        <v>106</v>
      </c>
      <c r="AB751" s="12" t="s">
        <v>95</v>
      </c>
    </row>
    <row r="752" customFormat="false" ht="12.75" hidden="false" customHeight="false" outlineLevel="1" collapsed="false">
      <c r="A752" s="10" t="n">
        <v>100</v>
      </c>
      <c r="C752" s="62" t="n">
        <v>36861</v>
      </c>
      <c r="D752" s="12" t="s">
        <v>183</v>
      </c>
      <c r="E752" s="12" t="s">
        <v>89</v>
      </c>
      <c r="F752" s="12" t="s">
        <v>109</v>
      </c>
      <c r="G752" s="12" t="s">
        <v>342</v>
      </c>
      <c r="H752" s="63" t="n">
        <v>0</v>
      </c>
      <c r="I752" s="14" t="n">
        <f aca="false">+H752*K752</f>
        <v>0</v>
      </c>
      <c r="J752" s="85" t="n">
        <v>38139</v>
      </c>
      <c r="K752" s="13" t="n">
        <f aca="false">+K751</f>
        <v>165000</v>
      </c>
      <c r="L752" s="38" t="s">
        <v>8</v>
      </c>
      <c r="M752" s="86" t="n">
        <f aca="false">+M751</f>
        <v>4.05</v>
      </c>
      <c r="N752" s="133" t="n">
        <f aca="false">K752*M752</f>
        <v>668250</v>
      </c>
      <c r="O752" s="134" t="n">
        <f aca="false">0.0275*K752</f>
        <v>4537.5</v>
      </c>
      <c r="Q752" s="135" t="s">
        <v>106</v>
      </c>
      <c r="T752" s="135" t="s">
        <v>106</v>
      </c>
      <c r="AB752" s="12" t="s">
        <v>95</v>
      </c>
    </row>
    <row r="753" customFormat="false" ht="12.75" hidden="false" customHeight="false" outlineLevel="1" collapsed="false">
      <c r="A753" s="10" t="n">
        <v>100</v>
      </c>
      <c r="C753" s="62" t="n">
        <v>36861</v>
      </c>
      <c r="D753" s="12" t="s">
        <v>183</v>
      </c>
      <c r="E753" s="12" t="s">
        <v>89</v>
      </c>
      <c r="F753" s="12" t="s">
        <v>109</v>
      </c>
      <c r="G753" s="12" t="s">
        <v>342</v>
      </c>
      <c r="H753" s="63" t="n">
        <v>0</v>
      </c>
      <c r="I753" s="14" t="n">
        <f aca="false">+H753*K753</f>
        <v>0</v>
      </c>
      <c r="J753" s="85" t="n">
        <v>38169</v>
      </c>
      <c r="K753" s="13" t="n">
        <f aca="false">+K752</f>
        <v>165000</v>
      </c>
      <c r="L753" s="38" t="s">
        <v>8</v>
      </c>
      <c r="M753" s="86" t="n">
        <f aca="false">+M752</f>
        <v>4.05</v>
      </c>
      <c r="N753" s="133" t="n">
        <f aca="false">K753*M753</f>
        <v>668250</v>
      </c>
      <c r="O753" s="134" t="n">
        <f aca="false">0.0275*K753</f>
        <v>4537.5</v>
      </c>
      <c r="Q753" s="135" t="s">
        <v>106</v>
      </c>
      <c r="T753" s="135" t="s">
        <v>106</v>
      </c>
      <c r="AB753" s="12" t="s">
        <v>95</v>
      </c>
    </row>
    <row r="754" customFormat="false" ht="12.75" hidden="false" customHeight="false" outlineLevel="1" collapsed="false">
      <c r="A754" s="10" t="n">
        <v>100</v>
      </c>
      <c r="C754" s="62" t="n">
        <v>36861</v>
      </c>
      <c r="D754" s="12" t="s">
        <v>183</v>
      </c>
      <c r="E754" s="12" t="s">
        <v>89</v>
      </c>
      <c r="F754" s="12" t="s">
        <v>109</v>
      </c>
      <c r="G754" s="12" t="s">
        <v>342</v>
      </c>
      <c r="H754" s="63" t="n">
        <v>0</v>
      </c>
      <c r="I754" s="14" t="n">
        <f aca="false">+H754*K754</f>
        <v>0</v>
      </c>
      <c r="J754" s="85" t="n">
        <v>38200</v>
      </c>
      <c r="K754" s="13" t="n">
        <f aca="false">+K753</f>
        <v>165000</v>
      </c>
      <c r="L754" s="38" t="s">
        <v>8</v>
      </c>
      <c r="M754" s="86" t="n">
        <f aca="false">+M753</f>
        <v>4.05</v>
      </c>
      <c r="N754" s="133" t="n">
        <f aca="false">K754*M754</f>
        <v>668250</v>
      </c>
      <c r="O754" s="134" t="n">
        <f aca="false">0.0275*K754</f>
        <v>4537.5</v>
      </c>
      <c r="Q754" s="135" t="s">
        <v>106</v>
      </c>
      <c r="T754" s="135" t="s">
        <v>106</v>
      </c>
      <c r="AB754" s="12" t="s">
        <v>95</v>
      </c>
    </row>
    <row r="755" customFormat="false" ht="12.75" hidden="false" customHeight="false" outlineLevel="1" collapsed="false">
      <c r="A755" s="10" t="n">
        <v>100</v>
      </c>
      <c r="C755" s="62" t="n">
        <v>36861</v>
      </c>
      <c r="D755" s="12" t="s">
        <v>183</v>
      </c>
      <c r="E755" s="12" t="s">
        <v>89</v>
      </c>
      <c r="F755" s="12" t="s">
        <v>109</v>
      </c>
      <c r="G755" s="12" t="s">
        <v>342</v>
      </c>
      <c r="H755" s="63" t="n">
        <v>0</v>
      </c>
      <c r="I755" s="14" t="n">
        <f aca="false">+H755*K755</f>
        <v>0</v>
      </c>
      <c r="J755" s="85" t="n">
        <v>38231</v>
      </c>
      <c r="K755" s="13" t="n">
        <f aca="false">+K754</f>
        <v>165000</v>
      </c>
      <c r="L755" s="38" t="s">
        <v>8</v>
      </c>
      <c r="M755" s="86" t="n">
        <f aca="false">+M754</f>
        <v>4.05</v>
      </c>
      <c r="N755" s="133" t="n">
        <f aca="false">K755*M755</f>
        <v>668250</v>
      </c>
      <c r="O755" s="134" t="n">
        <f aca="false">0.0275*K755</f>
        <v>4537.5</v>
      </c>
      <c r="Q755" s="135" t="s">
        <v>106</v>
      </c>
      <c r="T755" s="135" t="s">
        <v>106</v>
      </c>
      <c r="AB755" s="12" t="s">
        <v>95</v>
      </c>
    </row>
    <row r="756" customFormat="false" ht="12.75" hidden="false" customHeight="false" outlineLevel="1" collapsed="false">
      <c r="A756" s="10" t="n">
        <v>100</v>
      </c>
      <c r="C756" s="62" t="n">
        <v>36861</v>
      </c>
      <c r="D756" s="12" t="s">
        <v>183</v>
      </c>
      <c r="E756" s="12" t="s">
        <v>89</v>
      </c>
      <c r="F756" s="12" t="s">
        <v>109</v>
      </c>
      <c r="G756" s="12" t="s">
        <v>342</v>
      </c>
      <c r="H756" s="63" t="n">
        <v>0</v>
      </c>
      <c r="I756" s="14" t="n">
        <f aca="false">+H756*K756</f>
        <v>0</v>
      </c>
      <c r="J756" s="85" t="n">
        <v>38261</v>
      </c>
      <c r="K756" s="13" t="n">
        <f aca="false">+K755</f>
        <v>165000</v>
      </c>
      <c r="L756" s="38" t="s">
        <v>8</v>
      </c>
      <c r="M756" s="86" t="n">
        <f aca="false">+M755</f>
        <v>4.05</v>
      </c>
      <c r="N756" s="133" t="n">
        <f aca="false">K756*M756</f>
        <v>668250</v>
      </c>
      <c r="O756" s="134" t="n">
        <f aca="false">0.0275*K756</f>
        <v>4537.5</v>
      </c>
      <c r="Q756" s="135" t="s">
        <v>106</v>
      </c>
      <c r="T756" s="135" t="s">
        <v>106</v>
      </c>
      <c r="AB756" s="12" t="s">
        <v>95</v>
      </c>
    </row>
    <row r="757" customFormat="false" ht="12.75" hidden="false" customHeight="false" outlineLevel="1" collapsed="false">
      <c r="A757" s="10" t="n">
        <v>100</v>
      </c>
      <c r="C757" s="62" t="n">
        <v>36861</v>
      </c>
      <c r="D757" s="12" t="s">
        <v>183</v>
      </c>
      <c r="E757" s="12" t="s">
        <v>89</v>
      </c>
      <c r="F757" s="12" t="s">
        <v>109</v>
      </c>
      <c r="G757" s="12" t="s">
        <v>342</v>
      </c>
      <c r="H757" s="63" t="n">
        <v>0</v>
      </c>
      <c r="I757" s="14" t="n">
        <f aca="false">+H757*K757</f>
        <v>0</v>
      </c>
      <c r="J757" s="85" t="n">
        <v>38292</v>
      </c>
      <c r="K757" s="13" t="n">
        <f aca="false">+K756</f>
        <v>165000</v>
      </c>
      <c r="L757" s="38" t="s">
        <v>8</v>
      </c>
      <c r="M757" s="86" t="n">
        <f aca="false">+M756</f>
        <v>4.05</v>
      </c>
      <c r="N757" s="133" t="n">
        <f aca="false">K757*M757</f>
        <v>668250</v>
      </c>
      <c r="O757" s="134" t="n">
        <f aca="false">0.0275*K757</f>
        <v>4537.5</v>
      </c>
      <c r="Q757" s="135" t="s">
        <v>106</v>
      </c>
      <c r="T757" s="135" t="s">
        <v>106</v>
      </c>
      <c r="AB757" s="12" t="s">
        <v>95</v>
      </c>
    </row>
    <row r="758" customFormat="false" ht="12.75" hidden="false" customHeight="false" outlineLevel="1" collapsed="false">
      <c r="A758" s="10" t="n">
        <v>100</v>
      </c>
      <c r="C758" s="62" t="n">
        <v>36861</v>
      </c>
      <c r="D758" s="12" t="s">
        <v>183</v>
      </c>
      <c r="E758" s="12" t="s">
        <v>89</v>
      </c>
      <c r="F758" s="12" t="s">
        <v>109</v>
      </c>
      <c r="G758" s="12" t="s">
        <v>342</v>
      </c>
      <c r="H758" s="63" t="n">
        <v>0</v>
      </c>
      <c r="I758" s="14" t="n">
        <f aca="false">+H758*K758</f>
        <v>0</v>
      </c>
      <c r="J758" s="85" t="n">
        <v>38322</v>
      </c>
      <c r="K758" s="13" t="n">
        <f aca="false">+K757</f>
        <v>165000</v>
      </c>
      <c r="L758" s="38" t="s">
        <v>8</v>
      </c>
      <c r="M758" s="86" t="n">
        <f aca="false">+M757</f>
        <v>4.05</v>
      </c>
      <c r="N758" s="133" t="n">
        <f aca="false">K758*M758</f>
        <v>668250</v>
      </c>
      <c r="O758" s="134" t="n">
        <f aca="false">0.0275*K758</f>
        <v>4537.5</v>
      </c>
      <c r="Q758" s="135" t="s">
        <v>106</v>
      </c>
      <c r="T758" s="135" t="s">
        <v>106</v>
      </c>
      <c r="AB758" s="12" t="s">
        <v>95</v>
      </c>
    </row>
    <row r="759" customFormat="false" ht="12.75" hidden="false" customHeight="false" outlineLevel="1" collapsed="false">
      <c r="A759" s="10" t="n">
        <v>100</v>
      </c>
      <c r="C759" s="62" t="n">
        <v>36861</v>
      </c>
      <c r="D759" s="12" t="s">
        <v>183</v>
      </c>
      <c r="E759" s="12" t="s">
        <v>89</v>
      </c>
      <c r="F759" s="12" t="s">
        <v>109</v>
      </c>
      <c r="G759" s="12" t="s">
        <v>342</v>
      </c>
      <c r="H759" s="63" t="n">
        <v>0</v>
      </c>
      <c r="I759" s="14" t="n">
        <f aca="false">+H759*K759</f>
        <v>0</v>
      </c>
      <c r="J759" s="85" t="n">
        <v>38353</v>
      </c>
      <c r="K759" s="13" t="n">
        <f aca="false">+K758</f>
        <v>165000</v>
      </c>
      <c r="L759" s="38" t="s">
        <v>8</v>
      </c>
      <c r="M759" s="86" t="n">
        <f aca="false">+M758</f>
        <v>4.05</v>
      </c>
      <c r="N759" s="133" t="n">
        <f aca="false">K759*M759</f>
        <v>668250</v>
      </c>
      <c r="O759" s="134" t="n">
        <f aca="false">0.0275*K759</f>
        <v>4537.5</v>
      </c>
      <c r="Q759" s="135" t="s">
        <v>106</v>
      </c>
      <c r="T759" s="135" t="s">
        <v>106</v>
      </c>
      <c r="AB759" s="12" t="s">
        <v>95</v>
      </c>
    </row>
    <row r="760" customFormat="false" ht="12.75" hidden="false" customHeight="false" outlineLevel="1" collapsed="false">
      <c r="A760" s="10" t="n">
        <v>100</v>
      </c>
      <c r="C760" s="62" t="n">
        <v>36861</v>
      </c>
      <c r="D760" s="12" t="s">
        <v>183</v>
      </c>
      <c r="E760" s="12" t="s">
        <v>89</v>
      </c>
      <c r="F760" s="12" t="s">
        <v>109</v>
      </c>
      <c r="G760" s="12" t="s">
        <v>342</v>
      </c>
      <c r="H760" s="63" t="n">
        <v>0</v>
      </c>
      <c r="I760" s="14" t="n">
        <f aca="false">+H760*K760</f>
        <v>0</v>
      </c>
      <c r="J760" s="85" t="n">
        <v>38384</v>
      </c>
      <c r="K760" s="13" t="n">
        <f aca="false">+K759</f>
        <v>165000</v>
      </c>
      <c r="L760" s="38" t="s">
        <v>8</v>
      </c>
      <c r="M760" s="86" t="n">
        <f aca="false">+M759</f>
        <v>4.05</v>
      </c>
      <c r="N760" s="133" t="n">
        <f aca="false">K760*M760</f>
        <v>668250</v>
      </c>
      <c r="O760" s="134" t="n">
        <f aca="false">0.0275*K760</f>
        <v>4537.5</v>
      </c>
      <c r="Q760" s="135" t="s">
        <v>106</v>
      </c>
      <c r="T760" s="135" t="s">
        <v>106</v>
      </c>
      <c r="AB760" s="12" t="s">
        <v>95</v>
      </c>
    </row>
    <row r="761" customFormat="false" ht="12.75" hidden="false" customHeight="false" outlineLevel="1" collapsed="false">
      <c r="A761" s="10" t="n">
        <v>100</v>
      </c>
      <c r="C761" s="62" t="n">
        <v>36861</v>
      </c>
      <c r="D761" s="12" t="s">
        <v>183</v>
      </c>
      <c r="E761" s="12" t="s">
        <v>89</v>
      </c>
      <c r="F761" s="12" t="s">
        <v>109</v>
      </c>
      <c r="G761" s="12" t="s">
        <v>342</v>
      </c>
      <c r="H761" s="63" t="n">
        <v>0</v>
      </c>
      <c r="I761" s="14" t="n">
        <f aca="false">+H761*K761</f>
        <v>0</v>
      </c>
      <c r="J761" s="85" t="n">
        <v>38412</v>
      </c>
      <c r="K761" s="13" t="n">
        <f aca="false">+K760</f>
        <v>165000</v>
      </c>
      <c r="L761" s="38" t="s">
        <v>8</v>
      </c>
      <c r="M761" s="86" t="n">
        <f aca="false">+M760</f>
        <v>4.05</v>
      </c>
      <c r="N761" s="133" t="n">
        <f aca="false">K761*M761</f>
        <v>668250</v>
      </c>
      <c r="O761" s="134" t="n">
        <f aca="false">0.0275*K761</f>
        <v>4537.5</v>
      </c>
      <c r="Q761" s="135" t="s">
        <v>106</v>
      </c>
      <c r="T761" s="135" t="s">
        <v>106</v>
      </c>
      <c r="AB761" s="12" t="s">
        <v>95</v>
      </c>
    </row>
    <row r="762" customFormat="false" ht="12.75" hidden="false" customHeight="false" outlineLevel="1" collapsed="false">
      <c r="A762" s="10" t="n">
        <v>100</v>
      </c>
      <c r="C762" s="62" t="n">
        <v>36861</v>
      </c>
      <c r="D762" s="12" t="s">
        <v>183</v>
      </c>
      <c r="E762" s="12" t="s">
        <v>89</v>
      </c>
      <c r="F762" s="12" t="s">
        <v>109</v>
      </c>
      <c r="G762" s="12" t="s">
        <v>342</v>
      </c>
      <c r="H762" s="63" t="n">
        <v>0</v>
      </c>
      <c r="I762" s="14" t="n">
        <f aca="false">+H762*K762</f>
        <v>0</v>
      </c>
      <c r="J762" s="85" t="n">
        <v>38443</v>
      </c>
      <c r="K762" s="13" t="n">
        <f aca="false">+K761</f>
        <v>165000</v>
      </c>
      <c r="L762" s="38" t="s">
        <v>8</v>
      </c>
      <c r="M762" s="86" t="n">
        <f aca="false">+M761</f>
        <v>4.05</v>
      </c>
      <c r="N762" s="133" t="n">
        <f aca="false">K762*M762</f>
        <v>668250</v>
      </c>
      <c r="O762" s="134" t="n">
        <f aca="false">0.0275*K762</f>
        <v>4537.5</v>
      </c>
      <c r="Q762" s="135" t="s">
        <v>106</v>
      </c>
      <c r="T762" s="135" t="s">
        <v>106</v>
      </c>
      <c r="AB762" s="12" t="s">
        <v>95</v>
      </c>
    </row>
    <row r="763" customFormat="false" ht="12.75" hidden="false" customHeight="false" outlineLevel="1" collapsed="false">
      <c r="A763" s="10" t="n">
        <v>100</v>
      </c>
      <c r="C763" s="62" t="n">
        <v>36861</v>
      </c>
      <c r="D763" s="12" t="s">
        <v>183</v>
      </c>
      <c r="E763" s="12" t="s">
        <v>89</v>
      </c>
      <c r="F763" s="12" t="s">
        <v>109</v>
      </c>
      <c r="G763" s="12" t="s">
        <v>342</v>
      </c>
      <c r="H763" s="63" t="n">
        <v>0</v>
      </c>
      <c r="I763" s="14" t="n">
        <f aca="false">+H763*K763</f>
        <v>0</v>
      </c>
      <c r="J763" s="85" t="n">
        <v>38473</v>
      </c>
      <c r="K763" s="13" t="n">
        <f aca="false">+K762</f>
        <v>165000</v>
      </c>
      <c r="L763" s="38" t="s">
        <v>8</v>
      </c>
      <c r="M763" s="86" t="n">
        <f aca="false">+M762</f>
        <v>4.05</v>
      </c>
      <c r="N763" s="133" t="n">
        <f aca="false">K763*M763</f>
        <v>668250</v>
      </c>
      <c r="O763" s="134" t="n">
        <f aca="false">0.0275*K763</f>
        <v>4537.5</v>
      </c>
      <c r="Q763" s="135" t="s">
        <v>106</v>
      </c>
      <c r="T763" s="135" t="s">
        <v>106</v>
      </c>
      <c r="AB763" s="12" t="s">
        <v>95</v>
      </c>
    </row>
    <row r="764" customFormat="false" ht="12.75" hidden="false" customHeight="false" outlineLevel="1" collapsed="false">
      <c r="A764" s="10" t="n">
        <v>100</v>
      </c>
      <c r="C764" s="62" t="n">
        <v>36861</v>
      </c>
      <c r="D764" s="12" t="s">
        <v>183</v>
      </c>
      <c r="E764" s="12" t="s">
        <v>89</v>
      </c>
      <c r="F764" s="12" t="s">
        <v>109</v>
      </c>
      <c r="G764" s="12" t="s">
        <v>342</v>
      </c>
      <c r="H764" s="63" t="n">
        <v>0</v>
      </c>
      <c r="I764" s="14" t="n">
        <f aca="false">+H764*K764</f>
        <v>0</v>
      </c>
      <c r="J764" s="85" t="n">
        <v>38504</v>
      </c>
      <c r="K764" s="13" t="n">
        <f aca="false">+K763</f>
        <v>165000</v>
      </c>
      <c r="L764" s="38" t="s">
        <v>8</v>
      </c>
      <c r="M764" s="86" t="n">
        <f aca="false">+M763</f>
        <v>4.05</v>
      </c>
      <c r="N764" s="133" t="n">
        <f aca="false">K764*M764</f>
        <v>668250</v>
      </c>
      <c r="O764" s="134" t="n">
        <f aca="false">0.0275*K764</f>
        <v>4537.5</v>
      </c>
      <c r="Q764" s="135" t="s">
        <v>106</v>
      </c>
      <c r="T764" s="135" t="s">
        <v>106</v>
      </c>
      <c r="AB764" s="12" t="s">
        <v>95</v>
      </c>
    </row>
    <row r="765" customFormat="false" ht="12.75" hidden="false" customHeight="false" outlineLevel="1" collapsed="false">
      <c r="A765" s="10" t="n">
        <v>100</v>
      </c>
      <c r="C765" s="62" t="n">
        <v>36861</v>
      </c>
      <c r="D765" s="12" t="s">
        <v>183</v>
      </c>
      <c r="E765" s="12" t="s">
        <v>89</v>
      </c>
      <c r="F765" s="12" t="s">
        <v>109</v>
      </c>
      <c r="G765" s="12" t="s">
        <v>342</v>
      </c>
      <c r="H765" s="63" t="n">
        <v>0</v>
      </c>
      <c r="I765" s="14" t="n">
        <f aca="false">+H765*K765</f>
        <v>0</v>
      </c>
      <c r="J765" s="85" t="n">
        <v>38534</v>
      </c>
      <c r="K765" s="13" t="n">
        <f aca="false">+K764</f>
        <v>165000</v>
      </c>
      <c r="L765" s="38" t="s">
        <v>8</v>
      </c>
      <c r="M765" s="86" t="n">
        <f aca="false">+M764</f>
        <v>4.05</v>
      </c>
      <c r="N765" s="133" t="n">
        <f aca="false">K765*M765</f>
        <v>668250</v>
      </c>
      <c r="O765" s="134" t="n">
        <f aca="false">0.0275*K765</f>
        <v>4537.5</v>
      </c>
      <c r="Q765" s="135" t="s">
        <v>106</v>
      </c>
      <c r="T765" s="135" t="s">
        <v>106</v>
      </c>
      <c r="AB765" s="12" t="s">
        <v>95</v>
      </c>
    </row>
    <row r="766" customFormat="false" ht="12.75" hidden="false" customHeight="false" outlineLevel="0" collapsed="false">
      <c r="A766" s="10" t="n">
        <v>100</v>
      </c>
      <c r="C766" s="62" t="n">
        <v>36861</v>
      </c>
      <c r="D766" s="12" t="s">
        <v>183</v>
      </c>
      <c r="E766" s="12" t="s">
        <v>89</v>
      </c>
      <c r="F766" s="12" t="s">
        <v>109</v>
      </c>
      <c r="G766" s="12" t="s">
        <v>342</v>
      </c>
      <c r="H766" s="63" t="n">
        <v>0</v>
      </c>
      <c r="I766" s="14" t="n">
        <f aca="false">+H766*K766</f>
        <v>0</v>
      </c>
      <c r="J766" s="85" t="n">
        <v>38565</v>
      </c>
      <c r="K766" s="13" t="n">
        <f aca="false">+K765</f>
        <v>165000</v>
      </c>
      <c r="L766" s="38" t="s">
        <v>8</v>
      </c>
      <c r="M766" s="86" t="n">
        <f aca="false">+M765</f>
        <v>4.05</v>
      </c>
      <c r="N766" s="133" t="n">
        <f aca="false">K766*M766</f>
        <v>668250</v>
      </c>
      <c r="O766" s="134" t="n">
        <f aca="false">0.0275*K766</f>
        <v>4537.5</v>
      </c>
      <c r="Q766" s="135" t="s">
        <v>106</v>
      </c>
      <c r="T766" s="135" t="s">
        <v>106</v>
      </c>
      <c r="AB766" s="12" t="s">
        <v>95</v>
      </c>
    </row>
    <row r="767" customFormat="false" ht="12.75" hidden="false" customHeight="false" outlineLevel="0" collapsed="false">
      <c r="A767" s="10" t="n">
        <v>100</v>
      </c>
      <c r="C767" s="62" t="n">
        <v>36861</v>
      </c>
      <c r="D767" s="12" t="s">
        <v>183</v>
      </c>
      <c r="E767" s="12" t="s">
        <v>89</v>
      </c>
      <c r="F767" s="12" t="s">
        <v>109</v>
      </c>
      <c r="G767" s="12" t="s">
        <v>342</v>
      </c>
      <c r="H767" s="63" t="n">
        <v>0</v>
      </c>
      <c r="I767" s="14" t="n">
        <f aca="false">+H767*K767</f>
        <v>0</v>
      </c>
      <c r="J767" s="85" t="n">
        <v>38596</v>
      </c>
      <c r="K767" s="13" t="n">
        <f aca="false">+K766</f>
        <v>165000</v>
      </c>
      <c r="L767" s="38" t="s">
        <v>8</v>
      </c>
      <c r="M767" s="86" t="n">
        <f aca="false">+M766</f>
        <v>4.05</v>
      </c>
      <c r="N767" s="133" t="n">
        <f aca="false">K767*M767</f>
        <v>668250</v>
      </c>
      <c r="O767" s="134" t="n">
        <f aca="false">0.0275*K767</f>
        <v>4537.5</v>
      </c>
      <c r="Q767" s="135" t="s">
        <v>106</v>
      </c>
      <c r="T767" s="135" t="s">
        <v>106</v>
      </c>
      <c r="AB767" s="12" t="s">
        <v>95</v>
      </c>
    </row>
    <row r="769" customFormat="false" ht="12.75" hidden="false" customHeight="false" outlineLevel="0" collapsed="false">
      <c r="A769" s="10" t="n">
        <v>101</v>
      </c>
      <c r="C769" s="62" t="n">
        <v>36881</v>
      </c>
      <c r="D769" s="12" t="s">
        <v>136</v>
      </c>
      <c r="E769" s="12" t="s">
        <v>89</v>
      </c>
      <c r="F769" s="12" t="s">
        <v>235</v>
      </c>
      <c r="G769" s="12" t="s">
        <v>236</v>
      </c>
      <c r="H769" s="63" t="n">
        <v>0</v>
      </c>
      <c r="I769" s="14" t="n">
        <f aca="false">+H769*K769</f>
        <v>0</v>
      </c>
      <c r="J769" s="85" t="n">
        <v>36892</v>
      </c>
      <c r="K769" s="13" t="n">
        <v>57200</v>
      </c>
      <c r="L769" s="38" t="s">
        <v>8</v>
      </c>
      <c r="M769" s="86" t="n">
        <v>9.42</v>
      </c>
      <c r="N769" s="133" t="n">
        <f aca="false">K769*M769</f>
        <v>538824</v>
      </c>
      <c r="O769" s="134" t="n">
        <f aca="false">0.02*K769</f>
        <v>1144</v>
      </c>
      <c r="Q769" s="135" t="n">
        <v>9.565</v>
      </c>
      <c r="T769" s="134" t="n">
        <f aca="false">-(M769-Q769)*K769</f>
        <v>8293.99999999998</v>
      </c>
      <c r="U769" s="134"/>
      <c r="AA769" s="10" t="s">
        <v>94</v>
      </c>
      <c r="AB769" s="12" t="s">
        <v>95</v>
      </c>
    </row>
    <row r="770" customFormat="false" ht="12.75" hidden="false" customHeight="false" outlineLevel="0" collapsed="false">
      <c r="A770" s="10" t="n">
        <v>101</v>
      </c>
      <c r="C770" s="62" t="n">
        <v>36881</v>
      </c>
      <c r="D770" s="12" t="s">
        <v>136</v>
      </c>
      <c r="E770" s="12" t="s">
        <v>89</v>
      </c>
      <c r="F770" s="12" t="s">
        <v>235</v>
      </c>
      <c r="G770" s="12" t="s">
        <v>236</v>
      </c>
      <c r="H770" s="63" t="n">
        <v>0</v>
      </c>
      <c r="I770" s="14" t="n">
        <f aca="false">+H770*K770</f>
        <v>0</v>
      </c>
      <c r="J770" s="85" t="n">
        <v>36923</v>
      </c>
      <c r="K770" s="13" t="n">
        <v>28800</v>
      </c>
      <c r="L770" s="38" t="s">
        <v>8</v>
      </c>
      <c r="M770" s="86" t="n">
        <v>8.93</v>
      </c>
      <c r="N770" s="133" t="n">
        <f aca="false">K770*M770</f>
        <v>257184</v>
      </c>
      <c r="O770" s="134" t="n">
        <f aca="false">0.02*K770</f>
        <v>576</v>
      </c>
      <c r="Q770" s="135" t="n">
        <v>9.565</v>
      </c>
      <c r="T770" s="134" t="n">
        <f aca="false">-(M770-Q770)*K770</f>
        <v>18288</v>
      </c>
      <c r="U770" s="134"/>
      <c r="AA770" s="10" t="s">
        <v>94</v>
      </c>
      <c r="AB770" s="12" t="s">
        <v>95</v>
      </c>
    </row>
    <row r="771" customFormat="false" ht="12.75" hidden="false" customHeight="false" outlineLevel="0" collapsed="false">
      <c r="J771" s="85"/>
      <c r="M771" s="86"/>
      <c r="U771" s="134"/>
    </row>
    <row r="772" customFormat="false" ht="12.75" hidden="false" customHeight="false" outlineLevel="0" collapsed="false">
      <c r="A772" s="10" t="n">
        <v>102</v>
      </c>
      <c r="C772" s="62" t="n">
        <v>36881</v>
      </c>
      <c r="D772" s="12" t="s">
        <v>172</v>
      </c>
      <c r="E772" s="12" t="s">
        <v>89</v>
      </c>
      <c r="F772" s="12" t="s">
        <v>235</v>
      </c>
      <c r="G772" s="12" t="s">
        <v>236</v>
      </c>
      <c r="H772" s="63" t="n">
        <v>0</v>
      </c>
      <c r="I772" s="14" t="n">
        <f aca="false">+H772*K772</f>
        <v>0</v>
      </c>
      <c r="J772" s="85" t="n">
        <v>36892</v>
      </c>
      <c r="K772" s="13" t="n">
        <v>99900</v>
      </c>
      <c r="L772" s="38" t="s">
        <v>8</v>
      </c>
      <c r="M772" s="86" t="n">
        <v>9.42</v>
      </c>
      <c r="N772" s="133" t="n">
        <f aca="false">K772*M772</f>
        <v>941058</v>
      </c>
      <c r="O772" s="134" t="n">
        <f aca="false">0.02*K772</f>
        <v>1998</v>
      </c>
      <c r="Q772" s="135" t="n">
        <v>9.565</v>
      </c>
      <c r="T772" s="134" t="n">
        <f aca="false">-(M772-Q772)*K772</f>
        <v>14485.5</v>
      </c>
      <c r="U772" s="134"/>
      <c r="Z772" s="12" t="n">
        <v>0.983738109614456</v>
      </c>
      <c r="AA772" s="10" t="s">
        <v>94</v>
      </c>
      <c r="AB772" s="12" t="s">
        <v>95</v>
      </c>
    </row>
    <row r="773" customFormat="false" ht="12.75" hidden="false" customHeight="false" outlineLevel="0" collapsed="false">
      <c r="A773" s="10" t="n">
        <v>102</v>
      </c>
      <c r="C773" s="62" t="n">
        <v>36881</v>
      </c>
      <c r="D773" s="12" t="s">
        <v>172</v>
      </c>
      <c r="E773" s="12" t="s">
        <v>89</v>
      </c>
      <c r="F773" s="12" t="s">
        <v>235</v>
      </c>
      <c r="G773" s="12" t="s">
        <v>236</v>
      </c>
      <c r="H773" s="63" t="n">
        <v>0</v>
      </c>
      <c r="I773" s="14" t="n">
        <f aca="false">+H773*K773</f>
        <v>0</v>
      </c>
      <c r="J773" s="85" t="n">
        <v>36923</v>
      </c>
      <c r="K773" s="13" t="n">
        <v>64000</v>
      </c>
      <c r="L773" s="38" t="s">
        <v>8</v>
      </c>
      <c r="M773" s="86" t="n">
        <v>8.93</v>
      </c>
      <c r="N773" s="133" t="n">
        <f aca="false">K773*M773</f>
        <v>571520</v>
      </c>
      <c r="O773" s="134" t="n">
        <f aca="false">0.02*K773</f>
        <v>1280</v>
      </c>
      <c r="Q773" s="135" t="n">
        <v>9.565</v>
      </c>
      <c r="T773" s="134" t="n">
        <f aca="false">-(M773-Q773)*K773</f>
        <v>40640</v>
      </c>
      <c r="U773" s="134"/>
      <c r="Z773" s="12" t="n">
        <v>0.983738109614456</v>
      </c>
      <c r="AA773" s="10" t="s">
        <v>94</v>
      </c>
      <c r="AB773" s="12" t="s">
        <v>95</v>
      </c>
    </row>
    <row r="774" customFormat="false" ht="12.75" hidden="false" customHeight="false" outlineLevel="0" collapsed="false">
      <c r="A774" s="10" t="n">
        <v>102</v>
      </c>
      <c r="C774" s="62" t="n">
        <v>36881</v>
      </c>
      <c r="D774" s="12" t="s">
        <v>172</v>
      </c>
      <c r="E774" s="12" t="s">
        <v>89</v>
      </c>
      <c r="F774" s="12" t="s">
        <v>235</v>
      </c>
      <c r="G774" s="12" t="s">
        <v>236</v>
      </c>
      <c r="H774" s="63" t="n">
        <v>0</v>
      </c>
      <c r="I774" s="14" t="n">
        <f aca="false">+H774*K774</f>
        <v>0</v>
      </c>
      <c r="J774" s="85" t="n">
        <v>36951</v>
      </c>
      <c r="K774" s="13" t="n">
        <v>8600</v>
      </c>
      <c r="L774" s="38" t="s">
        <v>8</v>
      </c>
      <c r="M774" s="86" t="n">
        <v>7.8</v>
      </c>
      <c r="N774" s="133" t="n">
        <f aca="false">K774*M774</f>
        <v>67080</v>
      </c>
      <c r="O774" s="134" t="n">
        <f aca="false">0.02*K774</f>
        <v>172</v>
      </c>
      <c r="Q774" s="135" t="n">
        <v>9.565</v>
      </c>
      <c r="T774" s="134" t="n">
        <f aca="false">-(M774-Q774)*K774</f>
        <v>15179</v>
      </c>
      <c r="U774" s="134"/>
      <c r="Z774" s="12" t="n">
        <v>0.983738109614456</v>
      </c>
      <c r="AA774" s="10" t="s">
        <v>94</v>
      </c>
      <c r="AB774" s="12" t="s">
        <v>95</v>
      </c>
    </row>
    <row r="776" customFormat="false" ht="12.75" hidden="false" customHeight="false" outlineLevel="0" collapsed="false">
      <c r="A776" s="10" t="n">
        <v>103</v>
      </c>
      <c r="B776" s="10" t="s">
        <v>363</v>
      </c>
      <c r="C776" s="62" t="n">
        <v>36871</v>
      </c>
      <c r="D776" s="12" t="s">
        <v>125</v>
      </c>
      <c r="E776" s="12" t="s">
        <v>89</v>
      </c>
      <c r="F776" s="12" t="s">
        <v>235</v>
      </c>
      <c r="G776" s="12" t="s">
        <v>341</v>
      </c>
      <c r="H776" s="63" t="n">
        <v>2.3</v>
      </c>
      <c r="I776" s="14" t="n">
        <f aca="false">+H776*K776</f>
        <v>69000</v>
      </c>
      <c r="J776" s="85" t="n">
        <v>36892</v>
      </c>
      <c r="K776" s="13" t="n">
        <v>30000</v>
      </c>
      <c r="L776" s="38" t="s">
        <v>8</v>
      </c>
      <c r="M776" s="63" t="n">
        <v>7</v>
      </c>
      <c r="O776" s="134" t="n">
        <f aca="false">0.04*K776</f>
        <v>1200</v>
      </c>
      <c r="Q776" s="135" t="n">
        <v>9.565</v>
      </c>
      <c r="T776" s="134" t="n">
        <f aca="false">-(7-Q776)*K776</f>
        <v>76950</v>
      </c>
      <c r="AB776" s="12" t="s">
        <v>245</v>
      </c>
    </row>
    <row r="777" customFormat="false" ht="12.75" hidden="false" customHeight="false" outlineLevel="0" collapsed="false">
      <c r="A777" s="10" t="n">
        <v>103</v>
      </c>
      <c r="B777" s="10" t="s">
        <v>363</v>
      </c>
      <c r="C777" s="62" t="n">
        <v>36871</v>
      </c>
      <c r="D777" s="12" t="s">
        <v>125</v>
      </c>
      <c r="E777" s="12" t="s">
        <v>89</v>
      </c>
      <c r="F777" s="12" t="s">
        <v>235</v>
      </c>
      <c r="G777" s="12" t="s">
        <v>341</v>
      </c>
      <c r="H777" s="63" t="n">
        <v>2.3</v>
      </c>
      <c r="I777" s="14" t="n">
        <f aca="false">+H777*K777</f>
        <v>69000</v>
      </c>
      <c r="J777" s="85" t="n">
        <v>36923</v>
      </c>
      <c r="K777" s="13" t="n">
        <v>30000</v>
      </c>
      <c r="L777" s="38" t="s">
        <v>8</v>
      </c>
      <c r="M777" s="63" t="n">
        <v>7</v>
      </c>
      <c r="O777" s="134" t="n">
        <f aca="false">0.04*K777</f>
        <v>1200</v>
      </c>
      <c r="AB777" s="12" t="s">
        <v>245</v>
      </c>
    </row>
    <row r="779" customFormat="false" ht="12.75" hidden="false" customHeight="false" outlineLevel="0" collapsed="false">
      <c r="A779" s="10" t="n">
        <v>104</v>
      </c>
      <c r="B779" s="10" t="s">
        <v>364</v>
      </c>
      <c r="C779" s="62" t="n">
        <v>36886</v>
      </c>
      <c r="D779" s="12" t="s">
        <v>228</v>
      </c>
      <c r="E779" s="12" t="s">
        <v>89</v>
      </c>
      <c r="F779" s="12" t="s">
        <v>109</v>
      </c>
      <c r="G779" s="12" t="s">
        <v>342</v>
      </c>
      <c r="H779" s="63" t="n">
        <v>0</v>
      </c>
      <c r="I779" s="14" t="n">
        <f aca="false">+H779*K779</f>
        <v>0</v>
      </c>
      <c r="J779" s="85" t="n">
        <v>36892</v>
      </c>
      <c r="K779" s="13" t="n">
        <v>150000</v>
      </c>
      <c r="L779" s="38" t="s">
        <v>8</v>
      </c>
      <c r="M779" s="86" t="n">
        <v>9.57</v>
      </c>
      <c r="N779" s="133" t="n">
        <f aca="false">K779*M779</f>
        <v>1435500</v>
      </c>
      <c r="O779" s="134" t="n">
        <f aca="false">0.025*K779</f>
        <v>3750</v>
      </c>
      <c r="Q779" s="135" t="n">
        <v>9.84</v>
      </c>
      <c r="T779" s="134" t="n">
        <f aca="false">-(M779-Q779)*K779</f>
        <v>40499.9999999999</v>
      </c>
      <c r="AB779" s="12" t="s">
        <v>245</v>
      </c>
    </row>
    <row r="781" customFormat="false" ht="12.75" hidden="false" customHeight="false" outlineLevel="0" collapsed="false">
      <c r="A781" s="10" t="n">
        <v>105</v>
      </c>
      <c r="B781" s="10" t="s">
        <v>364</v>
      </c>
      <c r="C781" s="62" t="n">
        <v>36886</v>
      </c>
      <c r="D781" s="12" t="s">
        <v>207</v>
      </c>
      <c r="E781" s="12" t="s">
        <v>89</v>
      </c>
      <c r="F781" s="12" t="s">
        <v>109</v>
      </c>
      <c r="G781" s="12" t="s">
        <v>342</v>
      </c>
      <c r="H781" s="63" t="n">
        <v>0</v>
      </c>
      <c r="I781" s="14" t="n">
        <f aca="false">+H781*K781</f>
        <v>0</v>
      </c>
      <c r="J781" s="85" t="n">
        <v>36892</v>
      </c>
      <c r="K781" s="13" t="n">
        <v>60000</v>
      </c>
      <c r="L781" s="38" t="s">
        <v>8</v>
      </c>
      <c r="M781" s="86" t="n">
        <v>9.57</v>
      </c>
      <c r="N781" s="133" t="n">
        <f aca="false">K781*M781</f>
        <v>574200</v>
      </c>
      <c r="O781" s="134" t="n">
        <f aca="false">0.025*K781</f>
        <v>1500</v>
      </c>
      <c r="Q781" s="135" t="n">
        <v>9.84</v>
      </c>
      <c r="T781" s="134" t="n">
        <f aca="false">-(M781-Q781)*K781</f>
        <v>16200</v>
      </c>
      <c r="AB781" s="12" t="s">
        <v>95</v>
      </c>
    </row>
    <row r="783" customFormat="false" ht="12.75" hidden="false" customHeight="false" outlineLevel="0" collapsed="false">
      <c r="A783" s="10" t="n">
        <v>106</v>
      </c>
      <c r="B783" s="10" t="s">
        <v>365</v>
      </c>
      <c r="C783" s="62" t="n">
        <v>36886</v>
      </c>
      <c r="D783" s="12" t="s">
        <v>205</v>
      </c>
      <c r="E783" s="12" t="s">
        <v>89</v>
      </c>
      <c r="F783" s="12" t="s">
        <v>109</v>
      </c>
      <c r="G783" s="12" t="s">
        <v>342</v>
      </c>
      <c r="H783" s="63" t="n">
        <v>0</v>
      </c>
      <c r="I783" s="14" t="n">
        <f aca="false">+H783*K783</f>
        <v>0</v>
      </c>
      <c r="J783" s="85" t="n">
        <v>36892</v>
      </c>
      <c r="K783" s="13" t="n">
        <v>60000</v>
      </c>
      <c r="L783" s="38" t="s">
        <v>8</v>
      </c>
      <c r="M783" s="86" t="n">
        <v>9.57</v>
      </c>
      <c r="N783" s="133" t="n">
        <f aca="false">K783*M783</f>
        <v>574200</v>
      </c>
      <c r="O783" s="134" t="n">
        <f aca="false">0.025*K783</f>
        <v>1500</v>
      </c>
      <c r="Q783" s="135" t="n">
        <v>9.84</v>
      </c>
      <c r="T783" s="134" t="n">
        <f aca="false">-(M783-Q783)*K783</f>
        <v>16200</v>
      </c>
      <c r="AB783" s="12" t="s">
        <v>95</v>
      </c>
    </row>
    <row r="785" customFormat="false" ht="12.75" hidden="false" customHeight="false" outlineLevel="0" collapsed="false">
      <c r="A785" s="10" t="n">
        <v>107</v>
      </c>
      <c r="B785" s="10" t="s">
        <v>366</v>
      </c>
      <c r="C785" s="62" t="n">
        <v>36886</v>
      </c>
      <c r="D785" s="12" t="s">
        <v>228</v>
      </c>
      <c r="E785" s="12" t="s">
        <v>89</v>
      </c>
      <c r="F785" s="12" t="s">
        <v>109</v>
      </c>
      <c r="G785" s="12" t="s">
        <v>367</v>
      </c>
      <c r="H785" s="63" t="n">
        <v>4.07</v>
      </c>
      <c r="I785" s="14" t="n">
        <f aca="false">+H785*K785</f>
        <v>814000</v>
      </c>
      <c r="J785" s="85" t="n">
        <v>36892</v>
      </c>
      <c r="K785" s="13" t="n">
        <v>200000</v>
      </c>
      <c r="L785" s="38" t="s">
        <v>8</v>
      </c>
      <c r="M785" s="63" t="s">
        <v>350</v>
      </c>
      <c r="O785" s="134" t="n">
        <f aca="false">0.03*K785</f>
        <v>6000</v>
      </c>
      <c r="Q785" s="135" t="n">
        <v>9.84</v>
      </c>
      <c r="T785" s="134" t="n">
        <f aca="false">-(5.5-Q785)*K785</f>
        <v>868000</v>
      </c>
      <c r="AB785" s="12" t="s">
        <v>245</v>
      </c>
    </row>
    <row r="787" customFormat="false" ht="12.75" hidden="false" customHeight="false" outlineLevel="0" collapsed="false">
      <c r="A787" s="10" t="n">
        <v>108</v>
      </c>
      <c r="B787" s="10" t="s">
        <v>368</v>
      </c>
      <c r="C787" s="62" t="n">
        <v>36886</v>
      </c>
      <c r="D787" s="12" t="s">
        <v>207</v>
      </c>
      <c r="E787" s="12" t="s">
        <v>89</v>
      </c>
      <c r="F787" s="12" t="s">
        <v>109</v>
      </c>
      <c r="G787" s="12" t="s">
        <v>367</v>
      </c>
      <c r="H787" s="63" t="n">
        <v>4.07</v>
      </c>
      <c r="I787" s="14" t="n">
        <f aca="false">+H787*K787</f>
        <v>122100</v>
      </c>
      <c r="J787" s="85" t="n">
        <v>36892</v>
      </c>
      <c r="K787" s="13" t="n">
        <v>30000</v>
      </c>
      <c r="L787" s="38" t="s">
        <v>8</v>
      </c>
      <c r="M787" s="63" t="s">
        <v>350</v>
      </c>
      <c r="O787" s="134" t="n">
        <f aca="false">0.03*K787</f>
        <v>900</v>
      </c>
      <c r="Q787" s="135" t="n">
        <v>9.84</v>
      </c>
      <c r="T787" s="134" t="n">
        <f aca="false">-(5.5-Q787)*K787</f>
        <v>130200</v>
      </c>
      <c r="AB787" s="12" t="s">
        <v>95</v>
      </c>
    </row>
    <row r="789" customFormat="false" ht="12.75" hidden="false" customHeight="false" outlineLevel="0" collapsed="false">
      <c r="A789" s="10" t="n">
        <v>109</v>
      </c>
      <c r="B789" s="10" t="s">
        <v>369</v>
      </c>
      <c r="C789" s="62" t="n">
        <v>36886</v>
      </c>
      <c r="D789" s="12" t="s">
        <v>205</v>
      </c>
      <c r="E789" s="12" t="s">
        <v>89</v>
      </c>
      <c r="F789" s="12" t="s">
        <v>109</v>
      </c>
      <c r="G789" s="12" t="s">
        <v>367</v>
      </c>
      <c r="H789" s="63" t="n">
        <v>4.07</v>
      </c>
      <c r="I789" s="14" t="n">
        <f aca="false">+H789*K789</f>
        <v>2564100</v>
      </c>
      <c r="J789" s="85" t="n">
        <v>36892</v>
      </c>
      <c r="K789" s="13" t="n">
        <v>630000</v>
      </c>
      <c r="L789" s="38" t="s">
        <v>8</v>
      </c>
      <c r="M789" s="63" t="s">
        <v>350</v>
      </c>
      <c r="O789" s="134" t="n">
        <f aca="false">0.03*K789</f>
        <v>18900</v>
      </c>
      <c r="Q789" s="135" t="n">
        <v>9.84</v>
      </c>
      <c r="T789" s="134" t="n">
        <f aca="false">-(5.5-Q789)*K789</f>
        <v>2734200</v>
      </c>
      <c r="AB789" s="12" t="s">
        <v>95</v>
      </c>
    </row>
    <row r="791" customFormat="false" ht="12.75" hidden="false" customHeight="false" outlineLevel="0" collapsed="false">
      <c r="A791" s="10" t="n">
        <v>110</v>
      </c>
      <c r="B791" s="10" t="s">
        <v>370</v>
      </c>
      <c r="C791" s="62" t="n">
        <v>36886</v>
      </c>
      <c r="D791" s="12" t="s">
        <v>231</v>
      </c>
      <c r="E791" s="12" t="s">
        <v>89</v>
      </c>
      <c r="F791" s="12" t="s">
        <v>109</v>
      </c>
      <c r="G791" s="12" t="s">
        <v>367</v>
      </c>
      <c r="H791" s="63" t="n">
        <v>4.07</v>
      </c>
      <c r="I791" s="14" t="n">
        <f aca="false">+H791*K791</f>
        <v>2035000</v>
      </c>
      <c r="J791" s="85" t="n">
        <v>36892</v>
      </c>
      <c r="K791" s="13" t="n">
        <v>500000</v>
      </c>
      <c r="L791" s="38" t="s">
        <v>8</v>
      </c>
      <c r="M791" s="63" t="s">
        <v>352</v>
      </c>
      <c r="O791" s="134" t="n">
        <f aca="false">0.02*K791</f>
        <v>10000</v>
      </c>
      <c r="Q791" s="135" t="n">
        <v>9.84</v>
      </c>
      <c r="T791" s="134" t="n">
        <f aca="false">-(5.5-Q791)*K791</f>
        <v>2170000</v>
      </c>
      <c r="AB791" s="12" t="s">
        <v>95</v>
      </c>
    </row>
    <row r="793" customFormat="false" ht="12.75" hidden="false" customHeight="false" outlineLevel="0" collapsed="false">
      <c r="A793" s="10" t="n">
        <v>111</v>
      </c>
      <c r="B793" s="10" t="s">
        <v>371</v>
      </c>
      <c r="C793" s="62" t="n">
        <v>36886</v>
      </c>
      <c r="D793" s="12" t="s">
        <v>231</v>
      </c>
      <c r="E793" s="12" t="s">
        <v>89</v>
      </c>
      <c r="F793" s="12" t="s">
        <v>109</v>
      </c>
      <c r="G793" s="12" t="s">
        <v>367</v>
      </c>
      <c r="H793" s="63" t="n">
        <v>4.07</v>
      </c>
      <c r="I793" s="14" t="n">
        <f aca="false">+H793*K793</f>
        <v>1221000</v>
      </c>
      <c r="J793" s="85" t="n">
        <v>36892</v>
      </c>
      <c r="K793" s="13" t="n">
        <v>300000</v>
      </c>
      <c r="L793" s="38" t="s">
        <v>8</v>
      </c>
      <c r="M793" s="63" t="s">
        <v>352</v>
      </c>
      <c r="O793" s="134" t="n">
        <f aca="false">0.02*K793</f>
        <v>6000</v>
      </c>
      <c r="Q793" s="135" t="n">
        <v>9.84</v>
      </c>
      <c r="T793" s="134" t="n">
        <f aca="false">-(5.5-Q793)*K793</f>
        <v>1302000</v>
      </c>
      <c r="AB793" s="12" t="s">
        <v>95</v>
      </c>
    </row>
    <row r="795" customFormat="false" ht="12.75" hidden="false" customHeight="false" outlineLevel="0" collapsed="false">
      <c r="A795" s="10" t="n">
        <v>112</v>
      </c>
      <c r="B795" s="10" t="s">
        <v>372</v>
      </c>
      <c r="C795" s="62" t="n">
        <v>36886</v>
      </c>
      <c r="D795" s="12" t="s">
        <v>231</v>
      </c>
      <c r="E795" s="12" t="s">
        <v>89</v>
      </c>
      <c r="F795" s="12" t="s">
        <v>109</v>
      </c>
      <c r="G795" s="12" t="s">
        <v>342</v>
      </c>
      <c r="H795" s="63" t="n">
        <v>0</v>
      </c>
      <c r="I795" s="14" t="n">
        <f aca="false">+H795*K795</f>
        <v>0</v>
      </c>
      <c r="J795" s="85" t="n">
        <v>36892</v>
      </c>
      <c r="K795" s="13" t="n">
        <v>60000</v>
      </c>
      <c r="L795" s="38" t="s">
        <v>8</v>
      </c>
      <c r="M795" s="86" t="n">
        <v>9.57</v>
      </c>
      <c r="N795" s="133" t="n">
        <f aca="false">K795*M795</f>
        <v>574200</v>
      </c>
      <c r="O795" s="134" t="n">
        <f aca="false">0.015*K795</f>
        <v>900</v>
      </c>
      <c r="Q795" s="135" t="n">
        <v>9.84</v>
      </c>
      <c r="T795" s="134" t="n">
        <f aca="false">-(M795-Q795)*K795</f>
        <v>16200</v>
      </c>
      <c r="AB795" s="12" t="s">
        <v>95</v>
      </c>
    </row>
  </sheetData>
  <autoFilter ref="A1:AB721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33" activePane="bottomLeft" state="frozen"/>
      <selection pane="topLeft" activeCell="A1" activeCellId="0" sqref="A1"/>
      <selection pane="bottomLeft" activeCell="J55" activeCellId="0" sqref="J55"/>
    </sheetView>
  </sheetViews>
  <sheetFormatPr defaultColWidth="11.70703125" defaultRowHeight="12.75" customHeight="true" zeroHeight="false" outlineLevelRow="0" outlineLevelCol="0"/>
  <cols>
    <col collapsed="false" customWidth="true" hidden="false" outlineLevel="0" max="1" min="1" style="165" width="10.41"/>
    <col collapsed="false" customWidth="true" hidden="false" outlineLevel="0" max="2" min="2" style="0" width="14.28"/>
    <col collapsed="false" customWidth="true" hidden="false" outlineLevel="0" max="3" min="3" style="0" width="13.85"/>
    <col collapsed="false" customWidth="true" hidden="false" outlineLevel="0" max="4" min="4" style="0" width="11.42"/>
    <col collapsed="false" customWidth="true" hidden="false" outlineLevel="0" max="5" min="5" style="0" width="15.56"/>
    <col collapsed="false" customWidth="true" hidden="false" outlineLevel="0" max="6" min="6" style="1" width="9.28"/>
    <col collapsed="false" customWidth="false" hidden="false" outlineLevel="0" max="7" min="7" style="166" width="11.7"/>
    <col collapsed="false" customWidth="true" hidden="false" outlineLevel="0" max="8" min="8" style="167" width="7.99"/>
    <col collapsed="false" customWidth="true" hidden="false" outlineLevel="0" max="9" min="9" style="168" width="11.85"/>
    <col collapsed="false" customWidth="true" hidden="false" outlineLevel="0" max="10" min="10" style="169" width="14.85"/>
  </cols>
  <sheetData>
    <row r="1" customFormat="false" ht="32.25" hidden="false" customHeight="false" outlineLevel="0" collapsed="false">
      <c r="A1" s="73" t="s">
        <v>6</v>
      </c>
      <c r="B1" s="72" t="s">
        <v>63</v>
      </c>
      <c r="C1" s="72" t="s">
        <v>64</v>
      </c>
      <c r="D1" s="72" t="s">
        <v>65</v>
      </c>
      <c r="E1" s="72" t="s">
        <v>67</v>
      </c>
      <c r="F1" s="72" t="s">
        <v>70</v>
      </c>
      <c r="G1" s="77" t="s">
        <v>1</v>
      </c>
      <c r="H1" s="78" t="s">
        <v>71</v>
      </c>
      <c r="I1" s="74" t="s">
        <v>72</v>
      </c>
      <c r="J1" s="170" t="s">
        <v>9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</row>
    <row r="2" customFormat="false" ht="15.75" hidden="false" customHeight="false" outlineLevel="0" collapsed="false">
      <c r="A2" s="103"/>
      <c r="B2" s="102"/>
      <c r="C2" s="102"/>
      <c r="D2" s="102"/>
      <c r="E2" s="102"/>
      <c r="F2" s="102"/>
      <c r="G2" s="107"/>
      <c r="H2" s="108"/>
      <c r="I2" s="104"/>
      <c r="J2" s="171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</row>
    <row r="3" customFormat="false" ht="12.75" hidden="false" customHeight="false" outlineLevel="0" collapsed="false">
      <c r="A3" s="165" t="n">
        <v>36305</v>
      </c>
      <c r="B3" s="0" t="s">
        <v>34</v>
      </c>
      <c r="C3" s="0" t="s">
        <v>89</v>
      </c>
      <c r="D3" s="0" t="s">
        <v>235</v>
      </c>
      <c r="E3" s="0" t="s">
        <v>236</v>
      </c>
      <c r="F3" s="172" t="n">
        <v>36312</v>
      </c>
      <c r="G3" s="166" t="n">
        <v>110000</v>
      </c>
      <c r="H3" s="167" t="s">
        <v>8</v>
      </c>
      <c r="I3" s="168" t="n">
        <v>2.245</v>
      </c>
      <c r="J3" s="169" t="n">
        <f aca="false">0.025*G3</f>
        <v>2750</v>
      </c>
    </row>
    <row r="5" customFormat="false" ht="12.75" hidden="false" customHeight="false" outlineLevel="0" collapsed="false">
      <c r="A5" s="165" t="n">
        <v>36305</v>
      </c>
      <c r="B5" s="0" t="s">
        <v>34</v>
      </c>
      <c r="C5" s="0" t="s">
        <v>89</v>
      </c>
      <c r="D5" s="0" t="s">
        <v>235</v>
      </c>
      <c r="E5" s="0" t="s">
        <v>236</v>
      </c>
      <c r="F5" s="172" t="n">
        <v>36312</v>
      </c>
      <c r="G5" s="166" t="n">
        <v>75000</v>
      </c>
      <c r="H5" s="167" t="s">
        <v>8</v>
      </c>
      <c r="I5" s="168" t="n">
        <v>2.245</v>
      </c>
      <c r="J5" s="169" t="n">
        <f aca="false">0.025*G5</f>
        <v>1875</v>
      </c>
    </row>
    <row r="7" customFormat="false" ht="12.75" hidden="false" customHeight="false" outlineLevel="0" collapsed="false">
      <c r="A7" s="165" t="n">
        <v>36349</v>
      </c>
      <c r="B7" s="0" t="s">
        <v>34</v>
      </c>
      <c r="C7" s="0" t="s">
        <v>89</v>
      </c>
      <c r="D7" s="0" t="s">
        <v>235</v>
      </c>
      <c r="E7" s="0" t="s">
        <v>236</v>
      </c>
      <c r="F7" s="172" t="n">
        <v>36373</v>
      </c>
      <c r="G7" s="166" t="n">
        <v>200955</v>
      </c>
      <c r="H7" s="167" t="s">
        <v>8</v>
      </c>
      <c r="I7" s="168" t="n">
        <v>2.165</v>
      </c>
      <c r="J7" s="169" t="n">
        <f aca="false">0.02*G7</f>
        <v>4019.1</v>
      </c>
    </row>
    <row r="8" customFormat="false" ht="12.75" hidden="false" customHeight="false" outlineLevel="0" collapsed="false">
      <c r="F8" s="172" t="n">
        <v>36404</v>
      </c>
      <c r="G8" s="166" t="n">
        <v>200955</v>
      </c>
      <c r="H8" s="167" t="s">
        <v>8</v>
      </c>
      <c r="I8" s="168" t="n">
        <v>2.1925</v>
      </c>
      <c r="J8" s="169" t="n">
        <f aca="false">0.0125*G8</f>
        <v>2511.9375</v>
      </c>
    </row>
    <row r="10" customFormat="false" ht="12.75" hidden="false" customHeight="false" outlineLevel="0" collapsed="false">
      <c r="A10" s="165" t="n">
        <v>36357</v>
      </c>
      <c r="B10" s="0" t="s">
        <v>373</v>
      </c>
      <c r="C10" s="0" t="s">
        <v>374</v>
      </c>
      <c r="D10" s="0" t="s">
        <v>375</v>
      </c>
      <c r="E10" s="0" t="s">
        <v>376</v>
      </c>
      <c r="F10" s="172" t="n">
        <v>36495</v>
      </c>
      <c r="G10" s="166" t="n">
        <v>100000</v>
      </c>
      <c r="H10" s="167" t="s">
        <v>377</v>
      </c>
      <c r="I10" s="168" t="n">
        <v>0.0445</v>
      </c>
      <c r="J10" s="169" t="n">
        <f aca="false">(0.0455-0.0445)*42*G10</f>
        <v>4200</v>
      </c>
    </row>
    <row r="12" customFormat="false" ht="12.75" hidden="false" customHeight="false" outlineLevel="0" collapsed="false">
      <c r="A12" s="165" t="n">
        <v>36468</v>
      </c>
      <c r="B12" s="0" t="s">
        <v>192</v>
      </c>
      <c r="C12" s="0" t="s">
        <v>89</v>
      </c>
      <c r="D12" s="0" t="s">
        <v>109</v>
      </c>
      <c r="E12" s="0" t="s">
        <v>378</v>
      </c>
      <c r="F12" s="172" t="n">
        <v>36495</v>
      </c>
      <c r="G12" s="166" t="n">
        <v>110000</v>
      </c>
      <c r="H12" s="167" t="s">
        <v>8</v>
      </c>
      <c r="I12" s="168" t="s">
        <v>379</v>
      </c>
      <c r="J12" s="169" t="n">
        <v>830</v>
      </c>
    </row>
    <row r="14" customFormat="false" ht="12.75" hidden="false" customHeight="false" outlineLevel="0" collapsed="false">
      <c r="A14" s="165" t="n">
        <v>36472</v>
      </c>
      <c r="B14" s="0" t="s">
        <v>192</v>
      </c>
      <c r="C14" s="0" t="s">
        <v>89</v>
      </c>
      <c r="D14" s="0" t="s">
        <v>109</v>
      </c>
      <c r="E14" s="0" t="s">
        <v>378</v>
      </c>
      <c r="F14" s="172" t="n">
        <v>36526</v>
      </c>
      <c r="G14" s="166" t="n">
        <v>70000</v>
      </c>
      <c r="H14" s="167" t="s">
        <v>8</v>
      </c>
      <c r="I14" s="168" t="s">
        <v>380</v>
      </c>
      <c r="J14" s="169" t="n">
        <v>175</v>
      </c>
    </row>
    <row r="16" customFormat="false" ht="12.75" hidden="false" customHeight="false" outlineLevel="0" collapsed="false">
      <c r="A16" s="165" t="n">
        <v>36475</v>
      </c>
      <c r="B16" s="0" t="s">
        <v>381</v>
      </c>
      <c r="C16" s="0" t="s">
        <v>89</v>
      </c>
      <c r="D16" s="0" t="s">
        <v>109</v>
      </c>
      <c r="E16" s="0" t="s">
        <v>236</v>
      </c>
      <c r="F16" s="172" t="n">
        <v>36495</v>
      </c>
      <c r="G16" s="166" t="n">
        <v>250000</v>
      </c>
      <c r="H16" s="167" t="s">
        <v>8</v>
      </c>
      <c r="I16" s="168" t="n">
        <v>2.56</v>
      </c>
      <c r="J16" s="169" t="n">
        <v>0</v>
      </c>
    </row>
    <row r="17" customFormat="false" ht="12.75" hidden="false" customHeight="false" outlineLevel="0" collapsed="false">
      <c r="F17" s="172" t="n">
        <v>36586</v>
      </c>
      <c r="G17" s="166" t="n">
        <v>250000</v>
      </c>
      <c r="H17" s="167" t="s">
        <v>8</v>
      </c>
      <c r="I17" s="168" t="n">
        <v>2.525</v>
      </c>
      <c r="J17" s="169" t="n">
        <v>0</v>
      </c>
    </row>
    <row r="19" customFormat="false" ht="12.75" hidden="false" customHeight="false" outlineLevel="0" collapsed="false">
      <c r="A19" s="165" t="n">
        <v>36475</v>
      </c>
      <c r="B19" s="0" t="s">
        <v>381</v>
      </c>
      <c r="C19" s="0" t="s">
        <v>89</v>
      </c>
      <c r="D19" s="0" t="s">
        <v>109</v>
      </c>
      <c r="E19" s="0" t="s">
        <v>236</v>
      </c>
      <c r="F19" s="172" t="n">
        <v>36495</v>
      </c>
      <c r="G19" s="166" t="n">
        <v>120000</v>
      </c>
      <c r="H19" s="167" t="s">
        <v>8</v>
      </c>
      <c r="I19" s="168" t="n">
        <v>2.5325</v>
      </c>
      <c r="J19" s="169" t="n">
        <v>0</v>
      </c>
    </row>
    <row r="20" customFormat="false" ht="12.75" hidden="false" customHeight="false" outlineLevel="0" collapsed="false">
      <c r="F20" s="172" t="n">
        <v>36557</v>
      </c>
      <c r="G20" s="166" t="n">
        <v>120000</v>
      </c>
      <c r="H20" s="167" t="s">
        <v>8</v>
      </c>
      <c r="I20" s="168" t="n">
        <v>2.59</v>
      </c>
      <c r="J20" s="169" t="n">
        <v>0</v>
      </c>
    </row>
    <row r="21" customFormat="false" ht="12.75" hidden="false" customHeight="false" outlineLevel="0" collapsed="false">
      <c r="F21" s="172" t="n">
        <v>36586</v>
      </c>
      <c r="G21" s="166" t="n">
        <v>120000</v>
      </c>
      <c r="H21" s="167" t="s">
        <v>8</v>
      </c>
      <c r="I21" s="168" t="n">
        <v>2.5275</v>
      </c>
      <c r="J21" s="169" t="n">
        <f aca="false">-0.005*G21</f>
        <v>-600</v>
      </c>
    </row>
    <row r="22" customFormat="false" ht="12.75" hidden="false" customHeight="false" outlineLevel="0" collapsed="false">
      <c r="F22" s="172" t="n">
        <v>36617</v>
      </c>
      <c r="G22" s="166" t="n">
        <v>150000</v>
      </c>
      <c r="H22" s="167" t="s">
        <v>8</v>
      </c>
      <c r="I22" s="168" t="n">
        <v>2.515</v>
      </c>
      <c r="J22" s="169" t="n">
        <f aca="false">0.0025*G22</f>
        <v>375</v>
      </c>
    </row>
    <row r="23" customFormat="false" ht="12.75" hidden="false" customHeight="false" outlineLevel="0" collapsed="false">
      <c r="F23" s="172" t="n">
        <v>36647</v>
      </c>
      <c r="G23" s="166" t="n">
        <v>150000</v>
      </c>
      <c r="H23" s="167" t="s">
        <v>8</v>
      </c>
      <c r="I23" s="168" t="n">
        <v>2.515</v>
      </c>
      <c r="J23" s="169" t="n">
        <f aca="false">0.0025*G23</f>
        <v>375</v>
      </c>
    </row>
    <row r="24" customFormat="false" ht="12.75" hidden="false" customHeight="false" outlineLevel="0" collapsed="false">
      <c r="F24" s="172" t="n">
        <v>36678</v>
      </c>
      <c r="G24" s="166" t="n">
        <v>150000</v>
      </c>
      <c r="H24" s="167" t="s">
        <v>8</v>
      </c>
      <c r="I24" s="168" t="n">
        <v>2.515</v>
      </c>
      <c r="J24" s="169" t="n">
        <f aca="false">0.0025*G24</f>
        <v>375</v>
      </c>
    </row>
    <row r="25" customFormat="false" ht="12.75" hidden="false" customHeight="false" outlineLevel="0" collapsed="false">
      <c r="F25" s="172" t="n">
        <v>36708</v>
      </c>
      <c r="G25" s="166" t="n">
        <v>150000</v>
      </c>
      <c r="H25" s="167" t="s">
        <v>8</v>
      </c>
      <c r="I25" s="168" t="n">
        <v>2.515</v>
      </c>
      <c r="J25" s="169" t="n">
        <f aca="false">0.0025*G25</f>
        <v>375</v>
      </c>
    </row>
    <row r="26" customFormat="false" ht="12.75" hidden="false" customHeight="false" outlineLevel="0" collapsed="false">
      <c r="F26" s="172" t="n">
        <v>36739</v>
      </c>
      <c r="G26" s="166" t="n">
        <v>150000</v>
      </c>
      <c r="H26" s="167" t="s">
        <v>8</v>
      </c>
      <c r="I26" s="168" t="n">
        <v>2.515</v>
      </c>
      <c r="J26" s="169" t="n">
        <f aca="false">0.0025*G26</f>
        <v>375</v>
      </c>
    </row>
    <row r="27" customFormat="false" ht="12.75" hidden="false" customHeight="false" outlineLevel="0" collapsed="false">
      <c r="F27" s="172" t="n">
        <v>36770</v>
      </c>
      <c r="G27" s="166" t="n">
        <v>150000</v>
      </c>
      <c r="H27" s="167" t="s">
        <v>8</v>
      </c>
      <c r="I27" s="168" t="n">
        <v>2.515</v>
      </c>
      <c r="J27" s="169" t="n">
        <f aca="false">0.0025*G27</f>
        <v>375</v>
      </c>
      <c r="M27" s="173"/>
    </row>
    <row r="28" customFormat="false" ht="12.75" hidden="false" customHeight="false" outlineLevel="0" collapsed="false">
      <c r="F28" s="172" t="n">
        <v>36800</v>
      </c>
      <c r="G28" s="166" t="n">
        <v>150000</v>
      </c>
      <c r="H28" s="167" t="s">
        <v>8</v>
      </c>
      <c r="I28" s="168" t="n">
        <v>2.515</v>
      </c>
      <c r="J28" s="169" t="n">
        <f aca="false">0.0025*G28</f>
        <v>375</v>
      </c>
      <c r="L28" s="0" t="n">
        <v>5.3</v>
      </c>
      <c r="M28" s="173" t="n">
        <f aca="false">+L28-I28</f>
        <v>2.785</v>
      </c>
      <c r="N28" s="2" t="n">
        <f aca="false">+M28*G28</f>
        <v>417750</v>
      </c>
    </row>
    <row r="30" customFormat="false" ht="12.75" hidden="false" customHeight="false" outlineLevel="0" collapsed="false">
      <c r="A30" s="165" t="n">
        <v>36479</v>
      </c>
      <c r="B30" s="0" t="s">
        <v>132</v>
      </c>
      <c r="C30" s="0" t="s">
        <v>89</v>
      </c>
      <c r="D30" s="0" t="s">
        <v>235</v>
      </c>
      <c r="E30" s="0" t="s">
        <v>382</v>
      </c>
      <c r="F30" s="172" t="n">
        <v>36495</v>
      </c>
      <c r="G30" s="166" t="n">
        <v>3170000</v>
      </c>
      <c r="H30" s="167" t="s">
        <v>8</v>
      </c>
      <c r="I30" s="168" t="n">
        <v>0.045</v>
      </c>
      <c r="J30" s="169" t="n">
        <v>0</v>
      </c>
    </row>
    <row r="32" customFormat="false" ht="12.75" hidden="false" customHeight="false" outlineLevel="0" collapsed="false">
      <c r="A32" s="165" t="n">
        <v>36481</v>
      </c>
      <c r="B32" s="0" t="s">
        <v>34</v>
      </c>
      <c r="C32" s="0" t="s">
        <v>89</v>
      </c>
      <c r="D32" s="0" t="s">
        <v>235</v>
      </c>
      <c r="E32" s="0" t="s">
        <v>236</v>
      </c>
      <c r="F32" s="172" t="n">
        <v>36526</v>
      </c>
      <c r="G32" s="166" t="n">
        <v>628701</v>
      </c>
      <c r="H32" s="167" t="s">
        <v>8</v>
      </c>
      <c r="I32" s="168" t="n">
        <v>2.48</v>
      </c>
      <c r="J32" s="169" t="n">
        <v>1572</v>
      </c>
    </row>
    <row r="33" customFormat="false" ht="12.75" hidden="false" customHeight="false" outlineLevel="0" collapsed="false">
      <c r="F33" s="172" t="n">
        <v>36557</v>
      </c>
      <c r="G33" s="166" t="n">
        <v>628701</v>
      </c>
      <c r="H33" s="167" t="s">
        <v>8</v>
      </c>
      <c r="I33" s="168" t="n">
        <v>2.47</v>
      </c>
      <c r="J33" s="169" t="n">
        <v>7859</v>
      </c>
    </row>
    <row r="35" customFormat="false" ht="12.75" hidden="false" customHeight="false" outlineLevel="0" collapsed="false">
      <c r="A35" s="165" t="n">
        <v>36483</v>
      </c>
      <c r="B35" s="0" t="s">
        <v>34</v>
      </c>
      <c r="C35" s="0" t="s">
        <v>89</v>
      </c>
      <c r="D35" s="0" t="s">
        <v>235</v>
      </c>
      <c r="E35" s="0" t="s">
        <v>236</v>
      </c>
      <c r="F35" s="172" t="n">
        <v>36526</v>
      </c>
      <c r="G35" s="166" t="n">
        <v>441555</v>
      </c>
      <c r="H35" s="167" t="s">
        <v>8</v>
      </c>
      <c r="I35" s="168" t="n">
        <v>2.48</v>
      </c>
      <c r="J35" s="169" t="n">
        <v>4416</v>
      </c>
    </row>
    <row r="36" customFormat="false" ht="12.75" hidden="false" customHeight="false" outlineLevel="0" collapsed="false">
      <c r="F36" s="172" t="n">
        <v>36557</v>
      </c>
      <c r="G36" s="166" t="n">
        <v>441555</v>
      </c>
      <c r="H36" s="167" t="s">
        <v>8</v>
      </c>
      <c r="I36" s="168" t="n">
        <v>2.47</v>
      </c>
      <c r="J36" s="169" t="n">
        <v>4416</v>
      </c>
    </row>
    <row r="38" customFormat="false" ht="12.75" hidden="false" customHeight="false" outlineLevel="0" collapsed="false">
      <c r="A38" s="165" t="n">
        <v>36483</v>
      </c>
      <c r="B38" s="0" t="s">
        <v>34</v>
      </c>
      <c r="C38" s="0" t="s">
        <v>89</v>
      </c>
      <c r="D38" s="0" t="s">
        <v>235</v>
      </c>
      <c r="E38" s="0" t="s">
        <v>236</v>
      </c>
      <c r="F38" s="172" t="n">
        <v>36526</v>
      </c>
      <c r="G38" s="166" t="n">
        <v>73979</v>
      </c>
      <c r="H38" s="167" t="s">
        <v>8</v>
      </c>
      <c r="I38" s="168" t="n">
        <v>2.48</v>
      </c>
      <c r="J38" s="169" t="n">
        <v>1480</v>
      </c>
    </row>
    <row r="39" customFormat="false" ht="12.75" hidden="false" customHeight="false" outlineLevel="0" collapsed="false">
      <c r="F39" s="172" t="n">
        <v>36557</v>
      </c>
      <c r="G39" s="166" t="n">
        <v>73979</v>
      </c>
      <c r="H39" s="167" t="s">
        <v>8</v>
      </c>
      <c r="I39" s="168" t="n">
        <v>2.47</v>
      </c>
      <c r="J39" s="169" t="n">
        <v>740</v>
      </c>
    </row>
    <row r="41" customFormat="false" ht="12.75" hidden="false" customHeight="false" outlineLevel="0" collapsed="false">
      <c r="A41" s="165" t="n">
        <v>36483</v>
      </c>
      <c r="B41" s="0" t="s">
        <v>34</v>
      </c>
      <c r="C41" s="0" t="s">
        <v>89</v>
      </c>
      <c r="D41" s="0" t="s">
        <v>105</v>
      </c>
      <c r="E41" s="0" t="s">
        <v>236</v>
      </c>
      <c r="F41" s="172" t="n">
        <v>36526</v>
      </c>
      <c r="G41" s="166" t="n">
        <v>44000</v>
      </c>
      <c r="H41" s="167" t="s">
        <v>8</v>
      </c>
      <c r="I41" s="168" t="n">
        <v>2.585</v>
      </c>
      <c r="J41" s="169" t="n">
        <v>440</v>
      </c>
    </row>
    <row r="42" customFormat="false" ht="12.75" hidden="false" customHeight="false" outlineLevel="0" collapsed="false">
      <c r="F42" s="172" t="n">
        <v>36557</v>
      </c>
      <c r="G42" s="166" t="n">
        <v>44000</v>
      </c>
      <c r="H42" s="167" t="s">
        <v>8</v>
      </c>
      <c r="I42" s="168" t="n">
        <v>2.56</v>
      </c>
      <c r="J42" s="169" t="n">
        <v>440</v>
      </c>
    </row>
    <row r="44" customFormat="false" ht="12.75" hidden="false" customHeight="false" outlineLevel="0" collapsed="false">
      <c r="A44" s="165" t="n">
        <v>36487</v>
      </c>
      <c r="B44" s="0" t="s">
        <v>373</v>
      </c>
      <c r="C44" s="0" t="s">
        <v>374</v>
      </c>
      <c r="D44" s="0" t="s">
        <v>375</v>
      </c>
      <c r="E44" s="0" t="s">
        <v>376</v>
      </c>
      <c r="F44" s="172" t="n">
        <v>36495</v>
      </c>
      <c r="G44" s="166" t="n">
        <v>100000</v>
      </c>
      <c r="H44" s="167" t="s">
        <v>377</v>
      </c>
      <c r="I44" s="168" t="n">
        <v>0.155</v>
      </c>
      <c r="J44" s="169" t="n">
        <v>0</v>
      </c>
    </row>
    <row r="46" customFormat="false" ht="12.75" hidden="false" customHeight="false" outlineLevel="0" collapsed="false">
      <c r="A46" s="165" t="n">
        <v>36487</v>
      </c>
      <c r="B46" s="0" t="s">
        <v>34</v>
      </c>
      <c r="C46" s="0" t="s">
        <v>89</v>
      </c>
      <c r="D46" s="0" t="s">
        <v>235</v>
      </c>
      <c r="E46" s="0" t="s">
        <v>236</v>
      </c>
      <c r="F46" s="172" t="n">
        <v>36495</v>
      </c>
      <c r="G46" s="166" t="n">
        <v>179667</v>
      </c>
      <c r="H46" s="167" t="s">
        <v>8</v>
      </c>
      <c r="I46" s="168" t="n">
        <v>2.1672</v>
      </c>
      <c r="J46" s="169" t="n">
        <v>2695</v>
      </c>
    </row>
    <row r="48" customFormat="false" ht="12.75" hidden="false" customHeight="false" outlineLevel="0" collapsed="false">
      <c r="A48" s="165" t="n">
        <v>36488</v>
      </c>
      <c r="B48" s="0" t="s">
        <v>34</v>
      </c>
      <c r="C48" s="0" t="s">
        <v>89</v>
      </c>
      <c r="D48" s="0" t="s">
        <v>235</v>
      </c>
      <c r="E48" s="0" t="s">
        <v>236</v>
      </c>
      <c r="F48" s="172" t="n">
        <v>36526</v>
      </c>
      <c r="G48" s="166" t="n">
        <v>60000</v>
      </c>
      <c r="H48" s="167" t="s">
        <v>8</v>
      </c>
      <c r="I48" s="168" t="n">
        <v>2.3</v>
      </c>
      <c r="J48" s="169" t="n">
        <v>600</v>
      </c>
    </row>
    <row r="49" customFormat="false" ht="12.75" hidden="false" customHeight="false" outlineLevel="0" collapsed="false">
      <c r="F49" s="172" t="n">
        <v>36557</v>
      </c>
      <c r="G49" s="166" t="n">
        <v>60000</v>
      </c>
      <c r="H49" s="167" t="s">
        <v>8</v>
      </c>
      <c r="I49" s="168" t="n">
        <v>2.315</v>
      </c>
      <c r="J49" s="169" t="n">
        <v>750</v>
      </c>
    </row>
    <row r="50" customFormat="false" ht="12.75" hidden="false" customHeight="false" outlineLevel="0" collapsed="false">
      <c r="F50" s="172" t="n">
        <v>36586</v>
      </c>
      <c r="G50" s="166" t="n">
        <v>60000</v>
      </c>
      <c r="H50" s="167" t="s">
        <v>8</v>
      </c>
      <c r="I50" s="168" t="n">
        <v>2.285</v>
      </c>
      <c r="J50" s="169" t="n">
        <v>900</v>
      </c>
    </row>
    <row r="52" customFormat="false" ht="12.75" hidden="false" customHeight="false" outlineLevel="0" collapsed="false">
      <c r="A52" s="165" t="n">
        <v>36488</v>
      </c>
      <c r="B52" s="0" t="s">
        <v>132</v>
      </c>
      <c r="C52" s="0" t="s">
        <v>89</v>
      </c>
      <c r="D52" s="0" t="s">
        <v>235</v>
      </c>
      <c r="E52" s="0" t="s">
        <v>383</v>
      </c>
      <c r="F52" s="172" t="n">
        <v>36526</v>
      </c>
      <c r="G52" s="166" t="n">
        <v>3100000</v>
      </c>
      <c r="H52" s="167" t="s">
        <v>8</v>
      </c>
      <c r="I52" s="168" t="s">
        <v>384</v>
      </c>
      <c r="J52" s="169" t="n">
        <v>7750</v>
      </c>
    </row>
    <row r="53" customFormat="false" ht="12.75" hidden="false" customHeight="false" outlineLevel="0" collapsed="false">
      <c r="A53" s="174"/>
      <c r="B53" s="175"/>
      <c r="C53" s="175"/>
      <c r="D53" s="175"/>
      <c r="E53" s="175"/>
      <c r="F53" s="176"/>
      <c r="G53" s="177"/>
      <c r="H53" s="178"/>
      <c r="I53" s="179"/>
      <c r="J53" s="180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  <c r="IF53" s="175"/>
      <c r="IG53" s="175"/>
      <c r="IH53" s="175"/>
      <c r="II53" s="175"/>
      <c r="IJ53" s="175"/>
      <c r="IK53" s="175"/>
      <c r="IL53" s="175"/>
      <c r="IM53" s="175"/>
      <c r="IN53" s="175"/>
      <c r="IO53" s="175"/>
      <c r="IP53" s="175"/>
      <c r="IQ53" s="175"/>
      <c r="IR53" s="175"/>
      <c r="IS53" s="175"/>
      <c r="IT53" s="175"/>
      <c r="IU53" s="175"/>
      <c r="IV53" s="175"/>
      <c r="IW53" s="175"/>
    </row>
    <row r="55" customFormat="false" ht="12.75" hidden="false" customHeight="false" outlineLevel="0" collapsed="false">
      <c r="E55" s="0" t="s">
        <v>385</v>
      </c>
      <c r="G55" s="166" t="n">
        <f aca="false">SUM(G3:G8,G12:G42,G46:G52)</f>
        <v>11683047</v>
      </c>
      <c r="H55" s="167" t="s">
        <v>8</v>
      </c>
      <c r="J55" s="169" t="n">
        <f aca="false">SUM(J3:J52)</f>
        <v>52444.0375</v>
      </c>
    </row>
    <row r="56" customFormat="false" ht="12.75" hidden="false" customHeight="false" outlineLevel="0" collapsed="false">
      <c r="G56" s="166" t="n">
        <f aca="false">SUM(G10,G44)</f>
        <v>200000</v>
      </c>
      <c r="H56" s="167" t="s">
        <v>377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&amp;L&amp;"Arial,Bold"&amp;14CONFIDENTIAL&amp;CPage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1999-12-07T21:25:43Z</dcterms:created>
  <dc:creator>aperez</dc:creator>
  <dc:description/>
  <dc:language>en-US</dc:language>
  <cp:lastModifiedBy>nvu</cp:lastModifiedBy>
  <cp:lastPrinted>2001-04-03T20:45:33Z</cp:lastPrinted>
  <dcterms:modified xsi:type="dcterms:W3CDTF">2001-04-03T20:45:34Z</dcterms:modified>
  <cp:revision>0</cp:revision>
  <dc:subject/>
  <dc:title/>
</cp:coreProperties>
</file>