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Sheet1!$A$433:$G$469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<sst xmlns="http://schemas.openxmlformats.org/spreadsheetml/2006/main" count="391" uniqueCount="155">
  <si>
    <t xml:space="preserve">..</t>
  </si>
  <si>
    <t xml:space="preserve">ORD</t>
  </si>
  <si>
    <t xml:space="preserve">Prior Day</t>
  </si>
  <si>
    <t xml:space="preserve">LGA</t>
  </si>
  <si>
    <t xml:space="preserve">Depart</t>
  </si>
  <si>
    <t xml:space="preserve">Financial Trades</t>
  </si>
  <si>
    <t xml:space="preserve">Current</t>
  </si>
  <si>
    <t xml:space="preserve">Curve</t>
  </si>
  <si>
    <t xml:space="preserve">Nov</t>
  </si>
  <si>
    <t xml:space="preserve">Normal HDD</t>
  </si>
  <si>
    <t xml:space="preserve">Fcst HDD</t>
  </si>
  <si>
    <t xml:space="preserve">Act HDD</t>
  </si>
  <si>
    <t xml:space="preserve">from Normal</t>
  </si>
  <si>
    <t xml:space="preserve">from Fcst</t>
  </si>
  <si>
    <t xml:space="preserve">HH</t>
  </si>
  <si>
    <t xml:space="preserve">HSP</t>
  </si>
  <si>
    <t xml:space="preserve">Dec</t>
  </si>
  <si>
    <t xml:space="preserve">Sales</t>
  </si>
  <si>
    <t xml:space="preserve">Jan</t>
  </si>
  <si>
    <t xml:space="preserve">Nov GD HH</t>
  </si>
  <si>
    <t xml:space="preserve">Feb</t>
  </si>
  <si>
    <t xml:space="preserve">Mar</t>
  </si>
  <si>
    <t xml:space="preserve">Total</t>
  </si>
  <si>
    <t xml:space="preserve">Change</t>
  </si>
  <si>
    <t xml:space="preserve">30 yr normal</t>
  </si>
  <si>
    <t xml:space="preserve">Nov HSC</t>
  </si>
  <si>
    <t xml:space="preserve">10 yr normal</t>
  </si>
  <si>
    <t xml:space="preserve">Trades</t>
  </si>
  <si>
    <t xml:space="preserve">Accum.</t>
  </si>
  <si>
    <t xml:space="preserve">Curve Shift</t>
  </si>
  <si>
    <t xml:space="preserve">Tonights</t>
  </si>
  <si>
    <t xml:space="preserve">YTD</t>
  </si>
  <si>
    <t xml:space="preserve">Waha GD</t>
  </si>
  <si>
    <t xml:space="preserve">Katy GD</t>
  </si>
  <si>
    <t xml:space="preserve">Carthage Phy</t>
  </si>
  <si>
    <t xml:space="preserve">Perm GD</t>
  </si>
  <si>
    <t xml:space="preserve">March</t>
  </si>
  <si>
    <t xml:space="preserve">Perm</t>
  </si>
  <si>
    <t xml:space="preserve">Waha</t>
  </si>
  <si>
    <t xml:space="preserve">Carth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</si>
  <si>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</si>
  <si>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</si>
  <si>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</si>
  <si>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</si>
  <si>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</si>
  <si>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</si>
  <si>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</si>
  <si>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A-O</t>
  </si>
  <si>
    <t xml:space="preserve">D-M</t>
  </si>
  <si>
    <t xml:space="preserve">Nov 1yr</t>
  </si>
  <si>
    <t xml:space="preserve">April-Oct</t>
  </si>
  <si>
    <t xml:space="preserve">Nov-Dec</t>
  </si>
  <si>
    <t xml:space="preserve">Cal 03 -</t>
  </si>
  <si>
    <t xml:space="preserve">AD GD</t>
  </si>
  <si>
    <t xml:space="preserve">HH GD</t>
  </si>
  <si>
    <t xml:space="preserve">Last Night A-O less Dec-Mar</t>
  </si>
  <si>
    <t xml:space="preserve">Current A-O less Dec-Mar</t>
  </si>
  <si>
    <t xml:space="preserve">HSC GD</t>
  </si>
  <si>
    <t xml:space="preserve">Last Night Mar less Jan</t>
  </si>
  <si>
    <t xml:space="preserve">Katy Phy</t>
  </si>
  <si>
    <t xml:space="preserve">Current Mar less Jan</t>
  </si>
  <si>
    <t xml:space="preserve">AD Phy</t>
  </si>
  <si>
    <t xml:space="preserve">Waha Phy</t>
  </si>
  <si>
    <t xml:space="preserve">Last Night A-O less J-M</t>
  </si>
  <si>
    <t xml:space="preserve">.</t>
  </si>
  <si>
    <t xml:space="preserve">Last Night N/D</t>
  </si>
  <si>
    <t xml:space="preserve">Current A-O less J-M</t>
  </si>
  <si>
    <t xml:space="preserve">Current N/D</t>
  </si>
  <si>
    <t xml:space="preserve">Last Night A-O</t>
  </si>
  <si>
    <t xml:space="preserve">Current April-Oct </t>
  </si>
  <si>
    <t xml:space="preserve">April-Dec</t>
  </si>
  <si>
    <t xml:space="preserve">Jan-Mar</t>
  </si>
  <si>
    <t xml:space="preserve">Cal 02</t>
  </si>
  <si>
    <t xml:space="preserve">Current Cal 02</t>
  </si>
  <si>
    <t xml:space="preserve">Current J-M</t>
  </si>
  <si>
    <t xml:space="preserve">Last night Oct</t>
  </si>
  <si>
    <t xml:space="preserve">Last night J-M</t>
  </si>
  <si>
    <t xml:space="preserve">Current Dec</t>
  </si>
  <si>
    <t xml:space="preserve">Current Nov- Dec</t>
  </si>
  <si>
    <t xml:space="preserve">Buys</t>
  </si>
  <si>
    <t xml:space="preserve">Current Nov 1 yr.</t>
  </si>
  <si>
    <t xml:space="preserve">Nov HH GD</t>
  </si>
  <si>
    <t xml:space="preserve">Last night</t>
  </si>
  <si>
    <t xml:space="preserve">Nov HSC GD</t>
  </si>
  <si>
    <t xml:space="preserve">Trading</t>
  </si>
  <si>
    <t xml:space="preserve">Originaltion</t>
  </si>
  <si>
    <t xml:space="preserve">EAST</t>
  </si>
  <si>
    <t xml:space="preserve">SJ GD</t>
  </si>
  <si>
    <t xml:space="preserve">CENTRAL</t>
  </si>
  <si>
    <t xml:space="preserve">TEXAS</t>
  </si>
  <si>
    <t xml:space="preserve">WEST</t>
  </si>
  <si>
    <t xml:space="preserve">Carthage</t>
  </si>
  <si>
    <t xml:space="preserve">DERIV.</t>
  </si>
  <si>
    <t xml:space="preserve">FINANCIAL</t>
  </si>
  <si>
    <t xml:space="preserve">days</t>
  </si>
  <si>
    <t xml:space="preserve">Cal 03</t>
  </si>
  <si>
    <t xml:space="preserve">Nov Forward</t>
  </si>
  <si>
    <t xml:space="preserve">Martin</t>
  </si>
  <si>
    <t xml:space="preserve">Schwieger</t>
  </si>
  <si>
    <t xml:space="preserve">Bass</t>
  </si>
  <si>
    <t xml:space="preserve">Parks</t>
  </si>
  <si>
    <t xml:space="preserve">Weldon</t>
  </si>
  <si>
    <t xml:space="preserve">Texas Storage Activity</t>
  </si>
  <si>
    <t xml:space="preserve">Capacity</t>
  </si>
  <si>
    <t xml:space="preserve">With Lansing</t>
  </si>
  <si>
    <t xml:space="preserve">W/O Lansing</t>
  </si>
  <si>
    <t xml:space="preserve">% Full</t>
  </si>
  <si>
    <t xml:space="preserve">4 Yr Avg</t>
  </si>
  <si>
    <t xml:space="preserve">March - Oct Inject</t>
  </si>
  <si>
    <t xml:space="preserve">M - O Inject</t>
  </si>
  <si>
    <t xml:space="preserve">Avg/Day</t>
  </si>
  <si>
    <t xml:space="preserve">2001 Inject to Meet</t>
  </si>
  <si>
    <t xml:space="preserve">Oct 31, 2000 Level</t>
  </si>
  <si>
    <t xml:space="preserve">Idx</t>
  </si>
  <si>
    <t xml:space="preserve">Basis</t>
  </si>
  <si>
    <t xml:space="preserve">Monthly</t>
  </si>
  <si>
    <t xml:space="preserve">Benefit</t>
  </si>
  <si>
    <t xml:space="preserve">Costs</t>
  </si>
  <si>
    <t xml:space="preserve">Medical</t>
  </si>
  <si>
    <t xml:space="preserve">Dental</t>
  </si>
  <si>
    <t xml:space="preserve">Health Care Reimbursement</t>
  </si>
  <si>
    <t xml:space="preserve">LTD</t>
  </si>
  <si>
    <t xml:space="preserve">Optional Life</t>
  </si>
  <si>
    <t xml:space="preserve">Spouse Life</t>
  </si>
  <si>
    <t xml:space="preserve">Child Life</t>
  </si>
  <si>
    <t xml:space="preserve">Supp. ADD</t>
  </si>
  <si>
    <t xml:space="preserve">Group Legal</t>
  </si>
  <si>
    <t xml:space="preserve">per paycheck</t>
  </si>
  <si>
    <t xml:space="preserve">flex</t>
  </si>
  <si>
    <t xml:space="preserve">Pre tax</t>
  </si>
  <si>
    <t xml:space="preserve">after tax</t>
  </si>
  <si>
    <t xml:space="preserve">pay period cost</t>
  </si>
  <si>
    <t xml:space="preserve">Primary Beneficiary</t>
  </si>
  <si>
    <t xml:space="preserve">Contingent Beneficiary</t>
  </si>
  <si>
    <t xml:space="preserve">Name:</t>
  </si>
  <si>
    <t xml:space="preserve">Sharon Elaine Martin</t>
  </si>
  <si>
    <t xml:space="preserve">Kathryn Elaine Martin</t>
  </si>
  <si>
    <t xml:space="preserve">Address:</t>
  </si>
  <si>
    <t xml:space="preserve">15018 Croftwood</t>
  </si>
  <si>
    <t xml:space="preserve">Houston, Tx 77068</t>
  </si>
  <si>
    <t xml:space="preserve">S.S. #:</t>
  </si>
  <si>
    <t xml:space="preserve">435-11-1129</t>
  </si>
  <si>
    <t xml:space="preserve">643-18-9045</t>
  </si>
  <si>
    <t xml:space="preserve">Date of Birth:</t>
  </si>
  <si>
    <t xml:space="preserve">Relationship:</t>
  </si>
  <si>
    <t xml:space="preserve">Wife</t>
  </si>
  <si>
    <t xml:space="preserve">Daughter</t>
  </si>
  <si>
    <t xml:space="preserve">Percentage</t>
  </si>
  <si>
    <t xml:space="preserve">Allison Elizabeth Martin</t>
  </si>
  <si>
    <t xml:space="preserve">633-36-6679</t>
  </si>
  <si>
    <t xml:space="preserve">Matthew Thomas Martin</t>
  </si>
  <si>
    <t xml:space="preserve">642-62-6546</t>
  </si>
  <si>
    <t xml:space="preserve">Son</t>
  </si>
  <si>
    <t xml:space="preserve">Signature:</t>
  </si>
  <si>
    <t xml:space="preserve">Date: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</si>
</sst>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0_);_(* \(#,##0.000\);_(* \-??_);_(@_)"/>
    <numFmt numFmtId="166" formatCode="_(* #,##0.0000_);_(* \(#,##0.0000\);_(* \-??_);_(@_)"/>
    <numFmt numFmtId="167" formatCode="0"/>
    <numFmt numFmtId="168" formatCode="_(\$* #,##0.00_);_(\$* \(#,##0.00\);_(\$* \-??_);_(@_)"/>
    <numFmt numFmtId="169" formatCode="_(\$* #,##0.000_);_(\$* \(#,##0.000\);_(\$* \-??_);_(@_)"/>
    <numFmt numFmtId="170" formatCode="0.0000"/>
    <numFmt numFmtId="171" formatCode="0%"/>
    <numFmt numFmtId="172" formatCode="0.00%"/>
    <numFmt numFmtId="173" formatCode="[$-409]m/d/yyyy"/>
    <numFmt numFmtId="174" formatCode="_(\$* #,##0.0000_);_(\$* \(#,##0.0000\);_(\$* \-??_);_(@_)"/>
    <numFmt numFmtId="175" formatCode="_(\$* #,##0_);_(\$* \(#,##0\);_(\$* \-??_);_(@_)"/>
    <numFmt numFmtId="176" formatCode="_(* #,##0.00_);_(* \(#,##0.00\);_(* \-??_);_(@_)"/>
    <numFmt numFmtId="177" formatCode="_(* #,##0_);_(* \(#,##0\);_(* \-??_);_(@_)"/>
    <numFmt numFmtId="178" formatCode="0.000"/>
    <numFmt numFmtId="179" formatCode="[$-409]d\-mmm"/>
    <numFmt numFmtId="180" formatCode="0.00"/>
    <numFmt numFmtId="181" formatCode="[$-409]d\-mmm\-yy"/>
    <numFmt numFmtId="182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Storage/Tx_Desk_Prices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F4">
            <v>2.12</v>
          </cell>
          <cell r="G4">
            <v>2.155</v>
          </cell>
          <cell r="H4">
            <v>2.22</v>
          </cell>
          <cell r="I4">
            <v>2.32</v>
          </cell>
          <cell r="J4">
            <v>2.38</v>
          </cell>
          <cell r="K4">
            <v>2.47</v>
          </cell>
          <cell r="L4">
            <v>2.515</v>
          </cell>
          <cell r="M4">
            <v>2.535</v>
          </cell>
          <cell r="N4">
            <v>2.57</v>
          </cell>
          <cell r="O4">
            <v>2.8</v>
          </cell>
          <cell r="P4">
            <v>3</v>
          </cell>
          <cell r="Q4">
            <v>3.09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4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12.85"/>
    <col collapsed="false" customWidth="true" hidden="false" outlineLevel="0" max="3" min="3" style="1" width="13.99"/>
    <col collapsed="false" customWidth="true" hidden="false" outlineLevel="0" max="5" min="4" style="1" width="12.14"/>
    <col collapsed="false" customWidth="true" hidden="false" outlineLevel="0" max="6" min="6" style="1" width="18.14"/>
    <col collapsed="false" customWidth="true" hidden="false" outlineLevel="0" max="7" min="7" style="1" width="14.28"/>
    <col collapsed="false" customWidth="true" hidden="false" outlineLevel="0" max="8" min="8" style="1" width="16.56"/>
    <col collapsed="false" customWidth="true" hidden="false" outlineLevel="0" max="9" min="9" style="1" width="12.42"/>
    <col collapsed="false" customWidth="true" hidden="false" outlineLevel="0" max="10" min="10" style="1" width="15.99"/>
    <col collapsed="false" customWidth="true" hidden="false" outlineLevel="0" max="11" min="11" style="1" width="12.28"/>
    <col collapsed="false" customWidth="true" hidden="false" outlineLevel="0" max="12" min="12" style="1" width="14.7"/>
    <col collapsed="false" customWidth="true" hidden="false" outlineLevel="0" max="13" min="13" style="1" width="9.7"/>
    <col collapsed="false" customWidth="true" hidden="false" outlineLevel="0" max="14" min="14" style="1" width="12.85"/>
    <col collapsed="false" customWidth="true" hidden="false" outlineLevel="0" max="17" min="16" style="1" width="11.28"/>
    <col collapsed="false" customWidth="true" hidden="false" outlineLevel="0" max="19" min="19" style="1" width="11.28"/>
    <col collapsed="false" customWidth="true" hidden="false" outlineLevel="0" max="22" min="22" style="1" width="12.28"/>
  </cols>
  <sheetData>
    <row r="1" customFormat="false" ht="12.75" hidden="false" customHeight="false" outlineLevel="0" collapsed="false">
      <c r="A1" s="0"/>
    </row>
    <row r="2" customFormat="false" ht="12.75" hidden="false" customHeight="false" outlineLevel="0" collapsed="false">
      <c r="A2" s="0"/>
      <c r="D2" s="2" t="s">
        <v>0</v>
      </c>
      <c r="K2" s="1" t="s">
        <v>1</v>
      </c>
      <c r="L2" s="1" t="s">
        <v>2</v>
      </c>
      <c r="M2" s="1" t="s">
        <v>3</v>
      </c>
      <c r="N2" s="1" t="s">
        <v>2</v>
      </c>
      <c r="R2" s="3" t="s">
        <v>1</v>
      </c>
      <c r="U2" s="3"/>
      <c r="V2" s="4" t="s">
        <v>4</v>
      </c>
      <c r="X2" s="4" t="s">
        <v>4</v>
      </c>
      <c r="Y2" s="3"/>
      <c r="Z2" s="3"/>
      <c r="AA2" s="3"/>
    </row>
    <row r="3" customFormat="false" ht="12.75" hidden="false" customHeight="false" outlineLevel="0" collapsed="false">
      <c r="A3" s="0"/>
      <c r="B3" s="1" t="s">
        <v>5</v>
      </c>
      <c r="K3" s="1" t="s">
        <v>6</v>
      </c>
      <c r="L3" s="1" t="s">
        <v>7</v>
      </c>
      <c r="M3" s="1" t="s">
        <v>6</v>
      </c>
      <c r="N3" s="1" t="s">
        <v>7</v>
      </c>
      <c r="P3" s="1" t="s">
        <v>8</v>
      </c>
      <c r="R3" s="3"/>
      <c r="S3" s="1" t="s">
        <v>9</v>
      </c>
      <c r="T3" s="1" t="s">
        <v>10</v>
      </c>
      <c r="U3" s="4" t="s">
        <v>11</v>
      </c>
      <c r="V3" s="4" t="s">
        <v>12</v>
      </c>
      <c r="X3" s="4" t="s">
        <v>13</v>
      </c>
      <c r="Y3" s="3"/>
      <c r="Z3" s="3"/>
      <c r="AA3" s="3"/>
    </row>
    <row r="4" customFormat="false" ht="12.75" hidden="false" customHeight="false" outlineLevel="0" collapsed="false">
      <c r="A4" s="0"/>
      <c r="C4" s="1" t="s">
        <v>14</v>
      </c>
      <c r="D4" s="5" t="n">
        <f aca="false">D51-0.17</f>
        <v>1.95</v>
      </c>
      <c r="J4" s="1" t="s">
        <v>8</v>
      </c>
      <c r="K4" s="1" t="n">
        <v>507.5</v>
      </c>
      <c r="L4" s="1" t="n">
        <v>507.5</v>
      </c>
      <c r="M4" s="1" t="n">
        <v>359.7</v>
      </c>
      <c r="N4" s="1" t="n">
        <v>359.7</v>
      </c>
      <c r="O4" s="1" t="n">
        <v>509</v>
      </c>
      <c r="P4" s="1" t="n">
        <v>1</v>
      </c>
      <c r="Q4" s="1" t="n">
        <v>54</v>
      </c>
      <c r="R4" s="4" t="n">
        <v>36</v>
      </c>
      <c r="S4" s="1" t="n">
        <f aca="false">65-((Q4+R4)/2)</f>
        <v>20</v>
      </c>
      <c r="T4" s="1" t="n">
        <v>6</v>
      </c>
      <c r="U4" s="4" t="n">
        <v>3</v>
      </c>
      <c r="V4" s="4" t="n">
        <f aca="false">U4-S4</f>
        <v>-17</v>
      </c>
      <c r="X4" s="4" t="n">
        <f aca="false">U4-T4</f>
        <v>-3</v>
      </c>
      <c r="Y4" s="6"/>
      <c r="Z4" s="6"/>
      <c r="AA4" s="6"/>
    </row>
    <row r="5" customFormat="false" ht="12.75" hidden="false" customHeight="false" outlineLevel="0" collapsed="false">
      <c r="A5" s="0"/>
      <c r="C5" s="1" t="s">
        <v>15</v>
      </c>
      <c r="D5" s="5" t="n">
        <f aca="false">D4-0</f>
        <v>1.95</v>
      </c>
      <c r="J5" s="1" t="s">
        <v>16</v>
      </c>
      <c r="K5" s="1" t="n">
        <v>1177.8</v>
      </c>
      <c r="L5" s="1" t="n">
        <v>1177.8</v>
      </c>
      <c r="M5" s="1" t="n">
        <v>839</v>
      </c>
      <c r="N5" s="1" t="n">
        <v>839</v>
      </c>
      <c r="P5" s="1" t="n">
        <v>2</v>
      </c>
      <c r="Q5" s="1" t="n">
        <v>53</v>
      </c>
      <c r="R5" s="4" t="n">
        <v>36</v>
      </c>
      <c r="S5" s="1" t="n">
        <f aca="false">65-((Q5+R5)/2)</f>
        <v>20.5</v>
      </c>
      <c r="T5" s="1" t="n">
        <v>11</v>
      </c>
      <c r="U5" s="4" t="n">
        <v>3</v>
      </c>
      <c r="V5" s="4" t="n">
        <f aca="false">U5-S5</f>
        <v>-17.5</v>
      </c>
      <c r="X5" s="4" t="n">
        <f aca="false">U5-T5</f>
        <v>-8</v>
      </c>
      <c r="AB5" s="6"/>
      <c r="AC5" s="6"/>
      <c r="AD5" s="6"/>
      <c r="AE5" s="6"/>
      <c r="AF5" s="6"/>
      <c r="AG5" s="6"/>
      <c r="AH5" s="6"/>
      <c r="AI5" s="6"/>
      <c r="AJ5" s="6"/>
    </row>
    <row r="6" customFormat="false" ht="12.75" hidden="false" customHeight="false" outlineLevel="0" collapsed="false">
      <c r="A6" s="0"/>
      <c r="B6" s="1" t="s">
        <v>17</v>
      </c>
      <c r="J6" s="1" t="s">
        <v>18</v>
      </c>
      <c r="K6" s="1" t="n">
        <v>1283.2</v>
      </c>
      <c r="L6" s="1" t="n">
        <v>1283.2</v>
      </c>
      <c r="M6" s="1" t="n">
        <v>957.9</v>
      </c>
      <c r="N6" s="1" t="n">
        <v>957.9</v>
      </c>
      <c r="P6" s="1" t="n">
        <v>3</v>
      </c>
      <c r="Q6" s="7" t="n">
        <v>53</v>
      </c>
      <c r="R6" s="4" t="n">
        <v>35</v>
      </c>
      <c r="S6" s="1" t="n">
        <f aca="false">65-((Q6+R6)/2)</f>
        <v>21</v>
      </c>
      <c r="T6" s="1" t="n">
        <v>15</v>
      </c>
      <c r="U6" s="4" t="n">
        <v>12</v>
      </c>
      <c r="V6" s="4" t="n">
        <f aca="false">U6-S6</f>
        <v>-9</v>
      </c>
      <c r="X6" s="4" t="n">
        <f aca="false">U6-T6</f>
        <v>-3</v>
      </c>
      <c r="Y6" s="8"/>
      <c r="Z6" s="9"/>
      <c r="AA6" s="10"/>
    </row>
    <row r="7" customFormat="false" ht="12.75" hidden="false" customHeight="false" outlineLevel="0" collapsed="false">
      <c r="A7" s="0" t="s">
        <v>19</v>
      </c>
      <c r="B7" s="1" t="n">
        <v>0</v>
      </c>
      <c r="C7" s="11" t="n">
        <v>2.975</v>
      </c>
      <c r="D7" s="12" t="n">
        <f aca="false">D4</f>
        <v>1.95</v>
      </c>
      <c r="E7" s="2" t="n">
        <f aca="false">C7-D7</f>
        <v>1.025</v>
      </c>
      <c r="F7" s="13" t="n">
        <f aca="false">B7*E7*10000</f>
        <v>0</v>
      </c>
      <c r="J7" s="1" t="s">
        <v>20</v>
      </c>
      <c r="K7" s="1" t="n">
        <v>983.2</v>
      </c>
      <c r="L7" s="1" t="n">
        <v>983.2</v>
      </c>
      <c r="M7" s="1" t="n">
        <v>795.7</v>
      </c>
      <c r="N7" s="1" t="n">
        <v>795.7</v>
      </c>
      <c r="P7" s="1" t="n">
        <v>4</v>
      </c>
      <c r="Q7" s="7" t="n">
        <v>52</v>
      </c>
      <c r="R7" s="4" t="n">
        <v>35</v>
      </c>
      <c r="S7" s="1" t="n">
        <f aca="false">65-((Q7+R7)/2)</f>
        <v>21.5</v>
      </c>
      <c r="T7" s="1" t="n">
        <v>18</v>
      </c>
      <c r="U7" s="4" t="n">
        <v>17</v>
      </c>
      <c r="V7" s="4" t="n">
        <f aca="false">U7-S7</f>
        <v>-4.5</v>
      </c>
      <c r="X7" s="4" t="n">
        <f aca="false">U7-T7</f>
        <v>-1</v>
      </c>
      <c r="Y7" s="9"/>
      <c r="Z7" s="9"/>
      <c r="AA7" s="10"/>
    </row>
    <row r="8" customFormat="false" ht="12.75" hidden="false" customHeight="false" outlineLevel="0" collapsed="false">
      <c r="A8" s="0" t="s">
        <v>19</v>
      </c>
      <c r="B8" s="1" t="n">
        <v>0</v>
      </c>
      <c r="C8" s="11" t="n">
        <v>3.035</v>
      </c>
      <c r="D8" s="12" t="n">
        <f aca="false">D7</f>
        <v>1.95</v>
      </c>
      <c r="E8" s="2" t="n">
        <f aca="false">C8-D8</f>
        <v>1.085</v>
      </c>
      <c r="F8" s="13" t="n">
        <f aca="false">B8*E8*10000</f>
        <v>0</v>
      </c>
      <c r="J8" s="1" t="s">
        <v>21</v>
      </c>
      <c r="K8" s="1" t="n">
        <v>877.1</v>
      </c>
      <c r="L8" s="1" t="n">
        <v>877.1</v>
      </c>
      <c r="M8" s="1" t="n">
        <v>742.3</v>
      </c>
      <c r="N8" s="1" t="n">
        <v>742.3</v>
      </c>
      <c r="P8" s="1" t="n">
        <v>5</v>
      </c>
      <c r="Q8" s="7" t="n">
        <v>51</v>
      </c>
      <c r="R8" s="4" t="n">
        <v>35</v>
      </c>
      <c r="S8" s="1" t="n">
        <f aca="false">65-((Q8+R8)/2)</f>
        <v>22</v>
      </c>
      <c r="T8" s="1" t="n">
        <v>17</v>
      </c>
      <c r="U8" s="4" t="n">
        <v>21</v>
      </c>
      <c r="V8" s="4" t="n">
        <f aca="false">U8-S8</f>
        <v>-1</v>
      </c>
      <c r="W8" s="14" t="n">
        <f aca="false">SUM(V4:V8)</f>
        <v>-49</v>
      </c>
      <c r="X8" s="4" t="n">
        <f aca="false">U8-T8</f>
        <v>4</v>
      </c>
      <c r="Y8" s="14" t="n">
        <f aca="false">SUM(X4:X8)</f>
        <v>-11</v>
      </c>
      <c r="Z8" s="9"/>
      <c r="AA8" s="10"/>
      <c r="AM8" s="7"/>
    </row>
    <row r="9" customFormat="false" ht="12.75" hidden="false" customHeight="false" outlineLevel="0" collapsed="false">
      <c r="A9" s="0" t="s">
        <v>19</v>
      </c>
      <c r="B9" s="1" t="n">
        <v>0</v>
      </c>
      <c r="C9" s="11" t="n">
        <v>2.18</v>
      </c>
      <c r="D9" s="12" t="n">
        <f aca="false">D8</f>
        <v>1.95</v>
      </c>
      <c r="E9" s="2" t="n">
        <f aca="false">C9-D9</f>
        <v>0.23</v>
      </c>
      <c r="F9" s="13" t="n">
        <f aca="false">B9*E9*10000</f>
        <v>0</v>
      </c>
      <c r="M9" s="15"/>
      <c r="N9" s="15"/>
      <c r="O9" s="15"/>
      <c r="P9" s="1" t="n">
        <v>6</v>
      </c>
      <c r="Q9" s="7" t="n">
        <v>51</v>
      </c>
      <c r="R9" s="4" t="n">
        <v>35</v>
      </c>
      <c r="S9" s="1" t="n">
        <f aca="false">65-((Q9+R9)/2)</f>
        <v>22</v>
      </c>
      <c r="T9" s="1" t="n">
        <v>18</v>
      </c>
      <c r="U9" s="4" t="n">
        <v>15</v>
      </c>
      <c r="V9" s="4" t="n">
        <f aca="false">U9-S9</f>
        <v>-7</v>
      </c>
      <c r="W9" s="7"/>
      <c r="X9" s="9" t="n">
        <f aca="false">U9-T9</f>
        <v>-3</v>
      </c>
      <c r="Y9" s="7"/>
      <c r="Z9" s="9"/>
      <c r="AA9" s="10"/>
      <c r="AM9" s="7"/>
    </row>
    <row r="10" customFormat="false" ht="12.75" hidden="false" customHeight="false" outlineLevel="0" collapsed="false">
      <c r="A10" s="0" t="s">
        <v>19</v>
      </c>
      <c r="B10" s="1" t="n">
        <v>0</v>
      </c>
      <c r="C10" s="11" t="n">
        <v>2.02</v>
      </c>
      <c r="D10" s="12" t="n">
        <f aca="false">D9</f>
        <v>1.95</v>
      </c>
      <c r="E10" s="2" t="n">
        <f aca="false">C10-D10</f>
        <v>0.0699999999999998</v>
      </c>
      <c r="F10" s="13" t="n">
        <f aca="false">B10*E10*10000</f>
        <v>0</v>
      </c>
      <c r="J10" s="1" t="s">
        <v>22</v>
      </c>
      <c r="K10" s="1" t="n">
        <f aca="false">SUM(K4:K8)</f>
        <v>4828.8</v>
      </c>
      <c r="L10" s="1" t="n">
        <f aca="false">SUM(L4:L8)</f>
        <v>4828.8</v>
      </c>
      <c r="M10" s="1" t="n">
        <f aca="false">SUM(M4:M8)</f>
        <v>3694.6</v>
      </c>
      <c r="N10" s="1" t="n">
        <f aca="false">SUM(N4:N8)</f>
        <v>3694.6</v>
      </c>
      <c r="O10" s="15"/>
      <c r="P10" s="1" t="n">
        <v>7</v>
      </c>
      <c r="Q10" s="7" t="n">
        <v>50</v>
      </c>
      <c r="R10" s="4" t="n">
        <v>34</v>
      </c>
      <c r="S10" s="1" t="n">
        <f aca="false">65-((Q10+R10)/2)</f>
        <v>23</v>
      </c>
      <c r="T10" s="1" t="n">
        <v>19</v>
      </c>
      <c r="U10" s="4" t="n">
        <v>17</v>
      </c>
      <c r="V10" s="4" t="n">
        <f aca="false">U10-S10</f>
        <v>-6</v>
      </c>
      <c r="W10" s="7"/>
      <c r="X10" s="9" t="n">
        <f aca="false">U10-T10</f>
        <v>-2</v>
      </c>
      <c r="Y10" s="7"/>
      <c r="Z10" s="9"/>
      <c r="AA10" s="10"/>
      <c r="AM10" s="7"/>
    </row>
    <row r="11" customFormat="false" ht="12.75" hidden="false" customHeight="false" outlineLevel="0" collapsed="false">
      <c r="A11" s="0" t="s">
        <v>19</v>
      </c>
      <c r="B11" s="1" t="n">
        <v>0</v>
      </c>
      <c r="C11" s="11" t="n">
        <v>3.185</v>
      </c>
      <c r="D11" s="12" t="n">
        <f aca="false">D10</f>
        <v>1.95</v>
      </c>
      <c r="E11" s="2" t="n">
        <f aca="false">C11-D11</f>
        <v>1.235</v>
      </c>
      <c r="F11" s="13" t="n">
        <f aca="false">B11*E11*10000</f>
        <v>0</v>
      </c>
      <c r="K11" s="1" t="n">
        <f aca="false">K10-L15</f>
        <v>-211.2</v>
      </c>
      <c r="L11" s="16" t="n">
        <f aca="false">K11/L15</f>
        <v>-0.0419047619047619</v>
      </c>
      <c r="M11" s="7" t="n">
        <f aca="false">M10-N15</f>
        <v>-95.4000000000001</v>
      </c>
      <c r="N11" s="16" t="n">
        <f aca="false">M11/N15</f>
        <v>-0.0251715039577837</v>
      </c>
      <c r="O11" s="15"/>
      <c r="P11" s="1" t="n">
        <v>8</v>
      </c>
      <c r="Q11" s="7" t="n">
        <v>50</v>
      </c>
      <c r="R11" s="4" t="n">
        <v>34</v>
      </c>
      <c r="S11" s="1" t="n">
        <f aca="false">65-((Q11+R11)/2)</f>
        <v>23</v>
      </c>
      <c r="T11" s="1" t="n">
        <v>15</v>
      </c>
      <c r="U11" s="4" t="n">
        <v>21</v>
      </c>
      <c r="V11" s="4" t="n">
        <f aca="false">U11-S11</f>
        <v>-2</v>
      </c>
      <c r="W11" s="7"/>
      <c r="X11" s="9" t="n">
        <f aca="false">U11-T11</f>
        <v>6</v>
      </c>
      <c r="Y11" s="7"/>
      <c r="Z11" s="9"/>
      <c r="AA11" s="10"/>
      <c r="AM11" s="7"/>
    </row>
    <row r="12" customFormat="false" ht="12.75" hidden="false" customHeight="false" outlineLevel="0" collapsed="false">
      <c r="A12" s="0" t="s">
        <v>19</v>
      </c>
      <c r="B12" s="1" t="n">
        <v>0</v>
      </c>
      <c r="C12" s="11" t="n">
        <v>3.185</v>
      </c>
      <c r="D12" s="12" t="n">
        <f aca="false">D11</f>
        <v>1.95</v>
      </c>
      <c r="E12" s="2" t="n">
        <f aca="false">C12-D12</f>
        <v>1.235</v>
      </c>
      <c r="F12" s="13" t="n">
        <f aca="false">B12*E12*10000</f>
        <v>0</v>
      </c>
      <c r="J12" s="1" t="s">
        <v>23</v>
      </c>
      <c r="L12" s="1" t="n">
        <f aca="false">K10-L10</f>
        <v>0</v>
      </c>
      <c r="N12" s="1" t="n">
        <f aca="false">M10-N10</f>
        <v>0</v>
      </c>
      <c r="O12" s="15"/>
      <c r="P12" s="1" t="n">
        <v>9</v>
      </c>
      <c r="Q12" s="7" t="n">
        <v>50</v>
      </c>
      <c r="R12" s="4" t="n">
        <v>34</v>
      </c>
      <c r="S12" s="1" t="n">
        <f aca="false">65-((Q12+R12)/2)</f>
        <v>23</v>
      </c>
      <c r="T12" s="1" t="n">
        <v>24</v>
      </c>
      <c r="U12" s="4" t="n">
        <v>24</v>
      </c>
      <c r="V12" s="4" t="n">
        <f aca="false">U12-S12</f>
        <v>1</v>
      </c>
      <c r="W12" s="7" t="n">
        <f aca="false">SUM(V4:V12)</f>
        <v>-63</v>
      </c>
      <c r="X12" s="9" t="n">
        <f aca="false">U12-T12</f>
        <v>0</v>
      </c>
      <c r="Y12" s="7"/>
      <c r="Z12" s="9"/>
      <c r="AA12" s="10"/>
      <c r="AM12" s="7"/>
    </row>
    <row r="13" customFormat="false" ht="12.75" hidden="false" customHeight="false" outlineLevel="0" collapsed="false">
      <c r="A13" s="0" t="s">
        <v>19</v>
      </c>
      <c r="B13" s="1" t="n">
        <v>0</v>
      </c>
      <c r="C13" s="11" t="n">
        <v>2.965</v>
      </c>
      <c r="D13" s="11" t="n">
        <f aca="false">D9</f>
        <v>1.95</v>
      </c>
      <c r="E13" s="2" t="n">
        <f aca="false">C13-D13</f>
        <v>1.015</v>
      </c>
      <c r="F13" s="13" t="n">
        <f aca="false">B13*E13*10000</f>
        <v>0</v>
      </c>
      <c r="I13" s="13"/>
      <c r="J13" s="1" t="s">
        <v>24</v>
      </c>
      <c r="L13" s="1" t="n">
        <v>5171</v>
      </c>
      <c r="M13" s="15"/>
      <c r="N13" s="7" t="n">
        <v>3941</v>
      </c>
      <c r="O13" s="15"/>
      <c r="Q13" s="17"/>
      <c r="R13" s="4"/>
      <c r="S13" s="3"/>
      <c r="V13" s="18"/>
      <c r="W13" s="7"/>
      <c r="X13" s="9"/>
      <c r="Y13" s="7"/>
      <c r="Z13" s="9"/>
      <c r="AA13" s="10"/>
    </row>
    <row r="14" customFormat="false" ht="12.75" hidden="false" customHeight="false" outlineLevel="0" collapsed="false">
      <c r="A14" s="0" t="s">
        <v>25</v>
      </c>
      <c r="B14" s="1" t="n">
        <v>0</v>
      </c>
      <c r="C14" s="11" t="n">
        <v>2.32</v>
      </c>
      <c r="D14" s="11" t="n">
        <f aca="false">D5</f>
        <v>1.95</v>
      </c>
      <c r="E14" s="2" t="n">
        <f aca="false">C14-D14</f>
        <v>0.37</v>
      </c>
      <c r="F14" s="13" t="n">
        <f aca="false">B14*E14*10000</f>
        <v>0</v>
      </c>
      <c r="I14" s="19"/>
      <c r="J14" s="1" t="s">
        <v>26</v>
      </c>
      <c r="L14" s="1" t="n">
        <v>5045</v>
      </c>
      <c r="M14" s="20"/>
      <c r="N14" s="7" t="n">
        <v>3800</v>
      </c>
      <c r="O14" s="15"/>
      <c r="Q14" s="17"/>
      <c r="R14" s="4"/>
      <c r="S14" s="3"/>
      <c r="V14" s="18"/>
      <c r="W14" s="7"/>
      <c r="X14" s="9"/>
      <c r="Y14" s="7"/>
      <c r="Z14" s="9"/>
      <c r="AA14" s="10"/>
    </row>
    <row r="15" customFormat="false" ht="12.75" hidden="false" customHeight="false" outlineLevel="0" collapsed="false">
      <c r="A15" s="0" t="s">
        <v>25</v>
      </c>
      <c r="B15" s="1" t="n">
        <v>0</v>
      </c>
      <c r="C15" s="11" t="n">
        <v>2.275</v>
      </c>
      <c r="D15" s="11" t="n">
        <f aca="false">D14</f>
        <v>1.95</v>
      </c>
      <c r="E15" s="2" t="n">
        <f aca="false">C15-D15</f>
        <v>0.325</v>
      </c>
      <c r="F15" s="13" t="n">
        <f aca="false">B15*E15*10000</f>
        <v>0</v>
      </c>
      <c r="I15" s="19"/>
      <c r="J15" s="1" t="s">
        <v>27</v>
      </c>
      <c r="K15" s="1" t="n">
        <v>15</v>
      </c>
      <c r="L15" s="1" t="n">
        <f aca="false">((10*5030)+(5*5060))/15</f>
        <v>5040</v>
      </c>
      <c r="M15" s="21" t="n">
        <v>10</v>
      </c>
      <c r="N15" s="7" t="n">
        <v>3790</v>
      </c>
      <c r="O15" s="15"/>
      <c r="Q15" s="17"/>
      <c r="R15" s="4"/>
      <c r="V15" s="18"/>
      <c r="W15" s="7"/>
      <c r="X15" s="9"/>
      <c r="Y15" s="7"/>
      <c r="Z15" s="9"/>
      <c r="AA15" s="10"/>
    </row>
    <row r="16" customFormat="false" ht="12.75" hidden="false" customHeight="false" outlineLevel="0" collapsed="false">
      <c r="A16" s="0" t="s">
        <v>25</v>
      </c>
      <c r="B16" s="1" t="n">
        <v>0</v>
      </c>
      <c r="C16" s="11" t="n">
        <v>2.26</v>
      </c>
      <c r="D16" s="11" t="n">
        <f aca="false">D15</f>
        <v>1.95</v>
      </c>
      <c r="E16" s="2" t="n">
        <f aca="false">C16-D16</f>
        <v>0.31</v>
      </c>
      <c r="F16" s="13" t="n">
        <f aca="false">B16*E16*10000</f>
        <v>0</v>
      </c>
      <c r="I16" s="19"/>
      <c r="M16" s="20"/>
      <c r="N16" s="15"/>
      <c r="O16" s="15"/>
      <c r="Q16" s="17"/>
      <c r="V16" s="18"/>
      <c r="W16" s="7"/>
      <c r="X16" s="9"/>
      <c r="Y16" s="7"/>
      <c r="Z16" s="9"/>
      <c r="AA16" s="10"/>
    </row>
    <row r="17" customFormat="false" ht="12.75" hidden="false" customHeight="false" outlineLevel="0" collapsed="false">
      <c r="A17" s="0" t="s">
        <v>25</v>
      </c>
      <c r="B17" s="1" t="n">
        <v>0</v>
      </c>
      <c r="C17" s="11" t="n">
        <v>2.255</v>
      </c>
      <c r="D17" s="11" t="n">
        <f aca="false">D16</f>
        <v>1.95</v>
      </c>
      <c r="E17" s="2" t="n">
        <f aca="false">C17-D17</f>
        <v>0.305</v>
      </c>
      <c r="F17" s="13" t="n">
        <f aca="false">B17*E17*10000</f>
        <v>0</v>
      </c>
      <c r="I17" s="19"/>
      <c r="J17" s="1" t="s">
        <v>28</v>
      </c>
      <c r="M17" s="20"/>
      <c r="N17" s="15"/>
      <c r="O17" s="15"/>
      <c r="Q17" s="17"/>
      <c r="V17" s="18"/>
      <c r="W17" s="7"/>
      <c r="X17" s="9"/>
      <c r="Y17" s="7"/>
      <c r="Z17" s="9"/>
      <c r="AA17" s="10"/>
    </row>
    <row r="18" customFormat="false" ht="12.75" hidden="false" customHeight="false" outlineLevel="0" collapsed="false">
      <c r="A18" s="0" t="s">
        <v>25</v>
      </c>
      <c r="B18" s="1" t="n">
        <v>0</v>
      </c>
      <c r="C18" s="11" t="n">
        <v>2.225</v>
      </c>
      <c r="D18" s="11" t="n">
        <f aca="false">D17</f>
        <v>1.95</v>
      </c>
      <c r="E18" s="2" t="n">
        <f aca="false">C18-D18</f>
        <v>0.275</v>
      </c>
      <c r="F18" s="13" t="n">
        <f aca="false">B18*E18*10000</f>
        <v>0</v>
      </c>
      <c r="I18" s="19"/>
      <c r="J18" s="1" t="s">
        <v>29</v>
      </c>
      <c r="L18" s="22" t="n">
        <f aca="false">(L10-L15)*K15*1000</f>
        <v>-3168000</v>
      </c>
      <c r="M18" s="22"/>
      <c r="N18" s="22" t="n">
        <f aca="false">(N10-N15)*M15*1000</f>
        <v>-954000.000000001</v>
      </c>
      <c r="O18" s="15"/>
      <c r="Q18" s="17"/>
      <c r="V18" s="18"/>
      <c r="W18" s="7"/>
      <c r="X18" s="9"/>
      <c r="Y18" s="7"/>
      <c r="Z18" s="9"/>
      <c r="AA18" s="10"/>
    </row>
    <row r="19" customFormat="false" ht="12.75" hidden="false" customHeight="false" outlineLevel="0" collapsed="false">
      <c r="A19" s="0" t="s">
        <v>25</v>
      </c>
      <c r="B19" s="1" t="n">
        <v>0</v>
      </c>
      <c r="C19" s="11" t="n">
        <v>2.225</v>
      </c>
      <c r="D19" s="11" t="n">
        <f aca="false">D18</f>
        <v>1.95</v>
      </c>
      <c r="E19" s="2" t="n">
        <f aca="false">C19-D19</f>
        <v>0.275</v>
      </c>
      <c r="F19" s="13" t="n">
        <f aca="false">B19*E19*10000</f>
        <v>0</v>
      </c>
      <c r="I19" s="19"/>
      <c r="L19" s="22" t="n">
        <f aca="false">L18*0.6</f>
        <v>-1900800</v>
      </c>
      <c r="M19" s="20"/>
      <c r="N19" s="22" t="n">
        <f aca="false">N18*0.6</f>
        <v>-572400.000000001</v>
      </c>
      <c r="O19" s="15"/>
      <c r="Q19" s="17"/>
      <c r="V19" s="18"/>
      <c r="W19" s="7"/>
      <c r="X19" s="9"/>
      <c r="Y19" s="7"/>
      <c r="Z19" s="9"/>
      <c r="AA19" s="10"/>
    </row>
    <row r="20" customFormat="false" ht="12.75" hidden="false" customHeight="false" outlineLevel="0" collapsed="false">
      <c r="A20" s="0" t="s">
        <v>25</v>
      </c>
      <c r="B20" s="1" t="n">
        <v>0</v>
      </c>
      <c r="C20" s="11" t="n">
        <v>2.245</v>
      </c>
      <c r="D20" s="11" t="n">
        <f aca="false">D19</f>
        <v>1.95</v>
      </c>
      <c r="E20" s="2" t="n">
        <f aca="false">C20-D20</f>
        <v>0.295</v>
      </c>
      <c r="F20" s="13" t="n">
        <f aca="false">B20*E20*10000</f>
        <v>0</v>
      </c>
      <c r="I20" s="19"/>
      <c r="J20" s="1" t="s">
        <v>30</v>
      </c>
      <c r="M20" s="20"/>
      <c r="N20" s="15"/>
      <c r="O20" s="15"/>
      <c r="Q20" s="17"/>
      <c r="V20" s="18"/>
      <c r="W20" s="7"/>
      <c r="X20" s="9"/>
      <c r="Y20" s="7"/>
      <c r="Z20" s="9"/>
      <c r="AA20" s="10"/>
    </row>
    <row r="21" customFormat="false" ht="12.75" hidden="false" customHeight="false" outlineLevel="0" collapsed="false">
      <c r="A21" s="0" t="s">
        <v>25</v>
      </c>
      <c r="B21" s="1" t="n">
        <v>0</v>
      </c>
      <c r="C21" s="11" t="n">
        <v>2.205</v>
      </c>
      <c r="D21" s="11" t="n">
        <f aca="false">D16</f>
        <v>1.95</v>
      </c>
      <c r="E21" s="2" t="n">
        <f aca="false">C21-D21</f>
        <v>0.255</v>
      </c>
      <c r="F21" s="13" t="n">
        <f aca="false">B21*E21*10000</f>
        <v>0</v>
      </c>
      <c r="I21" s="19"/>
      <c r="J21" s="1" t="s">
        <v>29</v>
      </c>
      <c r="L21" s="22" t="n">
        <f aca="false">L12*1000*K15</f>
        <v>0</v>
      </c>
      <c r="M21" s="20"/>
      <c r="N21" s="22" t="n">
        <f aca="false">N12*1000*M15</f>
        <v>0</v>
      </c>
      <c r="O21" s="15"/>
      <c r="Q21" s="17"/>
      <c r="V21" s="18"/>
      <c r="W21" s="7"/>
      <c r="X21" s="9"/>
      <c r="Y21" s="7"/>
      <c r="Z21" s="9"/>
      <c r="AA21" s="10"/>
    </row>
    <row r="22" customFormat="false" ht="12.75" hidden="false" customHeight="false" outlineLevel="0" collapsed="false">
      <c r="A22" s="0" t="s">
        <v>25</v>
      </c>
      <c r="B22" s="1" t="n">
        <v>0</v>
      </c>
      <c r="C22" s="11" t="n">
        <v>2.265</v>
      </c>
      <c r="D22" s="11" t="n">
        <f aca="false">D21</f>
        <v>1.95</v>
      </c>
      <c r="E22" s="2" t="n">
        <f aca="false">C22-D22</f>
        <v>0.315</v>
      </c>
      <c r="F22" s="13" t="n">
        <f aca="false">B22*E22*10000</f>
        <v>0</v>
      </c>
      <c r="I22" s="19"/>
      <c r="L22" s="22" t="n">
        <f aca="false">L21*0.6</f>
        <v>0</v>
      </c>
      <c r="M22" s="20"/>
      <c r="N22" s="22" t="n">
        <f aca="false">N21*0.7</f>
        <v>0</v>
      </c>
      <c r="O22" s="15"/>
      <c r="Q22" s="17"/>
      <c r="V22" s="18"/>
      <c r="W22" s="7"/>
      <c r="X22" s="9"/>
      <c r="Y22" s="7"/>
      <c r="Z22" s="9"/>
      <c r="AA22" s="10"/>
    </row>
    <row r="23" customFormat="false" ht="12.75" hidden="false" customHeight="false" outlineLevel="0" collapsed="false">
      <c r="A23" s="0" t="s">
        <v>25</v>
      </c>
      <c r="B23" s="1" t="n">
        <v>0</v>
      </c>
      <c r="C23" s="11" t="n">
        <v>2.265</v>
      </c>
      <c r="D23" s="11" t="n">
        <f aca="false">D22</f>
        <v>1.95</v>
      </c>
      <c r="E23" s="2" t="n">
        <f aca="false">C23-D23</f>
        <v>0.315</v>
      </c>
      <c r="F23" s="13" t="n">
        <f aca="false">B23*E23*10000</f>
        <v>0</v>
      </c>
      <c r="I23" s="19"/>
      <c r="M23" s="20"/>
      <c r="N23" s="15"/>
      <c r="O23" s="15"/>
      <c r="Q23" s="17"/>
      <c r="V23" s="18"/>
      <c r="W23" s="7"/>
      <c r="X23" s="9"/>
      <c r="Y23" s="7"/>
      <c r="Z23" s="9"/>
      <c r="AA23" s="10"/>
    </row>
    <row r="24" customFormat="false" ht="12.75" hidden="false" customHeight="false" outlineLevel="0" collapsed="false">
      <c r="A24" s="0" t="s">
        <v>25</v>
      </c>
      <c r="B24" s="1" t="n">
        <v>0</v>
      </c>
      <c r="C24" s="11" t="n">
        <v>2.245</v>
      </c>
      <c r="D24" s="11" t="n">
        <f aca="false">D15</f>
        <v>1.95</v>
      </c>
      <c r="E24" s="2" t="n">
        <f aca="false">C24-D24</f>
        <v>0.295</v>
      </c>
      <c r="F24" s="13" t="n">
        <f aca="false">B24*E24*10000</f>
        <v>0</v>
      </c>
      <c r="I24" s="19"/>
      <c r="M24" s="20"/>
      <c r="N24" s="15"/>
      <c r="O24" s="15"/>
      <c r="Q24" s="17"/>
      <c r="R24" s="1" t="n">
        <f aca="false">R14+S24</f>
        <v>42</v>
      </c>
      <c r="S24" s="3" t="n">
        <v>42</v>
      </c>
      <c r="U24" s="1" t="n">
        <f aca="false">AB24</f>
        <v>58</v>
      </c>
      <c r="V24" s="18" t="n">
        <f aca="false">R24-U24</f>
        <v>-16</v>
      </c>
      <c r="W24" s="7" t="n">
        <f aca="false">AVERAGE(AB24,AD24,AF24)</f>
        <v>1835</v>
      </c>
      <c r="X24" s="8" t="n">
        <f aca="false">R24-W24</f>
        <v>-1793</v>
      </c>
      <c r="Y24" s="7" t="n">
        <f aca="false">AVERAGE(AB24,AD24,AF24,AH24,AJ24)</f>
        <v>2301.2</v>
      </c>
      <c r="Z24" s="9" t="n">
        <f aca="false">R24-Y24</f>
        <v>-2259.2</v>
      </c>
      <c r="AA24" s="10"/>
      <c r="AB24" s="1" t="n">
        <f aca="false">AC24+AB14</f>
        <v>58</v>
      </c>
      <c r="AC24" s="1" t="n">
        <v>58</v>
      </c>
      <c r="AD24" s="1" t="n">
        <v>2783</v>
      </c>
      <c r="AE24" s="1" t="n">
        <v>63</v>
      </c>
      <c r="AF24" s="1" t="n">
        <v>2664</v>
      </c>
      <c r="AG24" s="1" t="n">
        <v>57</v>
      </c>
      <c r="AH24" s="1" t="n">
        <v>2920</v>
      </c>
      <c r="AI24" s="1" t="n">
        <v>52</v>
      </c>
      <c r="AJ24" s="1" t="n">
        <v>3081</v>
      </c>
      <c r="AK24" s="1" t="n">
        <v>60</v>
      </c>
      <c r="AM24" s="1" t="n">
        <f aca="false">AVERAGE(AC24,AE24,AG24,AI24,AK24)</f>
        <v>58</v>
      </c>
    </row>
    <row r="25" customFormat="false" ht="12.75" hidden="false" customHeight="false" outlineLevel="0" collapsed="false">
      <c r="A25" s="0" t="s">
        <v>25</v>
      </c>
      <c r="B25" s="1" t="n">
        <v>0</v>
      </c>
      <c r="C25" s="11" t="n">
        <v>2.2525</v>
      </c>
      <c r="D25" s="11" t="n">
        <f aca="false">D24</f>
        <v>1.95</v>
      </c>
      <c r="E25" s="2" t="n">
        <f aca="false">C25-D25</f>
        <v>0.3025</v>
      </c>
      <c r="F25" s="13" t="n">
        <f aca="false">B25*E25*10000</f>
        <v>0</v>
      </c>
      <c r="H25" s="1" t="s">
        <v>16</v>
      </c>
      <c r="I25" s="19" t="n">
        <v>0</v>
      </c>
      <c r="J25" s="1" t="n">
        <v>0</v>
      </c>
      <c r="K25" s="1" t="s">
        <v>31</v>
      </c>
      <c r="L25" s="22" t="n">
        <v>-2507453</v>
      </c>
      <c r="M25" s="20"/>
      <c r="N25" s="22" t="n">
        <v>-764835</v>
      </c>
      <c r="O25" s="15"/>
      <c r="Q25" s="17"/>
      <c r="R25" s="7" t="e">
        <f aca="false">#REF!+S25</f>
        <v>#REF!</v>
      </c>
      <c r="S25" s="23" t="n">
        <v>4</v>
      </c>
      <c r="T25" s="7"/>
      <c r="U25" s="1" t="e">
        <f aca="false">AB25</f>
        <v>#REF!</v>
      </c>
      <c r="V25" s="18" t="e">
        <f aca="false">R25-U25</f>
        <v>#REF!</v>
      </c>
      <c r="W25" s="7" t="e">
        <f aca="false">AVERAGE(AB25,AD25,AF25)</f>
        <v>#REF!</v>
      </c>
      <c r="X25" s="9" t="e">
        <f aca="false">R25-W25</f>
        <v>#REF!</v>
      </c>
      <c r="Y25" s="7" t="e">
        <f aca="false">AVERAGE(AB25,AD25,AF25,AH25,AJ25)</f>
        <v>#REF!</v>
      </c>
      <c r="Z25" s="9" t="e">
        <f aca="false">R25-Y25</f>
        <v>#REF!</v>
      </c>
      <c r="AA25" s="10"/>
      <c r="AB25" s="1" t="e">
        <f aca="false">AC25+#REF!</f>
        <v>#REF!</v>
      </c>
      <c r="AC25" s="1" t="n">
        <v>48</v>
      </c>
      <c r="AD25" s="1" t="n">
        <v>2807</v>
      </c>
      <c r="AE25" s="1" t="n">
        <v>-5</v>
      </c>
      <c r="AF25" s="1" t="n">
        <v>2725</v>
      </c>
      <c r="AG25" s="1" t="n">
        <v>27</v>
      </c>
      <c r="AH25" s="1" t="n">
        <v>2958</v>
      </c>
      <c r="AI25" s="1" t="n">
        <v>4</v>
      </c>
      <c r="AJ25" s="1" t="n">
        <v>3088</v>
      </c>
      <c r="AK25" s="1" t="n">
        <v>3</v>
      </c>
      <c r="AM25" s="7" t="n">
        <f aca="false">AVERAGE(AC25,AE25,AG25,AI25,AK25)</f>
        <v>15.4</v>
      </c>
    </row>
    <row r="26" customFormat="false" ht="12.75" hidden="false" customHeight="false" outlineLevel="0" collapsed="false">
      <c r="A26" s="0" t="s">
        <v>25</v>
      </c>
      <c r="B26" s="1" t="n">
        <v>0</v>
      </c>
      <c r="C26" s="11" t="n">
        <v>2.31</v>
      </c>
      <c r="D26" s="11" t="n">
        <f aca="false">D25</f>
        <v>1.95</v>
      </c>
      <c r="E26" s="2" t="n">
        <f aca="false">C26-D26</f>
        <v>0.36</v>
      </c>
      <c r="F26" s="13" t="n">
        <f aca="false">B26*E26*10000</f>
        <v>0</v>
      </c>
      <c r="I26" s="19" t="n">
        <v>0</v>
      </c>
      <c r="J26" s="1" t="n">
        <v>0</v>
      </c>
      <c r="M26" s="20"/>
      <c r="N26" s="15"/>
      <c r="O26" s="15"/>
      <c r="Q26" s="17"/>
      <c r="R26" s="7"/>
      <c r="S26" s="7"/>
      <c r="T26" s="7"/>
      <c r="V26" s="18"/>
      <c r="W26" s="7"/>
      <c r="X26" s="9"/>
      <c r="Y26" s="7"/>
      <c r="Z26" s="9"/>
      <c r="AA26" s="10"/>
      <c r="AM26" s="7"/>
    </row>
    <row r="27" customFormat="false" ht="12.75" hidden="false" customHeight="false" outlineLevel="0" collapsed="false">
      <c r="A27" s="0" t="s">
        <v>32</v>
      </c>
      <c r="B27" s="1" t="n">
        <v>0</v>
      </c>
      <c r="C27" s="11" t="n">
        <v>1.785</v>
      </c>
      <c r="D27" s="12" t="n">
        <f aca="false">D26-0.25</f>
        <v>1.7</v>
      </c>
      <c r="E27" s="2" t="n">
        <f aca="false">C27-D27</f>
        <v>0.0849999999999997</v>
      </c>
      <c r="F27" s="13" t="n">
        <f aca="false">B27*E27*10000</f>
        <v>0</v>
      </c>
      <c r="I27" s="19" t="n">
        <v>0</v>
      </c>
      <c r="J27" s="1" t="n">
        <v>0</v>
      </c>
      <c r="M27" s="20"/>
      <c r="N27" s="15"/>
      <c r="O27" s="15"/>
      <c r="Q27" s="17"/>
      <c r="R27" s="7"/>
      <c r="S27" s="7"/>
      <c r="T27" s="7"/>
      <c r="V27" s="18"/>
      <c r="W27" s="7"/>
      <c r="X27" s="9"/>
      <c r="Y27" s="7"/>
      <c r="Z27" s="9"/>
      <c r="AA27" s="10"/>
      <c r="AM27" s="7"/>
    </row>
    <row r="28" customFormat="false" ht="12.75" hidden="false" customHeight="false" outlineLevel="0" collapsed="false">
      <c r="A28" s="0" t="s">
        <v>32</v>
      </c>
      <c r="B28" s="1" t="n">
        <v>0</v>
      </c>
      <c r="C28" s="11" t="n">
        <v>1.875</v>
      </c>
      <c r="D28" s="12" t="n">
        <f aca="false">D27</f>
        <v>1.7</v>
      </c>
      <c r="E28" s="2" t="n">
        <f aca="false">C28-D28</f>
        <v>0.175</v>
      </c>
      <c r="F28" s="13" t="n">
        <f aca="false">B28*E28*10000</f>
        <v>0</v>
      </c>
      <c r="I28" s="19"/>
      <c r="M28" s="20"/>
      <c r="N28" s="15"/>
      <c r="O28" s="15"/>
      <c r="Q28" s="17"/>
      <c r="R28" s="7"/>
      <c r="S28" s="7"/>
      <c r="T28" s="7"/>
      <c r="V28" s="18"/>
      <c r="W28" s="7"/>
      <c r="X28" s="9"/>
      <c r="Y28" s="7"/>
      <c r="Z28" s="9"/>
      <c r="AA28" s="10"/>
      <c r="AM28" s="7"/>
    </row>
    <row r="29" customFormat="false" ht="12.75" hidden="false" customHeight="false" outlineLevel="0" collapsed="false">
      <c r="A29" s="0" t="s">
        <v>32</v>
      </c>
      <c r="B29" s="1" t="n">
        <v>0</v>
      </c>
      <c r="C29" s="11" t="n">
        <v>2.9525</v>
      </c>
      <c r="D29" s="12" t="n">
        <f aca="false">D28</f>
        <v>1.7</v>
      </c>
      <c r="E29" s="2" t="n">
        <f aca="false">C29-D29</f>
        <v>1.2525</v>
      </c>
      <c r="F29" s="13" t="n">
        <f aca="false">B29*E29*10000</f>
        <v>0</v>
      </c>
      <c r="I29" s="19"/>
      <c r="M29" s="20"/>
      <c r="N29" s="15"/>
      <c r="O29" s="15"/>
      <c r="Q29" s="17"/>
      <c r="R29" s="7"/>
      <c r="S29" s="7"/>
      <c r="T29" s="7"/>
      <c r="V29" s="18"/>
      <c r="W29" s="7"/>
      <c r="X29" s="9"/>
      <c r="Y29" s="7"/>
      <c r="Z29" s="9"/>
      <c r="AA29" s="10"/>
      <c r="AM29" s="7"/>
    </row>
    <row r="30" customFormat="false" ht="12.75" hidden="false" customHeight="false" outlineLevel="0" collapsed="false">
      <c r="A30" s="0" t="s">
        <v>32</v>
      </c>
      <c r="B30" s="1" t="n">
        <v>0</v>
      </c>
      <c r="C30" s="11" t="n">
        <v>3.16</v>
      </c>
      <c r="D30" s="12" t="n">
        <f aca="false">D29</f>
        <v>1.7</v>
      </c>
      <c r="E30" s="2" t="n">
        <f aca="false">C30-D30</f>
        <v>1.46</v>
      </c>
      <c r="F30" s="13" t="n">
        <f aca="false">B30*E30*10000</f>
        <v>0</v>
      </c>
      <c r="I30" s="19"/>
      <c r="M30" s="20"/>
      <c r="N30" s="15"/>
      <c r="O30" s="15"/>
      <c r="Q30" s="17"/>
      <c r="R30" s="7"/>
      <c r="S30" s="7"/>
      <c r="T30" s="7"/>
      <c r="V30" s="18"/>
      <c r="W30" s="7"/>
      <c r="X30" s="9"/>
      <c r="Y30" s="7"/>
      <c r="Z30" s="9"/>
      <c r="AA30" s="10"/>
      <c r="AM30" s="7"/>
    </row>
    <row r="31" customFormat="false" ht="12.75" hidden="false" customHeight="false" outlineLevel="0" collapsed="false">
      <c r="A31" s="0" t="s">
        <v>32</v>
      </c>
      <c r="B31" s="1" t="n">
        <v>0</v>
      </c>
      <c r="C31" s="11" t="n">
        <v>3.195</v>
      </c>
      <c r="D31" s="12" t="n">
        <f aca="false">D30</f>
        <v>1.7</v>
      </c>
      <c r="E31" s="2" t="n">
        <f aca="false">C31-D31</f>
        <v>1.495</v>
      </c>
      <c r="F31" s="13" t="n">
        <f aca="false">B31*E31*10000</f>
        <v>0</v>
      </c>
      <c r="I31" s="19"/>
      <c r="M31" s="20"/>
      <c r="N31" s="15"/>
      <c r="O31" s="15"/>
      <c r="Q31" s="17"/>
      <c r="R31" s="7"/>
      <c r="S31" s="7"/>
      <c r="T31" s="7"/>
      <c r="V31" s="18"/>
      <c r="W31" s="7"/>
      <c r="X31" s="9"/>
      <c r="Y31" s="7"/>
      <c r="Z31" s="9"/>
      <c r="AA31" s="10"/>
      <c r="AM31" s="7"/>
    </row>
    <row r="32" customFormat="false" ht="12.75" hidden="false" customHeight="false" outlineLevel="0" collapsed="false">
      <c r="A32" s="0" t="s">
        <v>32</v>
      </c>
      <c r="B32" s="1" t="n">
        <v>0</v>
      </c>
      <c r="C32" s="11" t="n">
        <v>3.185</v>
      </c>
      <c r="D32" s="12" t="n">
        <f aca="false">D31</f>
        <v>1.7</v>
      </c>
      <c r="E32" s="2" t="n">
        <f aca="false">C32-D32</f>
        <v>1.485</v>
      </c>
      <c r="F32" s="13" t="n">
        <f aca="false">B32*E32*10000</f>
        <v>0</v>
      </c>
      <c r="I32" s="19"/>
      <c r="M32" s="20"/>
      <c r="N32" s="15"/>
      <c r="O32" s="15"/>
      <c r="Q32" s="17"/>
      <c r="R32" s="7"/>
      <c r="S32" s="7"/>
      <c r="T32" s="7"/>
      <c r="V32" s="18"/>
      <c r="W32" s="7"/>
      <c r="X32" s="9"/>
      <c r="Y32" s="7"/>
      <c r="Z32" s="9"/>
      <c r="AA32" s="10"/>
      <c r="AM32" s="7"/>
    </row>
    <row r="33" customFormat="false" ht="12.75" hidden="false" customHeight="false" outlineLevel="0" collapsed="false">
      <c r="A33" s="0" t="s">
        <v>32</v>
      </c>
      <c r="B33" s="1" t="n">
        <v>0</v>
      </c>
      <c r="C33" s="11" t="n">
        <v>3.5895</v>
      </c>
      <c r="D33" s="11" t="n">
        <f aca="false">D27</f>
        <v>1.7</v>
      </c>
      <c r="E33" s="2" t="n">
        <f aca="false">C33-D33</f>
        <v>1.8895</v>
      </c>
      <c r="F33" s="13" t="n">
        <f aca="false">B33*E33*10000</f>
        <v>0</v>
      </c>
      <c r="I33" s="19" t="n">
        <v>0</v>
      </c>
      <c r="J33" s="1" t="n">
        <v>0</v>
      </c>
      <c r="M33" s="20"/>
      <c r="N33" s="15"/>
      <c r="O33" s="15"/>
      <c r="Q33" s="17"/>
      <c r="R33" s="7"/>
      <c r="S33" s="7"/>
      <c r="T33" s="7"/>
      <c r="V33" s="18"/>
      <c r="W33" s="7"/>
      <c r="X33" s="9"/>
      <c r="Y33" s="7"/>
      <c r="Z33" s="9"/>
      <c r="AA33" s="10"/>
      <c r="AM33" s="7"/>
    </row>
    <row r="34" customFormat="false" ht="12.75" hidden="false" customHeight="false" outlineLevel="0" collapsed="false">
      <c r="A34" s="0" t="s">
        <v>33</v>
      </c>
      <c r="B34" s="1" t="n">
        <v>0</v>
      </c>
      <c r="C34" s="11" t="n">
        <v>6.18</v>
      </c>
      <c r="D34" s="11" t="n">
        <f aca="false">D26-0.05</f>
        <v>1.9</v>
      </c>
      <c r="E34" s="2" t="n">
        <f aca="false">C34-D34</f>
        <v>4.28</v>
      </c>
      <c r="F34" s="13" t="n">
        <f aca="false">B34*E34*10000</f>
        <v>0</v>
      </c>
      <c r="I34" s="19" t="n">
        <v>0</v>
      </c>
      <c r="J34" s="1" t="n">
        <v>0</v>
      </c>
      <c r="M34" s="20"/>
      <c r="N34" s="15"/>
      <c r="O34" s="15"/>
      <c r="Q34" s="17"/>
      <c r="R34" s="7"/>
      <c r="S34" s="7"/>
      <c r="T34" s="7"/>
      <c r="V34" s="18"/>
      <c r="W34" s="7"/>
      <c r="X34" s="9"/>
      <c r="Y34" s="7"/>
      <c r="Z34" s="9"/>
      <c r="AA34" s="10"/>
      <c r="AM34" s="7"/>
    </row>
    <row r="35" customFormat="false" ht="12.75" hidden="false" customHeight="false" outlineLevel="0" collapsed="false">
      <c r="A35" s="0" t="s">
        <v>33</v>
      </c>
      <c r="B35" s="1" t="n">
        <v>0</v>
      </c>
      <c r="C35" s="11" t="n">
        <v>6.265</v>
      </c>
      <c r="D35" s="11" t="n">
        <f aca="false">D34</f>
        <v>1.9</v>
      </c>
      <c r="E35" s="2" t="n">
        <f aca="false">C35-D35</f>
        <v>4.365</v>
      </c>
      <c r="F35" s="13" t="n">
        <f aca="false">B35*E35*10000</f>
        <v>0</v>
      </c>
      <c r="I35" s="19" t="n">
        <v>6.31</v>
      </c>
      <c r="J35" s="1" t="n">
        <v>26</v>
      </c>
      <c r="M35" s="20"/>
      <c r="N35" s="15"/>
      <c r="O35" s="15"/>
      <c r="Q35" s="17"/>
      <c r="R35" s="7"/>
      <c r="S35" s="7"/>
      <c r="T35" s="7"/>
      <c r="V35" s="18"/>
      <c r="W35" s="7"/>
      <c r="X35" s="9"/>
      <c r="Y35" s="7"/>
      <c r="Z35" s="9"/>
      <c r="AA35" s="10"/>
      <c r="AM35" s="7"/>
    </row>
    <row r="36" customFormat="false" ht="12.75" hidden="false" customHeight="false" outlineLevel="0" collapsed="false">
      <c r="A36" s="0" t="s">
        <v>34</v>
      </c>
      <c r="B36" s="1" t="n">
        <v>0</v>
      </c>
      <c r="C36" s="11" t="n">
        <v>3.105</v>
      </c>
      <c r="D36" s="12" t="n">
        <f aca="false">D4-0.09</f>
        <v>1.86</v>
      </c>
      <c r="E36" s="2" t="n">
        <f aca="false">C36-D36</f>
        <v>1.245</v>
      </c>
      <c r="F36" s="13" t="n">
        <f aca="false">B36*E36*10000</f>
        <v>0</v>
      </c>
      <c r="I36" s="19" t="n">
        <v>6.31</v>
      </c>
      <c r="J36" s="1" t="n">
        <v>26</v>
      </c>
      <c r="M36" s="20"/>
      <c r="N36" s="15"/>
      <c r="O36" s="15"/>
      <c r="Q36" s="17"/>
      <c r="R36" s="7"/>
      <c r="S36" s="7"/>
      <c r="T36" s="7"/>
      <c r="V36" s="18"/>
      <c r="W36" s="7"/>
      <c r="X36" s="9"/>
      <c r="Y36" s="7"/>
      <c r="Z36" s="9"/>
      <c r="AA36" s="10"/>
      <c r="AM36" s="7"/>
    </row>
    <row r="37" customFormat="false" ht="12.75" hidden="false" customHeight="false" outlineLevel="0" collapsed="false">
      <c r="A37" s="0" t="s">
        <v>34</v>
      </c>
      <c r="B37" s="1" t="n">
        <v>0</v>
      </c>
      <c r="C37" s="11" t="n">
        <v>3.01</v>
      </c>
      <c r="D37" s="12" t="n">
        <f aca="false">D36</f>
        <v>1.86</v>
      </c>
      <c r="E37" s="2" t="n">
        <f aca="false">C37-D37</f>
        <v>1.15</v>
      </c>
      <c r="F37" s="13" t="n">
        <f aca="false">B37*E37*10000</f>
        <v>0</v>
      </c>
      <c r="I37" s="19"/>
      <c r="M37" s="20"/>
      <c r="N37" s="15"/>
      <c r="O37" s="15"/>
      <c r="Q37" s="17"/>
      <c r="R37" s="7"/>
      <c r="S37" s="7"/>
      <c r="T37" s="7"/>
      <c r="V37" s="18"/>
      <c r="W37" s="7"/>
      <c r="X37" s="9"/>
      <c r="Y37" s="7"/>
      <c r="Z37" s="9"/>
      <c r="AA37" s="10"/>
      <c r="AM37" s="7"/>
    </row>
    <row r="38" customFormat="false" ht="12.75" hidden="false" customHeight="false" outlineLevel="0" collapsed="false">
      <c r="A38" s="0" t="s">
        <v>34</v>
      </c>
      <c r="B38" s="1" t="n">
        <v>0</v>
      </c>
      <c r="C38" s="11" t="n">
        <v>3.01</v>
      </c>
      <c r="D38" s="12" t="n">
        <f aca="false">D37</f>
        <v>1.86</v>
      </c>
      <c r="E38" s="2" t="n">
        <f aca="false">C38-D38</f>
        <v>1.15</v>
      </c>
      <c r="F38" s="13" t="n">
        <f aca="false">B38*E38*10000</f>
        <v>0</v>
      </c>
      <c r="I38" s="19"/>
      <c r="M38" s="20"/>
      <c r="N38" s="15"/>
      <c r="O38" s="15"/>
      <c r="Q38" s="17"/>
      <c r="R38" s="7"/>
      <c r="S38" s="7"/>
      <c r="T38" s="7"/>
      <c r="V38" s="18"/>
      <c r="W38" s="7"/>
      <c r="X38" s="9"/>
      <c r="Y38" s="7"/>
      <c r="Z38" s="9"/>
      <c r="AA38" s="10"/>
      <c r="AM38" s="7"/>
    </row>
    <row r="39" customFormat="false" ht="12.75" hidden="false" customHeight="false" outlineLevel="0" collapsed="false">
      <c r="A39" s="0" t="s">
        <v>34</v>
      </c>
      <c r="B39" s="1" t="n">
        <v>0</v>
      </c>
      <c r="C39" s="11" t="n">
        <v>3.02</v>
      </c>
      <c r="D39" s="12" t="n">
        <f aca="false">D38</f>
        <v>1.86</v>
      </c>
      <c r="E39" s="2" t="n">
        <f aca="false">C39-D39</f>
        <v>1.16</v>
      </c>
      <c r="F39" s="13" t="n">
        <f aca="false">B39*E39*10000</f>
        <v>0</v>
      </c>
      <c r="I39" s="19"/>
      <c r="M39" s="20"/>
      <c r="N39" s="15"/>
      <c r="O39" s="15"/>
      <c r="Q39" s="17"/>
      <c r="R39" s="7"/>
      <c r="S39" s="7"/>
      <c r="T39" s="7"/>
      <c r="V39" s="18"/>
      <c r="W39" s="7"/>
      <c r="X39" s="9"/>
      <c r="Y39" s="7"/>
      <c r="Z39" s="9"/>
      <c r="AA39" s="10"/>
      <c r="AM39" s="7"/>
    </row>
    <row r="40" customFormat="false" ht="12.75" hidden="false" customHeight="false" outlineLevel="0" collapsed="false">
      <c r="A40" s="0" t="s">
        <v>35</v>
      </c>
      <c r="B40" s="1" t="n">
        <v>0</v>
      </c>
      <c r="C40" s="11" t="n">
        <v>2.983</v>
      </c>
      <c r="D40" s="11" t="n">
        <f aca="false">D4-0.26</f>
        <v>1.69</v>
      </c>
      <c r="E40" s="2" t="n">
        <f aca="false">C40-D40</f>
        <v>1.293</v>
      </c>
      <c r="F40" s="13" t="n">
        <f aca="false">B40*E40*10000</f>
        <v>0</v>
      </c>
      <c r="I40" s="19" t="n">
        <v>6.155</v>
      </c>
      <c r="J40" s="1" t="n">
        <v>26</v>
      </c>
      <c r="M40" s="20"/>
      <c r="N40" s="15"/>
      <c r="O40" s="15"/>
      <c r="Q40" s="17"/>
      <c r="R40" s="7"/>
      <c r="S40" s="7"/>
      <c r="T40" s="7"/>
      <c r="V40" s="18"/>
      <c r="W40" s="7"/>
      <c r="X40" s="9"/>
      <c r="Y40" s="7"/>
      <c r="Z40" s="9"/>
      <c r="AA40" s="10"/>
      <c r="AM40" s="7"/>
    </row>
    <row r="41" customFormat="false" ht="12.75" hidden="false" customHeight="false" outlineLevel="0" collapsed="false">
      <c r="A41" s="0" t="s">
        <v>16</v>
      </c>
      <c r="B41" s="1" t="n">
        <v>0</v>
      </c>
      <c r="C41" s="11" t="n">
        <v>2.58</v>
      </c>
      <c r="D41" s="11" t="n">
        <f aca="false">H42</f>
        <v>2.12</v>
      </c>
      <c r="E41" s="2" t="n">
        <f aca="false">C41-D41</f>
        <v>0.46</v>
      </c>
      <c r="F41" s="13" t="n">
        <f aca="false">B41*E41*10000</f>
        <v>0</v>
      </c>
      <c r="I41" s="19" t="n">
        <v>6.14</v>
      </c>
      <c r="J41" s="24" t="n">
        <v>26</v>
      </c>
      <c r="K41" s="19"/>
      <c r="M41" s="20" t="n">
        <f aca="false">I41-$M$9+$N$9</f>
        <v>6.14</v>
      </c>
      <c r="N41" s="15"/>
      <c r="O41" s="15" t="n">
        <f aca="false">M41-I41</f>
        <v>0</v>
      </c>
      <c r="Q41" s="17" t="n">
        <f aca="false">Q25+7</f>
        <v>7</v>
      </c>
      <c r="R41" s="7" t="e">
        <f aca="false">R25+S41</f>
        <v>#REF!</v>
      </c>
      <c r="S41" s="23" t="n">
        <v>12</v>
      </c>
      <c r="T41" s="7"/>
      <c r="U41" s="1" t="n">
        <f aca="false">AB41</f>
        <v>3127</v>
      </c>
      <c r="V41" s="18" t="e">
        <f aca="false">R41-U41</f>
        <v>#REF!</v>
      </c>
      <c r="W41" s="7" t="n">
        <f aca="false">AVERAGE(AB41,AD41,AF41)</f>
        <v>2881.33333333333</v>
      </c>
      <c r="X41" s="9" t="e">
        <f aca="false">R41-W41</f>
        <v>#REF!</v>
      </c>
      <c r="Y41" s="7" t="n">
        <f aca="false">AVERAGE(AB41,AD41,AF41,AH41,AJ41)</f>
        <v>2923.2</v>
      </c>
      <c r="Z41" s="9" t="e">
        <f aca="false">R41-Y41</f>
        <v>#REF!</v>
      </c>
      <c r="AB41" s="1" t="n">
        <v>3127</v>
      </c>
      <c r="AC41" s="1" t="n">
        <v>-24</v>
      </c>
      <c r="AD41" s="1" t="n">
        <v>2814</v>
      </c>
      <c r="AE41" s="1" t="n">
        <v>7</v>
      </c>
      <c r="AF41" s="1" t="n">
        <v>2703</v>
      </c>
      <c r="AG41" s="1" t="n">
        <v>-22</v>
      </c>
      <c r="AH41" s="1" t="n">
        <v>2873</v>
      </c>
      <c r="AI41" s="1" t="n">
        <v>-85</v>
      </c>
      <c r="AJ41" s="1" t="n">
        <v>3099</v>
      </c>
      <c r="AK41" s="1" t="n">
        <v>11</v>
      </c>
      <c r="AM41" s="7" t="n">
        <f aca="false">AVERAGE(AC41,AE41,AG41,AI41,AK41)</f>
        <v>-22.6</v>
      </c>
    </row>
    <row r="42" customFormat="false" ht="12.75" hidden="false" customHeight="false" outlineLevel="0" collapsed="false">
      <c r="A42" s="0" t="str">
        <f aca="false">A41</f>
        <v>Dec</v>
      </c>
      <c r="B42" s="1" t="n">
        <v>0</v>
      </c>
      <c r="C42" s="11" t="n">
        <v>2.57</v>
      </c>
      <c r="D42" s="11" t="n">
        <f aca="false">D41</f>
        <v>2.12</v>
      </c>
      <c r="E42" s="2" t="n">
        <f aca="false">C42-D42</f>
        <v>0.45</v>
      </c>
      <c r="F42" s="13" t="n">
        <f aca="false">B42*E42*10000</f>
        <v>0</v>
      </c>
      <c r="G42" s="1" t="s">
        <v>16</v>
      </c>
      <c r="H42" s="19" t="n">
        <f aca="false">[1]Sheet1!$F$4</f>
        <v>2.12</v>
      </c>
      <c r="I42" s="19" t="n">
        <f aca="false">AVERAGE(I35:I41)</f>
        <v>6.22875</v>
      </c>
      <c r="J42" s="24" t="n">
        <f aca="false">SUM(J25:J41)</f>
        <v>104</v>
      </c>
      <c r="K42" s="19"/>
      <c r="M42" s="20"/>
      <c r="N42" s="15"/>
      <c r="O42" s="15"/>
      <c r="Q42" s="17" t="n">
        <f aca="false">Q41+7</f>
        <v>14</v>
      </c>
      <c r="R42" s="7" t="e">
        <f aca="false">R41+S42</f>
        <v>#REF!</v>
      </c>
      <c r="S42" s="23" t="n">
        <v>9</v>
      </c>
      <c r="T42" s="7"/>
      <c r="U42" s="1" t="n">
        <f aca="false">AB42</f>
        <v>3082</v>
      </c>
      <c r="V42" s="18" t="e">
        <f aca="false">R42-U42</f>
        <v>#REF!</v>
      </c>
      <c r="W42" s="7" t="n">
        <f aca="false">AVERAGE(AB42,AD42,AF42)</f>
        <v>2816.33333333333</v>
      </c>
      <c r="X42" s="9" t="e">
        <f aca="false">R42-W42</f>
        <v>#REF!</v>
      </c>
      <c r="Y42" s="7" t="n">
        <f aca="false">AVERAGE(AB42,AD42,AF42,AH42,AJ42)</f>
        <v>2866.2</v>
      </c>
      <c r="Z42" s="9" t="e">
        <f aca="false">R42-Y42</f>
        <v>#REF!</v>
      </c>
      <c r="AB42" s="1" t="n">
        <v>3082</v>
      </c>
      <c r="AC42" s="1" t="n">
        <v>-45</v>
      </c>
      <c r="AD42" s="1" t="n">
        <v>2750</v>
      </c>
      <c r="AE42" s="1" t="n">
        <v>-64</v>
      </c>
      <c r="AF42" s="1" t="n">
        <v>2617</v>
      </c>
      <c r="AG42" s="1" t="n">
        <v>-86</v>
      </c>
      <c r="AH42" s="1" t="n">
        <v>2798</v>
      </c>
      <c r="AI42" s="1" t="n">
        <v>-75</v>
      </c>
      <c r="AJ42" s="1" t="n">
        <v>3084</v>
      </c>
      <c r="AK42" s="1" t="n">
        <v>-15</v>
      </c>
      <c r="AM42" s="7" t="n">
        <f aca="false">AVERAGE(AC42,AE42,AG42,AI42,AK42)</f>
        <v>-57</v>
      </c>
    </row>
    <row r="43" customFormat="false" ht="12.75" hidden="false" customHeight="false" outlineLevel="0" collapsed="false">
      <c r="A43" s="0" t="str">
        <f aca="false">A42</f>
        <v>Dec</v>
      </c>
      <c r="B43" s="1" t="n">
        <v>0</v>
      </c>
      <c r="C43" s="11" t="n">
        <v>2.575</v>
      </c>
      <c r="D43" s="11" t="n">
        <f aca="false">D42</f>
        <v>2.12</v>
      </c>
      <c r="E43" s="2" t="n">
        <f aca="false">C43-D43</f>
        <v>0.455</v>
      </c>
      <c r="F43" s="13" t="n">
        <f aca="false">B43*E43*10000</f>
        <v>0</v>
      </c>
      <c r="G43" s="1" t="s">
        <v>18</v>
      </c>
      <c r="H43" s="19" t="n">
        <f aca="false">[1]Sheet1!$F$4</f>
        <v>2.12</v>
      </c>
      <c r="I43" s="19"/>
      <c r="J43" s="19" t="n">
        <v>46</v>
      </c>
      <c r="K43" s="19" t="n">
        <v>5.765</v>
      </c>
      <c r="L43" s="1" t="n">
        <f aca="false">J43*K43</f>
        <v>265.19</v>
      </c>
      <c r="M43" s="20"/>
      <c r="N43" s="15"/>
      <c r="O43" s="15"/>
      <c r="Q43" s="17"/>
      <c r="R43" s="7"/>
      <c r="S43" s="23"/>
      <c r="T43" s="7"/>
      <c r="V43" s="18"/>
      <c r="W43" s="7"/>
      <c r="X43" s="9"/>
      <c r="Y43" s="7"/>
      <c r="Z43" s="9"/>
      <c r="AM43" s="7"/>
    </row>
    <row r="44" customFormat="false" ht="12.75" hidden="false" customHeight="false" outlineLevel="0" collapsed="false">
      <c r="A44" s="0" t="str">
        <f aca="false">A43</f>
        <v>Dec</v>
      </c>
      <c r="B44" s="4" t="n">
        <v>0</v>
      </c>
      <c r="C44" s="11" t="n">
        <v>2.585</v>
      </c>
      <c r="D44" s="11" t="n">
        <f aca="false">D43</f>
        <v>2.12</v>
      </c>
      <c r="E44" s="2" t="n">
        <f aca="false">C44-D44</f>
        <v>0.465</v>
      </c>
      <c r="F44" s="13" t="n">
        <f aca="false">B44*E44*10000</f>
        <v>0</v>
      </c>
      <c r="G44" s="1" t="s">
        <v>20</v>
      </c>
      <c r="H44" s="19" t="n">
        <f aca="false">[1]Sheet1!$G$4</f>
        <v>2.155</v>
      </c>
      <c r="I44" s="19"/>
      <c r="J44" s="19" t="n">
        <v>46</v>
      </c>
      <c r="K44" s="19" t="n">
        <v>5.675</v>
      </c>
      <c r="L44" s="1" t="n">
        <f aca="false">J44*K44</f>
        <v>261.05</v>
      </c>
      <c r="M44" s="20"/>
      <c r="N44" s="15"/>
      <c r="O44" s="15"/>
      <c r="Q44" s="17"/>
      <c r="R44" s="7"/>
      <c r="S44" s="23"/>
      <c r="T44" s="7"/>
      <c r="V44" s="18"/>
      <c r="W44" s="7"/>
      <c r="X44" s="9"/>
      <c r="Y44" s="7"/>
      <c r="Z44" s="9"/>
      <c r="AM44" s="7"/>
    </row>
    <row r="45" customFormat="false" ht="12.75" hidden="false" customHeight="false" outlineLevel="0" collapsed="false">
      <c r="A45" s="0" t="str">
        <f aca="false">A44</f>
        <v>Dec</v>
      </c>
      <c r="B45" s="4" t="n">
        <v>0</v>
      </c>
      <c r="C45" s="11" t="n">
        <v>2.59</v>
      </c>
      <c r="D45" s="11" t="n">
        <f aca="false">D44</f>
        <v>2.12</v>
      </c>
      <c r="E45" s="2" t="n">
        <f aca="false">C45-D45</f>
        <v>0.47</v>
      </c>
      <c r="F45" s="13" t="n">
        <f aca="false">B45*E45*10000</f>
        <v>0</v>
      </c>
      <c r="G45" s="1" t="s">
        <v>36</v>
      </c>
      <c r="H45" s="19" t="n">
        <f aca="false">[1]Sheet1!$H$4</f>
        <v>2.22</v>
      </c>
      <c r="I45" s="19"/>
      <c r="J45" s="19" t="n">
        <f aca="false">SUM(J43:J44)</f>
        <v>92</v>
      </c>
      <c r="K45" s="19"/>
      <c r="L45" s="1" t="n">
        <f aca="false">SUM(L43:L44)</f>
        <v>526.24</v>
      </c>
      <c r="M45" s="20"/>
      <c r="N45" s="15"/>
      <c r="O45" s="15"/>
      <c r="Q45" s="17"/>
      <c r="R45" s="7"/>
      <c r="S45" s="23"/>
      <c r="T45" s="7"/>
      <c r="V45" s="18"/>
      <c r="W45" s="7"/>
      <c r="X45" s="9"/>
      <c r="Y45" s="7"/>
      <c r="Z45" s="9"/>
      <c r="AM45" s="7"/>
    </row>
    <row r="46" customFormat="false" ht="12.75" hidden="false" customHeight="false" outlineLevel="0" collapsed="false">
      <c r="A46" s="0" t="str">
        <f aca="false">A45</f>
        <v>Dec</v>
      </c>
      <c r="B46" s="4" t="n">
        <v>0</v>
      </c>
      <c r="C46" s="11" t="n">
        <v>2.58</v>
      </c>
      <c r="D46" s="11" t="n">
        <f aca="false">D45</f>
        <v>2.12</v>
      </c>
      <c r="E46" s="2" t="n">
        <f aca="false">C46-D46</f>
        <v>0.46</v>
      </c>
      <c r="F46" s="13" t="n">
        <f aca="false">B46*E46*10000</f>
        <v>0</v>
      </c>
      <c r="H46" s="19"/>
      <c r="I46" s="19"/>
      <c r="J46" s="19"/>
      <c r="K46" s="19"/>
      <c r="L46" s="1" t="n">
        <f aca="false">L45/(J43+J44)</f>
        <v>5.72</v>
      </c>
      <c r="M46" s="20"/>
      <c r="N46" s="15"/>
      <c r="O46" s="15"/>
      <c r="Q46" s="17"/>
      <c r="R46" s="7"/>
      <c r="S46" s="23"/>
      <c r="T46" s="7"/>
      <c r="V46" s="18"/>
      <c r="W46" s="7"/>
      <c r="X46" s="9"/>
      <c r="Y46" s="7"/>
      <c r="Z46" s="9"/>
      <c r="AM46" s="7"/>
    </row>
    <row r="47" customFormat="false" ht="12.75" hidden="false" customHeight="false" outlineLevel="0" collapsed="false">
      <c r="A47" s="0" t="str">
        <f aca="false">A46</f>
        <v>Dec</v>
      </c>
      <c r="B47" s="1" t="n">
        <v>0</v>
      </c>
      <c r="C47" s="11" t="n">
        <v>2.58</v>
      </c>
      <c r="D47" s="11" t="n">
        <f aca="false">D46</f>
        <v>2.12</v>
      </c>
      <c r="E47" s="2" t="n">
        <f aca="false">C47-D47</f>
        <v>0.46</v>
      </c>
      <c r="F47" s="13" t="n">
        <f aca="false">B47*E47*10000</f>
        <v>0</v>
      </c>
      <c r="I47" s="19"/>
      <c r="J47" s="19"/>
      <c r="K47" s="19"/>
      <c r="M47" s="20"/>
      <c r="N47" s="15"/>
      <c r="O47" s="15"/>
      <c r="Q47" s="17" t="n">
        <f aca="false">Q42+7</f>
        <v>21</v>
      </c>
      <c r="R47" s="7" t="e">
        <f aca="false">R42+S47</f>
        <v>#REF!</v>
      </c>
      <c r="S47" s="7" t="n">
        <v>-20</v>
      </c>
      <c r="T47" s="7" t="n">
        <f aca="false">AC47</f>
        <v>-13</v>
      </c>
      <c r="U47" s="1" t="n">
        <f aca="false">AB47</f>
        <v>3069</v>
      </c>
      <c r="V47" s="18" t="e">
        <f aca="false">R47-U47</f>
        <v>#REF!</v>
      </c>
      <c r="W47" s="7" t="n">
        <f aca="false">AVERAGE(AB47,AD47,AF47)</f>
        <v>2754</v>
      </c>
      <c r="X47" s="9" t="e">
        <f aca="false">R47-W47</f>
        <v>#REF!</v>
      </c>
      <c r="Y47" s="7" t="n">
        <f aca="false">AVERAGE(AB47,AD47,AF47,AH47,AJ47)</f>
        <v>2805.2</v>
      </c>
      <c r="Z47" s="9" t="e">
        <f aca="false">R47-Y47</f>
        <v>#REF!</v>
      </c>
      <c r="AB47" s="1" t="n">
        <v>3069</v>
      </c>
      <c r="AC47" s="1" t="n">
        <v>-13</v>
      </c>
      <c r="AD47" s="1" t="n">
        <v>2642</v>
      </c>
      <c r="AE47" s="1" t="n">
        <v>-108</v>
      </c>
      <c r="AF47" s="1" t="n">
        <v>2551</v>
      </c>
      <c r="AG47" s="1" t="n">
        <v>-66</v>
      </c>
      <c r="AH47" s="1" t="n">
        <v>2737</v>
      </c>
      <c r="AI47" s="1" t="n">
        <v>-61</v>
      </c>
      <c r="AJ47" s="1" t="n">
        <v>3027</v>
      </c>
      <c r="AK47" s="1" t="n">
        <v>-57</v>
      </c>
      <c r="AM47" s="7" t="n">
        <f aca="false">AVERAGE(AC47,AE47,AG47,AI47,AK47)</f>
        <v>-61</v>
      </c>
    </row>
    <row r="48" customFormat="false" ht="12.75" hidden="false" customHeight="false" outlineLevel="0" collapsed="false">
      <c r="A48" s="0" t="str">
        <f aca="false">A47</f>
        <v>Dec</v>
      </c>
      <c r="B48" s="1" t="n">
        <v>0</v>
      </c>
      <c r="C48" s="11" t="n">
        <v>2.6</v>
      </c>
      <c r="D48" s="11" t="n">
        <f aca="false">D47</f>
        <v>2.12</v>
      </c>
      <c r="E48" s="2" t="n">
        <f aca="false">C48-D48</f>
        <v>0.48</v>
      </c>
      <c r="F48" s="13" t="n">
        <f aca="false">B48*E48*10000</f>
        <v>0</v>
      </c>
      <c r="H48" s="25" t="n">
        <f aca="false">AVERAGE(H42:H45)</f>
        <v>2.15375</v>
      </c>
      <c r="I48" s="19"/>
      <c r="J48" s="19"/>
      <c r="K48" s="19"/>
      <c r="M48" s="20" t="n">
        <f aca="false">I48-$M$9+$N$9</f>
        <v>0</v>
      </c>
      <c r="N48" s="15"/>
      <c r="O48" s="15" t="n">
        <f aca="false">M48-I48</f>
        <v>0</v>
      </c>
      <c r="Q48" s="17" t="n">
        <f aca="false">Q47+7</f>
        <v>28</v>
      </c>
      <c r="R48" s="7" t="e">
        <f aca="false">R47+S48</f>
        <v>#REF!</v>
      </c>
      <c r="S48" s="7" t="n">
        <v>5</v>
      </c>
      <c r="T48" s="7" t="n">
        <f aca="false">AC48</f>
        <v>8</v>
      </c>
      <c r="U48" s="1" t="n">
        <f aca="false">AB48</f>
        <v>3077</v>
      </c>
      <c r="V48" s="18" t="e">
        <f aca="false">R48-U48</f>
        <v>#REF!</v>
      </c>
      <c r="W48" s="7" t="n">
        <f aca="false">AVERAGE(AB48,AD48,AF48)</f>
        <v>2710</v>
      </c>
      <c r="X48" s="9" t="e">
        <f aca="false">R48-W48</f>
        <v>#REF!</v>
      </c>
      <c r="Y48" s="7" t="n">
        <f aca="false">AVERAGE(AB48,AD48,AF48,AH48,AJ48)</f>
        <v>2747.2</v>
      </c>
      <c r="Z48" s="9" t="e">
        <f aca="false">R48-Y48</f>
        <v>#REF!</v>
      </c>
      <c r="AB48" s="1" t="n">
        <v>3077</v>
      </c>
      <c r="AC48" s="1" t="n">
        <v>8</v>
      </c>
      <c r="AD48" s="1" t="n">
        <v>2606</v>
      </c>
      <c r="AE48" s="1" t="n">
        <v>-36</v>
      </c>
      <c r="AF48" s="1" t="n">
        <v>2447</v>
      </c>
      <c r="AG48" s="1" t="n">
        <v>-104</v>
      </c>
      <c r="AH48" s="1" t="n">
        <v>2664</v>
      </c>
      <c r="AI48" s="1" t="n">
        <v>-73</v>
      </c>
      <c r="AJ48" s="1" t="n">
        <v>2942</v>
      </c>
      <c r="AK48" s="1" t="n">
        <v>-85</v>
      </c>
      <c r="AM48" s="7" t="n">
        <f aca="false">AVERAGE(AC48,AE48,AG48,AI48,AK48)</f>
        <v>-58</v>
      </c>
    </row>
    <row r="49" customFormat="false" ht="12.75" hidden="false" customHeight="false" outlineLevel="0" collapsed="false">
      <c r="A49" s="0" t="str">
        <f aca="false">A48</f>
        <v>Dec</v>
      </c>
      <c r="B49" s="1" t="n">
        <v>0</v>
      </c>
      <c r="C49" s="11" t="n">
        <v>2.7075</v>
      </c>
      <c r="D49" s="11" t="n">
        <f aca="false">D48</f>
        <v>2.12</v>
      </c>
      <c r="E49" s="2" t="n">
        <f aca="false">C49-D49</f>
        <v>0.5875</v>
      </c>
      <c r="F49" s="13" t="n">
        <f aca="false">B49*E49*10000</f>
        <v>0</v>
      </c>
      <c r="I49" s="19"/>
      <c r="J49" s="19"/>
      <c r="K49" s="19"/>
      <c r="M49" s="20" t="n">
        <f aca="false">I49-$M$9+$N$9</f>
        <v>0</v>
      </c>
      <c r="N49" s="15"/>
      <c r="O49" s="15" t="n">
        <f aca="false">M49-I49</f>
        <v>0</v>
      </c>
      <c r="Q49" s="17" t="n">
        <f aca="false">Q48+7</f>
        <v>35</v>
      </c>
      <c r="R49" s="7" t="e">
        <f aca="false">R48+S49</f>
        <v>#REF!</v>
      </c>
      <c r="S49" s="7" t="n">
        <v>-69</v>
      </c>
      <c r="T49" s="7" t="n">
        <f aca="false">AC49</f>
        <v>27</v>
      </c>
      <c r="U49" s="1" t="n">
        <f aca="false">AB49</f>
        <v>3104</v>
      </c>
      <c r="V49" s="18" t="e">
        <f aca="false">R49-U49</f>
        <v>#REF!</v>
      </c>
      <c r="W49" s="7" t="n">
        <f aca="false">AVERAGE(AB49,AD49,AF49)</f>
        <v>2672</v>
      </c>
      <c r="X49" s="9" t="e">
        <f aca="false">R49-W49</f>
        <v>#REF!</v>
      </c>
      <c r="Y49" s="7" t="n">
        <f aca="false">AVERAGE(AB49,AD49,AF49,AH49,AJ49)</f>
        <v>2698.2</v>
      </c>
      <c r="Z49" s="9" t="e">
        <f aca="false">R49-Y49</f>
        <v>#REF!</v>
      </c>
      <c r="AB49" s="1" t="n">
        <v>3104</v>
      </c>
      <c r="AC49" s="1" t="n">
        <v>27</v>
      </c>
      <c r="AD49" s="1" t="n">
        <v>2537</v>
      </c>
      <c r="AE49" s="1" t="n">
        <v>-69</v>
      </c>
      <c r="AF49" s="1" t="n">
        <v>2375</v>
      </c>
      <c r="AG49" s="1" t="n">
        <v>-72</v>
      </c>
      <c r="AH49" s="1" t="n">
        <v>2589</v>
      </c>
      <c r="AI49" s="1" t="n">
        <v>-75</v>
      </c>
      <c r="AJ49" s="1" t="n">
        <v>2886</v>
      </c>
      <c r="AK49" s="1" t="n">
        <v>-56</v>
      </c>
      <c r="AM49" s="7" t="n">
        <f aca="false">AVERAGE(AC49,AE49,AG49,AI49,AK49)</f>
        <v>-49</v>
      </c>
    </row>
    <row r="50" customFormat="false" ht="12.75" hidden="false" customHeight="false" outlineLevel="0" collapsed="false">
      <c r="A50" s="0" t="str">
        <f aca="false">A49</f>
        <v>Dec</v>
      </c>
      <c r="B50" s="1" t="n">
        <v>0</v>
      </c>
      <c r="C50" s="11" t="n">
        <v>3.01</v>
      </c>
      <c r="D50" s="11" t="n">
        <f aca="false">D49</f>
        <v>2.12</v>
      </c>
      <c r="E50" s="2" t="n">
        <f aca="false">C50-D50</f>
        <v>0.89</v>
      </c>
      <c r="F50" s="13" t="n">
        <f aca="false">B50*E50*10000</f>
        <v>0</v>
      </c>
      <c r="I50" s="19"/>
      <c r="J50" s="19"/>
      <c r="K50" s="19"/>
      <c r="M50" s="13"/>
    </row>
    <row r="51" customFormat="false" ht="12.75" hidden="false" customHeight="false" outlineLevel="0" collapsed="false">
      <c r="A51" s="0" t="s">
        <v>18</v>
      </c>
      <c r="B51" s="1" t="n">
        <v>0</v>
      </c>
      <c r="C51" s="11" t="n">
        <v>2.97875</v>
      </c>
      <c r="D51" s="11" t="n">
        <f aca="false">H43</f>
        <v>2.12</v>
      </c>
      <c r="E51" s="2" t="n">
        <f aca="false">C51-D51</f>
        <v>0.85875</v>
      </c>
      <c r="F51" s="13" t="n">
        <f aca="false">B51*E51*10000</f>
        <v>0</v>
      </c>
      <c r="I51" s="19"/>
      <c r="J51" s="19"/>
      <c r="K51" s="19"/>
      <c r="M51" s="13"/>
    </row>
    <row r="52" customFormat="false" ht="12.75" hidden="false" customHeight="false" outlineLevel="0" collapsed="false">
      <c r="A52" s="0" t="s">
        <v>18</v>
      </c>
      <c r="B52" s="1" t="n">
        <v>0</v>
      </c>
      <c r="C52" s="11" t="n">
        <v>3.0325</v>
      </c>
      <c r="D52" s="11" t="n">
        <f aca="false">D51</f>
        <v>2.12</v>
      </c>
      <c r="E52" s="2" t="n">
        <f aca="false">C52-D52</f>
        <v>0.9125</v>
      </c>
      <c r="F52" s="13" t="n">
        <f aca="false">B52*E52*10000</f>
        <v>0</v>
      </c>
      <c r="I52" s="19"/>
      <c r="J52" s="19" t="s">
        <v>37</v>
      </c>
      <c r="K52" s="19"/>
      <c r="L52" s="1" t="s">
        <v>38</v>
      </c>
      <c r="M52" s="13"/>
      <c r="N52" s="1" t="s">
        <v>15</v>
      </c>
      <c r="P52" s="1" t="s">
        <v>39</v>
      </c>
    </row>
    <row r="53" customFormat="false" ht="12.75" hidden="false" customHeight="false" outlineLevel="0" collapsed="false">
      <c r="A53" s="0" t="s">
        <v>18</v>
      </c>
      <c r="B53" s="1" t="n">
        <v>0</v>
      </c>
      <c r="C53" s="11" t="n">
        <v>3.025</v>
      </c>
      <c r="D53" s="11" t="n">
        <f aca="false">D52</f>
        <v>2.12</v>
      </c>
      <c r="E53" s="2" t="n">
        <f aca="false">C53-D53</f>
        <v>0.905</v>
      </c>
      <c r="F53" s="13" t="n">
        <f aca="false">B53*E53*10000</f>
        <v>0</v>
      </c>
      <c r="J53" s="19"/>
      <c r="K53" s="19"/>
      <c r="M53" s="13"/>
    </row>
    <row r="54" customFormat="false" ht="12.75" hidden="false" customHeight="false" outlineLevel="0" collapsed="false">
      <c r="A54" s="0" t="s">
        <v>18</v>
      </c>
      <c r="B54" s="1" t="n">
        <v>0</v>
      </c>
      <c r="C54" s="11" t="n">
        <v>3</v>
      </c>
      <c r="D54" s="11" t="n">
        <f aca="false">D53</f>
        <v>2.12</v>
      </c>
      <c r="E54" s="2" t="n">
        <f aca="false">C54-D54</f>
        <v>0.88</v>
      </c>
      <c r="F54" s="13" t="n">
        <f aca="false">B54*E54*10000</f>
        <v>0</v>
      </c>
      <c r="I54" s="19" t="s">
        <v>8</v>
      </c>
      <c r="J54" s="19" t="n">
        <v>-0.12</v>
      </c>
      <c r="K54" s="19"/>
      <c r="M54" s="13"/>
      <c r="N54" s="15" t="n">
        <v>-0.0075</v>
      </c>
      <c r="O54" s="1" t="n">
        <v>-0.0075</v>
      </c>
      <c r="P54" s="26" t="n">
        <v>-0.075</v>
      </c>
      <c r="Q54" s="1" t="n">
        <v>-0.085</v>
      </c>
    </row>
    <row r="55" customFormat="false" ht="12.75" hidden="false" customHeight="false" outlineLevel="0" collapsed="false">
      <c r="A55" s="0" t="s">
        <v>18</v>
      </c>
      <c r="B55" s="1" t="n">
        <v>0</v>
      </c>
      <c r="C55" s="11" t="n">
        <v>3.0525</v>
      </c>
      <c r="D55" s="11" t="n">
        <f aca="false">D54</f>
        <v>2.12</v>
      </c>
      <c r="E55" s="2" t="n">
        <f aca="false">C55-D55</f>
        <v>0.9325</v>
      </c>
      <c r="F55" s="13" t="n">
        <f aca="false">B55*E55*10000</f>
        <v>0</v>
      </c>
      <c r="I55" s="19" t="s">
        <v>16</v>
      </c>
      <c r="J55" s="19" t="n">
        <f aca="false">J54</f>
        <v>-0.12</v>
      </c>
      <c r="K55" s="19"/>
      <c r="M55" s="13"/>
      <c r="N55" s="15" t="n">
        <v>-0.0275</v>
      </c>
      <c r="O55" s="1" t="n">
        <v>-0.0375</v>
      </c>
      <c r="P55" s="26" t="n">
        <v>-0.0725</v>
      </c>
      <c r="Q55" s="1" t="n">
        <v>-0.0675</v>
      </c>
    </row>
    <row r="56" customFormat="false" ht="12.75" hidden="false" customHeight="false" outlineLevel="0" collapsed="false">
      <c r="A56" s="0" t="s">
        <v>18</v>
      </c>
      <c r="B56" s="1" t="n">
        <v>0</v>
      </c>
      <c r="C56" s="11" t="n">
        <v>3.4</v>
      </c>
      <c r="D56" s="11" t="n">
        <f aca="false">D55</f>
        <v>2.12</v>
      </c>
      <c r="E56" s="2" t="n">
        <f aca="false">C56-D56</f>
        <v>1.28</v>
      </c>
      <c r="F56" s="13" t="n">
        <f aca="false">B56*E56*10000</f>
        <v>0</v>
      </c>
      <c r="I56" s="19" t="s">
        <v>18</v>
      </c>
      <c r="J56" s="19" t="n">
        <v>-0.16</v>
      </c>
      <c r="K56" s="19"/>
      <c r="L56" s="1" t="n">
        <v>0</v>
      </c>
      <c r="M56" s="13"/>
      <c r="N56" s="15" t="n">
        <v>-0.035</v>
      </c>
      <c r="O56" s="1" t="n">
        <v>-0.0475</v>
      </c>
      <c r="P56" s="26" t="n">
        <f aca="false">P55</f>
        <v>-0.0725</v>
      </c>
      <c r="Q56" s="1" t="n">
        <f aca="false">Q55</f>
        <v>-0.0675</v>
      </c>
    </row>
    <row r="57" customFormat="false" ht="12.75" hidden="false" customHeight="false" outlineLevel="0" collapsed="false">
      <c r="A57" s="0" t="s">
        <v>20</v>
      </c>
      <c r="B57" s="1" t="n">
        <v>0</v>
      </c>
      <c r="C57" s="11" t="n">
        <v>3.0525</v>
      </c>
      <c r="D57" s="11" t="n">
        <f aca="false">H44</f>
        <v>2.155</v>
      </c>
      <c r="E57" s="2" t="n">
        <f aca="false">C57-D57</f>
        <v>0.8975</v>
      </c>
      <c r="F57" s="13" t="n">
        <f aca="false">B57*E57*10000</f>
        <v>0</v>
      </c>
      <c r="I57" s="19" t="s">
        <v>20</v>
      </c>
      <c r="J57" s="19" t="n">
        <f aca="false">J56</f>
        <v>-0.16</v>
      </c>
      <c r="K57" s="19"/>
      <c r="L57" s="1" t="n">
        <v>0</v>
      </c>
      <c r="M57" s="13"/>
      <c r="N57" s="15" t="n">
        <v>-0.03</v>
      </c>
      <c r="O57" s="1" t="n">
        <v>-0.0425</v>
      </c>
      <c r="P57" s="26" t="n">
        <f aca="false">P56</f>
        <v>-0.0725</v>
      </c>
      <c r="Q57" s="1" t="n">
        <f aca="false">Q56</f>
        <v>-0.0675</v>
      </c>
    </row>
    <row r="58" customFormat="false" ht="12.75" hidden="false" customHeight="false" outlineLevel="0" collapsed="false">
      <c r="A58" s="0" t="s">
        <v>20</v>
      </c>
      <c r="B58" s="1" t="n">
        <v>0</v>
      </c>
      <c r="C58" s="11" t="n">
        <v>3.0425</v>
      </c>
      <c r="D58" s="11" t="n">
        <f aca="false">D57</f>
        <v>2.155</v>
      </c>
      <c r="E58" s="2" t="n">
        <f aca="false">C58-D58</f>
        <v>0.8875</v>
      </c>
      <c r="F58" s="13" t="n">
        <f aca="false">B58*E58*10000</f>
        <v>0</v>
      </c>
      <c r="I58" s="19" t="s">
        <v>36</v>
      </c>
      <c r="J58" s="19" t="n">
        <f aca="false">J57</f>
        <v>-0.16</v>
      </c>
      <c r="K58" s="19"/>
      <c r="L58" s="1" t="n">
        <v>0</v>
      </c>
      <c r="M58" s="13"/>
      <c r="N58" s="15" t="n">
        <v>-0.025</v>
      </c>
      <c r="O58" s="1" t="n">
        <v>-0.0275</v>
      </c>
      <c r="P58" s="26" t="n">
        <f aca="false">P57</f>
        <v>-0.0725</v>
      </c>
      <c r="Q58" s="1" t="n">
        <v>-0.0675</v>
      </c>
    </row>
    <row r="59" customFormat="false" ht="12.75" hidden="false" customHeight="false" outlineLevel="0" collapsed="false">
      <c r="A59" s="0" t="s">
        <v>20</v>
      </c>
      <c r="B59" s="1" t="n">
        <v>0</v>
      </c>
      <c r="C59" s="11" t="n">
        <v>2.87</v>
      </c>
      <c r="D59" s="11" t="n">
        <f aca="false">D58</f>
        <v>2.155</v>
      </c>
      <c r="E59" s="2" t="n">
        <f aca="false">C59-D59</f>
        <v>0.715</v>
      </c>
      <c r="F59" s="13" t="n">
        <f aca="false">B59*E59*10000</f>
        <v>0</v>
      </c>
      <c r="I59" s="19" t="s">
        <v>40</v>
      </c>
      <c r="J59" s="19" t="n">
        <v>-0.13</v>
      </c>
      <c r="K59" s="19"/>
      <c r="L59" s="1" t="n">
        <v>0</v>
      </c>
      <c r="M59" s="13"/>
      <c r="N59" s="15" t="n">
        <v>0.01</v>
      </c>
      <c r="P59" s="26" t="n">
        <v>-0.07</v>
      </c>
    </row>
    <row r="60" customFormat="false" ht="12.75" hidden="false" customHeight="false" outlineLevel="0" collapsed="false">
      <c r="A60" s="0" t="s">
        <v>20</v>
      </c>
      <c r="B60" s="1" t="n">
        <v>0</v>
      </c>
      <c r="C60" s="11" t="n">
        <v>2.99</v>
      </c>
      <c r="D60" s="11" t="n">
        <f aca="false">D59</f>
        <v>2.155</v>
      </c>
      <c r="E60" s="2" t="n">
        <f aca="false">C60-D60</f>
        <v>0.835</v>
      </c>
      <c r="F60" s="13" t="n">
        <f aca="false">B60*E60*10000</f>
        <v>0</v>
      </c>
      <c r="I60" s="19" t="s">
        <v>41</v>
      </c>
      <c r="J60" s="19" t="n">
        <v>-0.13</v>
      </c>
      <c r="K60" s="19"/>
      <c r="L60" s="1" t="n">
        <v>0</v>
      </c>
      <c r="M60" s="13"/>
      <c r="N60" s="15" t="n">
        <v>0.015</v>
      </c>
      <c r="P60" s="26" t="n">
        <v>-0.075</v>
      </c>
    </row>
    <row r="61" customFormat="false" ht="12.75" hidden="false" customHeight="false" outlineLevel="0" collapsed="false">
      <c r="A61" s="0" t="s">
        <v>20</v>
      </c>
      <c r="B61" s="1" t="n">
        <v>0</v>
      </c>
      <c r="C61" s="11" t="n">
        <v>3.59</v>
      </c>
      <c r="D61" s="11" t="n">
        <f aca="false">D60</f>
        <v>2.155</v>
      </c>
      <c r="E61" s="2" t="n">
        <f aca="false">C61-D61</f>
        <v>1.435</v>
      </c>
      <c r="F61" s="13" t="n">
        <f aca="false">B61*E61*10000</f>
        <v>0</v>
      </c>
      <c r="I61" s="19" t="s">
        <v>42</v>
      </c>
      <c r="J61" s="19" t="n">
        <v>-0.13</v>
      </c>
      <c r="K61" s="19"/>
      <c r="L61" s="1" t="n">
        <v>0</v>
      </c>
      <c r="M61" s="13"/>
      <c r="N61" s="15" t="n">
        <v>0.035</v>
      </c>
      <c r="O61" s="15" t="n">
        <f aca="false">AVERAGE(N59:N61)</f>
        <v>0.02</v>
      </c>
      <c r="P61" s="26" t="n">
        <v>-0.085</v>
      </c>
    </row>
    <row r="62" customFormat="false" ht="12.75" hidden="false" customHeight="false" outlineLevel="0" collapsed="false">
      <c r="A62" s="0" t="s">
        <v>20</v>
      </c>
      <c r="B62" s="1" t="n">
        <v>0</v>
      </c>
      <c r="C62" s="11" t="n">
        <v>3.94</v>
      </c>
      <c r="D62" s="11" t="n">
        <f aca="false">D61</f>
        <v>2.155</v>
      </c>
      <c r="E62" s="2" t="n">
        <f aca="false">C62-D62</f>
        <v>1.785</v>
      </c>
      <c r="F62" s="13" t="n">
        <f aca="false">B62*E62*10000</f>
        <v>0</v>
      </c>
      <c r="I62" s="19" t="s">
        <v>43</v>
      </c>
      <c r="J62" s="19" t="n">
        <v>-0.13</v>
      </c>
      <c r="K62" s="19"/>
      <c r="L62" s="1" t="n">
        <v>0</v>
      </c>
      <c r="M62" s="13"/>
      <c r="N62" s="15" t="n">
        <v>0.0475</v>
      </c>
      <c r="P62" s="26" t="n">
        <v>-0.09</v>
      </c>
    </row>
    <row r="63" customFormat="false" ht="12.75" hidden="false" customHeight="false" outlineLevel="0" collapsed="false">
      <c r="A63" s="0" t="s">
        <v>20</v>
      </c>
      <c r="B63" s="1" t="n">
        <v>0</v>
      </c>
      <c r="C63" s="11" t="n">
        <v>4.16</v>
      </c>
      <c r="D63" s="11" t="n">
        <f aca="false">D62</f>
        <v>2.155</v>
      </c>
      <c r="E63" s="2" t="n">
        <f aca="false">C63-D63</f>
        <v>2.005</v>
      </c>
      <c r="F63" s="13" t="n">
        <f aca="false">B63*E63*10000</f>
        <v>0</v>
      </c>
      <c r="I63" s="19" t="s">
        <v>44</v>
      </c>
      <c r="J63" s="19" t="n">
        <v>-0.13</v>
      </c>
      <c r="K63" s="19"/>
      <c r="L63" s="1" t="n">
        <v>0</v>
      </c>
      <c r="M63" s="13"/>
      <c r="N63" s="15" t="n">
        <v>0.05</v>
      </c>
      <c r="P63" s="26" t="n">
        <f aca="false">P62</f>
        <v>-0.09</v>
      </c>
    </row>
    <row r="64" customFormat="false" ht="12.75" hidden="false" customHeight="false" outlineLevel="0" collapsed="false">
      <c r="A64" s="0" t="s">
        <v>20</v>
      </c>
      <c r="B64" s="1" t="n">
        <v>0</v>
      </c>
      <c r="C64" s="11" t="n">
        <v>3.92</v>
      </c>
      <c r="D64" s="11" t="n">
        <f aca="false">D63</f>
        <v>2.155</v>
      </c>
      <c r="E64" s="2" t="n">
        <f aca="false">C64-D64</f>
        <v>1.765</v>
      </c>
      <c r="F64" s="13" t="n">
        <f aca="false">B64*E64*10000</f>
        <v>0</v>
      </c>
      <c r="I64" s="19" t="s">
        <v>45</v>
      </c>
      <c r="J64" s="19" t="n">
        <v>-0.13</v>
      </c>
      <c r="K64" s="19"/>
      <c r="L64" s="1" t="n">
        <v>0</v>
      </c>
      <c r="M64" s="13"/>
      <c r="N64" s="15" t="n">
        <v>0.045</v>
      </c>
      <c r="O64" s="15" t="n">
        <f aca="false">AVERAGE(N62:N64)</f>
        <v>0.0475</v>
      </c>
      <c r="P64" s="26" t="n">
        <f aca="false">P63</f>
        <v>-0.09</v>
      </c>
    </row>
    <row r="65" customFormat="false" ht="12.75" hidden="false" customHeight="false" outlineLevel="0" collapsed="false">
      <c r="A65" s="0" t="s">
        <v>20</v>
      </c>
      <c r="B65" s="1" t="n">
        <v>0</v>
      </c>
      <c r="C65" s="11" t="n">
        <v>3.93</v>
      </c>
      <c r="D65" s="11" t="n">
        <f aca="false">D64</f>
        <v>2.155</v>
      </c>
      <c r="E65" s="2" t="n">
        <f aca="false">C65-D65</f>
        <v>1.775</v>
      </c>
      <c r="F65" s="13" t="n">
        <f aca="false">B65*E65*10000</f>
        <v>0</v>
      </c>
      <c r="I65" s="19" t="s">
        <v>46</v>
      </c>
      <c r="J65" s="19" t="n">
        <v>-0.13</v>
      </c>
      <c r="K65" s="19"/>
      <c r="L65" s="1" t="n">
        <v>0</v>
      </c>
      <c r="M65" s="13"/>
      <c r="N65" s="15" t="n">
        <v>0.01</v>
      </c>
      <c r="P65" s="26" t="n">
        <v>-0.08</v>
      </c>
    </row>
    <row r="66" customFormat="false" ht="12.75" hidden="false" customHeight="false" outlineLevel="0" collapsed="false">
      <c r="A66" s="0" t="s">
        <v>20</v>
      </c>
      <c r="B66" s="1" t="n">
        <v>0</v>
      </c>
      <c r="C66" s="11" t="n">
        <v>3.94</v>
      </c>
      <c r="D66" s="11" t="n">
        <f aca="false">D65</f>
        <v>2.155</v>
      </c>
      <c r="E66" s="2" t="n">
        <f aca="false">C66-D66</f>
        <v>1.785</v>
      </c>
      <c r="F66" s="13" t="n">
        <f aca="false">B66*E66*10000</f>
        <v>0</v>
      </c>
      <c r="I66" s="19"/>
      <c r="J66" s="19"/>
      <c r="K66" s="19"/>
      <c r="M66" s="13"/>
    </row>
    <row r="67" customFormat="false" ht="12.75" hidden="false" customHeight="false" outlineLevel="0" collapsed="false">
      <c r="A67" s="0" t="s">
        <v>20</v>
      </c>
      <c r="B67" s="1" t="n">
        <v>0</v>
      </c>
      <c r="C67" s="11" t="n">
        <v>4.78</v>
      </c>
      <c r="D67" s="11" t="n">
        <f aca="false">D66</f>
        <v>2.155</v>
      </c>
      <c r="E67" s="2" t="n">
        <f aca="false">C67-D67</f>
        <v>2.625</v>
      </c>
      <c r="F67" s="13" t="n">
        <f aca="false">B67*E67*10000</f>
        <v>0</v>
      </c>
      <c r="I67" s="19" t="s">
        <v>47</v>
      </c>
      <c r="J67" s="19" t="n">
        <f aca="false">AVERAGE(J61:J65)</f>
        <v>-0.13</v>
      </c>
      <c r="K67" s="19"/>
      <c r="L67" s="19" t="n">
        <f aca="false">AVERAGE(L61:L65)</f>
        <v>0</v>
      </c>
      <c r="M67" s="13"/>
      <c r="N67" s="19" t="n">
        <f aca="false">AVERAGE(N59:N65)</f>
        <v>0.0303571428571429</v>
      </c>
      <c r="P67" s="19" t="n">
        <f aca="false">AVERAGE(P59:P65)</f>
        <v>-0.0828571428571429</v>
      </c>
    </row>
    <row r="68" customFormat="false" ht="12.75" hidden="false" customHeight="false" outlineLevel="0" collapsed="false">
      <c r="A68" s="0" t="s">
        <v>20</v>
      </c>
      <c r="B68" s="1" t="n">
        <v>0</v>
      </c>
      <c r="C68" s="11"/>
      <c r="D68" s="11" t="n">
        <f aca="false">D67</f>
        <v>2.155</v>
      </c>
      <c r="E68" s="2" t="n">
        <f aca="false">C68-D68</f>
        <v>-2.155</v>
      </c>
      <c r="F68" s="13" t="n">
        <f aca="false">B68*E68*10000</f>
        <v>-0</v>
      </c>
      <c r="I68" s="19" t="s">
        <v>48</v>
      </c>
      <c r="J68" s="19"/>
      <c r="K68" s="19"/>
      <c r="M68" s="13"/>
      <c r="N68" s="19" t="n">
        <f aca="false">AVERAGE(N55:N58)</f>
        <v>-0.029375</v>
      </c>
      <c r="O68" s="19" t="n">
        <f aca="false">AVERAGE(O54:O58)</f>
        <v>-0.0325</v>
      </c>
      <c r="P68" s="19" t="n">
        <f aca="false">AVERAGE(P54:P58)</f>
        <v>-0.073</v>
      </c>
      <c r="Q68" s="19" t="n">
        <f aca="false">AVERAGE(Q54:Q58)</f>
        <v>-0.071</v>
      </c>
    </row>
    <row r="69" customFormat="false" ht="12.75" hidden="false" customHeight="false" outlineLevel="0" collapsed="false">
      <c r="A69" s="0" t="s">
        <v>21</v>
      </c>
      <c r="B69" s="1" t="n">
        <v>0</v>
      </c>
      <c r="C69" s="11" t="n">
        <v>3.0475</v>
      </c>
      <c r="D69" s="11" t="n">
        <f aca="false">H45</f>
        <v>2.22</v>
      </c>
      <c r="E69" s="2" t="n">
        <f aca="false">C69-D69</f>
        <v>0.8275</v>
      </c>
      <c r="F69" s="13" t="n">
        <f aca="false">B69*E69*10000</f>
        <v>0</v>
      </c>
      <c r="H69" s="1" t="n">
        <v>3.505</v>
      </c>
      <c r="I69" s="19" t="s">
        <v>49</v>
      </c>
      <c r="J69" s="19" t="n">
        <f aca="false">AVERAGE(J54:J65)</f>
        <v>-0.135833333333333</v>
      </c>
      <c r="K69" s="19"/>
      <c r="M69" s="13"/>
      <c r="N69" s="19" t="n">
        <f aca="false">AVERAGE(N54:N65)</f>
        <v>0.00729166666666667</v>
      </c>
      <c r="P69" s="19" t="n">
        <f aca="false">AVERAGE(P54:P65)</f>
        <v>-0.07875</v>
      </c>
    </row>
    <row r="70" customFormat="false" ht="12.75" hidden="false" customHeight="false" outlineLevel="0" collapsed="false">
      <c r="A70" s="0" t="s">
        <v>21</v>
      </c>
      <c r="B70" s="1" t="n">
        <v>0</v>
      </c>
      <c r="C70" s="11" t="n">
        <v>3.0375</v>
      </c>
      <c r="D70" s="11" t="n">
        <f aca="false">D69</f>
        <v>2.22</v>
      </c>
      <c r="E70" s="2" t="n">
        <f aca="false">C70-D70</f>
        <v>0.8175</v>
      </c>
      <c r="F70" s="13" t="n">
        <f aca="false">B70*E70*10000</f>
        <v>0</v>
      </c>
      <c r="I70" s="19"/>
      <c r="J70" s="19"/>
      <c r="K70" s="19"/>
      <c r="M70" s="13"/>
      <c r="N70" s="19"/>
      <c r="P70" s="19"/>
    </row>
    <row r="71" customFormat="false" ht="12.75" hidden="false" customHeight="false" outlineLevel="0" collapsed="false">
      <c r="A71" s="0" t="s">
        <v>21</v>
      </c>
      <c r="B71" s="1" t="n">
        <v>0</v>
      </c>
      <c r="C71" s="11" t="n">
        <v>3.03</v>
      </c>
      <c r="D71" s="11" t="n">
        <f aca="false">D70</f>
        <v>2.22</v>
      </c>
      <c r="E71" s="2" t="n">
        <f aca="false">C71-D71</f>
        <v>0.81</v>
      </c>
      <c r="F71" s="13" t="n">
        <f aca="false">B71*E71*10000</f>
        <v>0</v>
      </c>
      <c r="I71" s="19"/>
      <c r="J71" s="19"/>
      <c r="K71" s="19"/>
      <c r="M71" s="13"/>
      <c r="N71" s="19"/>
      <c r="P71" s="19"/>
    </row>
    <row r="72" customFormat="false" ht="12.75" hidden="false" customHeight="false" outlineLevel="0" collapsed="false">
      <c r="A72" s="0" t="s">
        <v>21</v>
      </c>
      <c r="B72" s="1" t="n">
        <v>0</v>
      </c>
      <c r="C72" s="11" t="n">
        <v>3.04</v>
      </c>
      <c r="D72" s="11" t="n">
        <f aca="false">D71</f>
        <v>2.22</v>
      </c>
      <c r="E72" s="2" t="n">
        <f aca="false">C72-D72</f>
        <v>0.82</v>
      </c>
      <c r="F72" s="13" t="n">
        <f aca="false">B72*E72*10000</f>
        <v>0</v>
      </c>
      <c r="H72" s="1" t="n">
        <v>3.475</v>
      </c>
      <c r="I72" s="19"/>
      <c r="J72" s="19"/>
      <c r="K72" s="19"/>
      <c r="M72" s="13"/>
    </row>
    <row r="73" customFormat="false" ht="12.75" hidden="false" customHeight="false" outlineLevel="0" collapsed="false">
      <c r="A73" s="0" t="s">
        <v>50</v>
      </c>
      <c r="B73" s="1" t="n">
        <v>0</v>
      </c>
      <c r="C73" s="11" t="n">
        <v>2.95</v>
      </c>
      <c r="D73" s="11" t="n">
        <f aca="false">AVERAGE([1]Sheet1!$I$4:$O$4)</f>
        <v>2.51285714285714</v>
      </c>
      <c r="E73" s="2" t="n">
        <f aca="false">C73-D73</f>
        <v>0.437142857142857</v>
      </c>
      <c r="F73" s="13" t="n">
        <f aca="false">B73*E73*10000</f>
        <v>0</v>
      </c>
      <c r="H73" s="1" t="n">
        <v>3.405</v>
      </c>
      <c r="I73" s="19"/>
      <c r="J73" s="19"/>
      <c r="K73" s="19"/>
      <c r="M73" s="13"/>
    </row>
    <row r="74" customFormat="false" ht="12.75" hidden="false" customHeight="false" outlineLevel="0" collapsed="false">
      <c r="A74" s="0" t="s">
        <v>50</v>
      </c>
      <c r="B74" s="1" t="n">
        <v>0</v>
      </c>
      <c r="C74" s="11" t="n">
        <v>3.04</v>
      </c>
      <c r="D74" s="11" t="n">
        <f aca="false">D73</f>
        <v>2.51285714285714</v>
      </c>
      <c r="E74" s="2" t="n">
        <f aca="false">C74-D74</f>
        <v>0.527142857142857</v>
      </c>
      <c r="F74" s="13" t="n">
        <f aca="false">B74*E74*10000</f>
        <v>0</v>
      </c>
      <c r="H74" s="1" t="n">
        <f aca="false">AVERAGE(H69:H73)</f>
        <v>3.46166666666667</v>
      </c>
      <c r="I74" s="19"/>
      <c r="J74" s="19"/>
      <c r="K74" s="19"/>
      <c r="M74" s="13"/>
      <c r="N74" s="15" t="n">
        <f aca="false">AVERAGE(N61:N65)</f>
        <v>0.0375</v>
      </c>
    </row>
    <row r="75" customFormat="false" ht="12.75" hidden="false" customHeight="false" outlineLevel="0" collapsed="false">
      <c r="A75" s="0" t="s">
        <v>51</v>
      </c>
      <c r="B75" s="1" t="n">
        <v>0</v>
      </c>
      <c r="C75" s="11" t="n">
        <v>3.345</v>
      </c>
      <c r="D75" s="11" t="n">
        <f aca="false">AVERAGE([1]Sheet1!$P$4:$Q$4)</f>
        <v>3.045</v>
      </c>
      <c r="E75" s="2" t="n">
        <f aca="false">C75-D75</f>
        <v>0.3</v>
      </c>
      <c r="F75" s="13" t="n">
        <f aca="false">B75*E75*10000</f>
        <v>0</v>
      </c>
      <c r="I75" s="19"/>
      <c r="J75" s="19"/>
      <c r="K75" s="19"/>
      <c r="M75" s="13"/>
      <c r="N75" s="15" t="n">
        <f aca="false">AVERAGE(N62:N64)</f>
        <v>0.0475</v>
      </c>
    </row>
    <row r="76" customFormat="false" ht="12.75" hidden="false" customHeight="false" outlineLevel="0" collapsed="false">
      <c r="A76" s="0" t="s">
        <v>51</v>
      </c>
      <c r="B76" s="1" t="n">
        <v>0</v>
      </c>
      <c r="C76" s="11" t="n">
        <v>3.04</v>
      </c>
      <c r="D76" s="11" t="n">
        <f aca="false">D75</f>
        <v>3.045</v>
      </c>
      <c r="E76" s="2" t="n">
        <f aca="false">C76-D76</f>
        <v>-0.00499999999999989</v>
      </c>
      <c r="F76" s="13" t="n">
        <f aca="false">B76*E76*10000</f>
        <v>-0</v>
      </c>
      <c r="I76" s="19"/>
      <c r="J76" s="19"/>
      <c r="K76" s="19"/>
      <c r="M76" s="13"/>
    </row>
    <row r="77" customFormat="false" ht="12.75" hidden="false" customHeight="false" outlineLevel="0" collapsed="false">
      <c r="A77" s="0" t="s">
        <v>52</v>
      </c>
      <c r="B77" s="1" t="n">
        <v>0</v>
      </c>
      <c r="C77" s="11" t="n">
        <v>3.95</v>
      </c>
      <c r="D77" s="11" t="n">
        <f aca="false">D76+0.1</f>
        <v>3.145</v>
      </c>
      <c r="E77" s="2" t="n">
        <f aca="false">C77-D77</f>
        <v>0.805</v>
      </c>
      <c r="F77" s="13" t="n">
        <f aca="false">B77*E77*10000</f>
        <v>0</v>
      </c>
      <c r="I77" s="19"/>
      <c r="J77" s="19"/>
      <c r="K77" s="19"/>
      <c r="M77" s="13"/>
    </row>
    <row r="78" customFormat="false" ht="38.25" hidden="false" customHeight="true" outlineLevel="0" collapsed="false">
      <c r="A78" s="0"/>
      <c r="B78" s="1" t="s">
        <v>2</v>
      </c>
      <c r="C78" s="11"/>
      <c r="D78" s="11"/>
      <c r="I78" s="19"/>
      <c r="J78" s="19"/>
      <c r="K78" s="19"/>
      <c r="M78" s="13"/>
    </row>
    <row r="79" customFormat="false" ht="12.75" hidden="false" customHeight="false" outlineLevel="0" collapsed="false">
      <c r="A79" s="0" t="s">
        <v>32</v>
      </c>
      <c r="B79" s="1" t="n">
        <v>0</v>
      </c>
      <c r="C79" s="11" t="n">
        <v>1.97</v>
      </c>
      <c r="D79" s="11" t="n">
        <f aca="false">D33</f>
        <v>1.7</v>
      </c>
      <c r="E79" s="11" t="n">
        <f aca="false">D79-C79</f>
        <v>-0.27</v>
      </c>
      <c r="F79" s="13" t="n">
        <f aca="false">B79*E79*10000</f>
        <v>-0</v>
      </c>
      <c r="I79" s="19"/>
      <c r="J79" s="19"/>
      <c r="K79" s="19"/>
      <c r="M79" s="13"/>
    </row>
    <row r="80" customFormat="false" ht="12.75" hidden="false" customHeight="false" outlineLevel="0" collapsed="false">
      <c r="A80" s="0" t="s">
        <v>53</v>
      </c>
      <c r="B80" s="1" t="n">
        <v>0</v>
      </c>
      <c r="C80" s="11" t="n">
        <v>3.79</v>
      </c>
      <c r="D80" s="11" t="n">
        <f aca="false">D26-0.12</f>
        <v>1.83</v>
      </c>
      <c r="E80" s="11" t="n">
        <f aca="false">D80-C80</f>
        <v>-1.96</v>
      </c>
      <c r="F80" s="13" t="n">
        <f aca="false">B80*E80*10000</f>
        <v>-0</v>
      </c>
      <c r="I80" s="19"/>
      <c r="J80" s="19"/>
      <c r="K80" s="19"/>
      <c r="M80" s="13"/>
    </row>
    <row r="81" customFormat="false" ht="12.75" hidden="false" customHeight="false" outlineLevel="0" collapsed="false">
      <c r="A81" s="0" t="s">
        <v>54</v>
      </c>
      <c r="B81" s="1" t="n">
        <v>-48</v>
      </c>
      <c r="C81" s="11" t="n">
        <v>2.63</v>
      </c>
      <c r="D81" s="11" t="n">
        <f aca="false">D13</f>
        <v>1.95</v>
      </c>
      <c r="E81" s="11" t="n">
        <f aca="false">D81-C81</f>
        <v>-0.68</v>
      </c>
      <c r="F81" s="13" t="n">
        <f aca="false">B81*E81*10000</f>
        <v>326400</v>
      </c>
      <c r="I81" s="19"/>
      <c r="J81" s="19"/>
      <c r="K81" s="19" t="n">
        <f aca="false">C97-AVERAGE(C90:C92,C95)</f>
        <v>0.1695</v>
      </c>
      <c r="L81" s="1" t="s">
        <v>55</v>
      </c>
      <c r="M81" s="13"/>
    </row>
    <row r="82" customFormat="false" ht="12.75" hidden="false" customHeight="false" outlineLevel="0" collapsed="false">
      <c r="A82" s="0" t="s">
        <v>35</v>
      </c>
      <c r="B82" s="1" t="n">
        <v>0</v>
      </c>
      <c r="C82" s="11" t="n">
        <v>2.05</v>
      </c>
      <c r="D82" s="11" t="n">
        <f aca="false">D40</f>
        <v>1.69</v>
      </c>
      <c r="E82" s="11" t="n">
        <f aca="false">D82-C82</f>
        <v>-0.36</v>
      </c>
      <c r="F82" s="13" t="n">
        <f aca="false">B82*E82*10000</f>
        <v>-0</v>
      </c>
      <c r="I82" s="19"/>
      <c r="J82" s="19"/>
      <c r="K82" s="19" t="n">
        <f aca="false">D97-AVERAGE(D90:D92,D95)</f>
        <v>0.359107142857143</v>
      </c>
      <c r="L82" s="1" t="s">
        <v>56</v>
      </c>
      <c r="M82" s="13"/>
    </row>
    <row r="83" customFormat="false" ht="12.75" hidden="false" customHeight="false" outlineLevel="0" collapsed="false">
      <c r="A83" s="0" t="s">
        <v>57</v>
      </c>
      <c r="B83" s="1" t="n">
        <v>-118</v>
      </c>
      <c r="C83" s="11" t="n">
        <v>2.63</v>
      </c>
      <c r="D83" s="11" t="n">
        <f aca="false">D14</f>
        <v>1.95</v>
      </c>
      <c r="E83" s="11" t="n">
        <f aca="false">D83-C83</f>
        <v>-0.68</v>
      </c>
      <c r="F83" s="13" t="n">
        <f aca="false">B83*E83*10000</f>
        <v>802400</v>
      </c>
      <c r="I83" s="19"/>
      <c r="J83" s="19"/>
      <c r="K83" s="19"/>
      <c r="M83" s="13"/>
    </row>
    <row r="84" customFormat="false" ht="12.75" hidden="false" customHeight="false" outlineLevel="0" collapsed="false">
      <c r="A84" s="0" t="s">
        <v>33</v>
      </c>
      <c r="B84" s="1" t="n">
        <v>0</v>
      </c>
      <c r="C84" s="11" t="n">
        <v>2.05</v>
      </c>
      <c r="D84" s="11" t="n">
        <f aca="false">D35</f>
        <v>1.9</v>
      </c>
      <c r="E84" s="11" t="n">
        <f aca="false">D84-C84</f>
        <v>-0.15</v>
      </c>
      <c r="F84" s="13" t="n">
        <f aca="false">B84*E84*10000</f>
        <v>-0</v>
      </c>
      <c r="G84" s="1" t="n">
        <f aca="false">SUM(B79:B84)</f>
        <v>-166</v>
      </c>
      <c r="H84" s="27" t="n">
        <f aca="false">SUM(F79:F84)</f>
        <v>1128800</v>
      </c>
      <c r="I84" s="19"/>
      <c r="J84" s="19"/>
      <c r="M84" s="11"/>
    </row>
    <row r="85" customFormat="false" ht="12.75" hidden="false" customHeight="false" outlineLevel="0" collapsed="false">
      <c r="A85" s="0" t="s">
        <v>34</v>
      </c>
      <c r="B85" s="1" t="n">
        <v>0</v>
      </c>
      <c r="C85" s="11" t="n">
        <f aca="false">C83-0.07</f>
        <v>2.56</v>
      </c>
      <c r="D85" s="11" t="n">
        <f aca="false">D36</f>
        <v>1.86</v>
      </c>
      <c r="E85" s="11" t="n">
        <f aca="false">D85-C85</f>
        <v>-0.7</v>
      </c>
      <c r="F85" s="13" t="n">
        <f aca="false">B85*E85*10000</f>
        <v>-0</v>
      </c>
      <c r="I85" s="19"/>
      <c r="J85" s="19"/>
      <c r="K85" s="28" t="n">
        <f aca="false">C95-C91</f>
        <v>0.0580000000000003</v>
      </c>
      <c r="L85" s="1" t="s">
        <v>58</v>
      </c>
      <c r="M85" s="11"/>
    </row>
    <row r="86" customFormat="false" ht="12.75" hidden="false" customHeight="false" outlineLevel="0" collapsed="false">
      <c r="A86" s="0" t="s">
        <v>59</v>
      </c>
      <c r="B86" s="1" t="n">
        <v>0</v>
      </c>
      <c r="C86" s="11" t="n">
        <f aca="false">C84</f>
        <v>2.05</v>
      </c>
      <c r="D86" s="11" t="n">
        <f aca="false">D84</f>
        <v>1.9</v>
      </c>
      <c r="E86" s="11" t="n">
        <f aca="false">D86-C86</f>
        <v>-0.15</v>
      </c>
      <c r="F86" s="13" t="n">
        <f aca="false">B86*E86*10000</f>
        <v>-0</v>
      </c>
      <c r="I86" s="19"/>
      <c r="J86" s="19"/>
      <c r="K86" s="28" t="n">
        <f aca="false">D95-D91</f>
        <v>0.1</v>
      </c>
      <c r="L86" s="1" t="s">
        <v>60</v>
      </c>
      <c r="M86" s="11"/>
    </row>
    <row r="87" customFormat="false" ht="12.75" hidden="false" customHeight="false" outlineLevel="0" collapsed="false">
      <c r="A87" s="0" t="s">
        <v>61</v>
      </c>
      <c r="B87" s="1" t="n">
        <v>0</v>
      </c>
      <c r="C87" s="11" t="n">
        <f aca="false">C80</f>
        <v>3.79</v>
      </c>
      <c r="D87" s="11" t="n">
        <f aca="false">D80</f>
        <v>1.83</v>
      </c>
      <c r="E87" s="11" t="n">
        <f aca="false">D87-C87</f>
        <v>-1.96</v>
      </c>
      <c r="F87" s="13" t="n">
        <f aca="false">B87*E87*10000</f>
        <v>-0</v>
      </c>
      <c r="I87" s="19"/>
      <c r="J87" s="19"/>
      <c r="M87" s="11"/>
    </row>
    <row r="88" customFormat="false" ht="12.75" hidden="false" customHeight="false" outlineLevel="0" collapsed="false">
      <c r="A88" s="0" t="s">
        <v>62</v>
      </c>
      <c r="B88" s="1" t="n">
        <v>0</v>
      </c>
      <c r="C88" s="11" t="n">
        <f aca="false">C79</f>
        <v>1.97</v>
      </c>
      <c r="D88" s="11" t="n">
        <f aca="false">D79</f>
        <v>1.7</v>
      </c>
      <c r="E88" s="11" t="n">
        <f aca="false">D88-C88</f>
        <v>-0.27</v>
      </c>
      <c r="F88" s="13" t="n">
        <f aca="false">B88*E88*10000</f>
        <v>-0</v>
      </c>
      <c r="G88" s="1" t="n">
        <f aca="false">SUM(B85:B88)</f>
        <v>0</v>
      </c>
      <c r="H88" s="27" t="n">
        <f aca="false">SUM(F85:F88)</f>
        <v>0</v>
      </c>
      <c r="I88" s="19"/>
      <c r="J88" s="19"/>
      <c r="K88" s="28" t="n">
        <f aca="false">C97-(AVERAGE(C91:C92,C95))</f>
        <v>0.11</v>
      </c>
      <c r="L88" s="1" t="s">
        <v>63</v>
      </c>
      <c r="M88" s="11"/>
    </row>
    <row r="89" customFormat="false" ht="12.75" hidden="false" customHeight="false" outlineLevel="0" collapsed="false">
      <c r="A89" s="0" t="s">
        <v>64</v>
      </c>
      <c r="B89" s="1" t="n">
        <v>0</v>
      </c>
      <c r="C89" s="11" t="n">
        <v>14.14</v>
      </c>
      <c r="D89" s="11" t="n">
        <v>14</v>
      </c>
      <c r="E89" s="11" t="n">
        <f aca="false">D89-C89</f>
        <v>-0.140000000000001</v>
      </c>
      <c r="F89" s="13" t="n">
        <f aca="false">B89*E89*10000</f>
        <v>-0</v>
      </c>
      <c r="H89" s="1" t="s">
        <v>65</v>
      </c>
      <c r="I89" s="19" t="n">
        <f aca="false">C81-C90</f>
        <v>0.024</v>
      </c>
      <c r="J89" s="19"/>
      <c r="K89" s="28" t="n">
        <f aca="false">D97-(AVERAGE(D91:D92,D95))</f>
        <v>0.347857142857142</v>
      </c>
      <c r="L89" s="1" t="s">
        <v>66</v>
      </c>
      <c r="M89" s="11"/>
    </row>
    <row r="90" customFormat="false" ht="12.75" hidden="false" customHeight="false" outlineLevel="0" collapsed="false">
      <c r="A90" s="0" t="s">
        <v>16</v>
      </c>
      <c r="B90" s="1" t="n">
        <v>0</v>
      </c>
      <c r="C90" s="11" t="n">
        <v>2.606</v>
      </c>
      <c r="D90" s="11" t="n">
        <f aca="false">D41</f>
        <v>2.12</v>
      </c>
      <c r="E90" s="11" t="n">
        <f aca="false">D90-C90</f>
        <v>-0.486</v>
      </c>
      <c r="F90" s="13" t="n">
        <f aca="false">B90*E90*10000</f>
        <v>-0</v>
      </c>
      <c r="H90" s="1" t="s">
        <v>67</v>
      </c>
      <c r="I90" s="19" t="n">
        <f aca="false">D81-D90</f>
        <v>-0.17</v>
      </c>
      <c r="J90" s="19"/>
      <c r="M90" s="11"/>
    </row>
    <row r="91" customFormat="false" ht="12.75" hidden="false" customHeight="false" outlineLevel="0" collapsed="false">
      <c r="A91" s="0" t="s">
        <v>18</v>
      </c>
      <c r="B91" s="1" t="n">
        <v>-27</v>
      </c>
      <c r="C91" s="11" t="n">
        <v>2.803</v>
      </c>
      <c r="D91" s="11" t="n">
        <f aca="false">D51</f>
        <v>2.12</v>
      </c>
      <c r="E91" s="11" t="n">
        <f aca="false">D91-C91</f>
        <v>-0.683</v>
      </c>
      <c r="F91" s="13" t="n">
        <f aca="false">B91*E91*10000</f>
        <v>184410</v>
      </c>
      <c r="H91" s="1" t="s">
        <v>68</v>
      </c>
      <c r="I91" s="19" t="n">
        <f aca="false">C97</f>
        <v>2.954</v>
      </c>
      <c r="J91" s="19"/>
      <c r="M91" s="11"/>
    </row>
    <row r="92" customFormat="false" ht="12.75" hidden="false" customHeight="false" outlineLevel="0" collapsed="false">
      <c r="A92" s="0" t="s">
        <v>20</v>
      </c>
      <c r="B92" s="1" t="n">
        <v>-61</v>
      </c>
      <c r="C92" s="11" t="n">
        <v>2.868</v>
      </c>
      <c r="D92" s="11" t="n">
        <f aca="false">D57</f>
        <v>2.155</v>
      </c>
      <c r="E92" s="11" t="n">
        <f aca="false">D92-C92</f>
        <v>-0.713</v>
      </c>
      <c r="F92" s="13" t="n">
        <f aca="false">B92*E92*10000</f>
        <v>434930</v>
      </c>
      <c r="H92" s="1" t="s">
        <v>69</v>
      </c>
      <c r="I92" s="19" t="n">
        <f aca="false">D97</f>
        <v>2.51285714285714</v>
      </c>
      <c r="J92" s="19" t="n">
        <f aca="false">C96</f>
        <v>3.243</v>
      </c>
      <c r="M92" s="11"/>
    </row>
    <row r="93" customFormat="false" ht="12.75" hidden="false" customHeight="false" outlineLevel="0" collapsed="false">
      <c r="A93" s="0"/>
      <c r="B93" s="1" t="n">
        <v>0</v>
      </c>
      <c r="C93" s="11" t="n">
        <v>0</v>
      </c>
      <c r="D93" s="11" t="n">
        <f aca="false">D61</f>
        <v>2.155</v>
      </c>
      <c r="E93" s="11" t="n">
        <f aca="false">D93-C93</f>
        <v>2.155</v>
      </c>
      <c r="F93" s="13" t="n">
        <f aca="false">B93*E93*10000</f>
        <v>0</v>
      </c>
      <c r="G93" s="28" t="n">
        <f aca="false">AVERAGE(D91:D92,D95:D96)</f>
        <v>2.17875</v>
      </c>
      <c r="H93" s="1" t="s">
        <v>70</v>
      </c>
      <c r="I93" s="19" t="n">
        <f aca="false">((C97*7)+(C98*2))/9</f>
        <v>3.02888888888889</v>
      </c>
      <c r="J93" s="19" t="n">
        <f aca="false">AVERAGE(C91:C92,C95)</f>
        <v>2.844</v>
      </c>
      <c r="K93" s="1" t="s">
        <v>71</v>
      </c>
      <c r="M93" s="11"/>
    </row>
    <row r="94" customFormat="false" ht="12.75" hidden="false" customHeight="false" outlineLevel="0" collapsed="false">
      <c r="A94" s="29"/>
      <c r="B94" s="1" t="n">
        <v>0</v>
      </c>
      <c r="C94" s="11" t="n">
        <v>3.066</v>
      </c>
      <c r="D94" s="11" t="n">
        <f aca="false">D65</f>
        <v>2.155</v>
      </c>
      <c r="E94" s="11" t="n">
        <f aca="false">D94-C94</f>
        <v>-0.911</v>
      </c>
      <c r="F94" s="13" t="n">
        <f aca="false">B94*E94*10000</f>
        <v>-0</v>
      </c>
      <c r="H94" s="1" t="s">
        <v>72</v>
      </c>
      <c r="I94" s="19" t="n">
        <f aca="false">((J93*3)+(I93*9))/12</f>
        <v>2.98266666666667</v>
      </c>
      <c r="J94" s="19"/>
    </row>
    <row r="95" customFormat="false" ht="12.75" hidden="false" customHeight="false" outlineLevel="0" collapsed="false">
      <c r="A95" s="29" t="s">
        <v>21</v>
      </c>
      <c r="B95" s="1" t="n">
        <v>-63</v>
      </c>
      <c r="C95" s="11" t="n">
        <v>2.861</v>
      </c>
      <c r="D95" s="11" t="n">
        <f aca="false">D69</f>
        <v>2.22</v>
      </c>
      <c r="E95" s="11" t="n">
        <f aca="false">D95-C95</f>
        <v>-0.641</v>
      </c>
      <c r="F95" s="13" t="n">
        <f aca="false">B95*E95*10000</f>
        <v>403830</v>
      </c>
      <c r="H95" s="1" t="s">
        <v>73</v>
      </c>
      <c r="I95" s="19" t="n">
        <f aca="false">((D91+D92+D95)+(D97*7)+(D98*2))/12</f>
        <v>2.51458333333333</v>
      </c>
      <c r="J95" s="19"/>
    </row>
    <row r="96" customFormat="false" ht="12.75" hidden="false" customHeight="false" outlineLevel="0" collapsed="false">
      <c r="A96" s="0"/>
      <c r="B96" s="1" t="n">
        <v>0</v>
      </c>
      <c r="C96" s="11" t="n">
        <v>3.243</v>
      </c>
      <c r="D96" s="11" t="n">
        <f aca="false">D71</f>
        <v>2.22</v>
      </c>
      <c r="E96" s="11" t="n">
        <f aca="false">D96-C96</f>
        <v>-1.023</v>
      </c>
      <c r="F96" s="13" t="n">
        <f aca="false">B96*E96*10000</f>
        <v>-0</v>
      </c>
      <c r="H96" s="1" t="s">
        <v>74</v>
      </c>
      <c r="I96" s="19" t="n">
        <f aca="false">AVERAGE(D91:D92,D95)</f>
        <v>2.165</v>
      </c>
      <c r="J96" s="19" t="n">
        <f aca="false">AVERAGE(C90)</f>
        <v>2.606</v>
      </c>
      <c r="K96" s="1" t="s">
        <v>75</v>
      </c>
    </row>
    <row r="97" customFormat="false" ht="12.75" hidden="false" customHeight="false" outlineLevel="0" collapsed="false">
      <c r="A97" s="0" t="s">
        <v>50</v>
      </c>
      <c r="B97" s="1" t="n">
        <v>2</v>
      </c>
      <c r="C97" s="11" t="n">
        <v>2.954</v>
      </c>
      <c r="D97" s="11" t="n">
        <f aca="false">D74</f>
        <v>2.51285714285714</v>
      </c>
      <c r="E97" s="11" t="n">
        <f aca="false">D97-C97</f>
        <v>-0.441142857142857</v>
      </c>
      <c r="F97" s="13" t="n">
        <f aca="false">B97*E97*10000</f>
        <v>-8822.85714285715</v>
      </c>
      <c r="H97" s="1" t="s">
        <v>76</v>
      </c>
      <c r="I97" s="19" t="n">
        <f aca="false">AVERAGE(C91:C92,C95)</f>
        <v>2.844</v>
      </c>
      <c r="J97" s="19"/>
    </row>
    <row r="98" customFormat="false" ht="12.75" hidden="false" customHeight="false" outlineLevel="0" collapsed="false">
      <c r="A98" s="29" t="s">
        <v>51</v>
      </c>
      <c r="B98" s="1" t="n">
        <v>3</v>
      </c>
      <c r="C98" s="11" t="n">
        <v>3.291</v>
      </c>
      <c r="D98" s="11" t="n">
        <f aca="false">D76</f>
        <v>3.045</v>
      </c>
      <c r="E98" s="11" t="n">
        <f aca="false">D98-C98</f>
        <v>-0.246</v>
      </c>
      <c r="F98" s="13" t="n">
        <f aca="false">B98*E98*10000</f>
        <v>-7380</v>
      </c>
      <c r="I98" s="19"/>
      <c r="J98" s="19"/>
    </row>
    <row r="99" customFormat="false" ht="12.75" hidden="false" customHeight="false" outlineLevel="0" collapsed="false">
      <c r="A99" s="29" t="s">
        <v>52</v>
      </c>
      <c r="B99" s="1" t="n">
        <v>-2</v>
      </c>
      <c r="C99" s="11" t="n">
        <v>3.324</v>
      </c>
      <c r="D99" s="11" t="n">
        <f aca="false">D77</f>
        <v>3.145</v>
      </c>
      <c r="E99" s="11" t="n">
        <f aca="false">D99-C99</f>
        <v>-0.179</v>
      </c>
      <c r="F99" s="13" t="n">
        <f aca="false">B99*E99*10000</f>
        <v>3580</v>
      </c>
      <c r="H99" s="27" t="n">
        <f aca="false">SUM(F90:F99)</f>
        <v>1010547.14285714</v>
      </c>
      <c r="I99" s="19"/>
      <c r="J99" s="19" t="n">
        <f aca="false">D90</f>
        <v>2.12</v>
      </c>
      <c r="K99" s="1" t="s">
        <v>77</v>
      </c>
    </row>
    <row r="100" customFormat="false" ht="12.75" hidden="false" customHeight="false" outlineLevel="0" collapsed="false">
      <c r="A100" s="29"/>
      <c r="B100" s="1" t="n">
        <f aca="false">SUM(B79:B99)</f>
        <v>-314</v>
      </c>
      <c r="C100" s="11" t="n">
        <f aca="false">C99-C95</f>
        <v>0.463</v>
      </c>
      <c r="D100" s="11"/>
      <c r="E100" s="11"/>
      <c r="F100" s="13"/>
      <c r="H100" s="27" t="n">
        <f aca="false">H88+H99+H84</f>
        <v>2139347.14285714</v>
      </c>
      <c r="I100" s="19"/>
      <c r="J100" s="19" t="n">
        <f aca="false">AVERAGE(D90:D91)</f>
        <v>2.12</v>
      </c>
      <c r="K100" s="1" t="s">
        <v>78</v>
      </c>
    </row>
    <row r="101" customFormat="false" ht="12.75" hidden="false" customHeight="false" outlineLevel="0" collapsed="false">
      <c r="A101" s="0"/>
      <c r="B101" s="1" t="s">
        <v>79</v>
      </c>
      <c r="C101" s="11"/>
      <c r="D101" s="11"/>
      <c r="I101" s="19"/>
      <c r="J101" s="19" t="n">
        <f aca="false">AVERAGE([1]Sheet1!$F$4:$Q$4)</f>
        <v>2.51458333333333</v>
      </c>
      <c r="K101" s="1" t="s">
        <v>80</v>
      </c>
    </row>
    <row r="102" customFormat="false" ht="12.75" hidden="false" customHeight="false" outlineLevel="0" collapsed="false">
      <c r="A102" s="0" t="s">
        <v>81</v>
      </c>
      <c r="B102" s="1" t="n">
        <v>0</v>
      </c>
      <c r="C102" s="11" t="n">
        <v>2.995</v>
      </c>
      <c r="D102" s="11" t="n">
        <f aca="false">D13</f>
        <v>1.95</v>
      </c>
      <c r="E102" s="11" t="n">
        <f aca="false">D102-C102</f>
        <v>-1.045</v>
      </c>
      <c r="F102" s="13" t="n">
        <f aca="false">B102*E102*10000</f>
        <v>-0</v>
      </c>
      <c r="I102" s="19" t="s">
        <v>82</v>
      </c>
      <c r="J102" s="19" t="s">
        <v>6</v>
      </c>
    </row>
    <row r="103" customFormat="false" ht="12.75" hidden="false" customHeight="false" outlineLevel="0" collapsed="false">
      <c r="A103" s="0" t="s">
        <v>81</v>
      </c>
      <c r="B103" s="1" t="n">
        <v>0</v>
      </c>
      <c r="C103" s="11" t="n">
        <v>1.895</v>
      </c>
      <c r="D103" s="11" t="n">
        <f aca="false">D102</f>
        <v>1.95</v>
      </c>
      <c r="E103" s="11" t="n">
        <f aca="false">D103-C103</f>
        <v>0.0550000000000002</v>
      </c>
      <c r="F103" s="13" t="n">
        <f aca="false">B103*E103*10000</f>
        <v>0</v>
      </c>
      <c r="I103" s="19" t="n">
        <f aca="false">I97-J96</f>
        <v>0.238</v>
      </c>
      <c r="J103" s="19" t="n">
        <f aca="false">I96-J99</f>
        <v>0.0450000000000004</v>
      </c>
    </row>
    <row r="104" customFormat="false" ht="12.75" hidden="false" customHeight="false" outlineLevel="0" collapsed="false">
      <c r="A104" s="0" t="s">
        <v>81</v>
      </c>
      <c r="B104" s="1" t="n">
        <v>0</v>
      </c>
      <c r="C104" s="11" t="n">
        <v>1.9025</v>
      </c>
      <c r="D104" s="11" t="n">
        <f aca="false">D103</f>
        <v>1.95</v>
      </c>
      <c r="E104" s="11" t="n">
        <f aca="false">D104-C104</f>
        <v>0.0475000000000001</v>
      </c>
      <c r="F104" s="13" t="n">
        <f aca="false">B104*E104*10000</f>
        <v>0</v>
      </c>
      <c r="I104" s="19"/>
      <c r="J104" s="30" t="n">
        <f aca="false">L104+K104</f>
        <v>285548.56</v>
      </c>
      <c r="K104" s="13" t="n">
        <v>138185.53</v>
      </c>
      <c r="L104" s="13" t="n">
        <v>147363.03</v>
      </c>
    </row>
    <row r="105" customFormat="false" ht="12.75" hidden="false" customHeight="false" outlineLevel="0" collapsed="false">
      <c r="A105" s="0" t="s">
        <v>81</v>
      </c>
      <c r="B105" s="1" t="n">
        <v>0</v>
      </c>
      <c r="C105" s="11" t="n">
        <v>1.9075</v>
      </c>
      <c r="D105" s="11" t="n">
        <f aca="false">D104</f>
        <v>1.95</v>
      </c>
      <c r="E105" s="11" t="n">
        <f aca="false">D105-C105</f>
        <v>0.0425000000000002</v>
      </c>
      <c r="F105" s="13" t="n">
        <f aca="false">B105*E105*10000</f>
        <v>0</v>
      </c>
      <c r="H105" s="27"/>
      <c r="I105" s="19"/>
      <c r="J105" s="30" t="n">
        <f aca="false">L105-K105</f>
        <v>1324968.61</v>
      </c>
      <c r="K105" s="13" t="n">
        <v>5681</v>
      </c>
      <c r="L105" s="13" t="n">
        <v>1330649.61</v>
      </c>
    </row>
    <row r="106" customFormat="false" ht="12.75" hidden="false" customHeight="false" outlineLevel="0" collapsed="false">
      <c r="A106" s="0" t="s">
        <v>81</v>
      </c>
      <c r="B106" s="1" t="n">
        <v>0</v>
      </c>
      <c r="C106" s="11" t="n">
        <v>3.095</v>
      </c>
      <c r="D106" s="11" t="n">
        <f aca="false">D105</f>
        <v>1.95</v>
      </c>
      <c r="E106" s="11" t="n">
        <f aca="false">D106-C106</f>
        <v>-1.145</v>
      </c>
      <c r="F106" s="13" t="n">
        <f aca="false">B106*E106*10000</f>
        <v>-0</v>
      </c>
      <c r="I106" s="19"/>
      <c r="J106" s="13" t="n">
        <f aca="false">J104+J105</f>
        <v>1610517.17</v>
      </c>
      <c r="L106" s="13" t="n">
        <f aca="false">L104+L105</f>
        <v>1478012.64</v>
      </c>
    </row>
    <row r="107" customFormat="false" ht="12.75" hidden="false" customHeight="false" outlineLevel="0" collapsed="false">
      <c r="A107" s="0" t="s">
        <v>81</v>
      </c>
      <c r="B107" s="1" t="n">
        <v>0</v>
      </c>
      <c r="C107" s="11" t="n">
        <v>3.095</v>
      </c>
      <c r="D107" s="11" t="n">
        <f aca="false">D106</f>
        <v>1.95</v>
      </c>
      <c r="E107" s="11" t="n">
        <f aca="false">D107-C107</f>
        <v>-1.145</v>
      </c>
      <c r="F107" s="13" t="n">
        <f aca="false">B107*E107*10000</f>
        <v>-0</v>
      </c>
      <c r="H107" s="1" t="n">
        <v>416053.84</v>
      </c>
      <c r="I107" s="19"/>
      <c r="J107" s="19"/>
    </row>
    <row r="108" customFormat="false" ht="12.75" hidden="false" customHeight="false" outlineLevel="0" collapsed="false">
      <c r="A108" s="0" t="s">
        <v>81</v>
      </c>
      <c r="B108" s="1" t="n">
        <v>0</v>
      </c>
      <c r="C108" s="11" t="n">
        <v>5.185</v>
      </c>
      <c r="D108" s="11" t="n">
        <f aca="false">D103</f>
        <v>1.95</v>
      </c>
      <c r="E108" s="11" t="n">
        <f aca="false">D108-C108</f>
        <v>-3.235</v>
      </c>
      <c r="F108" s="13" t="n">
        <f aca="false">B108*E108*10000</f>
        <v>-0</v>
      </c>
      <c r="H108" s="1" t="n">
        <v>322103.36</v>
      </c>
      <c r="I108" s="19"/>
      <c r="J108" s="19" t="n">
        <f aca="false">J106*0.9</f>
        <v>1449465.453</v>
      </c>
    </row>
    <row r="109" customFormat="false" ht="12.75" hidden="false" customHeight="false" outlineLevel="0" collapsed="false">
      <c r="A109" s="0" t="s">
        <v>81</v>
      </c>
      <c r="B109" s="1" t="n">
        <v>0</v>
      </c>
      <c r="C109" s="11" t="n">
        <v>5.13</v>
      </c>
      <c r="D109" s="11" t="n">
        <f aca="false">D108</f>
        <v>1.95</v>
      </c>
      <c r="E109" s="11" t="n">
        <f aca="false">D109-C109</f>
        <v>-3.18</v>
      </c>
      <c r="F109" s="13" t="n">
        <f aca="false">B109*E109*10000</f>
        <v>-0</v>
      </c>
      <c r="I109" s="19"/>
      <c r="J109" s="19"/>
    </row>
    <row r="110" customFormat="false" ht="12.75" hidden="false" customHeight="false" outlineLevel="0" collapsed="false">
      <c r="A110" s="0" t="s">
        <v>81</v>
      </c>
      <c r="B110" s="1" t="n">
        <v>0</v>
      </c>
      <c r="C110" s="11" t="n">
        <v>5.085</v>
      </c>
      <c r="D110" s="11" t="n">
        <f aca="false">D102</f>
        <v>1.95</v>
      </c>
      <c r="E110" s="11" t="n">
        <f aca="false">D110-C110</f>
        <v>-3.135</v>
      </c>
      <c r="F110" s="13" t="n">
        <f aca="false">B110*E110*10000</f>
        <v>-0</v>
      </c>
      <c r="I110" s="19"/>
      <c r="J110" s="19"/>
    </row>
    <row r="111" customFormat="false" ht="12.75" hidden="false" customHeight="false" outlineLevel="0" collapsed="false">
      <c r="A111" s="0" t="s">
        <v>83</v>
      </c>
      <c r="B111" s="1" t="n">
        <v>0</v>
      </c>
      <c r="C111" s="11" t="n">
        <v>3.02</v>
      </c>
      <c r="D111" s="11" t="n">
        <f aca="false">D14</f>
        <v>1.95</v>
      </c>
      <c r="E111" s="11" t="n">
        <f aca="false">D111-C111</f>
        <v>-1.07</v>
      </c>
      <c r="F111" s="13" t="n">
        <f aca="false">B111*E111*10000</f>
        <v>-0</v>
      </c>
      <c r="I111" s="19"/>
      <c r="J111" s="19"/>
    </row>
    <row r="112" customFormat="false" ht="12.75" hidden="false" customHeight="false" outlineLevel="0" collapsed="false">
      <c r="A112" s="0" t="s">
        <v>83</v>
      </c>
      <c r="B112" s="1" t="n">
        <v>0</v>
      </c>
      <c r="C112" s="11" t="n">
        <v>2.26</v>
      </c>
      <c r="D112" s="11" t="n">
        <f aca="false">D15</f>
        <v>1.95</v>
      </c>
      <c r="E112" s="11" t="n">
        <f aca="false">D112-C112</f>
        <v>-0.31</v>
      </c>
      <c r="F112" s="13" t="n">
        <f aca="false">B112*E112*10000</f>
        <v>-0</v>
      </c>
      <c r="I112" s="19"/>
      <c r="J112" s="19"/>
    </row>
    <row r="113" customFormat="false" ht="12.75" hidden="false" customHeight="false" outlineLevel="0" collapsed="false">
      <c r="A113" s="0" t="s">
        <v>83</v>
      </c>
      <c r="B113" s="1" t="n">
        <v>0</v>
      </c>
      <c r="C113" s="11" t="n">
        <v>2.105</v>
      </c>
      <c r="D113" s="11" t="n">
        <f aca="false">D16</f>
        <v>1.95</v>
      </c>
      <c r="E113" s="11" t="n">
        <f aca="false">D113-C113</f>
        <v>-0.155</v>
      </c>
      <c r="F113" s="13" t="n">
        <f aca="false">B113*E113*10000</f>
        <v>-0</v>
      </c>
      <c r="I113" s="19"/>
      <c r="J113" s="19"/>
    </row>
    <row r="114" customFormat="false" ht="12.75" hidden="false" customHeight="false" outlineLevel="0" collapsed="false">
      <c r="A114" s="0" t="s">
        <v>83</v>
      </c>
      <c r="B114" s="1" t="n">
        <v>0</v>
      </c>
      <c r="C114" s="11" t="n">
        <v>2.105</v>
      </c>
      <c r="D114" s="11" t="n">
        <f aca="false">D17</f>
        <v>1.95</v>
      </c>
      <c r="E114" s="11" t="n">
        <f aca="false">D114-C114</f>
        <v>-0.155</v>
      </c>
      <c r="F114" s="13" t="n">
        <f aca="false">B114*E114*10000</f>
        <v>-0</v>
      </c>
      <c r="I114" s="19"/>
      <c r="J114" s="19"/>
    </row>
    <row r="115" customFormat="false" ht="12.75" hidden="false" customHeight="false" outlineLevel="0" collapsed="false">
      <c r="A115" s="0" t="s">
        <v>83</v>
      </c>
      <c r="B115" s="1" t="n">
        <v>0</v>
      </c>
      <c r="C115" s="11" t="n">
        <v>2.11</v>
      </c>
      <c r="D115" s="11" t="n">
        <f aca="false">D18</f>
        <v>1.95</v>
      </c>
      <c r="E115" s="11" t="n">
        <f aca="false">D115-C115</f>
        <v>-0.16</v>
      </c>
      <c r="F115" s="13" t="n">
        <f aca="false">B115*E115*10000</f>
        <v>-0</v>
      </c>
      <c r="I115" s="19"/>
      <c r="J115" s="19"/>
    </row>
    <row r="116" customFormat="false" ht="12.75" hidden="false" customHeight="false" outlineLevel="0" collapsed="false">
      <c r="A116" s="0" t="s">
        <v>83</v>
      </c>
      <c r="B116" s="1" t="n">
        <v>0</v>
      </c>
      <c r="C116" s="11" t="n">
        <v>2.24</v>
      </c>
      <c r="D116" s="11" t="n">
        <f aca="false">D15</f>
        <v>1.95</v>
      </c>
      <c r="E116" s="11" t="n">
        <f aca="false">D116-C116</f>
        <v>-0.29</v>
      </c>
      <c r="F116" s="13" t="n">
        <f aca="false">B116*E116*10000</f>
        <v>-0</v>
      </c>
      <c r="I116" s="19"/>
      <c r="J116" s="19"/>
    </row>
    <row r="117" customFormat="false" ht="12.75" hidden="false" customHeight="false" outlineLevel="0" collapsed="false">
      <c r="A117" s="0" t="s">
        <v>83</v>
      </c>
      <c r="B117" s="1" t="n">
        <v>0</v>
      </c>
      <c r="C117" s="11" t="n">
        <v>2.15</v>
      </c>
      <c r="D117" s="11" t="n">
        <f aca="false">D16</f>
        <v>1.95</v>
      </c>
      <c r="E117" s="11" t="n">
        <f aca="false">D117-C117</f>
        <v>-0.2</v>
      </c>
      <c r="F117" s="13" t="n">
        <f aca="false">B117*E117*10000</f>
        <v>-0</v>
      </c>
      <c r="I117" s="19"/>
      <c r="J117" s="19"/>
    </row>
    <row r="118" customFormat="false" ht="12.75" hidden="false" customHeight="false" outlineLevel="0" collapsed="false">
      <c r="A118" s="0" t="s">
        <v>83</v>
      </c>
      <c r="B118" s="1" t="n">
        <v>0</v>
      </c>
      <c r="C118" s="11" t="n">
        <v>3.12</v>
      </c>
      <c r="D118" s="11" t="n">
        <f aca="false">D21</f>
        <v>1.95</v>
      </c>
      <c r="E118" s="11" t="n">
        <f aca="false">D118-C118</f>
        <v>-1.17</v>
      </c>
      <c r="F118" s="13" t="n">
        <f aca="false">B118*E118*10000</f>
        <v>-0</v>
      </c>
      <c r="H118" s="1" t="n">
        <v>8333</v>
      </c>
      <c r="I118" s="11" t="n">
        <f aca="false">H118*12</f>
        <v>99996</v>
      </c>
      <c r="J118" s="19"/>
    </row>
    <row r="119" customFormat="false" ht="12.75" hidden="false" customHeight="false" outlineLevel="0" collapsed="false">
      <c r="A119" s="0" t="s">
        <v>83</v>
      </c>
      <c r="B119" s="1" t="n">
        <v>0</v>
      </c>
      <c r="C119" s="11" t="n">
        <v>3.1125</v>
      </c>
      <c r="D119" s="11" t="n">
        <f aca="false">D22</f>
        <v>1.95</v>
      </c>
      <c r="E119" s="11" t="n">
        <f aca="false">D119-C119</f>
        <v>-1.1625</v>
      </c>
      <c r="F119" s="13" t="n">
        <f aca="false">B119*E119*10000</f>
        <v>-0</v>
      </c>
      <c r="I119" s="19"/>
      <c r="J119" s="19"/>
    </row>
    <row r="120" customFormat="false" ht="12.75" hidden="false" customHeight="false" outlineLevel="0" collapsed="false">
      <c r="A120" s="0" t="s">
        <v>83</v>
      </c>
      <c r="B120" s="1" t="n">
        <v>0</v>
      </c>
      <c r="C120" s="11" t="n">
        <v>3.1375</v>
      </c>
      <c r="D120" s="11" t="n">
        <f aca="false">D111</f>
        <v>1.95</v>
      </c>
      <c r="E120" s="11" t="n">
        <f aca="false">D120-C120</f>
        <v>-1.1875</v>
      </c>
      <c r="F120" s="13" t="n">
        <f aca="false">B120*E120*10000</f>
        <v>-0</v>
      </c>
      <c r="I120" s="19"/>
      <c r="J120" s="19"/>
    </row>
    <row r="121" customFormat="false" ht="12.75" hidden="false" customHeight="false" outlineLevel="0" collapsed="false">
      <c r="A121" s="0" t="s">
        <v>83</v>
      </c>
      <c r="B121" s="1" t="n">
        <v>0</v>
      </c>
      <c r="C121" s="11" t="n">
        <v>3.24</v>
      </c>
      <c r="D121" s="11" t="n">
        <f aca="false">D120</f>
        <v>1.95</v>
      </c>
      <c r="E121" s="11" t="n">
        <f aca="false">D121-C121</f>
        <v>-1.29</v>
      </c>
      <c r="F121" s="13" t="n">
        <f aca="false">B121*E121*10000</f>
        <v>-0</v>
      </c>
      <c r="I121" s="19"/>
      <c r="J121" s="19"/>
    </row>
    <row r="122" customFormat="false" ht="12.75" hidden="false" customHeight="false" outlineLevel="0" collapsed="false">
      <c r="A122" s="0" t="s">
        <v>83</v>
      </c>
      <c r="B122" s="1" t="n">
        <v>0</v>
      </c>
      <c r="C122" s="11" t="n">
        <v>3.2475</v>
      </c>
      <c r="D122" s="11" t="n">
        <f aca="false">D121</f>
        <v>1.95</v>
      </c>
      <c r="E122" s="11" t="n">
        <f aca="false">D122-C122</f>
        <v>-1.2975</v>
      </c>
      <c r="F122" s="13" t="n">
        <f aca="false">B122*E122*10000</f>
        <v>-0</v>
      </c>
      <c r="I122" s="19"/>
      <c r="J122" s="19"/>
    </row>
    <row r="123" customFormat="false" ht="12.75" hidden="false" customHeight="false" outlineLevel="0" collapsed="false">
      <c r="A123" s="0" t="s">
        <v>32</v>
      </c>
      <c r="B123" s="1" t="n">
        <v>0</v>
      </c>
      <c r="C123" s="11" t="n">
        <v>2.12</v>
      </c>
      <c r="D123" s="11" t="n">
        <f aca="false">D88</f>
        <v>1.7</v>
      </c>
      <c r="E123" s="11" t="n">
        <f aca="false">D123-C123</f>
        <v>-0.42</v>
      </c>
      <c r="F123" s="13" t="n">
        <f aca="false">B123*E123*10000</f>
        <v>-0</v>
      </c>
      <c r="I123" s="19"/>
      <c r="J123" s="19"/>
    </row>
    <row r="124" customFormat="false" ht="12.75" hidden="false" customHeight="false" outlineLevel="0" collapsed="false">
      <c r="A124" s="0" t="s">
        <v>32</v>
      </c>
      <c r="B124" s="1" t="n">
        <v>0</v>
      </c>
      <c r="C124" s="11" t="n">
        <v>2.07</v>
      </c>
      <c r="D124" s="11" t="n">
        <f aca="false">D123</f>
        <v>1.7</v>
      </c>
      <c r="E124" s="11" t="n">
        <f aca="false">D124-C124</f>
        <v>-0.37</v>
      </c>
      <c r="F124" s="13" t="n">
        <f aca="false">B124*E124*10000</f>
        <v>-0</v>
      </c>
      <c r="I124" s="19"/>
      <c r="J124" s="19"/>
    </row>
    <row r="125" customFormat="false" ht="12.75" hidden="false" customHeight="false" outlineLevel="0" collapsed="false">
      <c r="A125" s="0" t="s">
        <v>32</v>
      </c>
      <c r="B125" s="1" t="n">
        <v>0</v>
      </c>
      <c r="C125" s="11" t="n">
        <v>2.9175</v>
      </c>
      <c r="D125" s="11" t="n">
        <f aca="false">D124</f>
        <v>1.7</v>
      </c>
      <c r="E125" s="11" t="n">
        <f aca="false">D125-C125</f>
        <v>-1.2175</v>
      </c>
      <c r="F125" s="13" t="n">
        <f aca="false">B125*E125*10000</f>
        <v>-0</v>
      </c>
      <c r="I125" s="19"/>
      <c r="J125" s="19"/>
    </row>
    <row r="126" customFormat="false" ht="12.75" hidden="false" customHeight="false" outlineLevel="0" collapsed="false">
      <c r="A126" s="0" t="s">
        <v>32</v>
      </c>
      <c r="B126" s="1" t="n">
        <v>0</v>
      </c>
      <c r="C126" s="11" t="n">
        <v>3.0225</v>
      </c>
      <c r="D126" s="11" t="n">
        <f aca="false">D125</f>
        <v>1.7</v>
      </c>
      <c r="E126" s="11" t="n">
        <f aca="false">D126-C126</f>
        <v>-1.3225</v>
      </c>
      <c r="F126" s="13" t="n">
        <f aca="false">B126*E126*10000</f>
        <v>-0</v>
      </c>
      <c r="I126" s="19"/>
      <c r="J126" s="19"/>
    </row>
    <row r="127" customFormat="false" ht="12.75" hidden="false" customHeight="false" outlineLevel="0" collapsed="false">
      <c r="A127" s="0" t="s">
        <v>32</v>
      </c>
      <c r="B127" s="1" t="n">
        <v>0</v>
      </c>
      <c r="C127" s="11" t="n">
        <v>3.04</v>
      </c>
      <c r="D127" s="11" t="n">
        <f aca="false">D126</f>
        <v>1.7</v>
      </c>
      <c r="E127" s="11" t="n">
        <f aca="false">D127-C127</f>
        <v>-1.34</v>
      </c>
      <c r="F127" s="13" t="n">
        <f aca="false">B127*E127*10000</f>
        <v>-0</v>
      </c>
      <c r="I127" s="19"/>
      <c r="J127" s="19"/>
    </row>
    <row r="128" customFormat="false" ht="12.75" hidden="false" customHeight="false" outlineLevel="0" collapsed="false">
      <c r="A128" s="0" t="s">
        <v>32</v>
      </c>
      <c r="B128" s="1" t="n">
        <v>0</v>
      </c>
      <c r="C128" s="11" t="n">
        <v>3.04</v>
      </c>
      <c r="D128" s="11" t="n">
        <f aca="false">D127</f>
        <v>1.7</v>
      </c>
      <c r="E128" s="11" t="n">
        <f aca="false">D128-C128</f>
        <v>-1.34</v>
      </c>
      <c r="F128" s="13" t="n">
        <f aca="false">B128*E128*10000</f>
        <v>-0</v>
      </c>
      <c r="I128" s="19"/>
      <c r="J128" s="19"/>
    </row>
    <row r="129" customFormat="false" ht="12.75" hidden="false" customHeight="false" outlineLevel="0" collapsed="false">
      <c r="A129" s="0" t="s">
        <v>32</v>
      </c>
      <c r="B129" s="1" t="n">
        <v>0</v>
      </c>
      <c r="C129" s="11" t="n">
        <v>3.04</v>
      </c>
      <c r="D129" s="11" t="n">
        <f aca="false">D128</f>
        <v>1.7</v>
      </c>
      <c r="E129" s="11" t="n">
        <f aca="false">D129-C129</f>
        <v>-1.34</v>
      </c>
      <c r="F129" s="13" t="n">
        <f aca="false">B129*E129*10000</f>
        <v>-0</v>
      </c>
      <c r="I129" s="19"/>
      <c r="J129" s="19"/>
    </row>
    <row r="130" customFormat="false" ht="12.75" hidden="false" customHeight="false" outlineLevel="0" collapsed="false">
      <c r="A130" s="0" t="s">
        <v>32</v>
      </c>
      <c r="B130" s="1" t="n">
        <v>0</v>
      </c>
      <c r="C130" s="11" t="n">
        <v>3.5625</v>
      </c>
      <c r="D130" s="11" t="n">
        <f aca="false">D123</f>
        <v>1.7</v>
      </c>
      <c r="E130" s="11" t="n">
        <f aca="false">D130-C130</f>
        <v>-1.8625</v>
      </c>
      <c r="F130" s="13" t="n">
        <f aca="false">B130*E130*10000</f>
        <v>-0</v>
      </c>
      <c r="I130" s="19"/>
      <c r="J130" s="19"/>
    </row>
    <row r="131" customFormat="false" ht="12.75" hidden="false" customHeight="false" outlineLevel="0" collapsed="false">
      <c r="A131" s="0" t="s">
        <v>33</v>
      </c>
      <c r="B131" s="1" t="n">
        <v>0</v>
      </c>
      <c r="C131" s="11" t="n">
        <v>3.65</v>
      </c>
      <c r="D131" s="11" t="n">
        <f aca="false">D86</f>
        <v>1.9</v>
      </c>
      <c r="E131" s="11" t="n">
        <f aca="false">D131-C131</f>
        <v>-1.75</v>
      </c>
      <c r="F131" s="13" t="n">
        <f aca="false">B131*E131*10000</f>
        <v>-0</v>
      </c>
      <c r="I131" s="19"/>
      <c r="J131" s="19"/>
    </row>
    <row r="132" customFormat="false" ht="12.75" hidden="false" customHeight="false" outlineLevel="0" collapsed="false">
      <c r="A132" s="0" t="s">
        <v>33</v>
      </c>
      <c r="B132" s="1" t="n">
        <v>0</v>
      </c>
      <c r="C132" s="11" t="n">
        <v>4.435</v>
      </c>
      <c r="D132" s="11" t="n">
        <f aca="false">D131</f>
        <v>1.9</v>
      </c>
      <c r="E132" s="11" t="n">
        <f aca="false">D132-C132</f>
        <v>-2.535</v>
      </c>
      <c r="F132" s="13" t="n">
        <f aca="false">B132*E132*10000</f>
        <v>-0</v>
      </c>
      <c r="I132" s="19"/>
      <c r="J132" s="19"/>
    </row>
    <row r="133" customFormat="false" ht="12.75" hidden="false" customHeight="false" outlineLevel="0" collapsed="false">
      <c r="A133" s="0" t="s">
        <v>34</v>
      </c>
      <c r="B133" s="1" t="n">
        <v>0</v>
      </c>
      <c r="C133" s="11" t="n">
        <v>2.96</v>
      </c>
      <c r="D133" s="11" t="n">
        <f aca="false">D85</f>
        <v>1.86</v>
      </c>
      <c r="E133" s="11" t="n">
        <f aca="false">D133-C133</f>
        <v>-1.1</v>
      </c>
      <c r="F133" s="13" t="n">
        <f aca="false">B133*E133*10000</f>
        <v>-0</v>
      </c>
      <c r="I133" s="25"/>
      <c r="J133" s="25"/>
    </row>
    <row r="134" customFormat="false" ht="12.75" hidden="false" customHeight="false" outlineLevel="0" collapsed="false">
      <c r="A134" s="0" t="s">
        <v>34</v>
      </c>
      <c r="B134" s="1" t="n">
        <v>0</v>
      </c>
      <c r="C134" s="11" t="n">
        <v>3.125</v>
      </c>
      <c r="D134" s="11" t="n">
        <f aca="false">D133</f>
        <v>1.86</v>
      </c>
      <c r="E134" s="11" t="n">
        <f aca="false">D134-C134</f>
        <v>-1.265</v>
      </c>
      <c r="F134" s="13" t="n">
        <f aca="false">B134*E134*10000</f>
        <v>-0</v>
      </c>
      <c r="I134" s="25"/>
      <c r="J134" s="25"/>
    </row>
    <row r="135" customFormat="false" ht="12.75" hidden="false" customHeight="false" outlineLevel="0" collapsed="false">
      <c r="A135" s="0" t="s">
        <v>34</v>
      </c>
      <c r="B135" s="1" t="n">
        <v>0</v>
      </c>
      <c r="C135" s="11" t="n">
        <v>3.05</v>
      </c>
      <c r="D135" s="11" t="n">
        <f aca="false">D134</f>
        <v>1.86</v>
      </c>
      <c r="E135" s="11" t="n">
        <f aca="false">D135-C135</f>
        <v>-1.19</v>
      </c>
      <c r="F135" s="13" t="n">
        <f aca="false">B135*E135*10000</f>
        <v>-0</v>
      </c>
      <c r="I135" s="25"/>
      <c r="J135" s="25"/>
    </row>
    <row r="136" customFormat="false" ht="12.75" hidden="false" customHeight="false" outlineLevel="0" collapsed="false">
      <c r="A136" s="0" t="s">
        <v>35</v>
      </c>
      <c r="B136" s="1" t="n">
        <v>0</v>
      </c>
      <c r="C136" s="11" t="n">
        <v>2.89</v>
      </c>
      <c r="D136" s="11" t="n">
        <f aca="false">D82</f>
        <v>1.69</v>
      </c>
      <c r="E136" s="11" t="n">
        <f aca="false">D136-C136</f>
        <v>-1.2</v>
      </c>
      <c r="F136" s="13" t="n">
        <f aca="false">B136*E136*10000</f>
        <v>-0</v>
      </c>
      <c r="H136" s="27" t="n">
        <f aca="false">H100+F136</f>
        <v>2139347.14285714</v>
      </c>
      <c r="I136" s="25"/>
      <c r="J136" s="25"/>
    </row>
    <row r="137" customFormat="false" ht="12.75" hidden="false" customHeight="false" outlineLevel="0" collapsed="false">
      <c r="A137" s="0" t="s">
        <v>16</v>
      </c>
      <c r="B137" s="1" t="n">
        <v>0</v>
      </c>
      <c r="C137" s="11" t="n">
        <v>2.645</v>
      </c>
      <c r="D137" s="11" t="n">
        <f aca="false">D90</f>
        <v>2.12</v>
      </c>
      <c r="E137" s="11" t="n">
        <f aca="false">D137-C137</f>
        <v>-0.525</v>
      </c>
      <c r="F137" s="13" t="n">
        <f aca="false">B137*E137*10000</f>
        <v>-0</v>
      </c>
      <c r="I137" s="25"/>
      <c r="J137" s="25"/>
    </row>
    <row r="138" customFormat="false" ht="12.75" hidden="false" customHeight="false" outlineLevel="0" collapsed="false">
      <c r="A138" s="0" t="s">
        <v>16</v>
      </c>
      <c r="B138" s="1" t="n">
        <v>0</v>
      </c>
      <c r="C138" s="11" t="n">
        <v>2.64</v>
      </c>
      <c r="D138" s="11" t="n">
        <f aca="false">D137</f>
        <v>2.12</v>
      </c>
      <c r="E138" s="11" t="n">
        <f aca="false">D138-C138</f>
        <v>-0.52</v>
      </c>
      <c r="F138" s="13" t="n">
        <f aca="false">B138*E138*10000</f>
        <v>-0</v>
      </c>
      <c r="I138" s="25"/>
      <c r="J138" s="25"/>
    </row>
    <row r="139" customFormat="false" ht="12.75" hidden="false" customHeight="false" outlineLevel="0" collapsed="false">
      <c r="A139" s="0" t="s">
        <v>16</v>
      </c>
      <c r="B139" s="4" t="n">
        <v>0</v>
      </c>
      <c r="C139" s="11" t="n">
        <v>2.635</v>
      </c>
      <c r="D139" s="11" t="n">
        <f aca="false">D137</f>
        <v>2.12</v>
      </c>
      <c r="E139" s="11" t="n">
        <f aca="false">D139-C139</f>
        <v>-0.515</v>
      </c>
      <c r="F139" s="13" t="n">
        <f aca="false">B139*E139*10000</f>
        <v>-0</v>
      </c>
      <c r="H139" s="27" t="n">
        <f aca="false">SUM(F137:F141)</f>
        <v>0</v>
      </c>
      <c r="I139" s="25"/>
      <c r="J139" s="25"/>
    </row>
    <row r="140" customFormat="false" ht="12.75" hidden="false" customHeight="false" outlineLevel="0" collapsed="false">
      <c r="A140" s="0" t="s">
        <v>16</v>
      </c>
      <c r="B140" s="4" t="n">
        <v>0</v>
      </c>
      <c r="C140" s="11" t="n">
        <v>2.6275</v>
      </c>
      <c r="D140" s="11" t="n">
        <f aca="false">D139</f>
        <v>2.12</v>
      </c>
      <c r="E140" s="11" t="n">
        <f aca="false">D140-C140</f>
        <v>-0.5075</v>
      </c>
      <c r="F140" s="13" t="n">
        <f aca="false">B140*E140*10000</f>
        <v>-0</v>
      </c>
      <c r="I140" s="25"/>
      <c r="J140" s="25"/>
      <c r="K140" s="25"/>
      <c r="M140" s="25" t="n">
        <f aca="false">AVERAGE(M14:M49)</f>
        <v>4.035</v>
      </c>
    </row>
    <row r="141" customFormat="false" ht="12.75" hidden="false" customHeight="false" outlineLevel="0" collapsed="false">
      <c r="A141" s="0" t="s">
        <v>16</v>
      </c>
      <c r="B141" s="4" t="n">
        <v>0</v>
      </c>
      <c r="C141" s="11" t="n">
        <v>2.6175</v>
      </c>
      <c r="D141" s="11" t="n">
        <f aca="false">D140</f>
        <v>2.12</v>
      </c>
      <c r="E141" s="11" t="n">
        <f aca="false">D141-C141</f>
        <v>-0.4975</v>
      </c>
      <c r="F141" s="13" t="n">
        <f aca="false">B141*E141*10000</f>
        <v>-0</v>
      </c>
      <c r="I141" s="25"/>
      <c r="J141" s="25"/>
      <c r="K141" s="25"/>
      <c r="M141" s="25"/>
    </row>
    <row r="142" customFormat="false" ht="12.75" hidden="false" customHeight="false" outlineLevel="0" collapsed="false">
      <c r="A142" s="0" t="s">
        <v>16</v>
      </c>
      <c r="B142" s="1" t="n">
        <v>0</v>
      </c>
      <c r="C142" s="11" t="n">
        <v>2.6075</v>
      </c>
      <c r="D142" s="11" t="n">
        <f aca="false">D140</f>
        <v>2.12</v>
      </c>
      <c r="E142" s="11" t="n">
        <f aca="false">D142-C142</f>
        <v>-0.4875</v>
      </c>
      <c r="F142" s="13" t="n">
        <f aca="false">B142*E142*10000</f>
        <v>-0</v>
      </c>
    </row>
    <row r="143" customFormat="false" ht="12.75" hidden="false" customHeight="false" outlineLevel="0" collapsed="false">
      <c r="A143" s="0" t="s">
        <v>16</v>
      </c>
      <c r="B143" s="1" t="n">
        <v>0</v>
      </c>
      <c r="C143" s="11" t="n">
        <v>2.6</v>
      </c>
      <c r="D143" s="11" t="n">
        <f aca="false">D142</f>
        <v>2.12</v>
      </c>
      <c r="E143" s="11" t="n">
        <f aca="false">D143-C143</f>
        <v>-0.48</v>
      </c>
      <c r="F143" s="13" t="n">
        <f aca="false">B143*E143*10000</f>
        <v>-0</v>
      </c>
    </row>
    <row r="144" customFormat="false" ht="12.75" hidden="false" customHeight="false" outlineLevel="0" collapsed="false">
      <c r="A144" s="0" t="s">
        <v>16</v>
      </c>
      <c r="B144" s="1" t="n">
        <v>0</v>
      </c>
      <c r="C144" s="11" t="n">
        <v>2.655</v>
      </c>
      <c r="D144" s="11" t="n">
        <f aca="false">D143</f>
        <v>2.12</v>
      </c>
      <c r="E144" s="11" t="n">
        <f aca="false">D144-C144</f>
        <v>-0.535</v>
      </c>
      <c r="F144" s="13" t="n">
        <f aca="false">B144*E144*10000</f>
        <v>-0</v>
      </c>
    </row>
    <row r="145" customFormat="false" ht="12.75" hidden="false" customHeight="false" outlineLevel="0" collapsed="false">
      <c r="A145" s="0" t="s">
        <v>16</v>
      </c>
      <c r="B145" s="1" t="n">
        <v>0</v>
      </c>
      <c r="C145" s="11" t="n">
        <v>2.66</v>
      </c>
      <c r="D145" s="11" t="n">
        <f aca="false">D142</f>
        <v>2.12</v>
      </c>
      <c r="E145" s="11" t="n">
        <f aca="false">D145-C145</f>
        <v>-0.54</v>
      </c>
      <c r="F145" s="13" t="n">
        <f aca="false">B145*E145*10000</f>
        <v>-0</v>
      </c>
    </row>
    <row r="146" customFormat="false" ht="12.75" hidden="false" customHeight="false" outlineLevel="0" collapsed="false">
      <c r="A146" s="0" t="s">
        <v>16</v>
      </c>
      <c r="B146" s="1" t="n">
        <v>0</v>
      </c>
      <c r="C146" s="11" t="n">
        <v>2.665</v>
      </c>
      <c r="D146" s="11" t="n">
        <f aca="false">D145</f>
        <v>2.12</v>
      </c>
      <c r="E146" s="11" t="n">
        <f aca="false">D146-C146</f>
        <v>-0.545</v>
      </c>
      <c r="F146" s="13" t="n">
        <f aca="false">B146*E146*10000</f>
        <v>-0</v>
      </c>
    </row>
    <row r="147" customFormat="false" ht="12.75" hidden="false" customHeight="false" outlineLevel="0" collapsed="false">
      <c r="A147" s="0" t="s">
        <v>16</v>
      </c>
      <c r="B147" s="1" t="n">
        <v>0</v>
      </c>
      <c r="C147" s="11" t="n">
        <v>3.185</v>
      </c>
      <c r="D147" s="11" t="n">
        <f aca="false">D146</f>
        <v>2.12</v>
      </c>
      <c r="E147" s="11" t="n">
        <f aca="false">D147-C147</f>
        <v>-1.065</v>
      </c>
      <c r="F147" s="13" t="n">
        <f aca="false">B147*E147*10000</f>
        <v>-0</v>
      </c>
    </row>
    <row r="148" customFormat="false" ht="12.75" hidden="false" customHeight="false" outlineLevel="0" collapsed="false">
      <c r="A148" s="0" t="s">
        <v>16</v>
      </c>
      <c r="B148" s="1" t="n">
        <v>0</v>
      </c>
      <c r="C148" s="11" t="n">
        <v>3.12</v>
      </c>
      <c r="D148" s="11" t="n">
        <f aca="false">D147</f>
        <v>2.12</v>
      </c>
      <c r="E148" s="11" t="n">
        <f aca="false">D148-C148</f>
        <v>-1</v>
      </c>
      <c r="F148" s="13" t="n">
        <f aca="false">B148*E148*10000</f>
        <v>-0</v>
      </c>
    </row>
    <row r="149" customFormat="false" ht="12.75" hidden="false" customHeight="false" outlineLevel="0" collapsed="false">
      <c r="A149" s="0" t="s">
        <v>16</v>
      </c>
      <c r="B149" s="1" t="n">
        <v>0</v>
      </c>
      <c r="C149" s="11" t="n">
        <v>3.155</v>
      </c>
      <c r="D149" s="11" t="n">
        <f aca="false">D148</f>
        <v>2.12</v>
      </c>
      <c r="E149" s="11" t="n">
        <f aca="false">D149-C149</f>
        <v>-1.035</v>
      </c>
      <c r="F149" s="13" t="n">
        <f aca="false">B149*E149*10000</f>
        <v>-0</v>
      </c>
    </row>
    <row r="150" customFormat="false" ht="12.75" hidden="false" customHeight="false" outlineLevel="0" collapsed="false">
      <c r="A150" s="0" t="s">
        <v>16</v>
      </c>
      <c r="B150" s="1" t="n">
        <v>0</v>
      </c>
      <c r="C150" s="11" t="n">
        <v>3.155</v>
      </c>
      <c r="D150" s="11" t="n">
        <f aca="false">D149</f>
        <v>2.12</v>
      </c>
      <c r="E150" s="11" t="n">
        <f aca="false">D150-C150</f>
        <v>-1.035</v>
      </c>
      <c r="F150" s="13" t="n">
        <f aca="false">B150*E150*10000</f>
        <v>-0</v>
      </c>
    </row>
    <row r="151" customFormat="false" ht="12.75" hidden="false" customHeight="false" outlineLevel="0" collapsed="false">
      <c r="A151" s="0" t="s">
        <v>16</v>
      </c>
      <c r="B151" s="1" t="n">
        <v>0</v>
      </c>
      <c r="C151" s="11" t="n">
        <v>0</v>
      </c>
      <c r="D151" s="11" t="n">
        <f aca="false">D150</f>
        <v>2.12</v>
      </c>
      <c r="E151" s="11" t="n">
        <f aca="false">D151-C151</f>
        <v>2.12</v>
      </c>
      <c r="F151" s="13" t="n">
        <f aca="false">B151*E151*10000</f>
        <v>0</v>
      </c>
    </row>
    <row r="152" customFormat="false" ht="12.75" hidden="false" customHeight="false" outlineLevel="0" collapsed="false">
      <c r="A152" s="0" t="s">
        <v>16</v>
      </c>
      <c r="B152" s="1" t="n">
        <v>0</v>
      </c>
      <c r="C152" s="11" t="n">
        <v>0</v>
      </c>
      <c r="D152" s="11" t="n">
        <f aca="false">D151</f>
        <v>2.12</v>
      </c>
      <c r="E152" s="11" t="n">
        <f aca="false">D152-C152</f>
        <v>2.12</v>
      </c>
      <c r="F152" s="13" t="n">
        <f aca="false">B152*E152*10000</f>
        <v>0</v>
      </c>
    </row>
    <row r="153" customFormat="false" ht="12.75" hidden="false" customHeight="false" outlineLevel="0" collapsed="false">
      <c r="A153" s="0" t="s">
        <v>18</v>
      </c>
      <c r="B153" s="1" t="n">
        <v>0</v>
      </c>
      <c r="C153" s="11" t="n">
        <v>2.9875</v>
      </c>
      <c r="D153" s="11" t="n">
        <f aca="false">D91</f>
        <v>2.12</v>
      </c>
      <c r="E153" s="11" t="n">
        <f aca="false">D153-C153</f>
        <v>-0.8675</v>
      </c>
      <c r="F153" s="13" t="n">
        <f aca="false">B153*E153*10000</f>
        <v>-0</v>
      </c>
    </row>
    <row r="154" customFormat="false" ht="12.75" hidden="false" customHeight="false" outlineLevel="0" collapsed="false">
      <c r="A154" s="0" t="s">
        <v>18</v>
      </c>
      <c r="B154" s="1" t="n">
        <v>0</v>
      </c>
      <c r="C154" s="11" t="n">
        <v>2.9825</v>
      </c>
      <c r="D154" s="11" t="n">
        <f aca="false">D153</f>
        <v>2.12</v>
      </c>
      <c r="E154" s="11" t="n">
        <f aca="false">D154-C154</f>
        <v>-0.8625</v>
      </c>
      <c r="F154" s="13" t="n">
        <f aca="false">B154*E154*10000</f>
        <v>-0</v>
      </c>
    </row>
    <row r="155" customFormat="false" ht="12.75" hidden="false" customHeight="false" outlineLevel="0" collapsed="false">
      <c r="A155" s="0" t="s">
        <v>18</v>
      </c>
      <c r="B155" s="1" t="n">
        <v>0</v>
      </c>
      <c r="C155" s="11" t="n">
        <v>2.9975</v>
      </c>
      <c r="D155" s="11" t="n">
        <f aca="false">D154</f>
        <v>2.12</v>
      </c>
      <c r="E155" s="11" t="n">
        <f aca="false">D155-C155</f>
        <v>-0.8775</v>
      </c>
      <c r="F155" s="13" t="n">
        <f aca="false">B155*E155*10000</f>
        <v>-0</v>
      </c>
    </row>
    <row r="156" customFormat="false" ht="12.75" hidden="false" customHeight="false" outlineLevel="0" collapsed="false">
      <c r="A156" s="0" t="s">
        <v>18</v>
      </c>
      <c r="B156" s="1" t="n">
        <v>0</v>
      </c>
      <c r="C156" s="11" t="n">
        <v>3.0075</v>
      </c>
      <c r="D156" s="11" t="n">
        <f aca="false">D155</f>
        <v>2.12</v>
      </c>
      <c r="E156" s="11" t="n">
        <f aca="false">D156-C156</f>
        <v>-0.8875</v>
      </c>
      <c r="F156" s="13" t="n">
        <f aca="false">B156*E156*10000</f>
        <v>-0</v>
      </c>
    </row>
    <row r="157" customFormat="false" ht="12.75" hidden="false" customHeight="false" outlineLevel="0" collapsed="false">
      <c r="A157" s="0" t="s">
        <v>18</v>
      </c>
      <c r="B157" s="1" t="n">
        <v>0</v>
      </c>
      <c r="C157" s="11" t="n">
        <v>2.9825</v>
      </c>
      <c r="D157" s="11" t="n">
        <f aca="false">D156</f>
        <v>2.12</v>
      </c>
      <c r="E157" s="11" t="n">
        <f aca="false">D157-C157</f>
        <v>-0.8625</v>
      </c>
      <c r="F157" s="13" t="n">
        <f aca="false">B157*E157*10000</f>
        <v>-0</v>
      </c>
    </row>
    <row r="158" customFormat="false" ht="12.75" hidden="false" customHeight="false" outlineLevel="0" collapsed="false">
      <c r="A158" s="0" t="s">
        <v>18</v>
      </c>
      <c r="B158" s="1" t="n">
        <v>0</v>
      </c>
      <c r="C158" s="11" t="n">
        <v>3.0075</v>
      </c>
      <c r="D158" s="11" t="n">
        <f aca="false">D157</f>
        <v>2.12</v>
      </c>
      <c r="E158" s="11" t="n">
        <f aca="false">D158-C158</f>
        <v>-0.8875</v>
      </c>
      <c r="F158" s="13" t="n">
        <f aca="false">B158*E158*10000</f>
        <v>-0</v>
      </c>
    </row>
    <row r="159" customFormat="false" ht="12.75" hidden="false" customHeight="false" outlineLevel="0" collapsed="false">
      <c r="A159" s="0" t="s">
        <v>20</v>
      </c>
      <c r="B159" s="1" t="n">
        <v>0</v>
      </c>
      <c r="C159" s="11" t="n">
        <v>2.935</v>
      </c>
      <c r="D159" s="11" t="n">
        <f aca="false">D92</f>
        <v>2.155</v>
      </c>
      <c r="E159" s="11" t="n">
        <f aca="false">D159-C159</f>
        <v>-0.78</v>
      </c>
      <c r="F159" s="13" t="n">
        <f aca="false">B159*E159*10000</f>
        <v>-0</v>
      </c>
    </row>
    <row r="160" customFormat="false" ht="12.75" hidden="false" customHeight="false" outlineLevel="0" collapsed="false">
      <c r="A160" s="0" t="s">
        <v>20</v>
      </c>
      <c r="B160" s="1" t="n">
        <v>0</v>
      </c>
      <c r="C160" s="11" t="n">
        <v>3.02875</v>
      </c>
      <c r="D160" s="11" t="n">
        <f aca="false">D159</f>
        <v>2.155</v>
      </c>
      <c r="E160" s="11" t="n">
        <f aca="false">D160-C160</f>
        <v>-0.87375</v>
      </c>
      <c r="F160" s="13" t="n">
        <f aca="false">B160*E160*10000</f>
        <v>-0</v>
      </c>
    </row>
    <row r="161" customFormat="false" ht="12.75" hidden="false" customHeight="false" outlineLevel="0" collapsed="false">
      <c r="A161" s="0" t="s">
        <v>20</v>
      </c>
      <c r="B161" s="1" t="n">
        <v>0</v>
      </c>
      <c r="C161" s="11" t="n">
        <v>2.8</v>
      </c>
      <c r="D161" s="11" t="n">
        <f aca="false">D160</f>
        <v>2.155</v>
      </c>
      <c r="E161" s="11" t="n">
        <f aca="false">D161-C161</f>
        <v>-0.645</v>
      </c>
      <c r="F161" s="13" t="n">
        <f aca="false">B161*E161*10000</f>
        <v>-0</v>
      </c>
    </row>
    <row r="162" customFormat="false" ht="12.75" hidden="false" customHeight="false" outlineLevel="0" collapsed="false">
      <c r="A162" s="0" t="s">
        <v>20</v>
      </c>
      <c r="B162" s="1" t="n">
        <v>0</v>
      </c>
      <c r="C162" s="11" t="n">
        <v>3.03125</v>
      </c>
      <c r="D162" s="11" t="n">
        <f aca="false">D161</f>
        <v>2.155</v>
      </c>
      <c r="E162" s="11" t="n">
        <f aca="false">D162-C162</f>
        <v>-0.87625</v>
      </c>
      <c r="F162" s="13" t="n">
        <f aca="false">B162*E162*10000</f>
        <v>-0</v>
      </c>
    </row>
    <row r="163" customFormat="false" ht="12.75" hidden="false" customHeight="false" outlineLevel="0" collapsed="false">
      <c r="A163" s="0" t="s">
        <v>20</v>
      </c>
      <c r="B163" s="1" t="n">
        <v>0</v>
      </c>
      <c r="C163" s="11" t="n">
        <v>3.3875</v>
      </c>
      <c r="D163" s="11" t="n">
        <f aca="false">D162</f>
        <v>2.155</v>
      </c>
      <c r="E163" s="11" t="n">
        <f aca="false">D163-C163</f>
        <v>-1.2325</v>
      </c>
      <c r="F163" s="13" t="n">
        <f aca="false">B163*E163*10000</f>
        <v>-0</v>
      </c>
    </row>
    <row r="164" customFormat="false" ht="12.75" hidden="false" customHeight="false" outlineLevel="0" collapsed="false">
      <c r="A164" s="0" t="s">
        <v>20</v>
      </c>
      <c r="B164" s="1" t="n">
        <v>0</v>
      </c>
      <c r="C164" s="11" t="n">
        <v>3.815</v>
      </c>
      <c r="D164" s="11" t="n">
        <f aca="false">D163</f>
        <v>2.155</v>
      </c>
      <c r="E164" s="11" t="n">
        <f aca="false">D164-C164</f>
        <v>-1.66</v>
      </c>
      <c r="F164" s="13" t="n">
        <f aca="false">B164*E164*10000</f>
        <v>-0</v>
      </c>
    </row>
    <row r="165" customFormat="false" ht="12.75" hidden="false" customHeight="false" outlineLevel="0" collapsed="false">
      <c r="A165" s="0" t="s">
        <v>20</v>
      </c>
      <c r="B165" s="1" t="n">
        <v>0</v>
      </c>
      <c r="C165" s="11" t="n">
        <v>3.855</v>
      </c>
      <c r="D165" s="11" t="n">
        <f aca="false">D164</f>
        <v>2.155</v>
      </c>
      <c r="E165" s="11" t="n">
        <f aca="false">D165-C165</f>
        <v>-1.7</v>
      </c>
      <c r="F165" s="13" t="n">
        <f aca="false">B165*E165*10000</f>
        <v>-0</v>
      </c>
      <c r="J165" s="1" t="n">
        <f aca="false">J164/13.9</f>
        <v>0</v>
      </c>
    </row>
    <row r="166" customFormat="false" ht="12.75" hidden="false" customHeight="false" outlineLevel="0" collapsed="false">
      <c r="A166" s="0" t="s">
        <v>20</v>
      </c>
      <c r="B166" s="1" t="n">
        <v>0</v>
      </c>
      <c r="C166" s="11" t="n">
        <v>3.5</v>
      </c>
      <c r="D166" s="11" t="n">
        <f aca="false">D165</f>
        <v>2.155</v>
      </c>
      <c r="E166" s="11" t="n">
        <f aca="false">D166-C166</f>
        <v>-1.345</v>
      </c>
      <c r="F166" s="13" t="n">
        <f aca="false">B166*E166*10000</f>
        <v>-0</v>
      </c>
    </row>
    <row r="167" customFormat="false" ht="12.75" hidden="false" customHeight="false" outlineLevel="0" collapsed="false">
      <c r="A167" s="0" t="s">
        <v>20</v>
      </c>
      <c r="B167" s="1" t="n">
        <v>0</v>
      </c>
      <c r="C167" s="11" t="n">
        <v>4.735</v>
      </c>
      <c r="D167" s="11" t="n">
        <f aca="false">D166</f>
        <v>2.155</v>
      </c>
      <c r="E167" s="11" t="n">
        <f aca="false">D167-C167</f>
        <v>-2.58</v>
      </c>
      <c r="F167" s="13" t="n">
        <f aca="false">B167*E167*10000</f>
        <v>-0</v>
      </c>
    </row>
    <row r="168" customFormat="false" ht="12.75" hidden="false" customHeight="false" outlineLevel="0" collapsed="false">
      <c r="A168" s="0" t="s">
        <v>20</v>
      </c>
      <c r="B168" s="1" t="n">
        <v>0</v>
      </c>
      <c r="C168" s="11" t="n">
        <v>4.63</v>
      </c>
      <c r="D168" s="11" t="n">
        <f aca="false">D167</f>
        <v>2.155</v>
      </c>
      <c r="E168" s="11" t="n">
        <f aca="false">D168-C168</f>
        <v>-2.475</v>
      </c>
      <c r="F168" s="13" t="n">
        <f aca="false">B168*E168*10000</f>
        <v>-0</v>
      </c>
    </row>
    <row r="169" customFormat="false" ht="12.75" hidden="false" customHeight="false" outlineLevel="0" collapsed="false">
      <c r="A169" s="0" t="s">
        <v>21</v>
      </c>
      <c r="B169" s="1" t="n">
        <v>0</v>
      </c>
      <c r="C169" s="11" t="n">
        <v>3.0775</v>
      </c>
      <c r="D169" s="11" t="n">
        <f aca="false">D95</f>
        <v>2.22</v>
      </c>
      <c r="E169" s="11" t="n">
        <f aca="false">D169-C169</f>
        <v>-0.8575</v>
      </c>
      <c r="F169" s="13" t="n">
        <f aca="false">B169*E169*10000</f>
        <v>-0</v>
      </c>
    </row>
    <row r="170" customFormat="false" ht="12.75" hidden="false" customHeight="false" outlineLevel="0" collapsed="false">
      <c r="A170" s="0" t="s">
        <v>21</v>
      </c>
      <c r="B170" s="1" t="n">
        <v>0</v>
      </c>
      <c r="C170" s="11" t="n">
        <v>2.78</v>
      </c>
      <c r="D170" s="11" t="n">
        <f aca="false">D169</f>
        <v>2.22</v>
      </c>
      <c r="E170" s="11" t="n">
        <f aca="false">D170-C170</f>
        <v>-0.56</v>
      </c>
      <c r="F170" s="13" t="n">
        <f aca="false">B170*E170*10000</f>
        <v>-0</v>
      </c>
    </row>
    <row r="171" customFormat="false" ht="12.75" hidden="false" customHeight="false" outlineLevel="0" collapsed="false">
      <c r="A171" s="0" t="s">
        <v>21</v>
      </c>
      <c r="B171" s="1" t="n">
        <v>0</v>
      </c>
      <c r="C171" s="11" t="n">
        <v>2.8</v>
      </c>
      <c r="D171" s="11" t="n">
        <f aca="false">D170</f>
        <v>2.22</v>
      </c>
      <c r="E171" s="11" t="n">
        <f aca="false">D171-C171</f>
        <v>-0.58</v>
      </c>
      <c r="F171" s="13" t="n">
        <f aca="false">B171*E171*10000</f>
        <v>-0</v>
      </c>
    </row>
    <row r="172" customFormat="false" ht="12.75" hidden="false" customHeight="false" outlineLevel="0" collapsed="false">
      <c r="A172" s="0" t="s">
        <v>21</v>
      </c>
      <c r="B172" s="1" t="n">
        <v>0</v>
      </c>
      <c r="C172" s="11" t="n">
        <v>2.9475</v>
      </c>
      <c r="D172" s="11" t="n">
        <f aca="false">D171</f>
        <v>2.22</v>
      </c>
      <c r="E172" s="11" t="n">
        <f aca="false">D172-C172</f>
        <v>-0.7275</v>
      </c>
      <c r="F172" s="13" t="n">
        <f aca="false">B172*E172*10000</f>
        <v>-0</v>
      </c>
    </row>
    <row r="173" customFormat="false" ht="12.75" hidden="false" customHeight="false" outlineLevel="0" collapsed="false">
      <c r="A173" s="0" t="s">
        <v>50</v>
      </c>
      <c r="B173" s="1" t="n">
        <v>0</v>
      </c>
      <c r="C173" s="11" t="n">
        <v>2.935</v>
      </c>
      <c r="D173" s="11" t="n">
        <f aca="false">D97</f>
        <v>2.51285714285714</v>
      </c>
      <c r="E173" s="11" t="n">
        <f aca="false">D173-C173</f>
        <v>-0.422142857142857</v>
      </c>
      <c r="F173" s="13" t="n">
        <f aca="false">B173*E173*10000</f>
        <v>-0</v>
      </c>
    </row>
    <row r="174" customFormat="false" ht="12.75" hidden="false" customHeight="false" outlineLevel="0" collapsed="false">
      <c r="A174" s="0" t="s">
        <v>50</v>
      </c>
      <c r="B174" s="1" t="n">
        <v>0</v>
      </c>
      <c r="C174" s="11" t="n">
        <v>2.955</v>
      </c>
      <c r="D174" s="11" t="n">
        <f aca="false">D173</f>
        <v>2.51285714285714</v>
      </c>
      <c r="E174" s="11" t="n">
        <f aca="false">D174-C174</f>
        <v>-0.442142857142857</v>
      </c>
      <c r="F174" s="13" t="n">
        <f aca="false">B174*E174*10000</f>
        <v>-0</v>
      </c>
    </row>
    <row r="175" customFormat="false" ht="12.75" hidden="false" customHeight="false" outlineLevel="0" collapsed="false">
      <c r="A175" s="0" t="s">
        <v>51</v>
      </c>
      <c r="B175" s="1" t="n">
        <v>0</v>
      </c>
      <c r="C175" s="11" t="n">
        <v>2.935</v>
      </c>
      <c r="D175" s="11" t="n">
        <f aca="false">D98</f>
        <v>3.045</v>
      </c>
      <c r="E175" s="11" t="n">
        <f aca="false">D175-C175</f>
        <v>0.11</v>
      </c>
      <c r="F175" s="13" t="n">
        <f aca="false">B175*E175*10000</f>
        <v>0</v>
      </c>
    </row>
    <row r="176" customFormat="false" ht="12.75" hidden="false" customHeight="false" outlineLevel="0" collapsed="false">
      <c r="A176" s="0" t="s">
        <v>51</v>
      </c>
      <c r="C176" s="11"/>
      <c r="D176" s="11" t="n">
        <f aca="false">D175</f>
        <v>3.045</v>
      </c>
      <c r="E176" s="11" t="n">
        <f aca="false">D176-C176</f>
        <v>3.045</v>
      </c>
      <c r="F176" s="13" t="n">
        <f aca="false">B176*E176*10000</f>
        <v>0</v>
      </c>
    </row>
    <row r="177" customFormat="false" ht="12.75" hidden="false" customHeight="false" outlineLevel="0" collapsed="false">
      <c r="A177" s="0" t="s">
        <v>52</v>
      </c>
      <c r="B177" s="1" t="n">
        <v>0</v>
      </c>
      <c r="C177" s="11" t="n">
        <v>3.49</v>
      </c>
      <c r="D177" s="11" t="n">
        <f aca="false">D99</f>
        <v>3.145</v>
      </c>
      <c r="E177" s="11" t="n">
        <f aca="false">D177-C177</f>
        <v>-0.345</v>
      </c>
      <c r="F177" s="13" t="n">
        <f aca="false">B177*E177*10000</f>
        <v>-0</v>
      </c>
      <c r="I177" s="27" t="n">
        <f aca="false">AVERAGE(I13:I79)</f>
        <v>3.114375</v>
      </c>
    </row>
    <row r="178" customFormat="false" ht="12.75" hidden="false" customHeight="false" outlineLevel="0" collapsed="false">
      <c r="A178" s="0"/>
      <c r="C178" s="15"/>
      <c r="D178" s="28"/>
      <c r="E178" s="11"/>
      <c r="F178" s="13"/>
      <c r="I178" s="27"/>
    </row>
    <row r="179" customFormat="false" ht="12.75" hidden="false" customHeight="false" outlineLevel="0" collapsed="false">
      <c r="A179" s="0" t="s">
        <v>23</v>
      </c>
      <c r="B179" s="1" t="n">
        <f aca="false">SUM(B102:B177)-SUM(B7:B77)</f>
        <v>0</v>
      </c>
      <c r="F179" s="27" t="n">
        <f aca="false">SUM(F7:F77,F102:F177)</f>
        <v>0</v>
      </c>
    </row>
    <row r="180" customFormat="false" ht="12.75" hidden="false" customHeight="false" outlineLevel="0" collapsed="false">
      <c r="A180" s="0"/>
      <c r="F180" s="13" t="n">
        <f aca="false">SUM(F79:F99)+F179</f>
        <v>2139347.14285714</v>
      </c>
    </row>
    <row r="181" customFormat="false" ht="12.75" hidden="false" customHeight="false" outlineLevel="0" collapsed="false">
      <c r="A181" s="0" t="s">
        <v>32</v>
      </c>
      <c r="B181" s="1" t="n">
        <f aca="false">B79+SUM(B123:B130)-SUM(B27:B33)</f>
        <v>0</v>
      </c>
      <c r="C181" s="15" t="n">
        <f aca="false">B181/19</f>
        <v>0</v>
      </c>
      <c r="D181" s="7" t="n">
        <f aca="false">C181*3</f>
        <v>0</v>
      </c>
      <c r="F181" s="13"/>
    </row>
    <row r="182" customFormat="false" ht="12.75" hidden="false" customHeight="false" outlineLevel="0" collapsed="false">
      <c r="A182" s="0" t="s">
        <v>53</v>
      </c>
      <c r="B182" s="1" t="n">
        <f aca="false">B80</f>
        <v>0</v>
      </c>
      <c r="D182" s="7"/>
      <c r="F182" s="27"/>
      <c r="J182" s="1" t="s">
        <v>84</v>
      </c>
      <c r="K182" s="1" t="s">
        <v>85</v>
      </c>
      <c r="L182" s="1" t="s">
        <v>22</v>
      </c>
    </row>
    <row r="183" customFormat="false" ht="12.75" hidden="false" customHeight="false" outlineLevel="0" collapsed="false">
      <c r="A183" s="0" t="s">
        <v>54</v>
      </c>
      <c r="B183" s="1" t="n">
        <f aca="false">B81+SUM(B102:B110)-SUM(B7:B13)</f>
        <v>-48</v>
      </c>
      <c r="C183" s="15" t="n">
        <f aca="false">B183/19</f>
        <v>-2.52631578947368</v>
      </c>
      <c r="D183" s="7" t="n">
        <f aca="false">C183*3</f>
        <v>-7.57894736842105</v>
      </c>
      <c r="F183" s="13"/>
      <c r="G183" s="19"/>
      <c r="I183" s="1" t="s">
        <v>86</v>
      </c>
      <c r="J183" s="22" t="n">
        <v>60000</v>
      </c>
      <c r="K183" s="22" t="n">
        <v>20000</v>
      </c>
      <c r="L183" s="22" t="n">
        <f aca="false">J183+K183</f>
        <v>80000</v>
      </c>
      <c r="M183" s="31" t="n">
        <f aca="false">L183/4</f>
        <v>20000</v>
      </c>
    </row>
    <row r="184" customFormat="false" ht="12.75" hidden="false" customHeight="false" outlineLevel="0" collapsed="false">
      <c r="A184" s="0" t="s">
        <v>87</v>
      </c>
      <c r="B184" s="1" t="n">
        <v>0</v>
      </c>
      <c r="D184" s="7"/>
      <c r="E184" s="32"/>
      <c r="F184" s="13"/>
      <c r="G184" s="19"/>
      <c r="I184" s="1" t="s">
        <v>88</v>
      </c>
      <c r="J184" s="22" t="n">
        <v>60000</v>
      </c>
      <c r="K184" s="22" t="n">
        <v>20000</v>
      </c>
      <c r="L184" s="22" t="n">
        <f aca="false">J184+K184</f>
        <v>80000</v>
      </c>
      <c r="M184" s="31" t="n">
        <f aca="false">L184/4</f>
        <v>20000</v>
      </c>
    </row>
    <row r="185" customFormat="false" ht="12.75" hidden="false" customHeight="false" outlineLevel="0" collapsed="false">
      <c r="A185" s="0" t="s">
        <v>57</v>
      </c>
      <c r="B185" s="1" t="n">
        <f aca="false">B83+SUM(B111:B122)-SUM(B14:B26)</f>
        <v>-118</v>
      </c>
      <c r="C185" s="15" t="n">
        <f aca="false">B185/19</f>
        <v>-6.21052631578947</v>
      </c>
      <c r="D185" s="7" t="n">
        <f aca="false">C185*3</f>
        <v>-18.6315789473684</v>
      </c>
      <c r="I185" s="1" t="s">
        <v>89</v>
      </c>
      <c r="J185" s="22" t="n">
        <v>40000</v>
      </c>
      <c r="K185" s="22" t="n">
        <v>0</v>
      </c>
      <c r="L185" s="22" t="n">
        <f aca="false">J185+K185</f>
        <v>40000</v>
      </c>
      <c r="M185" s="31" t="n">
        <f aca="false">L185/4</f>
        <v>10000</v>
      </c>
    </row>
    <row r="186" customFormat="false" ht="12.75" hidden="false" customHeight="false" outlineLevel="0" collapsed="false">
      <c r="A186" s="0" t="s">
        <v>33</v>
      </c>
      <c r="B186" s="1" t="n">
        <f aca="false">B84+SUM(B131:B132)-SUM(B34:B35)</f>
        <v>0</v>
      </c>
      <c r="D186" s="7"/>
      <c r="I186" s="1" t="s">
        <v>90</v>
      </c>
      <c r="J186" s="22" t="n">
        <v>105000</v>
      </c>
      <c r="K186" s="22" t="n">
        <v>20000</v>
      </c>
      <c r="L186" s="22" t="n">
        <f aca="false">J186+K186</f>
        <v>125000</v>
      </c>
      <c r="M186" s="31" t="n">
        <f aca="false">L186/4</f>
        <v>31250</v>
      </c>
    </row>
    <row r="187" customFormat="false" ht="12.75" hidden="false" customHeight="false" outlineLevel="0" collapsed="false">
      <c r="A187" s="0" t="s">
        <v>91</v>
      </c>
      <c r="B187" s="1" t="n">
        <f aca="false">B85+SUM(B133:B135)-SUM(B36:B39)</f>
        <v>0</v>
      </c>
      <c r="C187" s="15" t="n">
        <f aca="false">B187/19</f>
        <v>0</v>
      </c>
      <c r="D187" s="7" t="n">
        <f aca="false">C187*3</f>
        <v>0</v>
      </c>
      <c r="I187" s="1" t="s">
        <v>92</v>
      </c>
      <c r="J187" s="22" t="n">
        <v>0</v>
      </c>
      <c r="K187" s="22" t="n">
        <v>25000</v>
      </c>
      <c r="L187" s="22" t="n">
        <f aca="false">J187+K187</f>
        <v>25000</v>
      </c>
      <c r="M187" s="31" t="n">
        <f aca="false">L187/4</f>
        <v>6250</v>
      </c>
    </row>
    <row r="188" customFormat="false" ht="12.75" hidden="false" customHeight="false" outlineLevel="0" collapsed="false">
      <c r="A188" s="0" t="s">
        <v>59</v>
      </c>
      <c r="B188" s="1" t="n">
        <f aca="false">B86</f>
        <v>0</v>
      </c>
      <c r="D188" s="7" t="n">
        <f aca="false">D181+D183+D185+D187</f>
        <v>-26.2105263157895</v>
      </c>
      <c r="I188" s="1" t="s">
        <v>93</v>
      </c>
      <c r="J188" s="22" t="n">
        <v>125000</v>
      </c>
      <c r="K188" s="22" t="n">
        <v>0</v>
      </c>
      <c r="L188" s="22" t="n">
        <f aca="false">J188+K188</f>
        <v>125000</v>
      </c>
      <c r="M188" s="31" t="n">
        <f aca="false">L188/4</f>
        <v>31250</v>
      </c>
    </row>
    <row r="189" customFormat="false" ht="12.75" hidden="false" customHeight="false" outlineLevel="0" collapsed="false">
      <c r="A189" s="0" t="s">
        <v>61</v>
      </c>
      <c r="B189" s="1" t="n">
        <f aca="false">B87</f>
        <v>0</v>
      </c>
      <c r="J189" s="22"/>
      <c r="K189" s="22"/>
      <c r="L189" s="22" t="n">
        <f aca="false">SUM(L183:L188)</f>
        <v>475000</v>
      </c>
      <c r="M189" s="31" t="n">
        <f aca="false">L189/4</f>
        <v>118750</v>
      </c>
    </row>
    <row r="190" customFormat="false" ht="12.75" hidden="false" customHeight="false" outlineLevel="0" collapsed="false">
      <c r="A190" s="0" t="s">
        <v>62</v>
      </c>
      <c r="B190" s="1" t="n">
        <f aca="false">B88</f>
        <v>0</v>
      </c>
      <c r="D190" s="7" t="n">
        <v>30</v>
      </c>
      <c r="E190" s="1" t="s">
        <v>94</v>
      </c>
      <c r="J190" s="22"/>
      <c r="K190" s="22"/>
      <c r="L190" s="22"/>
    </row>
    <row r="191" customFormat="false" ht="12.75" hidden="false" customHeight="false" outlineLevel="0" collapsed="false">
      <c r="A191" s="0" t="s">
        <v>35</v>
      </c>
      <c r="B191" s="1" t="n">
        <f aca="false">B82+B136-B40</f>
        <v>0</v>
      </c>
      <c r="C191" s="1" t="n">
        <f aca="false">SUM(B181:B191)</f>
        <v>-166</v>
      </c>
      <c r="D191" s="26" t="n">
        <f aca="false">C191/D190</f>
        <v>-5.53333333333333</v>
      </c>
      <c r="J191" s="22"/>
      <c r="K191" s="22"/>
      <c r="L191" s="22"/>
    </row>
    <row r="192" customFormat="false" ht="12.75" hidden="false" customHeight="false" outlineLevel="0" collapsed="false">
      <c r="A192" s="0" t="s">
        <v>16</v>
      </c>
      <c r="B192" s="1" t="n">
        <f aca="false">B90+SUM(B137:B152)-SUM(B41:B50)</f>
        <v>0</v>
      </c>
      <c r="D192" s="7"/>
      <c r="E192" s="7"/>
      <c r="F192" s="1" t="n">
        <v>-8</v>
      </c>
      <c r="J192" s="19" t="n">
        <v>0.01</v>
      </c>
      <c r="K192" s="19"/>
      <c r="L192" s="22"/>
    </row>
    <row r="193" customFormat="false" ht="12.75" hidden="false" customHeight="false" outlineLevel="0" collapsed="false">
      <c r="A193" s="0" t="s">
        <v>18</v>
      </c>
      <c r="B193" s="1" t="n">
        <f aca="false">B91+SUM(B153:B158)-SUM(B51:B56)</f>
        <v>-27</v>
      </c>
      <c r="J193" s="19" t="n">
        <v>0.025</v>
      </c>
      <c r="K193" s="19"/>
    </row>
    <row r="194" customFormat="false" ht="12.75" hidden="false" customHeight="false" outlineLevel="0" collapsed="false">
      <c r="A194" s="29" t="s">
        <v>20</v>
      </c>
      <c r="B194" s="1" t="n">
        <f aca="false">B92+SUM(B159:B168)-SUM(B57:B68)</f>
        <v>-61</v>
      </c>
      <c r="J194" s="19" t="n">
        <v>0.03</v>
      </c>
      <c r="K194" s="19"/>
    </row>
    <row r="195" customFormat="false" ht="12.75" hidden="false" customHeight="false" outlineLevel="0" collapsed="false">
      <c r="A195" s="29"/>
      <c r="B195" s="1" t="n">
        <v>0</v>
      </c>
      <c r="C195" s="33"/>
      <c r="D195" s="7"/>
      <c r="J195" s="19" t="n">
        <v>0.035</v>
      </c>
      <c r="K195" s="19"/>
    </row>
    <row r="196" customFormat="false" ht="12.75" hidden="false" customHeight="false" outlineLevel="0" collapsed="false">
      <c r="A196" s="29"/>
      <c r="B196" s="1" t="n">
        <v>0</v>
      </c>
      <c r="C196" s="33"/>
      <c r="J196" s="19"/>
      <c r="K196" s="19"/>
    </row>
    <row r="197" customFormat="false" ht="12.75" hidden="false" customHeight="false" outlineLevel="0" collapsed="false">
      <c r="A197" s="29" t="s">
        <v>21</v>
      </c>
      <c r="B197" s="1" t="n">
        <f aca="false">B95+SUM(B169:B170)-SUM(B69:B70)</f>
        <v>-63</v>
      </c>
      <c r="C197" s="33"/>
      <c r="J197" s="19"/>
      <c r="K197" s="19"/>
    </row>
    <row r="198" customFormat="false" ht="12.75" hidden="false" customHeight="false" outlineLevel="0" collapsed="false">
      <c r="A198" s="0" t="s">
        <v>21</v>
      </c>
      <c r="B198" s="1" t="n">
        <f aca="false">B96+SUM(B171:B172)-SUM(B71:B72)</f>
        <v>0</v>
      </c>
      <c r="C198" s="33" t="n">
        <f aca="false">SUM(B192:B198)</f>
        <v>-151</v>
      </c>
      <c r="J198" s="19" t="n">
        <v>0.0375</v>
      </c>
      <c r="K198" s="19"/>
    </row>
    <row r="199" customFormat="false" ht="12.75" hidden="false" customHeight="false" outlineLevel="0" collapsed="false">
      <c r="A199" s="29" t="s">
        <v>50</v>
      </c>
      <c r="B199" s="1" t="n">
        <f aca="false">B97+SUM(B173:B174)-SUM(B73:B74)</f>
        <v>2</v>
      </c>
      <c r="C199" s="33"/>
      <c r="J199" s="19" t="n">
        <v>0.0275</v>
      </c>
      <c r="K199" s="19"/>
    </row>
    <row r="200" customFormat="false" ht="12.75" hidden="false" customHeight="false" outlineLevel="0" collapsed="false">
      <c r="A200" s="29" t="s">
        <v>51</v>
      </c>
      <c r="B200" s="1" t="n">
        <f aca="false">B98-SUM(B75:B76)+SUM(B175:B176)</f>
        <v>3</v>
      </c>
      <c r="C200" s="33"/>
      <c r="J200" s="19"/>
      <c r="K200" s="19"/>
    </row>
    <row r="201" customFormat="false" ht="12.75" hidden="false" customHeight="false" outlineLevel="0" collapsed="false">
      <c r="A201" s="29" t="s">
        <v>95</v>
      </c>
      <c r="B201" s="1" t="n">
        <f aca="false">B99+SUM(B177)-SUM(B77)</f>
        <v>-2</v>
      </c>
      <c r="C201" s="33" t="n">
        <f aca="false">SUM(B198:B201)</f>
        <v>3</v>
      </c>
      <c r="D201" s="1" t="n">
        <f aca="false">SUM(B192:B201)</f>
        <v>-148</v>
      </c>
      <c r="J201" s="19"/>
      <c r="K201" s="19"/>
    </row>
    <row r="202" customFormat="false" ht="12.75" hidden="false" customHeight="false" outlineLevel="0" collapsed="false">
      <c r="A202" s="0"/>
      <c r="J202" s="19" t="n">
        <v>0.015</v>
      </c>
      <c r="K202" s="19" t="n">
        <f aca="false">AVERAGE(J192:J202)</f>
        <v>0.0257142857142857</v>
      </c>
    </row>
    <row r="203" customFormat="false" ht="12.75" hidden="false" customHeight="false" outlineLevel="0" collapsed="false">
      <c r="A203" s="29"/>
      <c r="B203" s="1" t="n">
        <f aca="false">SUM(B181:B201)</f>
        <v>-314</v>
      </c>
      <c r="C203" s="1" t="n">
        <v>45</v>
      </c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  <c r="B206" s="34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 t="s">
        <v>96</v>
      </c>
      <c r="B208" s="1" t="n">
        <f aca="false">SUM(B193:B201)</f>
        <v>-148</v>
      </c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  <c r="B210" s="1" t="n">
        <v>-29</v>
      </c>
      <c r="C210" s="1" t="n">
        <v>1.79</v>
      </c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  <c r="C217" s="1" t="s">
        <v>43</v>
      </c>
      <c r="D217" s="1" t="n">
        <v>-0.0875</v>
      </c>
    </row>
    <row r="218" customFormat="false" ht="12.75" hidden="false" customHeight="false" outlineLevel="0" collapsed="false">
      <c r="A218" s="0"/>
      <c r="C218" s="1" t="s">
        <v>44</v>
      </c>
      <c r="D218" s="1" t="n">
        <v>-0.0875</v>
      </c>
    </row>
    <row r="219" customFormat="false" ht="12.75" hidden="false" customHeight="false" outlineLevel="0" collapsed="false">
      <c r="A219" s="0"/>
      <c r="C219" s="1" t="s">
        <v>45</v>
      </c>
      <c r="D219" s="1" t="n">
        <v>-0.085</v>
      </c>
    </row>
    <row r="220" customFormat="false" ht="12.75" hidden="false" customHeight="false" outlineLevel="0" collapsed="false">
      <c r="A220" s="0"/>
      <c r="C220" s="1" t="s">
        <v>46</v>
      </c>
      <c r="D220" s="1" t="n">
        <v>-0.08</v>
      </c>
      <c r="F220" s="1" t="n">
        <f aca="false">AVERAGE(D217:D220)</f>
        <v>-0.085</v>
      </c>
    </row>
    <row r="221" customFormat="false" ht="12.75" hidden="false" customHeight="false" outlineLevel="0" collapsed="false">
      <c r="A221" s="0"/>
      <c r="C221" s="1" t="s">
        <v>8</v>
      </c>
      <c r="D221" s="1" t="n">
        <v>-0.06</v>
      </c>
    </row>
    <row r="222" customFormat="false" ht="12.75" hidden="false" customHeight="false" outlineLevel="0" collapsed="false">
      <c r="A222" s="0"/>
      <c r="C222" s="1" t="s">
        <v>16</v>
      </c>
      <c r="D222" s="1" t="n">
        <v>-0.06</v>
      </c>
    </row>
    <row r="223" customFormat="false" ht="12.75" hidden="false" customHeight="false" outlineLevel="0" collapsed="false">
      <c r="A223" s="0"/>
      <c r="C223" s="1" t="s">
        <v>18</v>
      </c>
      <c r="D223" s="1" t="n">
        <v>-0.06</v>
      </c>
    </row>
    <row r="224" customFormat="false" ht="12.75" hidden="false" customHeight="false" outlineLevel="0" collapsed="false">
      <c r="A224" s="0"/>
      <c r="C224" s="1" t="s">
        <v>20</v>
      </c>
      <c r="D224" s="1" t="n">
        <v>-0.06</v>
      </c>
    </row>
    <row r="225" customFormat="false" ht="12.75" hidden="false" customHeight="false" outlineLevel="0" collapsed="false">
      <c r="A225" s="0"/>
      <c r="C225" s="1" t="s">
        <v>21</v>
      </c>
      <c r="D225" s="1" t="n">
        <v>-0.06</v>
      </c>
      <c r="F225" s="26" t="n">
        <f aca="false">AVERAGE(D217:D225)</f>
        <v>-0.0711111111111111</v>
      </c>
    </row>
    <row r="226" customFormat="false" ht="12.75" hidden="false" customHeight="false" outlineLevel="0" collapsed="false">
      <c r="A226" s="0"/>
      <c r="C226" s="1" t="s">
        <v>40</v>
      </c>
      <c r="D226" s="1" t="n">
        <v>-0.07</v>
      </c>
    </row>
    <row r="227" customFormat="false" ht="12.75" hidden="false" customHeight="false" outlineLevel="0" collapsed="false">
      <c r="A227" s="0"/>
      <c r="C227" s="1" t="s">
        <v>41</v>
      </c>
      <c r="D227" s="1" t="n">
        <v>-0.075</v>
      </c>
    </row>
    <row r="228" customFormat="false" ht="12.75" hidden="false" customHeight="false" outlineLevel="0" collapsed="false">
      <c r="A228" s="0"/>
      <c r="C228" s="1" t="s">
        <v>42</v>
      </c>
      <c r="D228" s="1" t="n">
        <v>-0.08</v>
      </c>
      <c r="F228" s="15" t="n">
        <f aca="false">AVERAGE(D217:D228)</f>
        <v>-0.0720833333333333</v>
      </c>
    </row>
    <row r="229" customFormat="false" ht="12.75" hidden="false" customHeight="false" outlineLevel="0" collapsed="false">
      <c r="A229" s="0"/>
      <c r="C229" s="1" t="s">
        <v>43</v>
      </c>
      <c r="D229" s="1" t="n">
        <v>-0.0775</v>
      </c>
    </row>
    <row r="230" customFormat="false" ht="12.75" hidden="false" customHeight="false" outlineLevel="0" collapsed="false">
      <c r="A230" s="0"/>
      <c r="C230" s="1" t="s">
        <v>44</v>
      </c>
      <c r="D230" s="1" t="n">
        <v>-0.0775</v>
      </c>
    </row>
    <row r="231" customFormat="false" ht="12.75" hidden="false" customHeight="false" outlineLevel="0" collapsed="false">
      <c r="A231" s="0"/>
      <c r="C231" s="1" t="s">
        <v>45</v>
      </c>
      <c r="D231" s="1" t="n">
        <v>-0.075</v>
      </c>
    </row>
    <row r="232" customFormat="false" ht="12.75" hidden="false" customHeight="false" outlineLevel="0" collapsed="false">
      <c r="A232" s="0"/>
      <c r="C232" s="1" t="s">
        <v>46</v>
      </c>
      <c r="D232" s="1" t="n">
        <v>-0.07</v>
      </c>
      <c r="F232" s="1" t="n">
        <f aca="false">AVERAGE(D217:D232)</f>
        <v>-0.0728125</v>
      </c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  <c r="F244" s="1" t="s">
        <v>97</v>
      </c>
      <c r="G244" s="22" t="n">
        <v>2500000</v>
      </c>
    </row>
    <row r="245" customFormat="false" ht="12.75" hidden="false" customHeight="false" outlineLevel="0" collapsed="false">
      <c r="A245" s="0"/>
      <c r="F245" s="1" t="s">
        <v>98</v>
      </c>
      <c r="G245" s="22" t="n">
        <v>2500000</v>
      </c>
    </row>
    <row r="246" customFormat="false" ht="12.75" hidden="false" customHeight="false" outlineLevel="0" collapsed="false">
      <c r="A246" s="0"/>
      <c r="F246" s="1" t="s">
        <v>99</v>
      </c>
      <c r="G246" s="22" t="n">
        <v>2000000</v>
      </c>
    </row>
    <row r="247" customFormat="false" ht="12.75" hidden="false" customHeight="false" outlineLevel="0" collapsed="false">
      <c r="A247" s="0"/>
      <c r="F247" s="1" t="s">
        <v>100</v>
      </c>
      <c r="G247" s="22" t="n">
        <v>750000</v>
      </c>
    </row>
    <row r="248" customFormat="false" ht="12.75" hidden="false" customHeight="false" outlineLevel="0" collapsed="false">
      <c r="A248" s="0"/>
      <c r="F248" s="1" t="s">
        <v>101</v>
      </c>
      <c r="G248" s="22" t="n">
        <v>250000</v>
      </c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  <c r="G250" s="31" t="n">
        <f aca="false">SUM(G244:G249)</f>
        <v>8000000</v>
      </c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5.75" hidden="false" customHeight="false" outlineLevel="0" collapsed="false">
      <c r="A280" s="0"/>
      <c r="B280" s="35" t="s">
        <v>102</v>
      </c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  <c r="C282" s="3" t="s">
        <v>103</v>
      </c>
    </row>
    <row r="283" customFormat="false" ht="12.75" hidden="false" customHeight="false" outlineLevel="0" collapsed="false">
      <c r="A283" s="3" t="s">
        <v>104</v>
      </c>
      <c r="C283" s="24" t="n">
        <f aca="false">296098+66648</f>
        <v>362746</v>
      </c>
      <c r="P283" s="1" t="s">
        <v>20</v>
      </c>
    </row>
    <row r="284" customFormat="false" ht="12.75" hidden="false" customHeight="false" outlineLevel="0" collapsed="false">
      <c r="A284" s="3" t="s">
        <v>105</v>
      </c>
      <c r="C284" s="24" t="n">
        <f aca="false">C283-69000</f>
        <v>293746</v>
      </c>
      <c r="O284" s="1" t="n">
        <v>1997</v>
      </c>
      <c r="P284" s="24" t="n">
        <f aca="false">74150+19492</f>
        <v>93642</v>
      </c>
      <c r="Q284" s="24" t="n">
        <f aca="false">P284-10692</f>
        <v>82950</v>
      </c>
      <c r="R284" s="24"/>
      <c r="S284" s="24"/>
      <c r="T284" s="24"/>
    </row>
    <row r="285" customFormat="false" ht="12.75" hidden="false" customHeight="false" outlineLevel="0" collapsed="false">
      <c r="A285" s="0"/>
      <c r="C285" s="3"/>
      <c r="D285" s="3"/>
      <c r="E285" s="3"/>
      <c r="F285" s="3"/>
      <c r="G285" s="3"/>
      <c r="H285" s="3"/>
      <c r="I285" s="36" t="s">
        <v>20</v>
      </c>
      <c r="J285" s="3"/>
      <c r="O285" s="1" t="n">
        <v>1998</v>
      </c>
      <c r="P285" s="24" t="n">
        <f aca="false">105987+33318</f>
        <v>139305</v>
      </c>
      <c r="Q285" s="24" t="n">
        <f aca="false">P285-22214</f>
        <v>117091</v>
      </c>
      <c r="R285" s="24"/>
      <c r="S285" s="24"/>
      <c r="T285" s="24"/>
    </row>
    <row r="286" customFormat="false" ht="13.5" hidden="false" customHeight="false" outlineLevel="0" collapsed="false">
      <c r="A286" s="0"/>
      <c r="C286" s="37" t="n">
        <v>36937</v>
      </c>
      <c r="D286" s="36" t="s">
        <v>106</v>
      </c>
      <c r="E286" s="3"/>
      <c r="F286" s="38" t="n">
        <v>36571</v>
      </c>
      <c r="G286" s="36" t="s">
        <v>106</v>
      </c>
      <c r="H286" s="3"/>
      <c r="I286" s="36" t="s">
        <v>107</v>
      </c>
      <c r="J286" s="36" t="s">
        <v>106</v>
      </c>
      <c r="O286" s="1" t="n">
        <v>1999</v>
      </c>
      <c r="P286" s="24" t="n">
        <f aca="false">(202460+45856)</f>
        <v>248316</v>
      </c>
      <c r="Q286" s="24" t="n">
        <f aca="false">P286-58726</f>
        <v>189590</v>
      </c>
      <c r="R286" s="24"/>
      <c r="S286" s="24"/>
      <c r="T286" s="24"/>
    </row>
    <row r="287" customFormat="false" ht="12.75" hidden="false" customHeight="false" outlineLevel="0" collapsed="false">
      <c r="A287" s="3" t="s">
        <v>104</v>
      </c>
      <c r="C287" s="39" t="n">
        <v>103001</v>
      </c>
      <c r="D287" s="40" t="n">
        <f aca="false">C287/C283</f>
        <v>0.283947996669846</v>
      </c>
      <c r="E287" s="41"/>
      <c r="F287" s="42" t="n">
        <f aca="false">155652+33514</f>
        <v>189166</v>
      </c>
      <c r="G287" s="40" t="n">
        <f aca="false">F287/$C$283</f>
        <v>0.521483351987341</v>
      </c>
      <c r="H287" s="41"/>
      <c r="I287" s="42" t="n">
        <f aca="false">AVERAGE(P284:P287)</f>
        <v>167607.25</v>
      </c>
      <c r="J287" s="43" t="n">
        <f aca="false">I287/$C$283</f>
        <v>0.46205127003468</v>
      </c>
      <c r="O287" s="1" t="n">
        <v>2000</v>
      </c>
      <c r="P287" s="24" t="n">
        <v>189166</v>
      </c>
      <c r="Q287" s="24" t="n">
        <v>164468</v>
      </c>
      <c r="R287" s="24"/>
      <c r="S287" s="24"/>
      <c r="T287" s="24"/>
    </row>
    <row r="288" customFormat="false" ht="13.5" hidden="false" customHeight="false" outlineLevel="0" collapsed="false">
      <c r="A288" s="3" t="s">
        <v>105</v>
      </c>
      <c r="C288" s="44" t="n">
        <v>92020</v>
      </c>
      <c r="D288" s="45" t="n">
        <f aca="false">C288/C284</f>
        <v>0.313263840188462</v>
      </c>
      <c r="E288" s="46"/>
      <c r="F288" s="47" t="n">
        <f aca="false">F287-24698</f>
        <v>164468</v>
      </c>
      <c r="G288" s="45" t="n">
        <f aca="false">F288/$C$284</f>
        <v>0.559898687982134</v>
      </c>
      <c r="H288" s="46"/>
      <c r="I288" s="47" t="n">
        <f aca="false">AVERAGE(Q284:Q287)</f>
        <v>138524.75</v>
      </c>
      <c r="J288" s="48" t="n">
        <f aca="false">I288/$C$284</f>
        <v>0.471580038536695</v>
      </c>
      <c r="P288" s="24"/>
      <c r="Q288" s="24"/>
      <c r="R288" s="24"/>
      <c r="S288" s="24"/>
      <c r="T288" s="24"/>
    </row>
    <row r="289" customFormat="false" ht="12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49" t="n">
        <v>37195</v>
      </c>
      <c r="J289" s="3"/>
      <c r="P289" s="24"/>
      <c r="Q289" s="24"/>
      <c r="R289" s="24"/>
      <c r="S289" s="24"/>
      <c r="T289" s="24"/>
    </row>
    <row r="290" customFormat="false" ht="13.5" hidden="false" customHeight="false" outlineLevel="0" collapsed="false">
      <c r="A290" s="3"/>
      <c r="B290" s="3"/>
      <c r="C290" s="37" t="n">
        <v>36616</v>
      </c>
      <c r="D290" s="36" t="s">
        <v>106</v>
      </c>
      <c r="E290" s="3"/>
      <c r="F290" s="37" t="n">
        <v>36830</v>
      </c>
      <c r="G290" s="36" t="s">
        <v>106</v>
      </c>
      <c r="H290" s="3"/>
      <c r="I290" s="36" t="s">
        <v>107</v>
      </c>
      <c r="J290" s="36" t="s">
        <v>106</v>
      </c>
      <c r="P290" s="24" t="n">
        <v>37195</v>
      </c>
      <c r="Q290" s="24"/>
      <c r="R290" s="24"/>
      <c r="S290" s="24"/>
      <c r="T290" s="24"/>
    </row>
    <row r="291" customFormat="false" ht="12.75" hidden="false" customHeight="false" outlineLevel="0" collapsed="false">
      <c r="A291" s="3" t="s">
        <v>104</v>
      </c>
      <c r="C291" s="39" t="n">
        <f aca="false">153076+33709</f>
        <v>186785</v>
      </c>
      <c r="D291" s="40" t="n">
        <f aca="false">C291/$C$283</f>
        <v>0.514919530470357</v>
      </c>
      <c r="E291" s="41"/>
      <c r="F291" s="42" t="n">
        <f aca="false">172728+49692</f>
        <v>222420</v>
      </c>
      <c r="G291" s="40" t="n">
        <f aca="false">F291/$C$283</f>
        <v>0.613156313232951</v>
      </c>
      <c r="H291" s="41"/>
      <c r="I291" s="42" t="n">
        <f aca="false">AVERAGE(P291:P294)</f>
        <v>283081.25</v>
      </c>
      <c r="J291" s="43" t="n">
        <f aca="false">I291/$C$283</f>
        <v>0.780384208233861</v>
      </c>
      <c r="O291" s="1" t="n">
        <v>1997</v>
      </c>
      <c r="P291" s="24" t="n">
        <f aca="false">204211+47624</f>
        <v>251835</v>
      </c>
      <c r="Q291" s="24" t="n">
        <f aca="false">P291-47502</f>
        <v>204333</v>
      </c>
      <c r="R291" s="24"/>
      <c r="S291" s="24"/>
      <c r="T291" s="24"/>
    </row>
    <row r="292" customFormat="false" ht="13.5" hidden="false" customHeight="false" outlineLevel="0" collapsed="false">
      <c r="A292" s="3" t="s">
        <v>105</v>
      </c>
      <c r="C292" s="44" t="n">
        <f aca="false">C291-12234</f>
        <v>174551</v>
      </c>
      <c r="D292" s="45" t="n">
        <f aca="false">C292/$C$284</f>
        <v>0.594224261777182</v>
      </c>
      <c r="E292" s="46"/>
      <c r="F292" s="50" t="n">
        <f aca="false">F291-42274</f>
        <v>180146</v>
      </c>
      <c r="G292" s="45" t="n">
        <f aca="false">F292/$C$284</f>
        <v>0.613271329652149</v>
      </c>
      <c r="H292" s="46"/>
      <c r="I292" s="47" t="n">
        <f aca="false">AVERAGE(Q291:Q294)</f>
        <v>223551.75</v>
      </c>
      <c r="J292" s="48" t="n">
        <f aca="false">I292/$C$284</f>
        <v>0.761037597107705</v>
      </c>
      <c r="O292" s="1" t="n">
        <v>1998</v>
      </c>
      <c r="P292" s="24" t="n">
        <f aca="false">268254+61311</f>
        <v>329565</v>
      </c>
      <c r="Q292" s="24" t="n">
        <f aca="false">P292-76491</f>
        <v>253074</v>
      </c>
      <c r="R292" s="24"/>
      <c r="S292" s="24"/>
      <c r="T292" s="24"/>
    </row>
    <row r="293" customFormat="false" ht="12.75" hidden="false" customHeight="false" outlineLevel="0" collapsed="false">
      <c r="A293" s="1" t="b">
        <f aca="false">FALSE()</f>
        <v>0</v>
      </c>
      <c r="O293" s="1" t="n">
        <v>1999</v>
      </c>
      <c r="P293" s="24" t="n">
        <f aca="false">265121+63384</f>
        <v>328505</v>
      </c>
      <c r="Q293" s="24" t="n">
        <f aca="false">P293-71851</f>
        <v>256654</v>
      </c>
      <c r="R293" s="24"/>
      <c r="S293" s="24"/>
      <c r="T293" s="24"/>
    </row>
    <row r="294" customFormat="false" ht="12.75" hidden="false" customHeight="false" outlineLevel="0" collapsed="false">
      <c r="A294" s="3"/>
      <c r="D294" s="3"/>
      <c r="E294" s="3"/>
      <c r="F294" s="36" t="s">
        <v>108</v>
      </c>
      <c r="G294" s="3"/>
      <c r="H294" s="3"/>
      <c r="I294" s="3" t="s">
        <v>109</v>
      </c>
      <c r="J294" s="3"/>
      <c r="O294" s="1" t="n">
        <v>2000</v>
      </c>
      <c r="P294" s="24" t="n">
        <f aca="false">172728+49692</f>
        <v>222420</v>
      </c>
      <c r="Q294" s="24" t="n">
        <f aca="false">P294-42274</f>
        <v>180146</v>
      </c>
      <c r="R294" s="24"/>
      <c r="S294" s="24"/>
      <c r="T294" s="24"/>
    </row>
    <row r="295" customFormat="false" ht="13.5" hidden="false" customHeight="false" outlineLevel="0" collapsed="false">
      <c r="A295" s="3"/>
      <c r="D295" s="3"/>
      <c r="E295" s="3"/>
      <c r="F295" s="51" t="n">
        <v>2000</v>
      </c>
      <c r="G295" s="36" t="s">
        <v>110</v>
      </c>
      <c r="H295" s="3"/>
      <c r="I295" s="36" t="s">
        <v>107</v>
      </c>
      <c r="J295" s="36" t="s">
        <v>110</v>
      </c>
      <c r="P295" s="24"/>
      <c r="Q295" s="24"/>
      <c r="R295" s="24"/>
      <c r="S295" s="24"/>
      <c r="T295" s="24"/>
    </row>
    <row r="296" customFormat="false" ht="12.75" hidden="false" customHeight="false" outlineLevel="0" collapsed="false">
      <c r="A296" s="3" t="s">
        <v>104</v>
      </c>
      <c r="F296" s="52" t="n">
        <f aca="false">F291-C291</f>
        <v>35635</v>
      </c>
      <c r="G296" s="53" t="n">
        <f aca="false">F296/245</f>
        <v>145.448979591837</v>
      </c>
      <c r="H296" s="41"/>
      <c r="I296" s="54" t="n">
        <f aca="false">AVERAGE(S297:S300)</f>
        <v>111269</v>
      </c>
      <c r="J296" s="55" t="n">
        <f aca="false">I296/245</f>
        <v>454.159183673469</v>
      </c>
      <c r="P296" s="24" t="n">
        <v>36981</v>
      </c>
      <c r="Q296" s="24"/>
      <c r="R296" s="24"/>
      <c r="S296" s="24"/>
      <c r="T296" s="24"/>
    </row>
    <row r="297" customFormat="false" ht="13.5" hidden="false" customHeight="false" outlineLevel="0" collapsed="false">
      <c r="A297" s="3" t="s">
        <v>105</v>
      </c>
      <c r="F297" s="56" t="n">
        <f aca="false">F292-C292</f>
        <v>5595</v>
      </c>
      <c r="G297" s="57" t="n">
        <f aca="false">F297/245</f>
        <v>22.8367346938776</v>
      </c>
      <c r="H297" s="46"/>
      <c r="I297" s="50" t="n">
        <f aca="false">AVERAGE(T297:T300)</f>
        <v>76298.75</v>
      </c>
      <c r="J297" s="58" t="n">
        <f aca="false">I297/245</f>
        <v>311.423469387755</v>
      </c>
      <c r="O297" s="1" t="n">
        <v>1997</v>
      </c>
      <c r="P297" s="24" t="n">
        <f aca="false">94858+29020</f>
        <v>123878</v>
      </c>
      <c r="Q297" s="24" t="n">
        <f aca="false">P297-15027</f>
        <v>108851</v>
      </c>
      <c r="R297" s="24"/>
      <c r="S297" s="24" t="n">
        <f aca="false">P291-P297</f>
        <v>127957</v>
      </c>
      <c r="T297" s="24" t="n">
        <f aca="false">Q291-Q297</f>
        <v>95482</v>
      </c>
    </row>
    <row r="298" customFormat="false" ht="12.75" hidden="false" customHeight="false" outlineLevel="0" collapsed="false">
      <c r="O298" s="1" t="n">
        <v>1998</v>
      </c>
      <c r="P298" s="24" t="n">
        <f aca="false">123880+29032</f>
        <v>152912</v>
      </c>
      <c r="Q298" s="24" t="n">
        <f aca="false">P298-26642</f>
        <v>126270</v>
      </c>
      <c r="R298" s="24"/>
      <c r="S298" s="24" t="n">
        <f aca="false">P292-P298</f>
        <v>176653</v>
      </c>
      <c r="T298" s="24" t="n">
        <f aca="false">Q292-Q298</f>
        <v>126804</v>
      </c>
    </row>
    <row r="299" customFormat="false" ht="12.75" hidden="false" customHeight="false" outlineLevel="0" collapsed="false">
      <c r="F299" s="3" t="s">
        <v>111</v>
      </c>
      <c r="O299" s="1" t="n">
        <v>1999</v>
      </c>
      <c r="P299" s="24" t="n">
        <f aca="false">186403+37271</f>
        <v>223674</v>
      </c>
      <c r="Q299" s="24" t="n">
        <f aca="false">P299-44334</f>
        <v>179340</v>
      </c>
      <c r="R299" s="24"/>
      <c r="S299" s="24" t="n">
        <f aca="false">P293-P299</f>
        <v>104831</v>
      </c>
      <c r="T299" s="24" t="n">
        <f aca="false">Q293-Q299</f>
        <v>77314</v>
      </c>
    </row>
    <row r="300" customFormat="false" ht="13.5" hidden="false" customHeight="false" outlineLevel="0" collapsed="false">
      <c r="F300" s="3" t="s">
        <v>112</v>
      </c>
      <c r="G300" s="36" t="s">
        <v>110</v>
      </c>
      <c r="O300" s="1" t="n">
        <v>2000</v>
      </c>
      <c r="P300" s="24" t="n">
        <f aca="false">C291</f>
        <v>186785</v>
      </c>
      <c r="Q300" s="24" t="n">
        <f aca="false">C292</f>
        <v>174551</v>
      </c>
      <c r="R300" s="24"/>
      <c r="S300" s="24" t="n">
        <f aca="false">P294-P300</f>
        <v>35635</v>
      </c>
      <c r="T300" s="24" t="n">
        <f aca="false">Q294-Q300</f>
        <v>5595</v>
      </c>
    </row>
    <row r="301" customFormat="false" ht="12.75" hidden="false" customHeight="false" outlineLevel="0" collapsed="false">
      <c r="A301" s="3" t="s">
        <v>104</v>
      </c>
      <c r="F301" s="52" t="n">
        <f aca="false">F291-C287</f>
        <v>119419</v>
      </c>
      <c r="G301" s="55" t="n">
        <f aca="false">F301/245</f>
        <v>487.424489795918</v>
      </c>
    </row>
    <row r="302" customFormat="false" ht="13.5" hidden="false" customHeight="false" outlineLevel="0" collapsed="false">
      <c r="A302" s="3" t="s">
        <v>105</v>
      </c>
      <c r="F302" s="56" t="n">
        <f aca="false">F292-C288</f>
        <v>88126</v>
      </c>
      <c r="G302" s="58" t="n">
        <f aca="false">F302/245</f>
        <v>359.697959183673</v>
      </c>
    </row>
    <row r="322" customFormat="false" ht="12.75" hidden="false" customHeight="false" outlineLevel="0" collapsed="false">
      <c r="H322" s="13" t="n">
        <v>1286654.12</v>
      </c>
    </row>
    <row r="323" customFormat="false" ht="12.75" hidden="false" customHeight="false" outlineLevel="0" collapsed="false">
      <c r="H323" s="27" t="n">
        <f aca="false">H322*0.9</f>
        <v>1157988.708</v>
      </c>
    </row>
    <row r="327" customFormat="false" ht="12.75" hidden="false" customHeight="false" outlineLevel="0" collapsed="false">
      <c r="H327" s="13" t="n">
        <f aca="false">H322-H323</f>
        <v>128665.412</v>
      </c>
    </row>
    <row r="332" customFormat="false" ht="12.75" hidden="false" customHeight="false" outlineLevel="0" collapsed="false">
      <c r="F332" s="1" t="n">
        <v>10500</v>
      </c>
      <c r="G332" s="1" t="n">
        <v>24.5</v>
      </c>
      <c r="H332" s="13" t="n">
        <f aca="false">F332*G332</f>
        <v>257250</v>
      </c>
    </row>
    <row r="333" customFormat="false" ht="12.75" hidden="false" customHeight="false" outlineLevel="0" collapsed="false">
      <c r="G333" s="1" t="n">
        <v>4.01</v>
      </c>
      <c r="H333" s="13" t="n">
        <f aca="false">F332*G333</f>
        <v>42105</v>
      </c>
    </row>
    <row r="335" customFormat="false" ht="12.75" hidden="false" customHeight="false" outlineLevel="0" collapsed="false">
      <c r="H335" s="27" t="n">
        <f aca="false">H332-H333</f>
        <v>215145</v>
      </c>
    </row>
    <row r="337" customFormat="false" ht="12.75" hidden="false" customHeight="false" outlineLevel="0" collapsed="false">
      <c r="H337" s="27" t="n">
        <f aca="false">H327-H335</f>
        <v>-86479.588</v>
      </c>
    </row>
    <row r="358" customFormat="false" ht="12.75" hidden="false" customHeight="false" outlineLevel="0" collapsed="false">
      <c r="H358" s="1" t="s">
        <v>113</v>
      </c>
      <c r="J358" s="1" t="s">
        <v>114</v>
      </c>
    </row>
    <row r="359" customFormat="false" ht="12.75" hidden="false" customHeight="false" outlineLevel="0" collapsed="false">
      <c r="G359" s="1" t="n">
        <v>2.34</v>
      </c>
      <c r="H359" s="1" t="n">
        <v>-0.085</v>
      </c>
      <c r="I359" s="1" t="n">
        <v>15.5</v>
      </c>
      <c r="J359" s="1" t="n">
        <v>-0.1</v>
      </c>
      <c r="K359" s="1" t="n">
        <f aca="false">I359*J359</f>
        <v>-1.55</v>
      </c>
    </row>
    <row r="360" customFormat="false" ht="12.75" hidden="false" customHeight="false" outlineLevel="0" collapsed="false">
      <c r="H360" s="1" t="n">
        <v>-0.09</v>
      </c>
      <c r="I360" s="1" t="n">
        <v>46.5</v>
      </c>
      <c r="J360" s="1" t="n">
        <v>-0.1075</v>
      </c>
      <c r="K360" s="1" t="n">
        <f aca="false">I360*J360</f>
        <v>-4.99875</v>
      </c>
    </row>
    <row r="361" customFormat="false" ht="12.75" hidden="false" customHeight="false" outlineLevel="0" collapsed="false">
      <c r="H361" s="1" t="n">
        <v>-0.0875</v>
      </c>
      <c r="I361" s="1" t="n">
        <v>4.4</v>
      </c>
      <c r="J361" s="1" t="n">
        <v>-0.0825</v>
      </c>
      <c r="K361" s="1" t="n">
        <f aca="false">I361*J361</f>
        <v>-0.363</v>
      </c>
    </row>
    <row r="362" customFormat="false" ht="12.75" hidden="false" customHeight="false" outlineLevel="0" collapsed="false">
      <c r="H362" s="1" t="n">
        <v>-0.08</v>
      </c>
      <c r="I362" s="1" t="n">
        <f aca="false">SUM(I359:I361)</f>
        <v>66.4</v>
      </c>
      <c r="K362" s="1" t="n">
        <f aca="false">SUM(K359:K361)</f>
        <v>-6.91175</v>
      </c>
    </row>
    <row r="363" customFormat="false" ht="12.75" hidden="false" customHeight="false" outlineLevel="0" collapsed="false">
      <c r="H363" s="1" t="n">
        <v>-0.0725</v>
      </c>
      <c r="K363" s="1" t="n">
        <f aca="false">K362/I362</f>
        <v>-0.104092620481928</v>
      </c>
      <c r="L363" s="1" t="n">
        <v>0.024</v>
      </c>
      <c r="M363" s="1" t="n">
        <f aca="false">K363+L363</f>
        <v>-0.0800926204819277</v>
      </c>
    </row>
    <row r="364" customFormat="false" ht="12.75" hidden="false" customHeight="false" outlineLevel="0" collapsed="false">
      <c r="H364" s="1" t="n">
        <v>-0.075</v>
      </c>
    </row>
    <row r="366" customFormat="false" ht="12.75" hidden="false" customHeight="false" outlineLevel="0" collapsed="false">
      <c r="H366" s="1" t="n">
        <f aca="false">AVERAGE(H359:H364)</f>
        <v>-0.0816666666666667</v>
      </c>
    </row>
    <row r="396" customFormat="false" ht="12.75" hidden="false" customHeight="false" outlineLevel="0" collapsed="false">
      <c r="I396" s="1" t="s">
        <v>115</v>
      </c>
    </row>
    <row r="397" customFormat="false" ht="12.75" hidden="false" customHeight="false" outlineLevel="0" collapsed="false">
      <c r="I397" s="1" t="s">
        <v>116</v>
      </c>
    </row>
    <row r="398" customFormat="false" ht="12.75" hidden="false" customHeight="false" outlineLevel="0" collapsed="false">
      <c r="I398" s="1" t="s">
        <v>117</v>
      </c>
    </row>
    <row r="400" customFormat="false" ht="12.75" hidden="false" customHeight="false" outlineLevel="0" collapsed="false">
      <c r="B400" s="1" t="n">
        <v>226.7</v>
      </c>
      <c r="E400" s="1" t="s">
        <v>118</v>
      </c>
      <c r="G400" s="1" t="n">
        <v>15000</v>
      </c>
      <c r="H400" s="59" t="n">
        <v>0.014</v>
      </c>
      <c r="I400" s="13" t="n">
        <f aca="false">G400*H400</f>
        <v>210</v>
      </c>
    </row>
    <row r="401" customFormat="false" ht="12.75" hidden="false" customHeight="false" outlineLevel="0" collapsed="false">
      <c r="B401" s="1" t="n">
        <v>36.04</v>
      </c>
      <c r="E401" s="1" t="s">
        <v>119</v>
      </c>
      <c r="I401" s="13" t="n">
        <v>32.5</v>
      </c>
    </row>
    <row r="402" customFormat="false" ht="12.75" hidden="false" customHeight="false" outlineLevel="0" collapsed="false">
      <c r="A402" s="1" t="n">
        <v>840</v>
      </c>
      <c r="E402" s="1" t="s">
        <v>120</v>
      </c>
      <c r="G402" s="1" t="n">
        <v>840</v>
      </c>
      <c r="H402" s="1" t="n">
        <f aca="false">G402/12</f>
        <v>70</v>
      </c>
      <c r="I402" s="13" t="n">
        <f aca="false">H402</f>
        <v>70</v>
      </c>
    </row>
    <row r="403" customFormat="false" ht="12.75" hidden="false" customHeight="false" outlineLevel="0" collapsed="false">
      <c r="A403" s="60" t="n">
        <v>0.75</v>
      </c>
      <c r="B403" s="1" t="n">
        <v>53.25</v>
      </c>
      <c r="E403" s="1" t="s">
        <v>121</v>
      </c>
      <c r="F403" s="13" t="n">
        <v>5000</v>
      </c>
      <c r="G403" s="27" t="n">
        <f aca="false">F403/100</f>
        <v>50</v>
      </c>
      <c r="H403" s="13" t="n">
        <v>0.2</v>
      </c>
      <c r="I403" s="13" t="n">
        <f aca="false">G403*H403</f>
        <v>10</v>
      </c>
    </row>
    <row r="404" customFormat="false" ht="12.75" hidden="false" customHeight="false" outlineLevel="0" collapsed="false">
      <c r="A404" s="1" t="n">
        <v>600000</v>
      </c>
      <c r="B404" s="1" t="n">
        <v>30</v>
      </c>
      <c r="C404" s="1" t="n">
        <v>0.1</v>
      </c>
      <c r="E404" s="1" t="s">
        <v>122</v>
      </c>
      <c r="F404" s="13" t="n">
        <f aca="false">2*180000</f>
        <v>360000</v>
      </c>
      <c r="G404" s="27" t="n">
        <f aca="false">F404/1000</f>
        <v>360</v>
      </c>
      <c r="H404" s="13" t="n">
        <v>0.1</v>
      </c>
      <c r="I404" s="13" t="n">
        <f aca="false">G404*H404</f>
        <v>36</v>
      </c>
    </row>
    <row r="405" customFormat="false" ht="12.75" hidden="false" customHeight="false" outlineLevel="0" collapsed="false">
      <c r="A405" s="1" t="n">
        <v>150000</v>
      </c>
      <c r="B405" s="1" t="n">
        <v>6</v>
      </c>
      <c r="C405" s="1" t="n">
        <v>0.08</v>
      </c>
      <c r="E405" s="1" t="s">
        <v>123</v>
      </c>
      <c r="F405" s="13" t="n">
        <v>40000</v>
      </c>
      <c r="H405" s="1" t="n">
        <v>6.8</v>
      </c>
      <c r="I405" s="13" t="n">
        <f aca="false">H405</f>
        <v>6.8</v>
      </c>
    </row>
    <row r="406" customFormat="false" ht="12.75" hidden="false" customHeight="false" outlineLevel="0" collapsed="false">
      <c r="A406" s="1" t="n">
        <v>10000</v>
      </c>
      <c r="B406" s="1" t="n">
        <v>0.42</v>
      </c>
      <c r="E406" s="1" t="s">
        <v>124</v>
      </c>
      <c r="F406" s="13" t="n">
        <v>10000</v>
      </c>
      <c r="H406" s="1" t="n">
        <v>2.5</v>
      </c>
      <c r="I406" s="13" t="n">
        <f aca="false">H406</f>
        <v>2.5</v>
      </c>
    </row>
    <row r="407" customFormat="false" ht="12.75" hidden="false" customHeight="false" outlineLevel="0" collapsed="false">
      <c r="A407" s="1" t="n">
        <v>400000</v>
      </c>
      <c r="B407" s="1" t="n">
        <v>5.2</v>
      </c>
      <c r="C407" s="1" t="n">
        <v>0.026</v>
      </c>
      <c r="E407" s="1" t="s">
        <v>125</v>
      </c>
      <c r="F407" s="13" t="n">
        <f aca="false">2*180000</f>
        <v>360000</v>
      </c>
      <c r="G407" s="27" t="n">
        <f aca="false">F407/1000</f>
        <v>360</v>
      </c>
      <c r="H407" s="11" t="n">
        <v>0.032</v>
      </c>
      <c r="I407" s="13" t="n">
        <f aca="false">G407*H407</f>
        <v>11.52</v>
      </c>
    </row>
    <row r="408" customFormat="false" ht="12.75" hidden="false" customHeight="false" outlineLevel="0" collapsed="false">
      <c r="E408" s="1" t="s">
        <v>126</v>
      </c>
      <c r="I408" s="13" t="n">
        <v>0</v>
      </c>
    </row>
    <row r="410" customFormat="false" ht="12.75" hidden="false" customHeight="false" outlineLevel="0" collapsed="false">
      <c r="B410" s="1" t="n">
        <f aca="false">SUM(B400:B407)</f>
        <v>357.61</v>
      </c>
      <c r="I410" s="27" t="n">
        <f aca="false">SUM(I400:I407)</f>
        <v>379.32</v>
      </c>
    </row>
    <row r="411" customFormat="false" ht="12.75" hidden="false" customHeight="false" outlineLevel="0" collapsed="false">
      <c r="H411" s="1" t="s">
        <v>127</v>
      </c>
      <c r="I411" s="27" t="n">
        <f aca="false">I410/2</f>
        <v>189.66</v>
      </c>
    </row>
    <row r="412" customFormat="false" ht="12.75" hidden="false" customHeight="false" outlineLevel="0" collapsed="false">
      <c r="A412" s="1" t="s">
        <v>128</v>
      </c>
      <c r="B412" s="1" t="n">
        <v>220.33</v>
      </c>
    </row>
    <row r="413" customFormat="false" ht="12.75" hidden="false" customHeight="false" outlineLevel="0" collapsed="false">
      <c r="A413" s="1" t="s">
        <v>129</v>
      </c>
      <c r="B413" s="1" t="n">
        <v>332.94</v>
      </c>
    </row>
    <row r="414" customFormat="false" ht="12.75" hidden="false" customHeight="false" outlineLevel="0" collapsed="false">
      <c r="A414" s="1" t="s">
        <v>130</v>
      </c>
      <c r="B414" s="1" t="n">
        <v>59.67</v>
      </c>
    </row>
    <row r="416" customFormat="false" ht="12.75" hidden="false" customHeight="false" outlineLevel="0" collapsed="false">
      <c r="A416" s="1" t="s">
        <v>131</v>
      </c>
      <c r="B416" s="1" t="n">
        <v>172.28</v>
      </c>
    </row>
    <row r="434" customFormat="false" ht="12.75" hidden="false" customHeight="false" outlineLevel="0" collapsed="false">
      <c r="C434" s="61" t="s">
        <v>132</v>
      </c>
      <c r="F434" s="61" t="s">
        <v>133</v>
      </c>
    </row>
    <row r="435" customFormat="false" ht="12.75" hidden="false" customHeight="false" outlineLevel="0" collapsed="false">
      <c r="B435" s="1" t="s">
        <v>134</v>
      </c>
      <c r="C435" s="1" t="s">
        <v>135</v>
      </c>
      <c r="E435" s="1" t="s">
        <v>134</v>
      </c>
      <c r="F435" s="1" t="s">
        <v>136</v>
      </c>
    </row>
    <row r="436" customFormat="false" ht="12.75" hidden="false" customHeight="false" outlineLevel="0" collapsed="false">
      <c r="B436" s="1" t="s">
        <v>137</v>
      </c>
      <c r="C436" s="1" t="s">
        <v>138</v>
      </c>
      <c r="E436" s="1" t="s">
        <v>137</v>
      </c>
      <c r="F436" s="1" t="s">
        <v>138</v>
      </c>
    </row>
    <row r="437" customFormat="false" ht="12.75" hidden="false" customHeight="false" outlineLevel="0" collapsed="false">
      <c r="C437" s="1" t="s">
        <v>139</v>
      </c>
      <c r="F437" s="1" t="s">
        <v>139</v>
      </c>
    </row>
    <row r="439" customFormat="false" ht="12.75" hidden="false" customHeight="false" outlineLevel="0" collapsed="false">
      <c r="B439" s="1" t="s">
        <v>140</v>
      </c>
      <c r="C439" s="1" t="s">
        <v>141</v>
      </c>
      <c r="E439" s="1" t="s">
        <v>140</v>
      </c>
      <c r="F439" s="1" t="s">
        <v>142</v>
      </c>
    </row>
    <row r="440" customFormat="false" ht="12.75" hidden="false" customHeight="false" outlineLevel="0" collapsed="false">
      <c r="B440" s="1" t="s">
        <v>143</v>
      </c>
      <c r="C440" s="17" t="n">
        <v>22944</v>
      </c>
      <c r="E440" s="1" t="s">
        <v>143</v>
      </c>
      <c r="F440" s="17" t="n">
        <v>33131</v>
      </c>
    </row>
    <row r="441" customFormat="false" ht="12.75" hidden="false" customHeight="false" outlineLevel="0" collapsed="false">
      <c r="B441" s="1" t="s">
        <v>144</v>
      </c>
      <c r="C441" s="1" t="s">
        <v>145</v>
      </c>
      <c r="E441" s="1" t="s">
        <v>144</v>
      </c>
      <c r="F441" s="1" t="s">
        <v>146</v>
      </c>
    </row>
    <row r="442" customFormat="false" ht="12.75" hidden="false" customHeight="false" outlineLevel="0" collapsed="false">
      <c r="E442" s="1" t="s">
        <v>147</v>
      </c>
      <c r="F442" s="59" t="n">
        <v>0.334</v>
      </c>
    </row>
    <row r="444" customFormat="false" ht="12.75" hidden="false" customHeight="false" outlineLevel="0" collapsed="false">
      <c r="F444" s="61" t="s">
        <v>133</v>
      </c>
    </row>
    <row r="445" customFormat="false" ht="12.75" hidden="false" customHeight="false" outlineLevel="0" collapsed="false">
      <c r="E445" s="1" t="s">
        <v>134</v>
      </c>
      <c r="F445" s="1" t="s">
        <v>148</v>
      </c>
    </row>
    <row r="446" customFormat="false" ht="12.75" hidden="false" customHeight="false" outlineLevel="0" collapsed="false">
      <c r="E446" s="1" t="s">
        <v>137</v>
      </c>
      <c r="F446" s="1" t="s">
        <v>138</v>
      </c>
    </row>
    <row r="447" customFormat="false" ht="12.75" hidden="false" customHeight="false" outlineLevel="0" collapsed="false">
      <c r="F447" s="1" t="s">
        <v>139</v>
      </c>
    </row>
    <row r="449" customFormat="false" ht="12.75" hidden="false" customHeight="false" outlineLevel="0" collapsed="false">
      <c r="E449" s="1" t="s">
        <v>140</v>
      </c>
      <c r="F449" s="1" t="s">
        <v>149</v>
      </c>
    </row>
    <row r="450" customFormat="false" ht="12.75" hidden="false" customHeight="false" outlineLevel="0" collapsed="false">
      <c r="E450" s="1" t="s">
        <v>143</v>
      </c>
      <c r="F450" s="17" t="n">
        <v>34080</v>
      </c>
    </row>
    <row r="451" customFormat="false" ht="12.75" hidden="false" customHeight="false" outlineLevel="0" collapsed="false">
      <c r="E451" s="1" t="s">
        <v>144</v>
      </c>
      <c r="F451" s="1" t="s">
        <v>146</v>
      </c>
    </row>
    <row r="452" customFormat="false" ht="12.75" hidden="false" customHeight="false" outlineLevel="0" collapsed="false">
      <c r="E452" s="1" t="s">
        <v>147</v>
      </c>
      <c r="F452" s="59" t="n">
        <v>0.333</v>
      </c>
    </row>
    <row r="454" customFormat="false" ht="12.75" hidden="false" customHeight="false" outlineLevel="0" collapsed="false">
      <c r="F454" s="61" t="s">
        <v>133</v>
      </c>
    </row>
    <row r="455" customFormat="false" ht="12.75" hidden="false" customHeight="false" outlineLevel="0" collapsed="false">
      <c r="E455" s="1" t="s">
        <v>134</v>
      </c>
      <c r="F455" s="1" t="s">
        <v>150</v>
      </c>
    </row>
    <row r="456" customFormat="false" ht="12.75" hidden="false" customHeight="false" outlineLevel="0" collapsed="false">
      <c r="E456" s="1" t="s">
        <v>137</v>
      </c>
      <c r="F456" s="1" t="s">
        <v>138</v>
      </c>
    </row>
    <row r="457" customFormat="false" ht="12.75" hidden="false" customHeight="false" outlineLevel="0" collapsed="false">
      <c r="F457" s="1" t="s">
        <v>139</v>
      </c>
    </row>
    <row r="459" customFormat="false" ht="12.75" hidden="false" customHeight="false" outlineLevel="0" collapsed="false">
      <c r="E459" s="1" t="s">
        <v>140</v>
      </c>
      <c r="F459" s="1" t="s">
        <v>151</v>
      </c>
    </row>
    <row r="460" customFormat="false" ht="12.75" hidden="false" customHeight="false" outlineLevel="0" collapsed="false">
      <c r="E460" s="1" t="s">
        <v>143</v>
      </c>
      <c r="F460" s="17" t="n">
        <v>36021</v>
      </c>
    </row>
    <row r="461" customFormat="false" ht="12.75" hidden="false" customHeight="false" outlineLevel="0" collapsed="false">
      <c r="E461" s="1" t="s">
        <v>144</v>
      </c>
      <c r="F461" s="1" t="s">
        <v>152</v>
      </c>
    </row>
    <row r="462" customFormat="false" ht="12.75" hidden="false" customHeight="false" outlineLevel="0" collapsed="false">
      <c r="E462" s="1" t="s">
        <v>147</v>
      </c>
      <c r="F462" s="59" t="n">
        <v>0.333</v>
      </c>
    </row>
    <row r="465" customFormat="false" ht="12.75" hidden="false" customHeight="false" outlineLevel="0" collapsed="false">
      <c r="C465" s="1" t="s">
        <v>153</v>
      </c>
      <c r="D465" s="4"/>
      <c r="E465" s="61"/>
      <c r="F465" s="1" t="s">
        <v>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1999-07-30T15:35:15Z</dcterms:created>
  <dc:creator>tmartin</dc:creator>
  <dc:description/>
  <dc:language>en-US</dc:language>
  <cp:lastModifiedBy>tmartin</cp:lastModifiedBy>
  <cp:lastPrinted>2001-03-01T23:25:18Z</cp:lastPrinted>
  <dcterms:modified xsi:type="dcterms:W3CDTF">2002-01-24T15:09:46Z</dcterms:modified>
  <cp:revision>0</cp:revision>
  <dc:subject/>
  <dc:title/>
</cp:coreProperties>
</file>