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Merchant" sheetId="2" state="visible" r:id="rId4"/>
    <sheet name="Sayreville" sheetId="3" state="visible" r:id="rId5"/>
    <sheet name="Bellingham" sheetId="4" state="visible" r:id="rId6"/>
    <sheet name="Summary" sheetId="5" state="visible" r:id="rId7"/>
  </sheets>
  <definedNames>
    <definedName function="false" hidden="false" localSheetId="1" name="_xlnm.Print_Area" vbProcedure="false">Merchant!$A$1:$AA$68</definedName>
    <definedName function="false" hidden="false" localSheetId="0" name="_xlnm.Print_Area" vbProcedure="false">Model!$A$7:$AC$463</definedName>
    <definedName function="false" hidden="false" localSheetId="0" name="_xlnm.Print_Titles" vbProcedure="false">Model!$1:$6</definedName>
    <definedName function="false" hidden="false" localSheetId="4" name="_xlnm.Print_Area" vbProcedure="false">Summary!$A$51:$I$79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1" authorId="0">
      <text>
        <r>
          <rPr>
            <b val="true"/>
            <sz val="8"/>
            <color rgb="FF000000"/>
            <rFont val="Tahoma"/>
            <family val="0"/>
          </rPr>
          <t xml:space="preserve">Jhoover: Due to temporarty transmission constraints that should clear up in the short term East PJM Power Trader's recommend using the West PJM forward curve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186</xdr:colOff>
                <xdr:row>49</xdr:row>
                <xdr:rowOff>7</xdr:rowOff>
              </xdr:from>
              <xdr:to>
                <xdr:col>6</xdr:col>
                <xdr:colOff>4</xdr:colOff>
                <xdr:row>53</xdr:row>
                <xdr:rowOff>20</xdr:rowOff>
              </xdr:to>
            </anchor>
          </commentPr>
        </mc:Choice>
        <mc:Fallback/>
      </mc:AlternateContent>
    </comment>
    <comment ref="B62" authorId="0">
      <text>
        <r>
          <rPr>
            <b val="true"/>
            <sz val="8"/>
            <color rgb="FF000000"/>
            <rFont val="Tahoma"/>
            <family val="0"/>
          </rPr>
          <t xml:space="preserve">Jhoover: The No Merchant Case was used 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20</xdr:colOff>
                <xdr:row>60</xdr:row>
                <xdr:rowOff>9</xdr:rowOff>
              </xdr:from>
              <xdr:to>
                <xdr:col>8</xdr:col>
                <xdr:colOff>43</xdr:colOff>
                <xdr:row>64</xdr:row>
                <xdr:rowOff>12</xdr:rowOff>
              </xdr:to>
            </anchor>
          </commentPr>
        </mc:Choice>
        <mc:Fallback/>
      </mc:AlternateContent>
    </comment>
    <comment ref="F32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Enter "Mid" or "Offer"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37</xdr:colOff>
                <xdr:row>324</xdr:row>
                <xdr:rowOff>7</xdr:rowOff>
              </xdr:from>
              <xdr:to>
                <xdr:col>7</xdr:col>
                <xdr:colOff>67</xdr:colOff>
                <xdr:row>328</xdr:row>
                <xdr:rowOff>12</xdr:rowOff>
              </xdr:to>
            </anchor>
          </commentPr>
        </mc:Choice>
        <mc:Fallback/>
      </mc:AlternateContent>
    </comment>
    <comment ref="S87" authorId="0">
      <text>
        <r>
          <rPr>
            <b val="true"/>
            <sz val="8"/>
            <color rgb="FF000000"/>
            <rFont val="Tahoma"/>
            <family val="0"/>
          </rPr>
          <t xml:space="preserve">jhoover: This takes into account the loss of BECO II on 9/15.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82</xdr:colOff>
                <xdr:row>85</xdr:row>
                <xdr:rowOff>7</xdr:rowOff>
              </xdr:from>
              <xdr:to>
                <xdr:col>20</xdr:col>
                <xdr:colOff>43</xdr:colOff>
                <xdr:row>92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<sst xmlns="http://schemas.openxmlformats.org/spreadsheetml/2006/main" count="897" uniqueCount="376">
  <si>
    <t xml:space="preserve">Project (To Be Named)</t>
  </si>
  <si>
    <t xml:space="preserve">t =</t>
  </si>
  <si>
    <t xml:space="preserve">Year-End =</t>
  </si>
  <si>
    <t xml:space="preserve"> </t>
  </si>
  <si>
    <t xml:space="preserve">Assumptions</t>
  </si>
  <si>
    <t xml:space="preserve">Blue</t>
  </si>
  <si>
    <t xml:space="preserve">Input - ESI Tractebel Acquisition Corp. 424B1 Filing Dated 13-Aug-98</t>
  </si>
  <si>
    <t xml:space="preserve">Tractebel Interest in NEEALP</t>
  </si>
  <si>
    <t xml:space="preserve">Stranded Investment</t>
  </si>
  <si>
    <t xml:space="preserve">Rate</t>
  </si>
  <si>
    <t xml:space="preserve">Gas Services</t>
  </si>
  <si>
    <t xml:space="preserve">Steam Services</t>
  </si>
  <si>
    <t xml:space="preserve">Other</t>
  </si>
  <si>
    <t xml:space="preserve">Green</t>
  </si>
  <si>
    <t xml:space="preserve">Input - Enron Projection/Assumption</t>
  </si>
  <si>
    <t xml:space="preserve">Equity Cf</t>
  </si>
  <si>
    <t xml:space="preserve">Tax Rate</t>
  </si>
  <si>
    <t xml:space="preserve">Red</t>
  </si>
  <si>
    <t xml:space="preserve">CTG Projection</t>
  </si>
  <si>
    <t xml:space="preserve">Treasury Rate (10-Yr. Note)</t>
  </si>
  <si>
    <t xml:space="preserve">Debt</t>
  </si>
  <si>
    <t xml:space="preserve">Treasury Rate (30-Yr. Bond)</t>
  </si>
  <si>
    <t xml:space="preserve">Equity</t>
  </si>
  <si>
    <t xml:space="preserve">Black</t>
  </si>
  <si>
    <t xml:space="preserve">Cell Value Calculated</t>
  </si>
  <si>
    <t xml:space="preserve">WACC</t>
  </si>
  <si>
    <t xml:space="preserve">Utility Premium</t>
  </si>
  <si>
    <t xml:space="preserve">Securitization Rate (T+100 Bps)</t>
  </si>
  <si>
    <t xml:space="preserve">Model Assumptions</t>
  </si>
  <si>
    <t xml:space="preserve">Gas Volumes Used (1=Prospectus, 2= Calc)</t>
  </si>
  <si>
    <t xml:space="preserve">Merchant</t>
  </si>
  <si>
    <t xml:space="preserve">Hours</t>
  </si>
  <si>
    <t xml:space="preserve">Inflation (GDP)</t>
  </si>
  <si>
    <t xml:space="preserve">Inflation (CPI)</t>
  </si>
  <si>
    <t xml:space="preserve">Electricity Pricing</t>
  </si>
  <si>
    <t xml:space="preserve">Bellingham - Contract</t>
  </si>
  <si>
    <t xml:space="preserve">BECO - Contract I</t>
  </si>
  <si>
    <t xml:space="preserve">Table 1</t>
  </si>
  <si>
    <t xml:space="preserve">$/MWh</t>
  </si>
  <si>
    <t xml:space="preserve">BECO - Contract II</t>
  </si>
  <si>
    <t xml:space="preserve">Commonwealth - Contract I</t>
  </si>
  <si>
    <t xml:space="preserve">Commonwealth - Contract II</t>
  </si>
  <si>
    <t xml:space="preserve">Montaup - Contract</t>
  </si>
  <si>
    <t xml:space="preserve">Table 2</t>
  </si>
  <si>
    <t xml:space="preserve">Sayreville - Contract</t>
  </si>
  <si>
    <t xml:space="preserve">JCP&amp;L</t>
  </si>
  <si>
    <t xml:space="preserve">ENA Forward - 7x24</t>
  </si>
  <si>
    <t xml:space="preserve">NEPOOL</t>
  </si>
  <si>
    <t xml:space="preserve">Mid</t>
  </si>
  <si>
    <t xml:space="preserve">Offer</t>
  </si>
  <si>
    <t xml:space="preserve">East PJM  (West PJM used - see comment)</t>
  </si>
  <si>
    <t xml:space="preserve">Steam Pricing</t>
  </si>
  <si>
    <t xml:space="preserve">Bellingham</t>
  </si>
  <si>
    <t xml:space="preserve">$/MMlb</t>
  </si>
  <si>
    <t xml:space="preserve">Sayreville</t>
  </si>
  <si>
    <t xml:space="preserve">Gas Pricing</t>
  </si>
  <si>
    <t xml:space="preserve">ESI Tractebel Acquisition Corp. 424B1 Filing </t>
  </si>
  <si>
    <t xml:space="preserve">Delivered to Bellingham (Contract Through November 2013)</t>
  </si>
  <si>
    <t xml:space="preserve">$/MMBtu</t>
  </si>
  <si>
    <t xml:space="preserve">Delivered to Sayreville (Contract Through November 2013)</t>
  </si>
  <si>
    <t xml:space="preserve">ENA</t>
  </si>
  <si>
    <t xml:space="preserve">NYMEX (HH)</t>
  </si>
  <si>
    <t xml:space="preserve">Delivered to Bellingham:</t>
  </si>
  <si>
    <t xml:space="preserve">Basis to TennZ6</t>
  </si>
  <si>
    <t xml:space="preserve">Index to Tenn Z6</t>
  </si>
  <si>
    <t xml:space="preserve">LDC</t>
  </si>
  <si>
    <t xml:space="preserve">Delivered to Bellingham - Total</t>
  </si>
  <si>
    <t xml:space="preserve">Delivered to Sayreville</t>
  </si>
  <si>
    <t xml:space="preserve">Basis to TranscoZ6</t>
  </si>
  <si>
    <t xml:space="preserve">Index to TranscoZ6</t>
  </si>
  <si>
    <t xml:space="preserve">Delivered to Sayreville - Total</t>
  </si>
  <si>
    <t xml:space="preserve">Swap Price 2001 - 2013 from ENA Desk</t>
  </si>
  <si>
    <t xml:space="preserve">Unit Operating Characteristics</t>
  </si>
  <si>
    <t xml:space="preserve">Capacity Under Contract</t>
  </si>
  <si>
    <t xml:space="preserve">MW</t>
  </si>
  <si>
    <t xml:space="preserve">Heat Rate</t>
  </si>
  <si>
    <t xml:space="preserve">Btu/kWh</t>
  </si>
  <si>
    <t xml:space="preserve">Equivalent Availability Factor</t>
  </si>
  <si>
    <t xml:space="preserve">Sales to:</t>
  </si>
  <si>
    <t xml:space="preserve">MWh</t>
  </si>
  <si>
    <t xml:space="preserve">Total</t>
  </si>
  <si>
    <t xml:space="preserve">Capacity Available for Merchant Sales (Using Mid from ENA Desk)</t>
  </si>
  <si>
    <t xml:space="preserve">Merchant Sales Mid</t>
  </si>
  <si>
    <t xml:space="preserve">(Include Merchant Sales  = 1)</t>
  </si>
  <si>
    <t xml:space="preserve">Merchant Sales Bid</t>
  </si>
  <si>
    <t xml:space="preserve">Total Sales</t>
  </si>
  <si>
    <t xml:space="preserve">Capacity Factor</t>
  </si>
  <si>
    <t xml:space="preserve">Fuel Usage:</t>
  </si>
  <si>
    <t xml:space="preserve">Per Prospectus</t>
  </si>
  <si>
    <t xml:space="preserve">Contract Requirements</t>
  </si>
  <si>
    <t xml:space="preserve">MMBtu</t>
  </si>
  <si>
    <t xml:space="preserve">Merchant Sales</t>
  </si>
  <si>
    <t xml:space="preserve">Fuel Usage - Daily Quantity</t>
  </si>
  <si>
    <t xml:space="preserve">MMBtu/d</t>
  </si>
  <si>
    <t xml:space="preserve">Variable O&amp;M</t>
  </si>
  <si>
    <t xml:space="preserve">Steam Sales</t>
  </si>
  <si>
    <t xml:space="preserve">MMlb</t>
  </si>
  <si>
    <t xml:space="preserve">Revenue</t>
  </si>
  <si>
    <t xml:space="preserve">Contract Revenue Based on Pricing In:</t>
  </si>
  <si>
    <t xml:space="preserve">US$000</t>
  </si>
  <si>
    <t xml:space="preserve">Merchant Revenue</t>
  </si>
  <si>
    <t xml:space="preserve">(Mid = 1/Bid =2)</t>
  </si>
  <si>
    <t xml:space="preserve">Revenue from Steam Sales</t>
  </si>
  <si>
    <t xml:space="preserve">Expenses</t>
  </si>
  <si>
    <t xml:space="preserve">Cost of Gas Used in Generation</t>
  </si>
  <si>
    <t xml:space="preserve">Fixed O&amp;M</t>
  </si>
  <si>
    <t xml:space="preserve">Water Cost &amp; Easement Fees</t>
  </si>
  <si>
    <t xml:space="preserve">Insurance</t>
  </si>
  <si>
    <t xml:space="preserve">G&amp;A and Professional Fees</t>
  </si>
  <si>
    <t xml:space="preserve">Property Taxes</t>
  </si>
  <si>
    <t xml:space="preserve">Management Fees</t>
  </si>
  <si>
    <t xml:space="preserve">Fuel Management Fees</t>
  </si>
  <si>
    <t xml:space="preserve">Include Gas Hedge &amp; Peak Service Loss (Savings)</t>
  </si>
  <si>
    <t xml:space="preserve">Y</t>
  </si>
  <si>
    <t xml:space="preserve">Operating Margin</t>
  </si>
  <si>
    <t xml:space="preserve">Cash Flows including Merchant from Prospectus</t>
  </si>
  <si>
    <t xml:space="preserve">Cash Flows excluding Merchant from Prospectus</t>
  </si>
  <si>
    <t xml:space="preserve">Sales to JCP&amp;L</t>
  </si>
  <si>
    <t xml:space="preserve">Capacity Available for Merchant Sales</t>
  </si>
  <si>
    <t xml:space="preserve">Merchant Price</t>
  </si>
  <si>
    <t xml:space="preserve">Water costs and easement fee</t>
  </si>
  <si>
    <t xml:space="preserve">Consolidated Cash Flow</t>
  </si>
  <si>
    <t xml:space="preserve">Operating Margins</t>
  </si>
  <si>
    <t xml:space="preserve">Debt Service - Project</t>
  </si>
  <si>
    <t xml:space="preserve">Subordinated Management Fees</t>
  </si>
  <si>
    <t xml:space="preserve">Cash Flow Available to NEEALP</t>
  </si>
  <si>
    <t xml:space="preserve">Debt Service - NEEALP (Existing Corporate)</t>
  </si>
  <si>
    <t xml:space="preserve">Free Cash Flow to NEEALP</t>
  </si>
  <si>
    <t xml:space="preserve">Free Cash Flow to Tractebel - Interest =</t>
  </si>
  <si>
    <t xml:space="preserve">NPV - Tractebel Interest in NEEALP @</t>
  </si>
  <si>
    <t xml:space="preserve">ExDebt</t>
  </si>
  <si>
    <t xml:space="preserve">Total EV</t>
  </si>
  <si>
    <t xml:space="preserve">Debt Service - Acquiring Co. (New)</t>
  </si>
  <si>
    <t xml:space="preserve">Free Cash Flow to Acquiring Co.</t>
  </si>
  <si>
    <t xml:space="preserve">NPV - Acquiring Co.</t>
  </si>
  <si>
    <t xml:space="preserve">NewDebt</t>
  </si>
  <si>
    <t xml:space="preserve">Project Debt</t>
  </si>
  <si>
    <t xml:space="preserve">Interest</t>
  </si>
  <si>
    <t xml:space="preserve">Principal</t>
  </si>
  <si>
    <t xml:space="preserve">Total Debt Service</t>
  </si>
  <si>
    <t xml:space="preserve">NEEALP Debt (Existing Corporate)</t>
  </si>
  <si>
    <t xml:space="preserve">Interest - 1st Half</t>
  </si>
  <si>
    <t xml:space="preserve">Interest - 2nd half</t>
  </si>
  <si>
    <t xml:space="preserve">Beginning of Year Balance</t>
  </si>
  <si>
    <t xml:space="preserve">Principal Reduction - 1st Half</t>
  </si>
  <si>
    <t xml:space="preserve">Mid-Year Balance</t>
  </si>
  <si>
    <t xml:space="preserve">Principal Reduction - 2nd Half</t>
  </si>
  <si>
    <t xml:space="preserve">End-of-Year Balance</t>
  </si>
  <si>
    <t xml:space="preserve">Acquiring Co. Debt (New)</t>
  </si>
  <si>
    <t xml:space="preserve">Sizing</t>
  </si>
  <si>
    <t xml:space="preserve">Amortization Schedule</t>
  </si>
  <si>
    <t xml:space="preserve">Total =</t>
  </si>
  <si>
    <t xml:space="preserve">Free Cash Flow to Acquistion Co.</t>
  </si>
  <si>
    <t xml:space="preserve">Less:  Merchant Revenue (Bellingham)</t>
  </si>
  <si>
    <t xml:space="preserve">Less:  Merchant Revenue (Sayreville)</t>
  </si>
  <si>
    <t xml:space="preserve">Plus:  Marginal Running Cost - Merchant (Bellingham)</t>
  </si>
  <si>
    <t xml:space="preserve">Plus:  Marginal Running Cost - Merchant (Sayreville)</t>
  </si>
  <si>
    <t xml:space="preserve">Free Cash Flow to Acquistion Co. (Excl. Merchant)</t>
  </si>
  <si>
    <t xml:space="preserve">Debt Service - Acquisition Co.</t>
  </si>
  <si>
    <t xml:space="preserve"> Min </t>
  </si>
  <si>
    <t xml:space="preserve"> Avg </t>
  </si>
  <si>
    <t xml:space="preserve">Coverage Ratio</t>
  </si>
  <si>
    <t xml:space="preserve">Required Coverage</t>
  </si>
  <si>
    <t xml:space="preserve">1.75x</t>
  </si>
  <si>
    <t xml:space="preserve">1.80x</t>
  </si>
  <si>
    <t xml:space="preserve">1.85x</t>
  </si>
  <si>
    <t xml:space="preserve">1.90x</t>
  </si>
  <si>
    <t xml:space="preserve">Transaction Costs ($400k Legal/Other + 1.25% of New Debt)</t>
  </si>
  <si>
    <t xml:space="preserve">Debt Outstanding at Year End*</t>
  </si>
  <si>
    <r>
      <rPr>
        <sz val="10"/>
        <rFont val="Arial"/>
        <family val="2"/>
      </rPr>
      <t xml:space="preserve">Tractebel</t>
    </r>
    <r>
      <rPr>
        <sz val="7.5"/>
        <rFont val="Arial"/>
        <family val="2"/>
      </rPr>
      <t xml:space="preserve"> @</t>
    </r>
  </si>
  <si>
    <t xml:space="preserve">EOY Balance, Tractebel Interest (Effective) = </t>
  </si>
  <si>
    <t xml:space="preserve">*Based on 10k &amp; Registrations:</t>
  </si>
  <si>
    <t xml:space="preserve">CY 2000</t>
  </si>
  <si>
    <t xml:space="preserve">Project</t>
  </si>
  <si>
    <t xml:space="preserve">Existing Corporate</t>
  </si>
  <si>
    <t xml:space="preserve">Restructuring Analysis</t>
  </si>
  <si>
    <t xml:space="preserve">Purchase Power Agreements</t>
  </si>
  <si>
    <t xml:space="preserve">Contract Value</t>
  </si>
  <si>
    <t xml:space="preserve">Market Value, ENA Desk @</t>
  </si>
  <si>
    <t xml:space="preserve">mid</t>
  </si>
  <si>
    <t xml:space="preserve">Tractebel Interest = </t>
  </si>
  <si>
    <t xml:space="preserve">NPV of Tractebel Interest at Year-End @</t>
  </si>
  <si>
    <t xml:space="preserve">Steam Agreements</t>
  </si>
  <si>
    <t xml:space="preserve">Steam Revenue</t>
  </si>
  <si>
    <t xml:space="preserve">Bellingham - Terminate Contract</t>
  </si>
  <si>
    <t xml:space="preserve">Sayreville </t>
  </si>
  <si>
    <t xml:space="preserve">Fuel Costs</t>
  </si>
  <si>
    <t xml:space="preserve">Water Treatment and Boiler Chemicals</t>
  </si>
  <si>
    <t xml:space="preserve">Levelized Maintenance</t>
  </si>
  <si>
    <t xml:space="preserve">Labor Cost</t>
  </si>
  <si>
    <t xml:space="preserve">Water Commodity Cost</t>
  </si>
  <si>
    <t xml:space="preserve">Electricity</t>
  </si>
  <si>
    <t xml:space="preserve">Site Lease</t>
  </si>
  <si>
    <t xml:space="preserve">Taxes and Operating License</t>
  </si>
  <si>
    <t xml:space="preserve">G&amp;A Expense</t>
  </si>
  <si>
    <t xml:space="preserve">Total Cost to Run Boilers</t>
  </si>
  <si>
    <t xml:space="preserve">Contract Cash Flows</t>
  </si>
  <si>
    <t xml:space="preserve">Gas Service Agreements</t>
  </si>
  <si>
    <t xml:space="preserve">Contract Cost</t>
  </si>
  <si>
    <t xml:space="preserve">Bellingham - TOP Quantity (MMBtu) =</t>
  </si>
  <si>
    <t xml:space="preserve">Sayreville - TOP Quantity (MMBtu) = </t>
  </si>
  <si>
    <t xml:space="preserve">Market Cost</t>
  </si>
  <si>
    <t xml:space="preserve">Above (Below) Market Cost</t>
  </si>
  <si>
    <t xml:space="preserve">Management Agreements</t>
  </si>
  <si>
    <t xml:space="preserve">Administrative Services (FPL)</t>
  </si>
  <si>
    <t xml:space="preserve">Term Expires </t>
  </si>
  <si>
    <t xml:space="preserve">Minimum Fee</t>
  </si>
  <si>
    <t xml:space="preserve">Profit Margin</t>
  </si>
  <si>
    <t xml:space="preserve">O&amp;M Services (FPL)</t>
  </si>
  <si>
    <t xml:space="preserve">Fuel Management (FPL)</t>
  </si>
  <si>
    <t xml:space="preserve">Total Expected Profit Margin</t>
  </si>
  <si>
    <t xml:space="preserve">Restructuring Anlaysis (Con't)</t>
  </si>
  <si>
    <t xml:space="preserve">Energy Bank at Year End**</t>
  </si>
  <si>
    <t xml:space="preserve">BECO I Amount</t>
  </si>
  <si>
    <t xml:space="preserve">On = 1</t>
  </si>
  <si>
    <t xml:space="preserve">Montaup Amount</t>
  </si>
  <si>
    <t xml:space="preserve">Year-End Balance, Tractebel Interest = </t>
  </si>
  <si>
    <t xml:space="preserve">**Based on 10k &amp; Registrations:</t>
  </si>
  <si>
    <t xml:space="preserve">(1)   Projected to Reach Zero by 2007</t>
  </si>
  <si>
    <t xml:space="preserve">(2)  Projected to Reach $60.0 MM by 2011; Interest Applied at Prime</t>
  </si>
  <si>
    <t xml:space="preserve">Debt Repayment</t>
  </si>
  <si>
    <t xml:space="preserve">Tractebel Share of:</t>
  </si>
  <si>
    <t xml:space="preserve">"Make-Whole" Premiums on Mandatory Redemption</t>
  </si>
  <si>
    <t xml:space="preserve">Debt Service Scheduled</t>
  </si>
  <si>
    <t xml:space="preserve">NPV at Marginal Investment Rate of:</t>
  </si>
  <si>
    <t xml:space="preserve">Make-Whole Premium</t>
  </si>
  <si>
    <t xml:space="preserve">Existing Corporate Debt</t>
  </si>
  <si>
    <t xml:space="preserve">XNPV at Marginal Investment Rate of:</t>
  </si>
  <si>
    <t xml:space="preserve">Total "Make Whole" Premium</t>
  </si>
  <si>
    <t xml:space="preserve">Summary</t>
  </si>
  <si>
    <t xml:space="preserve">Less:</t>
  </si>
  <si>
    <t xml:space="preserve">  </t>
  </si>
  <si>
    <t xml:space="preserve">Debt Outstanding</t>
  </si>
  <si>
    <t xml:space="preserve">"Make-Whole" Premium on Debt</t>
  </si>
  <si>
    <t xml:space="preserve">Energy Bank Balance - Projected</t>
  </si>
  <si>
    <t xml:space="preserve">Plus: </t>
  </si>
  <si>
    <t xml:space="preserve">Merchant Value (1 = Price Option Value</t>
  </si>
  <si>
    <t xml:space="preserve">2 = $100/kwh)</t>
  </si>
  <si>
    <t xml:space="preserve">Net Pre-Tax Restructuring Value</t>
  </si>
  <si>
    <t xml:space="preserve">Restructuring Value Net of Purchase Price</t>
  </si>
  <si>
    <t xml:space="preserve">Sayreville: New Package Boiler to Replace Hercules Steam Source.</t>
  </si>
  <si>
    <t xml:space="preserve">Assumptions:</t>
  </si>
  <si>
    <t xml:space="preserve">One(1) 250,000 lbs/hr boiler w/capital cost of $4.2MM (total). Current Assumption is that Hercules would run their boilers and Sayreville would pay for maintenance</t>
  </si>
  <si>
    <t xml:space="preserve">one (1) additional FTE required for full-time operation</t>
  </si>
  <si>
    <t xml:space="preserve">Hourly average steam flow for year-round operation is approximately 125,000 lbs/hr.</t>
  </si>
  <si>
    <t xml:space="preserve">No condensate returned, raw water supplied in lieu.</t>
  </si>
  <si>
    <t xml:space="preserve">Equivalent raw water make-up treatment based on 125,000 lbs/hr.</t>
  </si>
  <si>
    <t xml:space="preserve">Blower and pump usage is 6 hp per 1,000 lbs/hr;  total = 750 hp</t>
  </si>
  <si>
    <t xml:space="preserve">Boiler at 85% efficiency (HHV) - 1.402 MMBtu per 1000 lbs steam</t>
  </si>
  <si>
    <t xml:space="preserve">Burdened Operating Labor:</t>
  </si>
  <si>
    <t xml:space="preserve">Re-assignable O&amp;M Expenses</t>
  </si>
  <si>
    <t xml:space="preserve">Maintenance Accruals:</t>
  </si>
  <si>
    <t xml:space="preserve">Water Treatment:</t>
  </si>
  <si>
    <t xml:space="preserve">Outside Services/Consultants</t>
  </si>
  <si>
    <t xml:space="preserve">Boiler chemicals:</t>
  </si>
  <si>
    <t xml:space="preserve">Pretreatment chemicals</t>
  </si>
  <si>
    <t xml:space="preserve">Acid/Caustic</t>
  </si>
  <si>
    <t xml:space="preserve">G&amp;A, Incentives, Fee</t>
  </si>
  <si>
    <t xml:space="preserve">Resin replacement</t>
  </si>
  <si>
    <t xml:space="preserve">Carbon filter upkeep</t>
  </si>
  <si>
    <t xml:space="preserve">Add't'l Taxes, Operating license</t>
  </si>
  <si>
    <t xml:space="preserve">Water (commodity cost) @</t>
  </si>
  <si>
    <t xml:space="preserve">Boiler Fuel (gas) usage @</t>
  </si>
  <si>
    <t xml:space="preserve">(per 1000 gal.)</t>
  </si>
  <si>
    <t xml:space="preserve">(per MMBtu)</t>
  </si>
  <si>
    <t xml:space="preserve">Boiler electricity usage @</t>
  </si>
  <si>
    <t xml:space="preserve">Offset Amount:  Reduction in O&amp;M</t>
  </si>
  <si>
    <t xml:space="preserve">(per kW)</t>
  </si>
  <si>
    <t xml:space="preserve">at Sayreville Generation</t>
  </si>
  <si>
    <t xml:space="preserve">Total (Incremental) Estimated Annual O&amp;M</t>
  </si>
  <si>
    <t xml:space="preserve">O&amp;M Re-assigned from Generation to Boiler Plant</t>
  </si>
  <si>
    <t xml:space="preserve">Total Boiler Plant Estimated Annual O&amp;M</t>
  </si>
  <si>
    <t xml:space="preserve"> 20 Year Capital Recovery @</t>
  </si>
  <si>
    <t xml:space="preserve">Does not include Additional Land Lease:  Estimated (80'x100')</t>
  </si>
  <si>
    <t xml:space="preserve">Capital Cost for Package Boiler</t>
  </si>
  <si>
    <t xml:space="preserve">Fuel Conversion factor (Mmbtu/mlbs)</t>
  </si>
  <si>
    <t xml:space="preserve">Electricity Conversion factor (kWh/horsepower hr)</t>
  </si>
  <si>
    <t xml:space="preserve">Steam Conversion factor (mlbs/1000 gal)</t>
  </si>
  <si>
    <t xml:space="preserve">Recovery Factor</t>
  </si>
  <si>
    <t xml:space="preserve">Water Condensate Recovery %</t>
  </si>
  <si>
    <t xml:space="preserve">Water Commodity Cost (1000 gals.)</t>
  </si>
  <si>
    <t xml:space="preserve">Electricity (horsepower hr/mlb steam)</t>
  </si>
  <si>
    <t xml:space="preserve">Enron North America</t>
  </si>
  <si>
    <t xml:space="preserve">Commercial Transactions Group</t>
  </si>
  <si>
    <t xml:space="preserve">Tractebel Restructuring Analysis</t>
  </si>
  <si>
    <t xml:space="preserve">YEAR</t>
  </si>
  <si>
    <t xml:space="preserve">BID</t>
  </si>
  <si>
    <t xml:space="preserve">1/1/01-12/31/11</t>
  </si>
  <si>
    <t xml:space="preserve">10 MW</t>
  </si>
  <si>
    <t xml:space="preserve">(No Start-up Costs)</t>
  </si>
  <si>
    <t xml:space="preserve">1/1/12-12/31/16</t>
  </si>
  <si>
    <t xml:space="preserve">94 MW</t>
  </si>
  <si>
    <t xml:space="preserve">01/01/17-12/31/17</t>
  </si>
  <si>
    <t xml:space="preserve">275 MW</t>
  </si>
  <si>
    <t xml:space="preserve">(12.309 per start)</t>
  </si>
  <si>
    <t xml:space="preserve">MID</t>
  </si>
  <si>
    <t xml:space="preserve">NEPOL</t>
  </si>
  <si>
    <t xml:space="preserve">TETCO M3 + $0.15</t>
  </si>
  <si>
    <t xml:space="preserve">8 hr blocks Mon - Sun</t>
  </si>
  <si>
    <t xml:space="preserve">95% Availability - No unit contingency</t>
  </si>
  <si>
    <t xml:space="preserve">8300 HR</t>
  </si>
  <si>
    <t xml:space="preserve">VOM $5.92</t>
  </si>
  <si>
    <t xml:space="preserve">Excluding Nov - Mar due to gas constraints</t>
  </si>
  <si>
    <t xml:space="preserve">Peaker correlation curve</t>
  </si>
  <si>
    <t xml:space="preserve">No run hours constraints</t>
  </si>
  <si>
    <t xml:space="preserve">Average Annual Run Hours</t>
  </si>
  <si>
    <t xml:space="preserve">40 MW</t>
  </si>
  <si>
    <t xml:space="preserve">01/01/12-12/31/17</t>
  </si>
  <si>
    <t xml:space="preserve">300 MW</t>
  </si>
  <si>
    <t xml:space="preserve">(13,986 per start)</t>
  </si>
  <si>
    <t xml:space="preserve">PJM</t>
  </si>
  <si>
    <t xml:space="preserve">TRANSCO Z6 + $0.30</t>
  </si>
  <si>
    <t xml:space="preserve">Capacity</t>
  </si>
  <si>
    <t xml:space="preserve">Energy Rev</t>
  </si>
  <si>
    <t xml:space="preserve">Fuel Exp</t>
  </si>
  <si>
    <t xml:space="preserve">VOM</t>
  </si>
  <si>
    <t xml:space="preserve">East Hub</t>
  </si>
  <si>
    <t xml:space="preserve">Total Reve</t>
  </si>
  <si>
    <t xml:space="preserve">Revunue</t>
  </si>
  <si>
    <t xml:space="preserve">No Start Up Costs</t>
  </si>
  <si>
    <t xml:space="preserve">Sayreville Merchant Valuation</t>
  </si>
  <si>
    <t xml:space="preserve">Tolling Agreement</t>
  </si>
  <si>
    <t xml:space="preserve">Annualized Capacity Revenue</t>
  </si>
  <si>
    <t xml:space="preserve">Capacity Revenue ($/Kwm)</t>
  </si>
  <si>
    <t xml:space="preserve">Energy Revenue (Notional)</t>
  </si>
  <si>
    <t xml:space="preserve">Yearly Capacity Revenue (not.)</t>
  </si>
  <si>
    <t xml:space="preserve">Cap. Rev of Deal ($/Kwm)</t>
  </si>
  <si>
    <t xml:space="preserve">    Fuel</t>
  </si>
  <si>
    <t xml:space="preserve">    Variable O&amp;M</t>
  </si>
  <si>
    <t xml:space="preserve">    Per Start</t>
  </si>
  <si>
    <t xml:space="preserve">Marginal Cash Flows</t>
  </si>
  <si>
    <t xml:space="preserve">Check</t>
  </si>
  <si>
    <t xml:space="preserve">PV of Marginal Cash Flows</t>
  </si>
  <si>
    <t xml:space="preserve">Fixed Expenses</t>
  </si>
  <si>
    <t xml:space="preserve">Subtotal</t>
  </si>
  <si>
    <t xml:space="preserve">Merchant Value per $kwh</t>
  </si>
  <si>
    <t xml:space="preserve">Merchant Value @ 14%</t>
  </si>
  <si>
    <t xml:space="preserve">Bellingham Merchant Valuation</t>
  </si>
  <si>
    <t xml:space="preserve">Property Tax Switch (1=original, 2 = $1.9 mm)</t>
  </si>
  <si>
    <t xml:space="preserve">$1.9 mm from ENA Property Tax department based</t>
  </si>
  <si>
    <t xml:space="preserve">on 1.4% Property Tax Rate and a mkt value of $140 mm</t>
  </si>
  <si>
    <t xml:space="preserve">"Preliminary"  Bellingham &amp; Sayreville Valuation (In Millions)</t>
  </si>
  <si>
    <t xml:space="preserve">Baseline Valuation</t>
  </si>
  <si>
    <t xml:space="preserve">1. Based off of information provided in ESI Tractebel Prospectus 424b1 filed 8/13/1998</t>
  </si>
  <si>
    <t xml:space="preserve">2. Unlevered</t>
  </si>
  <si>
    <t xml:space="preserve">3. Merchant Value of $0</t>
  </si>
  <si>
    <t xml:space="preserve">Merchant Value</t>
  </si>
  <si>
    <t xml:space="preserve">Pre-Tax Restructuring Value</t>
  </si>
  <si>
    <t xml:space="preserve">Less Equity Value @ 11%</t>
  </si>
  <si>
    <t xml:space="preserve">Net Restructuring Value</t>
  </si>
  <si>
    <t xml:space="preserve">Base Restructuring Assumption:</t>
  </si>
  <si>
    <t xml:space="preserve">2. That both New Jersey and Massachusetts securitize</t>
  </si>
  <si>
    <t xml:space="preserve">3. Securitization Rate = 8% Based on Utility cost of debt</t>
  </si>
  <si>
    <t xml:space="preserve">4. Utility Premium = 10% (Based on discussions with Doug Clifford and Greg Blair)</t>
  </si>
  <si>
    <t xml:space="preserve">5. Values calculated based on Tractebel's 50% equity interest</t>
  </si>
  <si>
    <t xml:space="preserve">6. BECO Energy Bank at 0</t>
  </si>
  <si>
    <t xml:space="preserve">7. Fuel Agreements are discounted at suppliers cost of debt</t>
  </si>
  <si>
    <t xml:space="preserve">8. Steam Plant is discounted using cost of equity of 11%</t>
  </si>
  <si>
    <t xml:space="preserve">Sensitivities</t>
  </si>
  <si>
    <t xml:space="preserve">Securitization/Utility Sensitivity </t>
  </si>
  <si>
    <t xml:space="preserve">Securitization Rate</t>
  </si>
  <si>
    <t xml:space="preserve">Utility Savings %</t>
  </si>
  <si>
    <t xml:space="preserve">Merchant Sensitivity Analysis</t>
  </si>
  <si>
    <t xml:space="preserve">Mid/Offer Curve Analysis</t>
  </si>
  <si>
    <t xml:space="preserve">BECO EBank Balance</t>
  </si>
  <si>
    <t xml:space="preserve">Value/Kw</t>
  </si>
  <si>
    <t xml:space="preserve">Restructuring Value</t>
  </si>
  <si>
    <t xml:space="preserve">Curve</t>
  </si>
  <si>
    <t xml:space="preserve">% of Balance 2000</t>
  </si>
  <si>
    <t xml:space="preserve">Values Represent Restructuring Net Of Equity</t>
  </si>
  <si>
    <t xml:space="preserve">Bold Represents Base Case</t>
  </si>
  <si>
    <t xml:space="preserve">"Potential" Restructuring Valuation</t>
  </si>
  <si>
    <t xml:space="preserve">2. Discount Rate = 7.5% (Based on 50/50 sharing of securitization)</t>
  </si>
  <si>
    <t xml:space="preserve">3. Utility Premium = 10% (Based on discussions with Dave Duran</t>
  </si>
  <si>
    <t xml:space="preserve">4. Values calculated based on Tractebel's 50% equity interest</t>
  </si>
  <si>
    <t xml:space="preserve">5. Merchant Value = $300/Kw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</si>
</sst>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mmmm\ d&quot;, &quot;yyyy"/>
    <numFmt numFmtId="166" formatCode="_(* #,##0.00_);_(* \(#,##0.00\);_(* \-??_);_(@_)"/>
    <numFmt numFmtId="167" formatCode="[$-409]d\-mmm\-yy"/>
    <numFmt numFmtId="168" formatCode="0%"/>
    <numFmt numFmtId="169" formatCode="0.00%"/>
    <numFmt numFmtId="170" formatCode="_(* #,##0_);_(* \(#,##0\);_(* \-??_);_(@_)"/>
    <numFmt numFmtId="171" formatCode="0.0%"/>
    <numFmt numFmtId="172" formatCode="_(\$* #,##0.00_);_(\$* \(#,##0.00\);_(\$* \-??_);_(@_)"/>
    <numFmt numFmtId="173" formatCode="_(\$* #,##0_);_(\$* \(#,##0\);_(\$* \-??_);_(@_)"/>
    <numFmt numFmtId="174" formatCode="0.00"/>
    <numFmt numFmtId="175" formatCode="0.00\x"/>
    <numFmt numFmtId="176" formatCode="\$#,##0.00_);[RED]&quot;($&quot;#,##0.00\)"/>
    <numFmt numFmtId="177" formatCode="0_);\(0\)"/>
    <numFmt numFmtId="178" formatCode="[$-409]#,##0_);\(#,##0\)"/>
    <numFmt numFmtId="179" formatCode="[$-409]m/d/yyyy"/>
    <numFmt numFmtId="180" formatCode="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339966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333333"/>
      <name val="Arial"/>
      <family val="2"/>
    </font>
    <font>
      <sz val="10"/>
      <color rgb="FF000080"/>
      <name val="Arial"/>
      <family val="2"/>
    </font>
    <font>
      <sz val="7.5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b val="true"/>
      <i val="true"/>
      <sz val="9"/>
      <color rgb="FFFF0000"/>
      <name val="Arial"/>
      <family val="2"/>
    </font>
    <font>
      <b val="true"/>
      <u val="single"/>
      <sz val="14"/>
      <name val="Arial"/>
      <family val="2"/>
    </font>
    <font>
      <b val="true"/>
      <i val="true"/>
      <sz val="12"/>
      <name val="Arial"/>
      <family val="2"/>
    </font>
    <font>
      <sz val="8"/>
      <name val="Arial"/>
      <family val="2"/>
    </font>
    <font>
      <b val="true"/>
      <sz val="16"/>
      <name val="Arial"/>
      <family val="2"/>
    </font>
    <font>
      <b val="true"/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8000"/>
        <bgColor rgb="FF008080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4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3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1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3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3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5" borderId="7" xfId="15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6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3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3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3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3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3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8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7" fillId="3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3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1" fillId="3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3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3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6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3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4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0" fillId="3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3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3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1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4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1" fillId="3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3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4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7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7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7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7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7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23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9" fontId="7" fillId="0" borderId="2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2" fillId="0" borderId="2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146</xdr:row>
      <xdr:rowOff>0</xdr:rowOff>
    </xdr:from>
    <xdr:to>
      <xdr:col>7</xdr:col>
      <xdr:colOff>720</xdr:colOff>
      <xdr:row>146</xdr:row>
      <xdr:rowOff>162000</xdr:rowOff>
    </xdr:to>
    <xdr:sp>
      <xdr:nvSpPr>
        <xdr:cNvPr id="0" name="Rectangle 1"/>
        <xdr:cNvSpPr/>
      </xdr:nvSpPr>
      <xdr:spPr>
        <a:xfrm>
          <a:off x="4476240" y="24260040"/>
          <a:ext cx="231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204</xdr:row>
      <xdr:rowOff>0</xdr:rowOff>
    </xdr:from>
    <xdr:to>
      <xdr:col>7</xdr:col>
      <xdr:colOff>720</xdr:colOff>
      <xdr:row>204</xdr:row>
      <xdr:rowOff>161640</xdr:rowOff>
    </xdr:to>
    <xdr:sp>
      <xdr:nvSpPr>
        <xdr:cNvPr id="1" name="Rectangle 2"/>
        <xdr:cNvSpPr/>
      </xdr:nvSpPr>
      <xdr:spPr>
        <a:xfrm>
          <a:off x="4476240" y="33823440"/>
          <a:ext cx="231840" cy="161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231</xdr:row>
      <xdr:rowOff>0</xdr:rowOff>
    </xdr:from>
    <xdr:to>
      <xdr:col>12</xdr:col>
      <xdr:colOff>720</xdr:colOff>
      <xdr:row>234</xdr:row>
      <xdr:rowOff>162000</xdr:rowOff>
    </xdr:to>
    <xdr:sp>
      <xdr:nvSpPr>
        <xdr:cNvPr id="2" name="Rectangle 11"/>
        <xdr:cNvSpPr/>
      </xdr:nvSpPr>
      <xdr:spPr>
        <a:xfrm>
          <a:off x="5532120" y="38300040"/>
          <a:ext cx="3300120" cy="647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240</xdr:row>
      <xdr:rowOff>0</xdr:rowOff>
    </xdr:from>
    <xdr:to>
      <xdr:col>13</xdr:col>
      <xdr:colOff>1080</xdr:colOff>
      <xdr:row>243</xdr:row>
      <xdr:rowOff>162000</xdr:rowOff>
    </xdr:to>
    <xdr:sp>
      <xdr:nvSpPr>
        <xdr:cNvPr id="3" name="Rectangle 44"/>
        <xdr:cNvSpPr/>
      </xdr:nvSpPr>
      <xdr:spPr>
        <a:xfrm>
          <a:off x="5532120" y="39776400"/>
          <a:ext cx="4125240" cy="647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5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3.7"/>
    <col collapsed="false" customWidth="true" hidden="false" outlineLevel="0" max="4" min="4" style="0" width="9.41"/>
    <col collapsed="false" customWidth="true" hidden="false" outlineLevel="0" max="5" min="5" style="0" width="32.14"/>
    <col collapsed="false" customWidth="true" hidden="false" outlineLevel="0" max="6" min="6" style="0" width="10.85"/>
    <col collapsed="false" customWidth="true" hidden="false" outlineLevel="0" max="7" min="7" style="0" width="3.28"/>
    <col collapsed="false" customWidth="true" hidden="false" outlineLevel="0" max="15" min="8" style="0" width="11.7"/>
    <col collapsed="false" customWidth="true" hidden="false" outlineLevel="0" max="16" min="16" style="0" width="13.41"/>
    <col collapsed="false" customWidth="true" hidden="false" outlineLevel="0" max="29" min="17" style="0" width="11.7"/>
  </cols>
  <sheetData>
    <row r="1" customFormat="false" ht="20.25" hidden="false" customHeight="false" outlineLevel="0" collapsed="false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Format="false" ht="15.75" hidden="false" customHeight="false" outlineLevel="0" collapsed="false">
      <c r="A2" s="3" t="n">
        <f aca="true">NOW()</f>
        <v>45926.9452702412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customFormat="false" ht="15.75" hidden="false" customHeight="false" outlineLevel="0" collapsed="false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2.75" hidden="false" customHeight="false" outlineLevel="0" collapsed="false">
      <c r="A4" s="6" t="s">
        <v>1</v>
      </c>
      <c r="B4" s="7"/>
      <c r="C4" s="7"/>
      <c r="D4" s="7"/>
      <c r="E4" s="7"/>
      <c r="F4" s="7"/>
      <c r="G4" s="7"/>
      <c r="H4" s="7"/>
      <c r="I4" s="8" t="n">
        <v>1</v>
      </c>
      <c r="J4" s="8" t="n">
        <f aca="false">+I4+1</f>
        <v>2</v>
      </c>
      <c r="K4" s="8" t="n">
        <f aca="false">+J4+1</f>
        <v>3</v>
      </c>
      <c r="L4" s="8" t="n">
        <f aca="false">+K4+1</f>
        <v>4</v>
      </c>
      <c r="M4" s="8" t="n">
        <f aca="false">+L4+1</f>
        <v>5</v>
      </c>
      <c r="N4" s="8" t="n">
        <f aca="false">+M4+1</f>
        <v>6</v>
      </c>
      <c r="O4" s="8" t="n">
        <f aca="false">+N4+1</f>
        <v>7</v>
      </c>
      <c r="P4" s="8" t="n">
        <f aca="false">+O4+1</f>
        <v>8</v>
      </c>
      <c r="Q4" s="8" t="n">
        <f aca="false">+P4+1</f>
        <v>9</v>
      </c>
      <c r="R4" s="8" t="n">
        <f aca="false">+Q4+1</f>
        <v>10</v>
      </c>
      <c r="S4" s="8" t="n">
        <f aca="false">+R4+1</f>
        <v>11</v>
      </c>
      <c r="T4" s="8" t="n">
        <f aca="false">+S4+1</f>
        <v>12</v>
      </c>
      <c r="U4" s="8" t="n">
        <f aca="false">+T4+1</f>
        <v>13</v>
      </c>
      <c r="V4" s="8" t="n">
        <f aca="false">+U4+1</f>
        <v>14</v>
      </c>
      <c r="W4" s="8" t="n">
        <f aca="false">+V4+1</f>
        <v>15</v>
      </c>
      <c r="X4" s="8" t="n">
        <f aca="false">+W4+1</f>
        <v>16</v>
      </c>
      <c r="Y4" s="8" t="n">
        <f aca="false">+X4+1</f>
        <v>17</v>
      </c>
      <c r="Z4" s="8" t="n">
        <f aca="false">+Y4+1</f>
        <v>18</v>
      </c>
      <c r="AA4" s="8" t="n">
        <f aca="false">+Z4+1</f>
        <v>19</v>
      </c>
      <c r="AB4" s="8" t="n">
        <f aca="false">+AA4+1</f>
        <v>20</v>
      </c>
      <c r="AC4" s="9" t="n">
        <f aca="false">+AB4+1</f>
        <v>21</v>
      </c>
    </row>
    <row r="5" customFormat="false" ht="12.75" hidden="false" customHeight="false" outlineLevel="0" collapsed="false">
      <c r="A5" s="10" t="s">
        <v>2</v>
      </c>
      <c r="B5" s="11"/>
      <c r="C5" s="11"/>
      <c r="D5" s="11"/>
      <c r="E5" s="11"/>
      <c r="F5" s="11"/>
      <c r="G5" s="12"/>
      <c r="H5" s="11"/>
      <c r="I5" s="13" t="n">
        <v>37256</v>
      </c>
      <c r="J5" s="14" t="n">
        <f aca="false">+I5+(+J25/24)</f>
        <v>37621</v>
      </c>
      <c r="K5" s="14" t="n">
        <f aca="false">+J5+(K25/24)</f>
        <v>37986</v>
      </c>
      <c r="L5" s="14" t="n">
        <f aca="false">+K5+(L25/24)</f>
        <v>38352</v>
      </c>
      <c r="M5" s="14" t="n">
        <f aca="false">+L5+(M25/24)</f>
        <v>38717</v>
      </c>
      <c r="N5" s="14" t="n">
        <f aca="false">+M5+(N25/24)</f>
        <v>39082</v>
      </c>
      <c r="O5" s="14" t="n">
        <f aca="false">+N5+(O25/24)</f>
        <v>39447</v>
      </c>
      <c r="P5" s="14" t="n">
        <f aca="false">+O5+(P25/24)</f>
        <v>39813</v>
      </c>
      <c r="Q5" s="14" t="n">
        <f aca="false">+P5+(Q25/24)</f>
        <v>40178</v>
      </c>
      <c r="R5" s="14" t="n">
        <f aca="false">+Q5+(R25/24)</f>
        <v>40543</v>
      </c>
      <c r="S5" s="14" t="n">
        <f aca="false">+R5+(S25/24)</f>
        <v>40908</v>
      </c>
      <c r="T5" s="14" t="n">
        <f aca="false">+S5+(T25/24)</f>
        <v>41274</v>
      </c>
      <c r="U5" s="14" t="n">
        <f aca="false">+T5+(U25/24)</f>
        <v>41639</v>
      </c>
      <c r="V5" s="14" t="n">
        <f aca="false">+U5+(V25/24)</f>
        <v>42004</v>
      </c>
      <c r="W5" s="14" t="n">
        <f aca="false">+V5+(W25/24)</f>
        <v>42369</v>
      </c>
      <c r="X5" s="14" t="n">
        <f aca="false">+W5+(X25/24)</f>
        <v>42735</v>
      </c>
      <c r="Y5" s="14" t="n">
        <f aca="false">+X5+(Y25/24)</f>
        <v>43100</v>
      </c>
      <c r="Z5" s="14" t="n">
        <f aca="false">+Y5+(Z25/24)</f>
        <v>43465</v>
      </c>
      <c r="AA5" s="14" t="n">
        <f aca="false">+Z5+(AA25/24)</f>
        <v>43830</v>
      </c>
      <c r="AB5" s="14" t="n">
        <f aca="false">+AA5+(AB25/24)</f>
        <v>44196</v>
      </c>
      <c r="AC5" s="15" t="n">
        <f aca="false">+AB5+(AC25/24)</f>
        <v>44561</v>
      </c>
    </row>
    <row r="6" customFormat="false" ht="12.75" hidden="false" customHeight="false" outlineLevel="0" collapsed="false">
      <c r="A6" s="16" t="s">
        <v>3</v>
      </c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customFormat="false" ht="18" hidden="false" customHeight="false" outlineLevel="0" collapsed="false">
      <c r="A7" s="18" t="s">
        <v>4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customFormat="false" ht="12.75" hidden="false" customHeight="false" outlineLevel="0" collapsed="false">
      <c r="A8" s="16"/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customFormat="false" ht="12.75" hidden="false" customHeight="false" outlineLevel="0" collapsed="false">
      <c r="A9" s="17"/>
      <c r="B9" s="19" t="s">
        <v>5</v>
      </c>
      <c r="C9" s="19"/>
      <c r="D9" s="19"/>
      <c r="E9" s="16" t="s">
        <v>6</v>
      </c>
      <c r="F9" s="17"/>
      <c r="G9" s="17"/>
      <c r="H9" s="17"/>
      <c r="I9" s="17"/>
      <c r="J9" s="17"/>
      <c r="K9" s="20" t="n">
        <v>0.5</v>
      </c>
      <c r="L9" s="16" t="s">
        <v>7</v>
      </c>
      <c r="M9" s="17"/>
      <c r="N9" s="17"/>
      <c r="O9" s="21" t="s">
        <v>8</v>
      </c>
      <c r="P9" s="22"/>
      <c r="Q9" s="23" t="s">
        <v>9</v>
      </c>
      <c r="R9" s="24"/>
      <c r="S9" s="21" t="s">
        <v>10</v>
      </c>
      <c r="T9" s="22"/>
      <c r="U9" s="23" t="s">
        <v>9</v>
      </c>
      <c r="V9" s="24"/>
      <c r="W9" s="21" t="s">
        <v>11</v>
      </c>
      <c r="X9" s="22"/>
      <c r="Y9" s="23" t="s">
        <v>9</v>
      </c>
      <c r="Z9" s="24"/>
      <c r="AA9" s="21" t="s">
        <v>12</v>
      </c>
      <c r="AB9" s="22"/>
      <c r="AC9" s="23" t="s">
        <v>9</v>
      </c>
    </row>
    <row r="10" customFormat="false" ht="12.75" hidden="false" customHeight="false" outlineLevel="0" collapsed="false">
      <c r="A10" s="17"/>
      <c r="B10" s="25" t="s">
        <v>13</v>
      </c>
      <c r="C10" s="25"/>
      <c r="D10" s="25"/>
      <c r="E10" s="16" t="s">
        <v>14</v>
      </c>
      <c r="F10" s="17"/>
      <c r="G10" s="17"/>
      <c r="H10" s="17"/>
      <c r="I10" s="17"/>
      <c r="J10" s="17"/>
      <c r="K10" s="20" t="n">
        <v>0.11</v>
      </c>
      <c r="L10" s="16" t="s">
        <v>15</v>
      </c>
      <c r="M10" s="17"/>
      <c r="N10" s="17"/>
      <c r="O10" s="26" t="s">
        <v>16</v>
      </c>
      <c r="P10" s="27"/>
      <c r="Q10" s="28" t="n">
        <v>0.44</v>
      </c>
      <c r="R10" s="24"/>
      <c r="S10" s="26" t="s">
        <v>16</v>
      </c>
      <c r="T10" s="27"/>
      <c r="U10" s="28" t="n">
        <v>0.44</v>
      </c>
      <c r="V10" s="24"/>
      <c r="W10" s="26" t="s">
        <v>16</v>
      </c>
      <c r="X10" s="27"/>
      <c r="Y10" s="28" t="n">
        <v>0.44</v>
      </c>
      <c r="Z10" s="24"/>
      <c r="AA10" s="26" t="s">
        <v>16</v>
      </c>
      <c r="AB10" s="27"/>
      <c r="AC10" s="28" t="n">
        <v>0.44</v>
      </c>
    </row>
    <row r="11" customFormat="false" ht="12.75" hidden="false" customHeight="false" outlineLevel="0" collapsed="false">
      <c r="A11" s="17"/>
      <c r="B11" s="29" t="s">
        <v>17</v>
      </c>
      <c r="C11" s="29"/>
      <c r="D11" s="29"/>
      <c r="E11" s="30" t="s">
        <v>18</v>
      </c>
      <c r="F11" s="17"/>
      <c r="G11" s="17"/>
      <c r="H11" s="17"/>
      <c r="I11" s="17"/>
      <c r="J11" s="17"/>
      <c r="K11" s="20" t="n">
        <v>0.0633</v>
      </c>
      <c r="L11" s="16" t="s">
        <v>19</v>
      </c>
      <c r="M11" s="17"/>
      <c r="N11" s="17"/>
      <c r="O11" s="31" t="s">
        <v>20</v>
      </c>
      <c r="P11" s="32" t="n">
        <v>0.4</v>
      </c>
      <c r="Q11" s="33" t="n">
        <v>0.08</v>
      </c>
      <c r="R11" s="34"/>
      <c r="S11" s="26" t="s">
        <v>20</v>
      </c>
      <c r="T11" s="35" t="n">
        <v>0.6</v>
      </c>
      <c r="U11" s="36" t="n">
        <f aca="false">0.06+0.02</f>
        <v>0.08</v>
      </c>
      <c r="V11" s="24"/>
      <c r="W11" s="26" t="s">
        <v>20</v>
      </c>
      <c r="X11" s="35" t="n">
        <v>0.3</v>
      </c>
      <c r="Y11" s="36" t="n">
        <f aca="false">0.06+0.02</f>
        <v>0.08</v>
      </c>
      <c r="Z11" s="24"/>
      <c r="AA11" s="26" t="s">
        <v>20</v>
      </c>
      <c r="AB11" s="35" t="n">
        <v>0.6</v>
      </c>
      <c r="AC11" s="36" t="n">
        <f aca="false">0.06+0.02</f>
        <v>0.08</v>
      </c>
    </row>
    <row r="12" customFormat="false" ht="12.75" hidden="false" customHeight="false" outlineLevel="0" collapsed="false">
      <c r="A12" s="17"/>
      <c r="B12" s="37" t="s">
        <v>17</v>
      </c>
      <c r="C12" s="37"/>
      <c r="D12" s="37"/>
      <c r="E12" s="30"/>
      <c r="F12" s="16"/>
      <c r="G12" s="17"/>
      <c r="H12" s="17"/>
      <c r="I12" s="17"/>
      <c r="J12" s="17"/>
      <c r="K12" s="20" t="n">
        <v>0.059</v>
      </c>
      <c r="L12" s="16" t="s">
        <v>21</v>
      </c>
      <c r="M12" s="17"/>
      <c r="N12" s="17"/>
      <c r="O12" s="31" t="s">
        <v>22</v>
      </c>
      <c r="P12" s="38" t="n">
        <f aca="false">1-P11</f>
        <v>0.6</v>
      </c>
      <c r="Q12" s="33" t="n">
        <v>0.12</v>
      </c>
      <c r="R12" s="24"/>
      <c r="S12" s="31" t="s">
        <v>22</v>
      </c>
      <c r="T12" s="38" t="n">
        <f aca="false">1-T11</f>
        <v>0.4</v>
      </c>
      <c r="U12" s="39" t="n">
        <v>0.15</v>
      </c>
      <c r="V12" s="24"/>
      <c r="W12" s="31" t="s">
        <v>22</v>
      </c>
      <c r="X12" s="38" t="n">
        <f aca="false">1-X11</f>
        <v>0.7</v>
      </c>
      <c r="Y12" s="39" t="n">
        <v>0.12</v>
      </c>
      <c r="Z12" s="24"/>
      <c r="AA12" s="31" t="s">
        <v>22</v>
      </c>
      <c r="AB12" s="38" t="n">
        <f aca="false">1-AB11</f>
        <v>0.4</v>
      </c>
      <c r="AC12" s="39" t="n">
        <v>0.15</v>
      </c>
    </row>
    <row r="13" customFormat="false" ht="12.75" hidden="false" customHeight="false" outlineLevel="0" collapsed="false">
      <c r="A13" s="16"/>
      <c r="B13" s="40" t="s">
        <v>23</v>
      </c>
      <c r="C13" s="40"/>
      <c r="D13" s="40"/>
      <c r="E13" s="16" t="s">
        <v>24</v>
      </c>
      <c r="F13" s="17"/>
      <c r="G13" s="17"/>
      <c r="H13" s="17"/>
      <c r="I13" s="17"/>
      <c r="J13" s="17"/>
      <c r="K13" s="17"/>
      <c r="L13" s="16"/>
      <c r="M13" s="17"/>
      <c r="N13" s="17"/>
      <c r="O13" s="41"/>
      <c r="P13" s="42" t="s">
        <v>25</v>
      </c>
      <c r="Q13" s="43" t="n">
        <f aca="false">(Q11*(1-Q10)*P11+P12*Q12)</f>
        <v>0.08992</v>
      </c>
      <c r="R13" s="24"/>
      <c r="S13" s="44"/>
      <c r="T13" s="45" t="s">
        <v>25</v>
      </c>
      <c r="U13" s="46" t="n">
        <f aca="false">(U11*(1-U10)*T11+T12*U12)</f>
        <v>0.08688</v>
      </c>
      <c r="V13" s="24"/>
      <c r="W13" s="44"/>
      <c r="X13" s="45" t="s">
        <v>25</v>
      </c>
      <c r="Y13" s="46" t="n">
        <f aca="false">(Y11*(1-Y10)*X11+X12*Y12)</f>
        <v>0.09744</v>
      </c>
      <c r="Z13" s="24"/>
      <c r="AA13" s="44"/>
      <c r="AB13" s="45" t="s">
        <v>25</v>
      </c>
      <c r="AC13" s="46" t="n">
        <f aca="false">(AC11*(1-AC10)*AB11+AB12*AC12)</f>
        <v>0.08688</v>
      </c>
    </row>
    <row r="14" customFormat="false" ht="12.75" hidden="false" customHeight="false" outlineLevel="0" collapsed="false">
      <c r="A14" s="16"/>
      <c r="B14" s="47"/>
      <c r="C14" s="47"/>
      <c r="D14" s="47"/>
      <c r="E14" s="16"/>
      <c r="F14" s="17"/>
      <c r="G14" s="17"/>
      <c r="H14" s="17"/>
      <c r="I14" s="17"/>
      <c r="J14" s="17"/>
      <c r="K14" s="17"/>
      <c r="L14" s="16"/>
      <c r="M14" s="17"/>
      <c r="N14" s="17"/>
      <c r="O14" s="31" t="s">
        <v>26</v>
      </c>
      <c r="P14" s="42"/>
      <c r="Q14" s="43" t="n">
        <v>0.1</v>
      </c>
      <c r="R14" s="24"/>
      <c r="S14" s="48"/>
      <c r="T14" s="42"/>
      <c r="U14" s="49"/>
      <c r="V14" s="24"/>
      <c r="W14" s="48"/>
      <c r="X14" s="42"/>
      <c r="Y14" s="49"/>
      <c r="Z14" s="24"/>
      <c r="AA14" s="48"/>
      <c r="AB14" s="42"/>
      <c r="AC14" s="49"/>
    </row>
    <row r="15" customFormat="false" ht="12.75" hidden="false" customHeight="false" outlineLevel="0" collapsed="false">
      <c r="A15" s="16"/>
      <c r="B15" s="47"/>
      <c r="C15" s="47"/>
      <c r="D15" s="47"/>
      <c r="E15" s="16"/>
      <c r="F15" s="17"/>
      <c r="G15" s="17"/>
      <c r="H15" s="17"/>
      <c r="I15" s="17"/>
      <c r="J15" s="17"/>
      <c r="K15" s="17"/>
      <c r="L15" s="16"/>
      <c r="M15" s="17"/>
      <c r="N15" s="17"/>
      <c r="O15" s="50" t="s">
        <v>27</v>
      </c>
      <c r="P15" s="45"/>
      <c r="Q15" s="46" t="n">
        <f aca="false">K11+0.01</f>
        <v>0.0733</v>
      </c>
      <c r="R15" s="24"/>
      <c r="S15" s="48"/>
      <c r="T15" s="42"/>
      <c r="U15" s="49"/>
      <c r="V15" s="24"/>
      <c r="W15" s="48"/>
      <c r="X15" s="42"/>
      <c r="Y15" s="49"/>
      <c r="Z15" s="24"/>
      <c r="AA15" s="48"/>
      <c r="AB15" s="42"/>
      <c r="AC15" s="49"/>
    </row>
    <row r="16" customFormat="false" ht="12.75" hidden="false" customHeight="false" outlineLevel="0" collapsed="false">
      <c r="A16" s="16"/>
      <c r="B16" s="47"/>
      <c r="C16" s="47"/>
      <c r="D16" s="47"/>
      <c r="E16" s="16"/>
      <c r="F16" s="17"/>
      <c r="G16" s="17"/>
      <c r="H16" s="17"/>
      <c r="I16" s="17"/>
      <c r="J16" s="17"/>
      <c r="K16" s="17"/>
      <c r="L16" s="16"/>
      <c r="M16" s="17"/>
      <c r="N16" s="17"/>
      <c r="O16" s="51"/>
      <c r="P16" s="42"/>
      <c r="Q16" s="49"/>
      <c r="R16" s="24"/>
      <c r="S16" s="48"/>
      <c r="T16" s="42"/>
      <c r="U16" s="49"/>
      <c r="V16" s="24"/>
      <c r="W16" s="48"/>
      <c r="X16" s="42"/>
      <c r="Y16" s="49"/>
      <c r="Z16" s="24"/>
      <c r="AA16" s="48"/>
      <c r="AB16" s="42"/>
      <c r="AC16" s="49"/>
    </row>
    <row r="17" customFormat="false" ht="12.75" hidden="false" customHeight="false" outlineLevel="0" collapsed="false">
      <c r="A17" s="16"/>
      <c r="B17" s="47"/>
      <c r="C17" s="47"/>
      <c r="D17" s="47"/>
      <c r="E17" s="16"/>
      <c r="F17" s="17"/>
      <c r="G17" s="17"/>
      <c r="H17" s="17"/>
      <c r="I17" s="21" t="s">
        <v>28</v>
      </c>
      <c r="J17" s="22"/>
      <c r="K17" s="23" t="s">
        <v>3</v>
      </c>
      <c r="L17" s="16"/>
      <c r="M17" s="17"/>
      <c r="N17" s="17"/>
      <c r="O17" s="51"/>
      <c r="P17" s="42"/>
      <c r="Q17" s="49"/>
      <c r="R17" s="24"/>
      <c r="S17" s="48"/>
      <c r="T17" s="42"/>
      <c r="U17" s="49"/>
      <c r="V17" s="24"/>
      <c r="W17" s="48"/>
      <c r="X17" s="42"/>
      <c r="Y17" s="49"/>
      <c r="Z17" s="24"/>
      <c r="AA17" s="48"/>
      <c r="AB17" s="42"/>
      <c r="AC17" s="49"/>
    </row>
    <row r="18" customFormat="false" ht="12.75" hidden="false" customHeight="false" outlineLevel="0" collapsed="false">
      <c r="A18" s="16"/>
      <c r="B18" s="47"/>
      <c r="C18" s="47"/>
      <c r="D18" s="47"/>
      <c r="E18" s="16"/>
      <c r="F18" s="17"/>
      <c r="G18" s="17"/>
      <c r="H18" s="17"/>
      <c r="I18" s="26" t="s">
        <v>29</v>
      </c>
      <c r="J18" s="27"/>
      <c r="K18" s="52"/>
      <c r="L18" s="16" t="n">
        <v>1</v>
      </c>
      <c r="M18" s="17"/>
      <c r="N18" s="17"/>
      <c r="O18" s="51"/>
      <c r="P18" s="42"/>
      <c r="Q18" s="49"/>
      <c r="R18" s="24"/>
      <c r="S18" s="48"/>
      <c r="T18" s="42"/>
      <c r="U18" s="49"/>
      <c r="V18" s="24"/>
      <c r="W18" s="48"/>
      <c r="X18" s="42"/>
      <c r="Y18" s="49"/>
      <c r="Z18" s="24"/>
      <c r="AA18" s="48"/>
      <c r="AB18" s="42"/>
      <c r="AC18" s="49"/>
    </row>
    <row r="19" customFormat="false" ht="12.75" hidden="false" customHeight="false" outlineLevel="0" collapsed="false">
      <c r="A19" s="16"/>
      <c r="B19" s="47"/>
      <c r="C19" s="47"/>
      <c r="D19" s="47"/>
      <c r="E19" s="16"/>
      <c r="F19" s="17"/>
      <c r="G19" s="17"/>
      <c r="H19" s="17"/>
      <c r="I19" s="31" t="s">
        <v>30</v>
      </c>
      <c r="J19" s="53"/>
      <c r="K19" s="54"/>
      <c r="L19" s="16"/>
      <c r="M19" s="17"/>
      <c r="N19" s="17"/>
      <c r="O19" s="51"/>
      <c r="P19" s="42"/>
      <c r="Q19" s="49"/>
      <c r="R19" s="24"/>
      <c r="S19" s="48"/>
      <c r="T19" s="42"/>
      <c r="U19" s="49"/>
      <c r="V19" s="24"/>
      <c r="W19" s="48"/>
      <c r="X19" s="42"/>
      <c r="Y19" s="49"/>
      <c r="Z19" s="24"/>
      <c r="AA19" s="48"/>
      <c r="AB19" s="42"/>
      <c r="AC19" s="49"/>
    </row>
    <row r="20" customFormat="false" ht="12.75" hidden="false" customHeight="false" outlineLevel="0" collapsed="false">
      <c r="A20" s="16"/>
      <c r="B20" s="47"/>
      <c r="C20" s="47"/>
      <c r="D20" s="47"/>
      <c r="E20" s="16"/>
      <c r="F20" s="17"/>
      <c r="G20" s="17"/>
      <c r="H20" s="17"/>
      <c r="I20" s="31" t="s">
        <v>22</v>
      </c>
      <c r="J20" s="38" t="n">
        <f aca="false">1-J19</f>
        <v>1</v>
      </c>
      <c r="K20" s="33" t="n">
        <f aca="false">K10</f>
        <v>0.11</v>
      </c>
      <c r="L20" s="16"/>
      <c r="M20" s="17"/>
      <c r="N20" s="17"/>
      <c r="O20" s="51"/>
      <c r="P20" s="42"/>
      <c r="Q20" s="49"/>
      <c r="R20" s="24"/>
      <c r="S20" s="48"/>
      <c r="T20" s="42"/>
      <c r="U20" s="49"/>
      <c r="V20" s="24"/>
      <c r="W20" s="48"/>
      <c r="X20" s="42"/>
      <c r="Y20" s="49"/>
      <c r="Z20" s="24"/>
      <c r="AA20" s="48"/>
      <c r="AB20" s="42"/>
      <c r="AC20" s="49"/>
    </row>
    <row r="21" customFormat="false" ht="12.75" hidden="false" customHeight="false" outlineLevel="0" collapsed="false">
      <c r="A21" s="16"/>
      <c r="B21" s="47"/>
      <c r="C21" s="47"/>
      <c r="D21" s="47"/>
      <c r="E21" s="16"/>
      <c r="F21" s="17"/>
      <c r="G21" s="17"/>
      <c r="H21" s="17"/>
      <c r="I21" s="41"/>
      <c r="J21" s="42" t="s">
        <v>25</v>
      </c>
      <c r="K21" s="43" t="n">
        <f aca="false">(K19*(1-K18)*J19+J20*K20)</f>
        <v>0.11</v>
      </c>
      <c r="L21" s="16"/>
      <c r="M21" s="17"/>
      <c r="N21" s="17"/>
      <c r="O21" s="51"/>
      <c r="P21" s="42"/>
      <c r="Q21" s="49"/>
      <c r="R21" s="24"/>
      <c r="S21" s="48"/>
      <c r="T21" s="42"/>
      <c r="U21" s="49"/>
      <c r="V21" s="24"/>
      <c r="W21" s="48"/>
      <c r="X21" s="42"/>
      <c r="Y21" s="49"/>
      <c r="Z21" s="24"/>
      <c r="AA21" s="48"/>
      <c r="AB21" s="42"/>
      <c r="AC21" s="49"/>
    </row>
    <row r="22" customFormat="false" ht="12.75" hidden="false" customHeight="false" outlineLevel="0" collapsed="false">
      <c r="A22" s="16"/>
      <c r="B22" s="47"/>
      <c r="C22" s="47"/>
      <c r="D22" s="47"/>
      <c r="E22" s="16"/>
      <c r="F22" s="17"/>
      <c r="G22" s="17"/>
      <c r="H22" s="17"/>
      <c r="I22" s="31" t="s">
        <v>26</v>
      </c>
      <c r="J22" s="42"/>
      <c r="K22" s="43" t="n">
        <v>0.1</v>
      </c>
      <c r="L22" s="16"/>
      <c r="M22" s="17"/>
      <c r="N22" s="17"/>
      <c r="O22" s="51"/>
      <c r="P22" s="42"/>
      <c r="Q22" s="49"/>
      <c r="R22" s="24"/>
      <c r="S22" s="48"/>
      <c r="T22" s="42"/>
      <c r="U22" s="49"/>
      <c r="V22" s="24"/>
      <c r="W22" s="48"/>
      <c r="X22" s="42"/>
      <c r="Y22" s="49"/>
      <c r="Z22" s="24"/>
      <c r="AA22" s="48"/>
      <c r="AB22" s="42"/>
      <c r="AC22" s="49"/>
    </row>
    <row r="23" customFormat="false" ht="12.75" hidden="false" customHeight="false" outlineLevel="0" collapsed="false">
      <c r="A23" s="16"/>
      <c r="B23" s="47"/>
      <c r="C23" s="47"/>
      <c r="D23" s="47"/>
      <c r="E23" s="16"/>
      <c r="F23" s="17"/>
      <c r="G23" s="17"/>
      <c r="H23" s="17"/>
      <c r="I23" s="50" t="s">
        <v>27</v>
      </c>
      <c r="J23" s="45"/>
      <c r="K23" s="46" t="n">
        <f aca="false">E19+0.01</f>
        <v>0.01</v>
      </c>
      <c r="L23" s="16"/>
      <c r="M23" s="17"/>
      <c r="N23" s="17"/>
      <c r="O23" s="51"/>
      <c r="P23" s="42"/>
      <c r="Q23" s="49"/>
      <c r="R23" s="24"/>
      <c r="S23" s="48"/>
      <c r="T23" s="42"/>
      <c r="U23" s="49"/>
      <c r="V23" s="24"/>
      <c r="W23" s="48"/>
      <c r="X23" s="42"/>
      <c r="Y23" s="49"/>
      <c r="Z23" s="24"/>
      <c r="AA23" s="48"/>
      <c r="AB23" s="42"/>
      <c r="AC23" s="49"/>
    </row>
    <row r="24" customFormat="false" ht="12.75" hidden="false" customHeight="false" outlineLevel="0" collapsed="false">
      <c r="A24" s="16"/>
      <c r="B24" s="17"/>
      <c r="C24" s="17"/>
      <c r="D24" s="17"/>
      <c r="E24" s="17"/>
      <c r="F24" s="17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customFormat="false" ht="12.75" hidden="false" customHeight="false" outlineLevel="0" collapsed="false">
      <c r="A25" s="55" t="s">
        <v>31</v>
      </c>
      <c r="B25" s="16"/>
      <c r="C25" s="16"/>
      <c r="D25" s="16"/>
      <c r="E25" s="16"/>
      <c r="F25" s="16"/>
      <c r="G25" s="16"/>
      <c r="H25" s="17"/>
      <c r="I25" s="56" t="n">
        <v>8760</v>
      </c>
      <c r="J25" s="56" t="n">
        <v>8760</v>
      </c>
      <c r="K25" s="56" t="n">
        <v>8760</v>
      </c>
      <c r="L25" s="56" t="n">
        <v>8784</v>
      </c>
      <c r="M25" s="56" t="n">
        <v>8760</v>
      </c>
      <c r="N25" s="56" t="n">
        <v>8760</v>
      </c>
      <c r="O25" s="56" t="n">
        <v>8760</v>
      </c>
      <c r="P25" s="56" t="n">
        <v>8784</v>
      </c>
      <c r="Q25" s="56" t="n">
        <v>8760</v>
      </c>
      <c r="R25" s="56" t="n">
        <v>8760</v>
      </c>
      <c r="S25" s="56" t="n">
        <v>8760</v>
      </c>
      <c r="T25" s="56" t="n">
        <v>8784</v>
      </c>
      <c r="U25" s="56" t="n">
        <v>8760</v>
      </c>
      <c r="V25" s="56" t="n">
        <v>8760</v>
      </c>
      <c r="W25" s="56" t="n">
        <v>8760</v>
      </c>
      <c r="X25" s="56" t="n">
        <v>8784</v>
      </c>
      <c r="Y25" s="56" t="n">
        <v>8760</v>
      </c>
      <c r="Z25" s="56" t="n">
        <v>8760</v>
      </c>
      <c r="AA25" s="56" t="n">
        <v>8760</v>
      </c>
      <c r="AB25" s="56" t="n">
        <v>8784</v>
      </c>
      <c r="AC25" s="56" t="n">
        <v>8760</v>
      </c>
    </row>
    <row r="26" customFormat="false" ht="12.75" hidden="false" customHeight="false" outlineLevel="0" collapsed="false">
      <c r="A26" s="16"/>
      <c r="B26" s="16"/>
      <c r="C26" s="16"/>
      <c r="D26" s="16"/>
      <c r="E26" s="16"/>
      <c r="F26" s="16"/>
      <c r="G26" s="16"/>
      <c r="H26" s="1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customFormat="false" ht="12.75" hidden="false" customHeight="false" outlineLevel="0" collapsed="false">
      <c r="A27" s="55" t="s">
        <v>32</v>
      </c>
      <c r="B27" s="58"/>
      <c r="C27" s="58"/>
      <c r="D27" s="58"/>
      <c r="E27" s="58"/>
      <c r="F27" s="58"/>
      <c r="G27" s="16"/>
      <c r="H27" s="17"/>
      <c r="I27" s="59" t="n">
        <v>0.032</v>
      </c>
      <c r="J27" s="59" t="n">
        <v>0.029</v>
      </c>
      <c r="K27" s="59" t="n">
        <v>0.027</v>
      </c>
      <c r="L27" s="59" t="n">
        <v>0.0253</v>
      </c>
      <c r="M27" s="59" t="n">
        <v>0.024</v>
      </c>
      <c r="N27" s="59" t="n">
        <v>0.0225</v>
      </c>
      <c r="O27" s="59" t="n">
        <v>0.021</v>
      </c>
      <c r="P27" s="59" t="n">
        <v>0.02</v>
      </c>
      <c r="Q27" s="59" t="n">
        <v>0.0192</v>
      </c>
      <c r="R27" s="59" t="n">
        <v>0.018</v>
      </c>
      <c r="S27" s="59" t="n">
        <v>0.0169</v>
      </c>
      <c r="T27" s="59" t="n">
        <v>0.016</v>
      </c>
      <c r="U27" s="59" t="n">
        <v>0.0155</v>
      </c>
      <c r="V27" s="59" t="n">
        <v>0.0157</v>
      </c>
      <c r="W27" s="59" t="n">
        <v>0.0162</v>
      </c>
      <c r="X27" s="59" t="n">
        <v>0.017</v>
      </c>
      <c r="Y27" s="59" t="n">
        <v>0.0176</v>
      </c>
      <c r="Z27" s="59" t="n">
        <v>0.0185</v>
      </c>
      <c r="AA27" s="59" t="n">
        <v>0.0194</v>
      </c>
      <c r="AB27" s="59" t="n">
        <v>0.0203</v>
      </c>
      <c r="AC27" s="59" t="n">
        <v>0.0212</v>
      </c>
      <c r="AD27" s="17" t="n">
        <v>0.023</v>
      </c>
      <c r="AE27" s="17" t="n">
        <v>0.025</v>
      </c>
      <c r="AF27" s="17" t="n">
        <v>0.02178</v>
      </c>
      <c r="AG27" s="17" t="n">
        <v>0.02178</v>
      </c>
      <c r="AH27" s="17" t="n">
        <v>0.02178</v>
      </c>
      <c r="AI27" s="17" t="n">
        <v>0.02178</v>
      </c>
      <c r="AJ27" s="17" t="n">
        <v>0.02178</v>
      </c>
      <c r="AK27" s="17" t="n">
        <v>0.02178</v>
      </c>
      <c r="AL27" s="17" t="n">
        <v>0.02178</v>
      </c>
      <c r="AM27" s="17" t="n">
        <v>0.02178</v>
      </c>
      <c r="AN27" s="17" t="n">
        <v>0.02178</v>
      </c>
      <c r="AO27" s="17" t="n">
        <v>0.02178</v>
      </c>
      <c r="AP27" s="17" t="n">
        <v>0.02178</v>
      </c>
      <c r="AQ27" s="17" t="n">
        <v>0.02178</v>
      </c>
      <c r="AR27" s="17" t="n">
        <v>0.02178</v>
      </c>
    </row>
    <row r="28" customFormat="false" ht="12.75" hidden="false" customHeight="false" outlineLevel="0" collapsed="false">
      <c r="A28" s="55" t="s">
        <v>33</v>
      </c>
      <c r="B28" s="58"/>
      <c r="C28" s="58"/>
      <c r="D28" s="58"/>
      <c r="E28" s="58"/>
      <c r="F28" s="58"/>
      <c r="G28" s="16"/>
      <c r="H28" s="17" t="s">
        <v>3</v>
      </c>
      <c r="I28" s="59" t="n">
        <v>0.0310293712843908</v>
      </c>
      <c r="J28" s="59" t="n">
        <v>0.0300268371399806</v>
      </c>
      <c r="K28" s="59" t="n">
        <v>0.0290243865037665</v>
      </c>
      <c r="L28" s="59" t="n">
        <v>0.0285231924997218</v>
      </c>
      <c r="M28" s="59" t="n">
        <v>0.0280220193709004</v>
      </c>
      <c r="N28" s="59" t="n">
        <v>0.0272201857837115</v>
      </c>
      <c r="O28" s="59" t="n">
        <v>0.0267190669275716</v>
      </c>
      <c r="P28" s="59" t="n">
        <v>0.0262179689444211</v>
      </c>
      <c r="Q28" s="59" t="n">
        <v>0.0258171055860217</v>
      </c>
      <c r="R28" s="59" t="n">
        <v>0.0254162555856035</v>
      </c>
      <c r="S28" s="59" t="n">
        <v>0.0252158355945316</v>
      </c>
      <c r="T28" s="59" t="n">
        <v>0.0250154189428333</v>
      </c>
      <c r="U28" s="59" t="n">
        <v>0.0253160451726433</v>
      </c>
      <c r="V28" s="59" t="n">
        <v>0.0257168918336177</v>
      </c>
      <c r="W28" s="59" t="n">
        <v>0.0261177518524929</v>
      </c>
      <c r="X28" s="59" t="n">
        <v>0.0267190669275716</v>
      </c>
      <c r="Y28" s="59" t="n">
        <v>0.0271199603426127</v>
      </c>
      <c r="Z28" s="59" t="n">
        <v>0.027420639170739</v>
      </c>
      <c r="AA28" s="59" t="n">
        <v>0.0282224861174416</v>
      </c>
      <c r="AB28" s="59" t="n">
        <v>0.0290243865037665</v>
      </c>
      <c r="AC28" s="59" t="n">
        <v>0.0305280937733596</v>
      </c>
      <c r="AD28" s="17" t="n">
        <v>0.0311296292919663</v>
      </c>
      <c r="AE28" s="17" t="n">
        <v>0.0318314587290391</v>
      </c>
      <c r="AF28" s="17" t="n">
        <v>0.0318314587290391</v>
      </c>
      <c r="AG28" s="17" t="n">
        <v>0.0318314587290391</v>
      </c>
      <c r="AH28" s="17" t="n">
        <v>0.0318314587290391</v>
      </c>
      <c r="AI28" s="17" t="n">
        <v>0.0318314587290391</v>
      </c>
      <c r="AJ28" s="17" t="n">
        <v>0.0318314587290391</v>
      </c>
      <c r="AK28" s="17" t="n">
        <v>0.0318314587290391</v>
      </c>
      <c r="AL28" s="17" t="n">
        <v>0.0318314587290391</v>
      </c>
      <c r="AM28" s="17" t="n">
        <v>0.0318314587290391</v>
      </c>
      <c r="AN28" s="17" t="n">
        <v>0.0318314587290391</v>
      </c>
      <c r="AO28" s="17" t="n">
        <v>0.0318314587290391</v>
      </c>
      <c r="AP28" s="17" t="n">
        <v>0.0318314587290391</v>
      </c>
      <c r="AQ28" s="17" t="n">
        <v>0.0318314587290391</v>
      </c>
      <c r="AR28" s="17" t="n">
        <v>0.0318314587290391</v>
      </c>
    </row>
    <row r="29" customFormat="false" ht="12.75" hidden="false" customHeight="false" outlineLevel="0" collapsed="false">
      <c r="A29" s="16"/>
      <c r="B29" s="16"/>
      <c r="C29" s="16"/>
      <c r="D29" s="16"/>
      <c r="E29" s="16"/>
      <c r="F29" s="16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customFormat="false" ht="15" hidden="false" customHeight="false" outlineLevel="0" collapsed="false">
      <c r="A30" s="60" t="s">
        <v>34</v>
      </c>
      <c r="B30" s="60"/>
      <c r="C30" s="60"/>
      <c r="D30" s="60"/>
      <c r="E30" s="60"/>
      <c r="F30" s="60"/>
      <c r="G30" s="60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customFormat="false" ht="15" hidden="false" customHeight="false" outlineLevel="0" collapsed="false">
      <c r="A31" s="61"/>
      <c r="B31" s="61"/>
      <c r="C31" s="61"/>
      <c r="D31" s="61"/>
      <c r="E31" s="61"/>
      <c r="F31" s="61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customFormat="false" ht="12.75" hidden="false" customHeight="false" outlineLevel="0" collapsed="false">
      <c r="A32" s="16"/>
      <c r="B32" s="62" t="s">
        <v>35</v>
      </c>
      <c r="C32" s="62"/>
      <c r="D32" s="62"/>
      <c r="E32" s="62"/>
      <c r="F32" s="62"/>
      <c r="G32" s="62"/>
      <c r="H32" s="63"/>
      <c r="I32" s="17"/>
      <c r="J32" s="17"/>
      <c r="K32" s="17"/>
      <c r="L32" s="17"/>
      <c r="M32" s="64"/>
      <c r="N32" s="64"/>
      <c r="O32" s="64"/>
      <c r="P32" s="64"/>
      <c r="Q32" s="64"/>
      <c r="R32" s="64"/>
      <c r="S32" s="64"/>
      <c r="T32" s="64"/>
      <c r="U32" s="17"/>
      <c r="V32" s="17"/>
      <c r="W32" s="17"/>
      <c r="X32" s="17"/>
      <c r="Y32" s="17"/>
      <c r="Z32" s="17"/>
      <c r="AA32" s="17"/>
      <c r="AB32" s="17"/>
      <c r="AC32" s="17"/>
    </row>
    <row r="33" customFormat="false" ht="12.75" hidden="false" customHeight="true" outlineLevel="0" collapsed="false">
      <c r="A33" s="16"/>
      <c r="B33" s="65" t="s">
        <v>36</v>
      </c>
      <c r="C33" s="66"/>
      <c r="D33" s="58"/>
      <c r="E33" s="16"/>
      <c r="F33" s="67"/>
      <c r="G33" s="68" t="s">
        <v>37</v>
      </c>
      <c r="H33" s="69" t="s">
        <v>38</v>
      </c>
      <c r="I33" s="70" t="n">
        <v>65</v>
      </c>
      <c r="J33" s="70" t="n">
        <v>65</v>
      </c>
      <c r="K33" s="70" t="n">
        <v>65</v>
      </c>
      <c r="L33" s="70" t="n">
        <v>65</v>
      </c>
      <c r="M33" s="70" t="n">
        <v>65</v>
      </c>
      <c r="N33" s="70" t="n">
        <v>65</v>
      </c>
      <c r="O33" s="70" t="n">
        <v>65</v>
      </c>
      <c r="P33" s="70" t="n">
        <v>65</v>
      </c>
      <c r="Q33" s="70" t="n">
        <v>65</v>
      </c>
      <c r="R33" s="70" t="n">
        <v>65</v>
      </c>
      <c r="S33" s="70" t="n">
        <v>65</v>
      </c>
      <c r="T33" s="71" t="n">
        <f aca="false">IF(+S33=0,0,+S33*(+S33/R33))</f>
        <v>65</v>
      </c>
      <c r="U33" s="71" t="n">
        <f aca="false">+T33*(+T33/S33)</f>
        <v>65</v>
      </c>
      <c r="V33" s="71" t="n">
        <f aca="false">+U33*(+U33/T33)</f>
        <v>65</v>
      </c>
      <c r="W33" s="71" t="n">
        <f aca="false">+V33*(+V33/U33)</f>
        <v>65</v>
      </c>
      <c r="X33" s="71" t="n">
        <f aca="false">+W33*(+W33/V33)</f>
        <v>65</v>
      </c>
      <c r="Y33" s="71" t="n">
        <f aca="false">+X33*(+X33/W33)</f>
        <v>65</v>
      </c>
      <c r="Z33" s="72" t="n">
        <v>0</v>
      </c>
      <c r="AA33" s="72" t="n">
        <v>0</v>
      </c>
      <c r="AB33" s="72" t="n">
        <v>0</v>
      </c>
      <c r="AC33" s="73" t="n">
        <v>0</v>
      </c>
    </row>
    <row r="34" customFormat="false" ht="12.75" hidden="false" customHeight="false" outlineLevel="0" collapsed="false">
      <c r="A34" s="16"/>
      <c r="B34" s="65" t="s">
        <v>39</v>
      </c>
      <c r="C34" s="66"/>
      <c r="D34" s="58"/>
      <c r="E34" s="16"/>
      <c r="F34" s="67"/>
      <c r="G34" s="68"/>
      <c r="H34" s="47" t="s">
        <v>38</v>
      </c>
      <c r="I34" s="74" t="n">
        <v>86.3</v>
      </c>
      <c r="J34" s="74" t="n">
        <v>92.7</v>
      </c>
      <c r="K34" s="74" t="n">
        <v>99.7</v>
      </c>
      <c r="L34" s="74" t="n">
        <v>107.2</v>
      </c>
      <c r="M34" s="74" t="n">
        <v>115.2</v>
      </c>
      <c r="N34" s="74" t="n">
        <v>123.9</v>
      </c>
      <c r="O34" s="74" t="n">
        <v>133.1</v>
      </c>
      <c r="P34" s="74" t="n">
        <v>143.1</v>
      </c>
      <c r="Q34" s="74" t="n">
        <v>153.9</v>
      </c>
      <c r="R34" s="74" t="n">
        <v>165.4</v>
      </c>
      <c r="S34" s="74" t="n">
        <v>177.8</v>
      </c>
      <c r="T34" s="75" t="n">
        <v>0</v>
      </c>
      <c r="U34" s="75" t="n">
        <v>0</v>
      </c>
      <c r="V34" s="75" t="n">
        <v>0</v>
      </c>
      <c r="W34" s="75" t="n">
        <v>0</v>
      </c>
      <c r="X34" s="75" t="n">
        <v>0</v>
      </c>
      <c r="Y34" s="75" t="n">
        <v>0</v>
      </c>
      <c r="Z34" s="75" t="n">
        <v>0</v>
      </c>
      <c r="AA34" s="75" t="n">
        <v>0</v>
      </c>
      <c r="AB34" s="75" t="n">
        <v>0</v>
      </c>
      <c r="AC34" s="76" t="n">
        <v>0</v>
      </c>
    </row>
    <row r="35" customFormat="false" ht="12.75" hidden="false" customHeight="false" outlineLevel="0" collapsed="false">
      <c r="A35" s="16"/>
      <c r="B35" s="65" t="s">
        <v>40</v>
      </c>
      <c r="C35" s="66"/>
      <c r="D35" s="58"/>
      <c r="E35" s="16"/>
      <c r="F35" s="67"/>
      <c r="G35" s="68"/>
      <c r="H35" s="47" t="s">
        <v>38</v>
      </c>
      <c r="I35" s="74" t="n">
        <v>52.8</v>
      </c>
      <c r="J35" s="74" t="n">
        <v>51.2</v>
      </c>
      <c r="K35" s="74" t="n">
        <v>55.3</v>
      </c>
      <c r="L35" s="74" t="n">
        <v>55.2</v>
      </c>
      <c r="M35" s="74" t="n">
        <v>57.4</v>
      </c>
      <c r="N35" s="74" t="n">
        <v>58.8</v>
      </c>
      <c r="O35" s="74" t="n">
        <v>59.9</v>
      </c>
      <c r="P35" s="74" t="n">
        <v>58.4</v>
      </c>
      <c r="Q35" s="74" t="n">
        <v>62.7</v>
      </c>
      <c r="R35" s="74" t="n">
        <v>62.8</v>
      </c>
      <c r="S35" s="74" t="n">
        <v>64.7</v>
      </c>
      <c r="T35" s="77" t="n">
        <f aca="false">+S35*(+S35/R35)</f>
        <v>66.6574840764331</v>
      </c>
      <c r="U35" s="77" t="n">
        <f aca="false">+T35*(+T35/S35)</f>
        <v>68.6741913972169</v>
      </c>
      <c r="V35" s="77" t="n">
        <f aca="false">+U35*(+U35/T35)</f>
        <v>70.7519137484066</v>
      </c>
      <c r="W35" s="77" t="n">
        <f aca="false">+V35*(+V35/U35)</f>
        <v>72.8924971261451</v>
      </c>
      <c r="X35" s="77" t="n">
        <f aca="false">+W35*(+W35/V35)</f>
        <v>75.0978433767769</v>
      </c>
      <c r="Y35" s="77" t="n">
        <f aca="false">+X35*(+X35/W35)</f>
        <v>77.3699118865838</v>
      </c>
      <c r="Z35" s="75" t="n">
        <v>0</v>
      </c>
      <c r="AA35" s="75" t="n">
        <v>0</v>
      </c>
      <c r="AB35" s="75" t="n">
        <v>0</v>
      </c>
      <c r="AC35" s="76" t="n">
        <v>0</v>
      </c>
    </row>
    <row r="36" customFormat="false" ht="12.75" hidden="false" customHeight="false" outlineLevel="0" collapsed="false">
      <c r="A36" s="16"/>
      <c r="B36" s="65" t="s">
        <v>41</v>
      </c>
      <c r="C36" s="66"/>
      <c r="D36" s="58"/>
      <c r="E36" s="16"/>
      <c r="F36" s="67"/>
      <c r="G36" s="68"/>
      <c r="H36" s="47" t="s">
        <v>38</v>
      </c>
      <c r="I36" s="74" t="n">
        <v>86.3</v>
      </c>
      <c r="J36" s="74" t="n">
        <v>92.7</v>
      </c>
      <c r="K36" s="74" t="n">
        <v>99.7</v>
      </c>
      <c r="L36" s="74" t="n">
        <v>107.2</v>
      </c>
      <c r="M36" s="74" t="n">
        <v>115.2</v>
      </c>
      <c r="N36" s="74" t="n">
        <v>123.9</v>
      </c>
      <c r="O36" s="74" t="n">
        <v>133.1</v>
      </c>
      <c r="P36" s="74" t="n">
        <v>143.1</v>
      </c>
      <c r="Q36" s="74" t="n">
        <v>153.9</v>
      </c>
      <c r="R36" s="74" t="n">
        <v>165.4</v>
      </c>
      <c r="S36" s="74" t="n">
        <v>177.8</v>
      </c>
      <c r="T36" s="77" t="n">
        <f aca="false">+S36*(+S36/R36)</f>
        <v>191.129625151149</v>
      </c>
      <c r="U36" s="77" t="n">
        <f aca="false">+T36*(+T36/S36)</f>
        <v>205.45856923745</v>
      </c>
      <c r="V36" s="77" t="n">
        <f aca="false">+U36*(+U36/T36)</f>
        <v>220.861750969883</v>
      </c>
      <c r="W36" s="77" t="n">
        <f aca="false">+V36*(+V36/U36)</f>
        <v>237.419705697976</v>
      </c>
      <c r="X36" s="77" t="n">
        <f aca="false">+W36*(+W36/V36)</f>
        <v>255.219006487908</v>
      </c>
      <c r="Y36" s="77" t="n">
        <f aca="false">+X36*(+X36/W36)</f>
        <v>274.352716768743</v>
      </c>
      <c r="Z36" s="75" t="n">
        <v>0</v>
      </c>
      <c r="AA36" s="75" t="n">
        <v>0</v>
      </c>
      <c r="AB36" s="75" t="n">
        <v>0</v>
      </c>
      <c r="AC36" s="76" t="n">
        <v>0</v>
      </c>
    </row>
    <row r="37" customFormat="false" ht="12.75" hidden="false" customHeight="false" outlineLevel="0" collapsed="false">
      <c r="A37" s="16"/>
      <c r="B37" s="78" t="s">
        <v>42</v>
      </c>
      <c r="C37" s="11"/>
      <c r="D37" s="79"/>
      <c r="E37" s="12"/>
      <c r="F37" s="80"/>
      <c r="G37" s="68"/>
      <c r="H37" s="81" t="s">
        <v>38</v>
      </c>
      <c r="I37" s="82" t="n">
        <v>31.1</v>
      </c>
      <c r="J37" s="82" t="n">
        <v>33.5</v>
      </c>
      <c r="K37" s="82" t="n">
        <v>35.4</v>
      </c>
      <c r="L37" s="82" t="n">
        <v>37.6</v>
      </c>
      <c r="M37" s="82" t="n">
        <v>39.7</v>
      </c>
      <c r="N37" s="82" t="n">
        <v>40.7</v>
      </c>
      <c r="O37" s="82" t="n">
        <v>41.7</v>
      </c>
      <c r="P37" s="82" t="n">
        <v>42.7</v>
      </c>
      <c r="Q37" s="82" t="n">
        <v>44.2</v>
      </c>
      <c r="R37" s="82" t="n">
        <v>45.8</v>
      </c>
      <c r="S37" s="82" t="n">
        <v>46.6</v>
      </c>
      <c r="T37" s="83" t="n">
        <f aca="false">+S37*(+S37/R37)</f>
        <v>47.4139737991266</v>
      </c>
      <c r="U37" s="83" t="n">
        <f aca="false">+T37*(+T37/S37)</f>
        <v>48.2421654812075</v>
      </c>
      <c r="V37" s="83" t="n">
        <f aca="false">+U37*(+U37/T37)</f>
        <v>49.084823393543</v>
      </c>
      <c r="W37" s="83" t="n">
        <f aca="false">+V37*(+V37/U37)</f>
        <v>49.9422002213778</v>
      </c>
      <c r="X37" s="83" t="n">
        <f aca="false">+W37*(+W37/V37)</f>
        <v>50.8145530636726</v>
      </c>
      <c r="Y37" s="83" t="n">
        <f aca="false">+X37*(+X37/W37)</f>
        <v>51.7021435101996</v>
      </c>
      <c r="Z37" s="83" t="n">
        <f aca="false">+Y37*(+Y37/X37)</f>
        <v>52.6052377199848</v>
      </c>
      <c r="AA37" s="83" t="n">
        <f aca="false">+Z37*(+Z37/Y37)</f>
        <v>53.5241065011199</v>
      </c>
      <c r="AB37" s="83" t="n">
        <f aca="false">+AA37*(+AA37/Z37)</f>
        <v>54.4590253919691</v>
      </c>
      <c r="AC37" s="84" t="n">
        <f aca="false">+AB37*(+AB37/AA37)</f>
        <v>55.4102747437939</v>
      </c>
    </row>
    <row r="38" customFormat="false" ht="12.75" hidden="false" customHeight="false" outlineLevel="0" collapsed="false">
      <c r="A38" s="16"/>
      <c r="B38" s="85" t="s">
        <v>36</v>
      </c>
      <c r="C38" s="7"/>
      <c r="D38" s="86"/>
      <c r="E38" s="87"/>
      <c r="F38" s="88"/>
      <c r="G38" s="68" t="s">
        <v>43</v>
      </c>
      <c r="H38" s="69" t="s">
        <v>38</v>
      </c>
      <c r="I38" s="70" t="n">
        <v>65</v>
      </c>
      <c r="J38" s="70" t="n">
        <v>65</v>
      </c>
      <c r="K38" s="70" t="n">
        <v>65</v>
      </c>
      <c r="L38" s="70" t="n">
        <v>65</v>
      </c>
      <c r="M38" s="70" t="n">
        <v>65</v>
      </c>
      <c r="N38" s="70" t="n">
        <v>65</v>
      </c>
      <c r="O38" s="70" t="n">
        <v>65</v>
      </c>
      <c r="P38" s="70" t="n">
        <v>65</v>
      </c>
      <c r="Q38" s="70" t="n">
        <v>65</v>
      </c>
      <c r="R38" s="70" t="n">
        <v>65</v>
      </c>
      <c r="S38" s="70" t="n">
        <v>65</v>
      </c>
      <c r="T38" s="70" t="n">
        <v>65</v>
      </c>
      <c r="U38" s="70" t="n">
        <v>65</v>
      </c>
      <c r="V38" s="70" t="n">
        <v>65</v>
      </c>
      <c r="W38" s="70" t="n">
        <v>65</v>
      </c>
      <c r="X38" s="70" t="n">
        <v>65</v>
      </c>
      <c r="Y38" s="70" t="n">
        <v>0</v>
      </c>
      <c r="Z38" s="70" t="n">
        <v>0</v>
      </c>
      <c r="AA38" s="70" t="n">
        <v>0</v>
      </c>
      <c r="AB38" s="70" t="n">
        <v>0</v>
      </c>
      <c r="AC38" s="89" t="n">
        <v>0</v>
      </c>
    </row>
    <row r="39" customFormat="false" ht="12.75" hidden="false" customHeight="false" outlineLevel="0" collapsed="false">
      <c r="A39" s="16"/>
      <c r="B39" s="65" t="s">
        <v>39</v>
      </c>
      <c r="C39" s="66"/>
      <c r="D39" s="58"/>
      <c r="E39" s="16"/>
      <c r="F39" s="67"/>
      <c r="G39" s="68"/>
      <c r="H39" s="47" t="s">
        <v>38</v>
      </c>
      <c r="I39" s="74" t="n">
        <v>86.3881033525698</v>
      </c>
      <c r="J39" s="74" t="n">
        <v>92.7966317211131</v>
      </c>
      <c r="K39" s="74" t="n">
        <v>99.8060276226991</v>
      </c>
      <c r="L39" s="74" t="n">
        <v>107.651077114207</v>
      </c>
      <c r="M39" s="74" t="n">
        <v>115.327625688674</v>
      </c>
      <c r="N39" s="74" t="n">
        <v>124.040139325278</v>
      </c>
      <c r="O39" s="74" t="n">
        <v>133.253558872959</v>
      </c>
      <c r="P39" s="74" t="n">
        <v>143.753081748029</v>
      </c>
      <c r="Q39" s="74" t="n">
        <v>154.084781421263</v>
      </c>
      <c r="R39" s="74" t="n">
        <v>165.602851130963</v>
      </c>
      <c r="S39" s="74" t="n">
        <v>178.022236262514</v>
      </c>
      <c r="T39" s="74" t="n">
        <v>0</v>
      </c>
      <c r="U39" s="74" t="n">
        <v>0</v>
      </c>
      <c r="V39" s="74" t="n">
        <v>0</v>
      </c>
      <c r="W39" s="74" t="n">
        <v>0</v>
      </c>
      <c r="X39" s="74" t="n">
        <v>0</v>
      </c>
      <c r="Y39" s="74" t="n">
        <v>0</v>
      </c>
      <c r="Z39" s="74" t="n">
        <v>0</v>
      </c>
      <c r="AA39" s="74" t="n">
        <v>0</v>
      </c>
      <c r="AB39" s="74" t="n">
        <v>0</v>
      </c>
      <c r="AC39" s="90" t="n">
        <v>0</v>
      </c>
    </row>
    <row r="40" customFormat="false" ht="12.75" hidden="false" customHeight="false" outlineLevel="0" collapsed="false">
      <c r="A40" s="16"/>
      <c r="B40" s="65" t="s">
        <v>40</v>
      </c>
      <c r="C40" s="66"/>
      <c r="D40" s="58"/>
      <c r="E40" s="16"/>
      <c r="F40" s="67"/>
      <c r="G40" s="68"/>
      <c r="H40" s="47" t="s">
        <v>38</v>
      </c>
      <c r="I40" s="74" t="n">
        <v>52.1504793289395</v>
      </c>
      <c r="J40" s="74" t="n">
        <v>50.3856650689035</v>
      </c>
      <c r="K40" s="74" t="n">
        <v>49.996869382864</v>
      </c>
      <c r="L40" s="74" t="n">
        <v>49.4631515877771</v>
      </c>
      <c r="M40" s="74" t="n">
        <v>49.3741761533853</v>
      </c>
      <c r="N40" s="74" t="n">
        <v>49.3449221090473</v>
      </c>
      <c r="O40" s="74" t="n">
        <v>49.3157017918777</v>
      </c>
      <c r="P40" s="74" t="n">
        <v>49.2865151629922</v>
      </c>
      <c r="Q40" s="74" t="n">
        <v>49.2573621835513</v>
      </c>
      <c r="R40" s="74" t="n">
        <v>49.2282428147603</v>
      </c>
      <c r="S40" s="74" t="n">
        <v>49.1991570178694</v>
      </c>
      <c r="T40" s="74" t="n">
        <v>49.1701047541733</v>
      </c>
      <c r="U40" s="74" t="n">
        <v>49.1410859850114</v>
      </c>
      <c r="V40" s="74" t="n">
        <v>49.1121006717676</v>
      </c>
      <c r="W40" s="74" t="n">
        <v>49.0831487758704</v>
      </c>
      <c r="X40" s="74" t="n">
        <v>49.0542302587927</v>
      </c>
      <c r="Y40" s="74" t="n">
        <v>0</v>
      </c>
      <c r="Z40" s="74" t="n">
        <v>0</v>
      </c>
      <c r="AA40" s="74" t="n">
        <v>0</v>
      </c>
      <c r="AB40" s="74" t="n">
        <v>0</v>
      </c>
      <c r="AC40" s="90" t="n">
        <v>0</v>
      </c>
    </row>
    <row r="41" customFormat="false" ht="12.75" hidden="false" customHeight="false" outlineLevel="0" collapsed="false">
      <c r="A41" s="16"/>
      <c r="B41" s="65" t="s">
        <v>41</v>
      </c>
      <c r="C41" s="66"/>
      <c r="D41" s="58"/>
      <c r="E41" s="16"/>
      <c r="F41" s="67"/>
      <c r="G41" s="68"/>
      <c r="H41" s="47" t="s">
        <v>38</v>
      </c>
      <c r="I41" s="74" t="n">
        <v>84.7234007121772</v>
      </c>
      <c r="J41" s="74" t="n">
        <v>91.0776557655904</v>
      </c>
      <c r="K41" s="74" t="n">
        <v>97.9084799480097</v>
      </c>
      <c r="L41" s="74" t="n">
        <v>105.25161594411</v>
      </c>
      <c r="M41" s="74" t="n">
        <v>113.145487139919</v>
      </c>
      <c r="N41" s="74" t="n">
        <v>121.631398675413</v>
      </c>
      <c r="O41" s="74" t="n">
        <v>130.753753576069</v>
      </c>
      <c r="P41" s="74" t="n">
        <v>140.560285094274</v>
      </c>
      <c r="Q41" s="74" t="n">
        <v>151.102306476344</v>
      </c>
      <c r="R41" s="74" t="n">
        <v>162.43497946207</v>
      </c>
      <c r="S41" s="74" t="n">
        <v>174.617602921725</v>
      </c>
      <c r="T41" s="74" t="n">
        <v>187.713923140855</v>
      </c>
      <c r="U41" s="74" t="n">
        <v>201.792467376419</v>
      </c>
      <c r="V41" s="74" t="n">
        <v>216.92690242965</v>
      </c>
      <c r="W41" s="74" t="n">
        <v>233.196420111874</v>
      </c>
      <c r="X41" s="74" t="n">
        <v>250.686151620265</v>
      </c>
      <c r="Y41" s="74" t="n">
        <v>0</v>
      </c>
      <c r="Z41" s="74" t="n">
        <v>0</v>
      </c>
      <c r="AA41" s="74" t="n">
        <v>0</v>
      </c>
      <c r="AB41" s="74" t="n">
        <v>0</v>
      </c>
      <c r="AC41" s="90" t="n">
        <v>0</v>
      </c>
    </row>
    <row r="42" customFormat="false" ht="12.75" hidden="false" customHeight="false" outlineLevel="0" collapsed="false">
      <c r="A42" s="16"/>
      <c r="B42" s="78" t="s">
        <v>42</v>
      </c>
      <c r="C42" s="11"/>
      <c r="D42" s="79"/>
      <c r="E42" s="12"/>
      <c r="F42" s="80"/>
      <c r="G42" s="68"/>
      <c r="H42" s="81" t="s">
        <v>38</v>
      </c>
      <c r="I42" s="82" t="n">
        <v>37.0685</v>
      </c>
      <c r="J42" s="82" t="n">
        <v>36.0185</v>
      </c>
      <c r="K42" s="82" t="n">
        <v>35.5235</v>
      </c>
      <c r="L42" s="82" t="n">
        <v>35.3285</v>
      </c>
      <c r="M42" s="82" t="n">
        <v>35.366</v>
      </c>
      <c r="N42" s="82" t="n">
        <v>35.4485</v>
      </c>
      <c r="O42" s="82" t="n">
        <v>35.6285</v>
      </c>
      <c r="P42" s="82" t="n">
        <v>35.771</v>
      </c>
      <c r="Q42" s="82" t="n">
        <v>36.0935</v>
      </c>
      <c r="R42" s="82" t="n">
        <v>36.3335</v>
      </c>
      <c r="S42" s="82" t="n">
        <v>36.626</v>
      </c>
      <c r="T42" s="82" t="n">
        <v>36.971</v>
      </c>
      <c r="U42" s="82" t="n">
        <v>37.286</v>
      </c>
      <c r="V42" s="82" t="n">
        <v>37.6085</v>
      </c>
      <c r="W42" s="82" t="n">
        <v>38.0135</v>
      </c>
      <c r="X42" s="82" t="n">
        <v>38.201</v>
      </c>
      <c r="Y42" s="82" t="n">
        <v>38.3897734311328</v>
      </c>
      <c r="Z42" s="82" t="n">
        <v>38.5798289420751</v>
      </c>
      <c r="AA42" s="82" t="n">
        <v>38.7711752402418</v>
      </c>
      <c r="AB42" s="82" t="n">
        <v>38.9638210921859</v>
      </c>
      <c r="AC42" s="91" t="n">
        <v>39.1577753239992</v>
      </c>
    </row>
    <row r="43" customFormat="false" ht="15" hidden="false" customHeight="false" outlineLevel="0" collapsed="false">
      <c r="A43" s="61"/>
      <c r="B43" s="61"/>
      <c r="C43" s="61"/>
      <c r="D43" s="61"/>
      <c r="E43" s="61"/>
      <c r="F43" s="61"/>
      <c r="G43" s="16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customFormat="false" ht="15" hidden="false" customHeight="false" outlineLevel="0" collapsed="false">
      <c r="A44" s="61"/>
      <c r="B44" s="62" t="s">
        <v>44</v>
      </c>
      <c r="C44" s="62"/>
      <c r="D44" s="62"/>
      <c r="E44" s="62"/>
      <c r="F44" s="62"/>
      <c r="G44" s="62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customFormat="false" ht="12.75" hidden="false" customHeight="false" outlineLevel="0" collapsed="false">
      <c r="A45" s="16"/>
      <c r="B45" s="92" t="s">
        <v>45</v>
      </c>
      <c r="C45" s="92"/>
      <c r="D45" s="92"/>
      <c r="E45" s="92"/>
      <c r="F45" s="93" t="s">
        <v>37</v>
      </c>
      <c r="G45" s="93"/>
      <c r="H45" s="69" t="s">
        <v>38</v>
      </c>
      <c r="I45" s="94" t="n">
        <v>73.8</v>
      </c>
      <c r="J45" s="94" t="n">
        <v>75.6</v>
      </c>
      <c r="K45" s="94" t="n">
        <v>77.8</v>
      </c>
      <c r="L45" s="94" t="n">
        <v>78.2</v>
      </c>
      <c r="M45" s="94" t="n">
        <v>79.6</v>
      </c>
      <c r="N45" s="94" t="n">
        <v>81</v>
      </c>
      <c r="O45" s="94" t="n">
        <v>82.5</v>
      </c>
      <c r="P45" s="94" t="n">
        <v>84.2</v>
      </c>
      <c r="Q45" s="94" t="n">
        <v>86.3</v>
      </c>
      <c r="R45" s="94" t="n">
        <v>86.9</v>
      </c>
      <c r="S45" s="94" t="n">
        <v>88.8</v>
      </c>
      <c r="T45" s="94" t="n">
        <v>0</v>
      </c>
      <c r="U45" s="94" t="n">
        <v>0</v>
      </c>
      <c r="V45" s="94" t="n">
        <v>0</v>
      </c>
      <c r="W45" s="94" t="n">
        <v>0</v>
      </c>
      <c r="X45" s="94" t="n">
        <v>0</v>
      </c>
      <c r="Y45" s="94" t="n">
        <v>0</v>
      </c>
      <c r="Z45" s="94" t="n">
        <v>0</v>
      </c>
      <c r="AA45" s="94" t="n">
        <v>0</v>
      </c>
      <c r="AB45" s="94" t="n">
        <v>0</v>
      </c>
      <c r="AC45" s="95" t="n">
        <v>0</v>
      </c>
    </row>
    <row r="46" customFormat="false" ht="12.75" hidden="false" customHeight="false" outlineLevel="0" collapsed="false">
      <c r="A46" s="16"/>
      <c r="B46" s="92"/>
      <c r="C46" s="92"/>
      <c r="D46" s="92"/>
      <c r="E46" s="92"/>
      <c r="F46" s="93" t="s">
        <v>43</v>
      </c>
      <c r="G46" s="93"/>
      <c r="H46" s="96" t="s">
        <v>38</v>
      </c>
      <c r="I46" s="94" t="n">
        <v>73.8</v>
      </c>
      <c r="J46" s="94" t="n">
        <v>75.6</v>
      </c>
      <c r="K46" s="94" t="n">
        <v>77.8</v>
      </c>
      <c r="L46" s="94" t="n">
        <v>78.2</v>
      </c>
      <c r="M46" s="94" t="n">
        <v>79.6</v>
      </c>
      <c r="N46" s="94" t="n">
        <v>81</v>
      </c>
      <c r="O46" s="94" t="n">
        <v>82.5</v>
      </c>
      <c r="P46" s="94" t="n">
        <v>84.2</v>
      </c>
      <c r="Q46" s="94" t="n">
        <v>86.3</v>
      </c>
      <c r="R46" s="94" t="n">
        <v>86.9</v>
      </c>
      <c r="S46" s="94" t="n">
        <v>88.8</v>
      </c>
      <c r="T46" s="94" t="n">
        <v>0</v>
      </c>
      <c r="U46" s="94" t="n">
        <v>0</v>
      </c>
      <c r="V46" s="94" t="n">
        <v>0</v>
      </c>
      <c r="W46" s="94" t="n">
        <v>0</v>
      </c>
      <c r="X46" s="94" t="n">
        <v>0</v>
      </c>
      <c r="Y46" s="94" t="n">
        <v>0</v>
      </c>
      <c r="Z46" s="94" t="n">
        <v>0</v>
      </c>
      <c r="AA46" s="94" t="n">
        <v>0</v>
      </c>
      <c r="AB46" s="94" t="n">
        <v>0</v>
      </c>
      <c r="AC46" s="95" t="n">
        <v>0</v>
      </c>
    </row>
    <row r="47" customFormat="false" ht="12.75" hidden="false" customHeight="false" outlineLevel="0" collapsed="false">
      <c r="A47" s="16"/>
      <c r="B47" s="17"/>
      <c r="C47" s="17"/>
      <c r="D47" s="17"/>
      <c r="E47" s="17"/>
      <c r="F47" s="17"/>
      <c r="G47" s="17"/>
      <c r="H47" s="63"/>
      <c r="I47" s="17"/>
      <c r="J47" s="17"/>
      <c r="K47" s="17"/>
      <c r="L47" s="17"/>
      <c r="M47" s="64"/>
      <c r="N47" s="64"/>
      <c r="O47" s="64"/>
      <c r="P47" s="64"/>
      <c r="Q47" s="64"/>
      <c r="R47" s="64"/>
      <c r="S47" s="64"/>
      <c r="T47" s="64"/>
      <c r="U47" s="17"/>
      <c r="V47" s="17"/>
      <c r="W47" s="17"/>
      <c r="X47" s="17"/>
      <c r="Y47" s="17"/>
      <c r="Z47" s="17"/>
      <c r="AA47" s="17"/>
      <c r="AB47" s="17"/>
      <c r="AC47" s="17"/>
    </row>
    <row r="48" customFormat="false" ht="15" hidden="false" customHeight="false" outlineLevel="0" collapsed="false">
      <c r="A48" s="61"/>
      <c r="B48" s="97" t="s">
        <v>46</v>
      </c>
      <c r="C48" s="97"/>
      <c r="D48" s="97"/>
      <c r="E48" s="97"/>
      <c r="F48" s="97"/>
      <c r="G48" s="9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customFormat="false" ht="12.75" hidden="false" customHeight="false" outlineLevel="0" collapsed="false">
      <c r="A49" s="17"/>
      <c r="B49" s="92" t="s">
        <v>47</v>
      </c>
      <c r="C49" s="92"/>
      <c r="D49" s="92"/>
      <c r="E49" s="92"/>
      <c r="F49" s="93" t="s">
        <v>48</v>
      </c>
      <c r="G49" s="93"/>
      <c r="H49" s="96" t="s">
        <v>38</v>
      </c>
      <c r="I49" s="98" t="n">
        <v>38.0257825403945</v>
      </c>
      <c r="J49" s="98" t="n">
        <v>35.5833093386736</v>
      </c>
      <c r="K49" s="98" t="n">
        <v>34.271804349941</v>
      </c>
      <c r="L49" s="98" t="n">
        <v>33.4791324809708</v>
      </c>
      <c r="M49" s="98" t="n">
        <v>33.5230033011957</v>
      </c>
      <c r="N49" s="98" t="n">
        <v>33.6248973335246</v>
      </c>
      <c r="O49" s="98" t="n">
        <v>33.8563760073747</v>
      </c>
      <c r="P49" s="98" t="n">
        <v>34.0668185974252</v>
      </c>
      <c r="Q49" s="98" t="n">
        <v>34.4903848090203</v>
      </c>
      <c r="R49" s="98" t="n">
        <v>34.8155285921868</v>
      </c>
      <c r="S49" s="98" t="n">
        <v>35.2109258767494</v>
      </c>
      <c r="T49" s="98" t="n">
        <v>35.647068780934</v>
      </c>
      <c r="U49" s="98" t="n">
        <v>36.0729557759234</v>
      </c>
      <c r="V49" s="98" t="n">
        <v>36.4635546174205</v>
      </c>
      <c r="W49" s="98" t="n">
        <v>36.9993301556803</v>
      </c>
      <c r="X49" s="98" t="n">
        <v>37.2668816014886</v>
      </c>
      <c r="Y49" s="99" t="n">
        <v>37.6819602030186</v>
      </c>
      <c r="Z49" s="99" t="n">
        <f aca="false">+Y49*(+Y49/X49)</f>
        <v>38.1016619508394</v>
      </c>
      <c r="AA49" s="99" t="n">
        <f aca="false">+Z49*(+Z49/Y49)</f>
        <v>38.5260383375637</v>
      </c>
      <c r="AB49" s="99" t="n">
        <f aca="false">+AA49*(+AA49/Z49)</f>
        <v>38.9551414293288</v>
      </c>
      <c r="AC49" s="100" t="n">
        <f aca="false">+AB49*(+AB49/AA49)</f>
        <v>39.389023872185</v>
      </c>
    </row>
    <row r="50" customFormat="false" ht="12.75" hidden="false" customHeight="false" outlineLevel="0" collapsed="false">
      <c r="A50" s="17"/>
      <c r="B50" s="92"/>
      <c r="C50" s="92"/>
      <c r="D50" s="92"/>
      <c r="E50" s="92"/>
      <c r="F50" s="93" t="s">
        <v>49</v>
      </c>
      <c r="G50" s="93"/>
      <c r="H50" s="101" t="s">
        <v>38</v>
      </c>
      <c r="I50" s="102" t="n">
        <v>39.3325734327571</v>
      </c>
      <c r="J50" s="103" t="n">
        <v>37.2462735912343</v>
      </c>
      <c r="K50" s="103" t="n">
        <v>36.3459188570506</v>
      </c>
      <c r="L50" s="103" t="n">
        <v>35.7623431695751</v>
      </c>
      <c r="M50" s="103" t="n">
        <v>36.0406863209616</v>
      </c>
      <c r="N50" s="103" t="n">
        <v>36.3970874359584</v>
      </c>
      <c r="O50" s="103" t="n">
        <v>36.9571570770891</v>
      </c>
      <c r="P50" s="103" t="n">
        <v>37.351443578593</v>
      </c>
      <c r="Q50" s="103" t="n">
        <v>37.7896965042783</v>
      </c>
      <c r="R50" s="103" t="n">
        <v>38.1076860420905</v>
      </c>
      <c r="S50" s="103" t="n">
        <v>38.5025163471425</v>
      </c>
      <c r="T50" s="103" t="n">
        <v>38.9362230165627</v>
      </c>
      <c r="U50" s="103" t="n">
        <v>39.3668100930382</v>
      </c>
      <c r="V50" s="103" t="n">
        <v>39.7528086891085</v>
      </c>
      <c r="W50" s="103" t="n">
        <v>40.2986233087919</v>
      </c>
      <c r="X50" s="103" t="n">
        <v>40.5522838605893</v>
      </c>
      <c r="Y50" s="103" t="n">
        <v>40.9721254157426</v>
      </c>
      <c r="Z50" s="103" t="n">
        <f aca="false">+Z49*1.05</f>
        <v>40.0067450483813</v>
      </c>
      <c r="AA50" s="103" t="n">
        <f aca="false">+AA49*1.05</f>
        <v>40.4523402544418</v>
      </c>
      <c r="AB50" s="103" t="n">
        <f aca="false">+AB49*1.05</f>
        <v>40.9028985007953</v>
      </c>
      <c r="AC50" s="104" t="n">
        <f aca="false">+AC49*1.05</f>
        <v>41.3584750657943</v>
      </c>
    </row>
    <row r="51" customFormat="false" ht="12.75" hidden="false" customHeight="false" outlineLevel="0" collapsed="false">
      <c r="A51" s="17"/>
      <c r="B51" s="92" t="s">
        <v>50</v>
      </c>
      <c r="C51" s="92"/>
      <c r="D51" s="92"/>
      <c r="E51" s="92"/>
      <c r="F51" s="93" t="s">
        <v>48</v>
      </c>
      <c r="G51" s="93"/>
      <c r="H51" s="96" t="s">
        <v>38</v>
      </c>
      <c r="I51" s="105" t="n">
        <v>31.6434436196381</v>
      </c>
      <c r="J51" s="106" t="n">
        <v>31.3660117374862</v>
      </c>
      <c r="K51" s="106" t="n">
        <v>31.0902926517513</v>
      </c>
      <c r="L51" s="106" t="n">
        <v>31.2099548800619</v>
      </c>
      <c r="M51" s="106" t="n">
        <v>31.6226483471543</v>
      </c>
      <c r="N51" s="106" t="n">
        <v>32.1433571475947</v>
      </c>
      <c r="O51" s="106" t="n">
        <v>32.7763890056488</v>
      </c>
      <c r="P51" s="106" t="n">
        <v>33.34508613103</v>
      </c>
      <c r="Q51" s="106" t="n">
        <v>34.0903583221191</v>
      </c>
      <c r="R51" s="106" t="n">
        <v>34.6087052374454</v>
      </c>
      <c r="S51" s="106" t="n">
        <v>34.8911502842532</v>
      </c>
      <c r="T51" s="106" t="n">
        <v>35.1828350409089</v>
      </c>
      <c r="U51" s="106" t="n">
        <v>35.4755366697426</v>
      </c>
      <c r="V51" s="106" t="n">
        <v>35.7456518321587</v>
      </c>
      <c r="W51" s="106" t="n">
        <v>36.228280245811</v>
      </c>
      <c r="X51" s="106" t="n">
        <v>36.3907200765236</v>
      </c>
      <c r="Y51" s="106" t="n">
        <v>36.6640343348867</v>
      </c>
      <c r="Z51" s="106" t="n">
        <f aca="false">+Y51*(+Y51/X51)</f>
        <v>36.93940133317</v>
      </c>
      <c r="AA51" s="106" t="n">
        <f aca="false">+Z51*(+Z51/Y51)</f>
        <v>37.2168364885756</v>
      </c>
      <c r="AB51" s="106" t="n">
        <f aca="false">+AA51*(+AA51/Z51)</f>
        <v>37.4963553340974</v>
      </c>
      <c r="AC51" s="107" t="n">
        <f aca="false">+AB51*(+AB51/AA51)</f>
        <v>37.7779735193904</v>
      </c>
    </row>
    <row r="52" customFormat="false" ht="12.75" hidden="false" customHeight="false" outlineLevel="0" collapsed="false">
      <c r="A52" s="16"/>
      <c r="B52" s="92"/>
      <c r="C52" s="92"/>
      <c r="D52" s="92"/>
      <c r="E52" s="92"/>
      <c r="F52" s="93" t="s">
        <v>49</v>
      </c>
      <c r="G52" s="93"/>
      <c r="H52" s="101" t="s">
        <v>38</v>
      </c>
      <c r="I52" s="108" t="n">
        <v>32.925013880911</v>
      </c>
      <c r="J52" s="109" t="n">
        <v>32.9077085473119</v>
      </c>
      <c r="K52" s="109" t="n">
        <v>32.7566862295184</v>
      </c>
      <c r="L52" s="109" t="n">
        <v>32.9496807210243</v>
      </c>
      <c r="M52" s="109" t="n">
        <v>33.4359878486125</v>
      </c>
      <c r="N52" s="109" t="n">
        <v>34.0380823455414</v>
      </c>
      <c r="O52" s="109" t="n">
        <v>34.8657282718556</v>
      </c>
      <c r="P52" s="109" t="n">
        <v>35.5079907359016</v>
      </c>
      <c r="Q52" s="109" t="n">
        <v>36.3533159534599</v>
      </c>
      <c r="R52" s="109" t="n">
        <v>37.0674390116822</v>
      </c>
      <c r="S52" s="109" t="n">
        <v>37.3899039817603</v>
      </c>
      <c r="T52" s="109" t="n">
        <v>37.7254668965764</v>
      </c>
      <c r="U52" s="109" t="n">
        <v>38.0513933726706</v>
      </c>
      <c r="V52" s="109" t="n">
        <v>38.3587665869862</v>
      </c>
      <c r="W52" s="109" t="n">
        <v>38.8933447554689</v>
      </c>
      <c r="X52" s="109" t="n">
        <v>39.0886878684825</v>
      </c>
      <c r="Y52" s="109" t="n">
        <v>39.4117551112915</v>
      </c>
      <c r="Z52" s="109" t="n">
        <f aca="false">+Z51*1.05</f>
        <v>38.7863713998285</v>
      </c>
      <c r="AA52" s="109" t="n">
        <f aca="false">+AA51*1.05</f>
        <v>39.0776783130044</v>
      </c>
      <c r="AB52" s="109" t="n">
        <f aca="false">+AB51*1.05</f>
        <v>39.3711731008022</v>
      </c>
      <c r="AC52" s="110" t="n">
        <f aca="false">+AC51*1.05</f>
        <v>39.6668721953599</v>
      </c>
    </row>
    <row r="53" customFormat="false" ht="12.75" hidden="false" customHeight="false" outlineLevel="0" collapsed="false">
      <c r="A53" s="16"/>
      <c r="B53" s="16"/>
      <c r="C53" s="16"/>
      <c r="D53" s="16"/>
      <c r="E53" s="16"/>
      <c r="F53" s="16"/>
      <c r="G53" s="16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customFormat="false" ht="15" hidden="false" customHeight="false" outlineLevel="0" collapsed="false">
      <c r="A54" s="60" t="s">
        <v>51</v>
      </c>
      <c r="B54" s="60"/>
      <c r="C54" s="60"/>
      <c r="D54" s="60"/>
      <c r="E54" s="60"/>
      <c r="F54" s="60"/>
      <c r="G54" s="60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customFormat="false" ht="12.75" hidden="false" customHeight="false" outlineLevel="0" collapsed="false">
      <c r="A55" s="16"/>
      <c r="B55" s="16"/>
      <c r="C55" s="16"/>
      <c r="D55" s="16"/>
      <c r="E55" s="16"/>
      <c r="F55" s="16"/>
      <c r="G55" s="16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customFormat="false" ht="12.75" hidden="false" customHeight="false" outlineLevel="0" collapsed="false">
      <c r="A56" s="16"/>
      <c r="B56" s="111" t="s">
        <v>52</v>
      </c>
      <c r="C56" s="111"/>
      <c r="D56" s="111"/>
      <c r="E56" s="111"/>
      <c r="F56" s="111"/>
      <c r="G56" s="111"/>
      <c r="H56" s="69" t="s">
        <v>53</v>
      </c>
      <c r="I56" s="70" t="n">
        <v>1.85035211267606</v>
      </c>
      <c r="J56" s="70" t="n">
        <v>1.28345070422535</v>
      </c>
      <c r="K56" s="70" t="n">
        <v>2.00176056338028</v>
      </c>
      <c r="L56" s="70" t="n">
        <v>1.75528169014085</v>
      </c>
      <c r="M56" s="70" t="n">
        <v>2.05985915492958</v>
      </c>
      <c r="N56" s="70" t="n">
        <v>2.16901408450704</v>
      </c>
      <c r="O56" s="70" t="n">
        <v>2.17253521126761</v>
      </c>
      <c r="P56" s="70" t="n">
        <v>1.50528169014085</v>
      </c>
      <c r="Q56" s="70" t="n">
        <v>2.34859154929577</v>
      </c>
      <c r="R56" s="70" t="n">
        <v>2.05985915492958</v>
      </c>
      <c r="S56" s="70" t="n">
        <v>2.41901408450704</v>
      </c>
      <c r="T56" s="71" t="n">
        <f aca="false">+S56*(+S56/R56)</f>
        <v>2.8407908992416</v>
      </c>
      <c r="U56" s="71" t="n">
        <f aca="false">+T56*(+T56/S56)</f>
        <v>3.33610828680168</v>
      </c>
      <c r="V56" s="71" t="n">
        <f aca="false">+U56*(+U56/T56)</f>
        <v>3.91778870603889</v>
      </c>
      <c r="W56" s="71" t="n">
        <f aca="false">+V56*(+V56/U56)</f>
        <v>4.60089032657901</v>
      </c>
      <c r="X56" s="71" t="n">
        <f aca="false">+W56*(+W56/V56)</f>
        <v>5.40309684505945</v>
      </c>
      <c r="Y56" s="102" t="n">
        <v>0</v>
      </c>
      <c r="Z56" s="102" t="n">
        <v>0</v>
      </c>
      <c r="AA56" s="102" t="n">
        <v>0</v>
      </c>
      <c r="AB56" s="102" t="n">
        <v>0</v>
      </c>
      <c r="AC56" s="112" t="n">
        <v>0</v>
      </c>
    </row>
    <row r="57" customFormat="false" ht="12.75" hidden="false" customHeight="false" outlineLevel="0" collapsed="false">
      <c r="A57" s="16"/>
      <c r="B57" s="111" t="s">
        <v>54</v>
      </c>
      <c r="C57" s="111"/>
      <c r="D57" s="111"/>
      <c r="E57" s="111"/>
      <c r="F57" s="111"/>
      <c r="G57" s="111"/>
      <c r="H57" s="96" t="s">
        <v>53</v>
      </c>
      <c r="I57" s="94" t="n">
        <v>2.71174728529121</v>
      </c>
      <c r="J57" s="94" t="n">
        <v>2.7492596248766</v>
      </c>
      <c r="K57" s="94" t="n">
        <v>2.78677196446199</v>
      </c>
      <c r="L57" s="94" t="n">
        <v>2.82428430404738</v>
      </c>
      <c r="M57" s="94" t="n">
        <v>2.86278381046397</v>
      </c>
      <c r="N57" s="94" t="n">
        <v>2.90128331688055</v>
      </c>
      <c r="O57" s="94" t="n">
        <v>2.94076999012833</v>
      </c>
      <c r="P57" s="94" t="n">
        <v>2.98025666337611</v>
      </c>
      <c r="Q57" s="94" t="n">
        <v>3.02073050345508</v>
      </c>
      <c r="R57" s="94" t="n">
        <v>3.06120434353406</v>
      </c>
      <c r="S57" s="94" t="n">
        <v>3.1042654028436</v>
      </c>
      <c r="T57" s="94" t="n">
        <v>0</v>
      </c>
      <c r="U57" s="94" t="n">
        <v>0</v>
      </c>
      <c r="V57" s="94" t="n">
        <v>0</v>
      </c>
      <c r="W57" s="94" t="n">
        <v>0</v>
      </c>
      <c r="X57" s="94" t="n">
        <v>0</v>
      </c>
      <c r="Y57" s="94" t="n">
        <v>0</v>
      </c>
      <c r="Z57" s="94" t="n">
        <v>0</v>
      </c>
      <c r="AA57" s="94" t="n">
        <v>0</v>
      </c>
      <c r="AB57" s="94" t="n">
        <v>0</v>
      </c>
      <c r="AC57" s="95" t="n">
        <v>0</v>
      </c>
    </row>
    <row r="58" customFormat="false" ht="12.75" hidden="false" customHeight="false" outlineLevel="0" collapsed="false">
      <c r="A58" s="16"/>
      <c r="B58" s="16"/>
      <c r="C58" s="16"/>
      <c r="D58" s="16"/>
      <c r="E58" s="16"/>
      <c r="F58" s="16"/>
      <c r="G58" s="16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customFormat="false" ht="12.75" hidden="false" customHeight="false" outlineLevel="0" collapsed="false">
      <c r="A59" s="16"/>
      <c r="B59" s="16"/>
      <c r="C59" s="16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customFormat="false" ht="15" hidden="false" customHeight="false" outlineLevel="0" collapsed="false">
      <c r="A60" s="60" t="s">
        <v>55</v>
      </c>
      <c r="B60" s="60"/>
      <c r="C60" s="60"/>
      <c r="D60" s="60"/>
      <c r="E60" s="60"/>
      <c r="F60" s="60"/>
      <c r="G60" s="60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customFormat="false" ht="15" hidden="false" customHeight="false" outlineLevel="0" collapsed="false">
      <c r="A61" s="61"/>
      <c r="B61" s="61"/>
      <c r="C61" s="61"/>
      <c r="D61" s="61"/>
      <c r="E61" s="61"/>
      <c r="F61" s="61"/>
      <c r="G61" s="61"/>
      <c r="H61" s="17"/>
      <c r="I61" s="113" t="s">
        <v>3</v>
      </c>
      <c r="J61" s="17"/>
      <c r="K61" s="17" t="s">
        <v>3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customFormat="false" ht="12.75" hidden="false" customHeight="false" outlineLevel="0" collapsed="false">
      <c r="A62" s="58"/>
      <c r="B62" s="62" t="s">
        <v>56</v>
      </c>
      <c r="C62" s="62"/>
      <c r="D62" s="62"/>
      <c r="E62" s="62"/>
      <c r="F62" s="62"/>
      <c r="G62" s="62"/>
      <c r="H62" s="17"/>
      <c r="I62" s="113" t="s">
        <v>3</v>
      </c>
      <c r="J62" s="17"/>
      <c r="K62" s="17" t="s">
        <v>3</v>
      </c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customFormat="false" ht="12.75" hidden="false" customHeight="false" outlineLevel="0" collapsed="false">
      <c r="A63" s="24"/>
      <c r="B63" s="114" t="s">
        <v>57</v>
      </c>
      <c r="C63" s="115"/>
      <c r="D63" s="115"/>
      <c r="E63" s="115"/>
      <c r="F63" s="115"/>
      <c r="G63" s="116"/>
      <c r="H63" s="117" t="s">
        <v>58</v>
      </c>
      <c r="I63" s="94" t="n">
        <v>4.67</v>
      </c>
      <c r="J63" s="94" t="n">
        <v>4.81</v>
      </c>
      <c r="K63" s="94" t="n">
        <v>5.04</v>
      </c>
      <c r="L63" s="94" t="n">
        <v>5.07</v>
      </c>
      <c r="M63" s="94" t="n">
        <v>5.25</v>
      </c>
      <c r="N63" s="94" t="n">
        <v>5.32</v>
      </c>
      <c r="O63" s="94" t="n">
        <v>5.47</v>
      </c>
      <c r="P63" s="94" t="n">
        <v>5.61</v>
      </c>
      <c r="Q63" s="94" t="n">
        <v>5.86</v>
      </c>
      <c r="R63" s="94" t="n">
        <v>5.91</v>
      </c>
      <c r="S63" s="94" t="n">
        <v>6.1</v>
      </c>
      <c r="T63" s="118" t="n">
        <f aca="false">+S63*(+S63/R63)</f>
        <v>6.29610829103215</v>
      </c>
      <c r="U63" s="118" t="n">
        <f aca="false">+T63*(+T63/S63)</f>
        <v>6.49852124793504</v>
      </c>
      <c r="V63" s="118" t="n">
        <f aca="false">+U63*(+U63/T63)</f>
        <v>6.70744155878236</v>
      </c>
      <c r="W63" s="118" t="n">
        <f aca="false">+V63*(+V63/U63)</f>
        <v>6.92307842784643</v>
      </c>
      <c r="X63" s="118" t="n">
        <f aca="false">+W63*(+W63/V63)</f>
        <v>7.14564778508684</v>
      </c>
      <c r="Y63" s="118" t="n">
        <f aca="false">+X63*(+X63/W63)</f>
        <v>7.37537250237389</v>
      </c>
      <c r="Z63" s="118" t="n">
        <f aca="false">+Y63*(+Y63/X63)</f>
        <v>7.61248261666341</v>
      </c>
      <c r="AA63" s="118" t="n">
        <f aca="false">+Z63*(+Z63/Y63)</f>
        <v>7.85721556034632</v>
      </c>
      <c r="AB63" s="118" t="n">
        <f aca="false">+AA63*(+AA63/Z63)</f>
        <v>8.10981639900382</v>
      </c>
      <c r="AC63" s="118" t="n">
        <f aca="false">+AB63*(+AB63/AA63)</f>
        <v>8.37053807680597</v>
      </c>
    </row>
    <row r="64" customFormat="false" ht="12.75" hidden="false" customHeight="false" outlineLevel="0" collapsed="false">
      <c r="A64" s="119"/>
      <c r="B64" s="120" t="s">
        <v>59</v>
      </c>
      <c r="C64" s="121"/>
      <c r="D64" s="121"/>
      <c r="E64" s="121"/>
      <c r="F64" s="121"/>
      <c r="G64" s="80"/>
      <c r="H64" s="81" t="s">
        <v>58</v>
      </c>
      <c r="I64" s="82" t="n">
        <v>3.73</v>
      </c>
      <c r="J64" s="82" t="n">
        <v>3.88</v>
      </c>
      <c r="K64" s="82" t="n">
        <v>4.04</v>
      </c>
      <c r="L64" s="82" t="n">
        <v>4.11</v>
      </c>
      <c r="M64" s="82" t="n">
        <v>4.24</v>
      </c>
      <c r="N64" s="82" t="n">
        <v>4.36</v>
      </c>
      <c r="O64" s="82" t="n">
        <v>4.48</v>
      </c>
      <c r="P64" s="82" t="n">
        <v>4.63</v>
      </c>
      <c r="Q64" s="82" t="n">
        <v>4.79</v>
      </c>
      <c r="R64" s="82" t="n">
        <v>4.85</v>
      </c>
      <c r="S64" s="82" t="n">
        <v>5</v>
      </c>
      <c r="T64" s="118" t="n">
        <f aca="false">+S64*(+S64/R64)</f>
        <v>5.15463917525773</v>
      </c>
      <c r="U64" s="118" t="n">
        <f aca="false">+T64*(+T64/S64)</f>
        <v>5.31406100542034</v>
      </c>
      <c r="V64" s="118" t="n">
        <f aca="false">+U64*(+U64/T64)</f>
        <v>5.47841340764984</v>
      </c>
      <c r="W64" s="118" t="n">
        <f aca="false">+V64*(+V64/U64)</f>
        <v>5.64784887386581</v>
      </c>
      <c r="X64" s="118" t="n">
        <f aca="false">+W64*(+W64/V64)</f>
        <v>5.8225246122328</v>
      </c>
      <c r="Y64" s="118" t="n">
        <f aca="false">+X64*(+X64/W64)</f>
        <v>6.0026026930235</v>
      </c>
      <c r="Z64" s="118" t="n">
        <f aca="false">+Y64*(+Y64/X64)</f>
        <v>6.1882501989933</v>
      </c>
      <c r="AA64" s="118" t="n">
        <f aca="false">+Z64*(+Z64/Y64)</f>
        <v>6.37963938040547</v>
      </c>
      <c r="AB64" s="118" t="n">
        <f aca="false">+AA64*(+AA64/Z64)</f>
        <v>6.576947814851</v>
      </c>
      <c r="AC64" s="118" t="n">
        <f aca="false">+AB64*(+AB64/AA64)</f>
        <v>6.78035857201134</v>
      </c>
    </row>
    <row r="65" customFormat="false" ht="12.75" hidden="false" customHeight="false" outlineLevel="0" collapsed="false">
      <c r="A65" s="119"/>
      <c r="B65" s="119"/>
      <c r="C65" s="119"/>
      <c r="D65" s="119"/>
      <c r="E65" s="119"/>
      <c r="F65" s="119"/>
      <c r="G65" s="16"/>
      <c r="H65" s="63"/>
      <c r="I65" s="122" t="n">
        <f aca="false">+I64*I161/1000</f>
        <v>33.95046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  <c r="HU65" s="63"/>
      <c r="HV65" s="63"/>
      <c r="HW65" s="63"/>
      <c r="HX65" s="63"/>
      <c r="HY65" s="63"/>
      <c r="HZ65" s="63"/>
      <c r="IA65" s="63"/>
      <c r="IB65" s="63"/>
      <c r="IC65" s="63"/>
      <c r="ID65" s="63"/>
      <c r="IE65" s="63"/>
      <c r="IF65" s="63"/>
      <c r="IG65" s="63"/>
      <c r="IH65" s="63"/>
      <c r="II65" s="63"/>
      <c r="IJ65" s="63"/>
      <c r="IK65" s="63"/>
      <c r="IL65" s="63"/>
    </row>
    <row r="66" customFormat="false" ht="12.75" hidden="false" customHeight="false" outlineLevel="0" collapsed="false">
      <c r="A66" s="17"/>
      <c r="B66" s="62" t="s">
        <v>60</v>
      </c>
      <c r="C66" s="62"/>
      <c r="D66" s="62"/>
      <c r="E66" s="62"/>
      <c r="F66" s="62"/>
      <c r="G66" s="62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customFormat="false" ht="12.75" hidden="false" customHeight="false" outlineLevel="0" collapsed="false">
      <c r="A67" s="119"/>
      <c r="B67" s="123" t="s">
        <v>61</v>
      </c>
      <c r="C67" s="124"/>
      <c r="D67" s="124"/>
      <c r="E67" s="124"/>
      <c r="F67" s="124"/>
      <c r="G67" s="88"/>
      <c r="H67" s="117" t="s">
        <v>58</v>
      </c>
      <c r="I67" s="125" t="n">
        <v>3.46808333333333</v>
      </c>
      <c r="J67" s="125" t="n">
        <v>2.95366666666667</v>
      </c>
      <c r="K67" s="125" t="n">
        <v>2.71291666666667</v>
      </c>
      <c r="L67" s="125" t="n">
        <v>2.65291666666667</v>
      </c>
      <c r="M67" s="125" t="n">
        <v>2.64291666666667</v>
      </c>
      <c r="N67" s="125" t="n">
        <v>2.65291666666667</v>
      </c>
      <c r="O67" s="125" t="n">
        <v>2.67291666666667</v>
      </c>
      <c r="P67" s="125" t="n">
        <v>2.74291666666667</v>
      </c>
      <c r="Q67" s="125" t="n">
        <v>2.74291666666667</v>
      </c>
      <c r="R67" s="125" t="n">
        <v>2.79291666666667</v>
      </c>
      <c r="S67" s="125" t="n">
        <v>2.85291666666667</v>
      </c>
      <c r="T67" s="125" t="n">
        <v>2.92291666666667</v>
      </c>
      <c r="U67" s="125" t="n">
        <v>3.00291666666667</v>
      </c>
      <c r="V67" s="125" t="n">
        <v>3.09291666666667</v>
      </c>
      <c r="W67" s="125" t="n">
        <v>3.18791666666667</v>
      </c>
      <c r="X67" s="125" t="n">
        <v>3.28291666666667</v>
      </c>
      <c r="Y67" s="125" t="n">
        <v>3.37791666666667</v>
      </c>
      <c r="Z67" s="125" t="n">
        <v>3.47291666666667</v>
      </c>
      <c r="AA67" s="125" t="n">
        <v>3.56791666666667</v>
      </c>
      <c r="AB67" s="125" t="n">
        <v>3.66291666666667</v>
      </c>
      <c r="AC67" s="126" t="n">
        <v>4.01908333333333</v>
      </c>
    </row>
    <row r="68" customFormat="false" ht="12.75" hidden="false" customHeight="false" outlineLevel="0" collapsed="false">
      <c r="A68" s="119"/>
      <c r="B68" s="123" t="s">
        <v>62</v>
      </c>
      <c r="C68" s="124"/>
      <c r="D68" s="124"/>
      <c r="E68" s="124"/>
      <c r="F68" s="124"/>
      <c r="G68" s="88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127"/>
    </row>
    <row r="69" customFormat="false" ht="12.75" hidden="false" customHeight="false" outlineLevel="0" collapsed="false">
      <c r="A69" s="119"/>
      <c r="B69" s="128"/>
      <c r="C69" s="119" t="s">
        <v>63</v>
      </c>
      <c r="D69" s="119"/>
      <c r="E69" s="119"/>
      <c r="F69" s="119"/>
      <c r="G69" s="67"/>
      <c r="H69" s="47" t="s">
        <v>58</v>
      </c>
      <c r="I69" s="129" t="n">
        <v>0.438958333333333</v>
      </c>
      <c r="J69" s="129" t="n">
        <v>0.435416666666667</v>
      </c>
      <c r="K69" s="129" t="n">
        <v>0.439375</v>
      </c>
      <c r="L69" s="129" t="n">
        <v>0.443541666666667</v>
      </c>
      <c r="M69" s="129" t="n">
        <v>0.447708333333333</v>
      </c>
      <c r="N69" s="129" t="n">
        <v>0.450625</v>
      </c>
      <c r="O69" s="129" t="n">
        <v>0.450625</v>
      </c>
      <c r="P69" s="129" t="n">
        <v>0.450625</v>
      </c>
      <c r="Q69" s="129" t="n">
        <v>0.450625</v>
      </c>
      <c r="R69" s="129" t="n">
        <v>0.450625</v>
      </c>
      <c r="S69" s="129" t="n">
        <v>0.450625</v>
      </c>
      <c r="T69" s="129" t="n">
        <v>0.43875</v>
      </c>
      <c r="U69" s="129" t="n">
        <v>0.413333333333333</v>
      </c>
      <c r="V69" s="129" t="n">
        <v>0.450625</v>
      </c>
      <c r="W69" s="129" t="n">
        <v>0.450625</v>
      </c>
      <c r="X69" s="129" t="n">
        <v>0.450625</v>
      </c>
      <c r="Y69" s="129" t="n">
        <v>0.450625</v>
      </c>
      <c r="Z69" s="129" t="n">
        <v>0.450625</v>
      </c>
      <c r="AA69" s="129" t="n">
        <v>0.450625</v>
      </c>
      <c r="AB69" s="129" t="n">
        <v>0.450625</v>
      </c>
      <c r="AC69" s="130" t="n">
        <v>0.450625</v>
      </c>
    </row>
    <row r="70" customFormat="false" ht="12.75" hidden="false" customHeight="false" outlineLevel="0" collapsed="false">
      <c r="A70" s="119"/>
      <c r="B70" s="128"/>
      <c r="C70" s="119" t="s">
        <v>64</v>
      </c>
      <c r="D70" s="119"/>
      <c r="E70" s="119"/>
      <c r="F70" s="119"/>
      <c r="G70" s="67"/>
      <c r="H70" s="47" t="s">
        <v>58</v>
      </c>
      <c r="I70" s="129" t="n">
        <v>0.108541666666667</v>
      </c>
      <c r="J70" s="129" t="n">
        <v>0.110208333333333</v>
      </c>
      <c r="K70" s="129" t="n">
        <v>0.110208333333333</v>
      </c>
      <c r="L70" s="129" t="n">
        <v>0.110208333333333</v>
      </c>
      <c r="M70" s="129" t="n">
        <v>0.110208333333333</v>
      </c>
      <c r="N70" s="129" t="n">
        <v>0.110208333333333</v>
      </c>
      <c r="O70" s="129" t="n">
        <v>0.110208333333333</v>
      </c>
      <c r="P70" s="129" t="n">
        <v>0.110208333333333</v>
      </c>
      <c r="Q70" s="129" t="n">
        <v>0.110208333333333</v>
      </c>
      <c r="R70" s="129" t="n">
        <v>0.110208333333333</v>
      </c>
      <c r="S70" s="129" t="n">
        <v>0.110208333333333</v>
      </c>
      <c r="T70" s="129" t="n">
        <v>0.110208333333333</v>
      </c>
      <c r="U70" s="129" t="n">
        <v>0.110208333333333</v>
      </c>
      <c r="V70" s="129" t="n">
        <v>0.110208333333333</v>
      </c>
      <c r="W70" s="129" t="n">
        <v>0.110208333333333</v>
      </c>
      <c r="X70" s="129" t="n">
        <v>0.110208333333333</v>
      </c>
      <c r="Y70" s="129" t="n">
        <v>0.110208333333333</v>
      </c>
      <c r="Z70" s="129" t="n">
        <v>0.110208333333333</v>
      </c>
      <c r="AA70" s="129" t="n">
        <v>0.110208333333333</v>
      </c>
      <c r="AB70" s="129" t="n">
        <v>0.110208333333333</v>
      </c>
      <c r="AC70" s="130" t="n">
        <v>0.110208333333333</v>
      </c>
    </row>
    <row r="71" customFormat="false" ht="12.75" hidden="false" customHeight="false" outlineLevel="0" collapsed="false">
      <c r="A71" s="58"/>
      <c r="B71" s="65"/>
      <c r="C71" s="58" t="s">
        <v>65</v>
      </c>
      <c r="D71" s="58"/>
      <c r="E71" s="58"/>
      <c r="F71" s="58"/>
      <c r="G71" s="67"/>
      <c r="H71" s="47" t="s">
        <v>58</v>
      </c>
      <c r="I71" s="131" t="n">
        <v>0</v>
      </c>
      <c r="J71" s="131" t="n">
        <v>0</v>
      </c>
      <c r="K71" s="131" t="n">
        <v>0</v>
      </c>
      <c r="L71" s="131" t="n">
        <v>0</v>
      </c>
      <c r="M71" s="131" t="n">
        <v>0</v>
      </c>
      <c r="N71" s="131" t="n">
        <v>0</v>
      </c>
      <c r="O71" s="131" t="n">
        <v>0</v>
      </c>
      <c r="P71" s="131" t="n">
        <v>0</v>
      </c>
      <c r="Q71" s="131" t="n">
        <v>0</v>
      </c>
      <c r="R71" s="131" t="n">
        <v>0</v>
      </c>
      <c r="S71" s="131" t="n">
        <v>0</v>
      </c>
      <c r="T71" s="131" t="n">
        <v>0</v>
      </c>
      <c r="U71" s="131" t="n">
        <v>0</v>
      </c>
      <c r="V71" s="131" t="n">
        <v>0</v>
      </c>
      <c r="W71" s="131" t="n">
        <v>0</v>
      </c>
      <c r="X71" s="131" t="n">
        <v>0</v>
      </c>
      <c r="Y71" s="131" t="n">
        <v>0</v>
      </c>
      <c r="Z71" s="131" t="n">
        <v>0</v>
      </c>
      <c r="AA71" s="131" t="n">
        <v>0</v>
      </c>
      <c r="AB71" s="131" t="n">
        <v>0</v>
      </c>
      <c r="AC71" s="131" t="n">
        <v>0</v>
      </c>
    </row>
    <row r="72" customFormat="false" ht="12.75" hidden="false" customHeight="false" outlineLevel="0" collapsed="false">
      <c r="A72" s="58"/>
      <c r="B72" s="78"/>
      <c r="C72" s="79" t="s">
        <v>66</v>
      </c>
      <c r="D72" s="79"/>
      <c r="E72" s="79"/>
      <c r="F72" s="79"/>
      <c r="G72" s="80"/>
      <c r="H72" s="101" t="s">
        <v>58</v>
      </c>
      <c r="I72" s="132" t="n">
        <f aca="false">I$67+SUM(I69:I71)</f>
        <v>4.01558333333333</v>
      </c>
      <c r="J72" s="132" t="n">
        <f aca="false">J$67+SUM(J69:J71)</f>
        <v>3.49929166666667</v>
      </c>
      <c r="K72" s="132" t="n">
        <f aca="false">K$67+SUM(K69:K71)</f>
        <v>3.2625</v>
      </c>
      <c r="L72" s="132" t="n">
        <f aca="false">L$67+SUM(L69:L71)</f>
        <v>3.20666666666667</v>
      </c>
      <c r="M72" s="132" t="n">
        <f aca="false">M$67+SUM(M69:M71)</f>
        <v>3.20083333333333</v>
      </c>
      <c r="N72" s="132" t="n">
        <f aca="false">N$67+SUM(N69:N71)</f>
        <v>3.21375</v>
      </c>
      <c r="O72" s="132" t="n">
        <f aca="false">O$67+SUM(O69:O71)</f>
        <v>3.23375</v>
      </c>
      <c r="P72" s="132" t="n">
        <f aca="false">P$67+SUM(P69:P71)</f>
        <v>3.30375</v>
      </c>
      <c r="Q72" s="132" t="n">
        <f aca="false">Q$67+SUM(Q69:Q71)</f>
        <v>3.30375</v>
      </c>
      <c r="R72" s="132" t="n">
        <f aca="false">R$67+SUM(R69:R71)</f>
        <v>3.35375</v>
      </c>
      <c r="S72" s="132" t="n">
        <f aca="false">S$67+SUM(S69:S71)</f>
        <v>3.41375</v>
      </c>
      <c r="T72" s="132" t="n">
        <f aca="false">T$67+SUM(T69:T71)</f>
        <v>3.471875</v>
      </c>
      <c r="U72" s="132" t="n">
        <f aca="false">U$67+SUM(U69:U71)</f>
        <v>3.52645833333333</v>
      </c>
      <c r="V72" s="132" t="n">
        <f aca="false">V$67+SUM(V69:V71)</f>
        <v>3.65375</v>
      </c>
      <c r="W72" s="132" t="n">
        <f aca="false">W$67+SUM(W69:W71)</f>
        <v>3.74875</v>
      </c>
      <c r="X72" s="132" t="n">
        <f aca="false">X$67+SUM(X69:X71)</f>
        <v>3.84375</v>
      </c>
      <c r="Y72" s="132" t="n">
        <f aca="false">Y$67+SUM(Y69:Y71)</f>
        <v>3.93875</v>
      </c>
      <c r="Z72" s="132" t="n">
        <f aca="false">Z$67+SUM(Z69:Z71)</f>
        <v>4.03375</v>
      </c>
      <c r="AA72" s="132" t="n">
        <f aca="false">AA$67+SUM(AA69:AA71)</f>
        <v>4.12875</v>
      </c>
      <c r="AB72" s="132" t="n">
        <f aca="false">AB$67+SUM(AB69:AB71)</f>
        <v>4.22375</v>
      </c>
      <c r="AC72" s="133" t="n">
        <f aca="false">AC$67+SUM(AC69:AC71)</f>
        <v>4.57991666666667</v>
      </c>
    </row>
    <row r="73" customFormat="false" ht="12.75" hidden="false" customHeight="false" outlineLevel="0" collapsed="false">
      <c r="A73" s="58"/>
      <c r="B73" s="128" t="s">
        <v>67</v>
      </c>
      <c r="C73" s="119"/>
      <c r="D73" s="119"/>
      <c r="E73" s="119"/>
      <c r="F73" s="119"/>
      <c r="G73" s="67"/>
      <c r="H73" s="47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134"/>
    </row>
    <row r="74" customFormat="false" ht="12.75" hidden="false" customHeight="false" outlineLevel="0" collapsed="false">
      <c r="A74" s="58"/>
      <c r="B74" s="128"/>
      <c r="C74" s="119" t="s">
        <v>68</v>
      </c>
      <c r="D74" s="119"/>
      <c r="E74" s="119"/>
      <c r="F74" s="119"/>
      <c r="G74" s="67"/>
      <c r="H74" s="47" t="s">
        <v>58</v>
      </c>
      <c r="I74" s="129" t="n">
        <v>0.638333333333334</v>
      </c>
      <c r="J74" s="129" t="n">
        <v>0.6225</v>
      </c>
      <c r="K74" s="129" t="n">
        <v>0.604583333333333</v>
      </c>
      <c r="L74" s="129" t="n">
        <v>0.615208333333334</v>
      </c>
      <c r="M74" s="129" t="n">
        <v>0.619375</v>
      </c>
      <c r="N74" s="129" t="n">
        <v>0.622291666666667</v>
      </c>
      <c r="O74" s="129" t="n">
        <v>0.622291666666667</v>
      </c>
      <c r="P74" s="129" t="n">
        <v>0.622291666666667</v>
      </c>
      <c r="Q74" s="129" t="n">
        <v>0.622291666666667</v>
      </c>
      <c r="R74" s="129" t="n">
        <v>0.622291666666667</v>
      </c>
      <c r="S74" s="129" t="n">
        <v>0.622291666666667</v>
      </c>
      <c r="T74" s="129" t="n">
        <v>0.622291666666667</v>
      </c>
      <c r="U74" s="129" t="n">
        <v>0.622291666666667</v>
      </c>
      <c r="V74" s="129" t="n">
        <v>0.622291666666667</v>
      </c>
      <c r="W74" s="129" t="n">
        <v>0.622291666666667</v>
      </c>
      <c r="X74" s="129" t="n">
        <v>0.622291666666667</v>
      </c>
      <c r="Y74" s="129" t="n">
        <v>0.622291666666667</v>
      </c>
      <c r="Z74" s="129" t="n">
        <v>0.622291666666667</v>
      </c>
      <c r="AA74" s="129" t="n">
        <v>0.622291666666667</v>
      </c>
      <c r="AB74" s="129" t="n">
        <v>0.622291666666667</v>
      </c>
      <c r="AC74" s="130" t="n">
        <v>0.622291666666667</v>
      </c>
    </row>
    <row r="75" customFormat="false" ht="12.75" hidden="false" customHeight="false" outlineLevel="0" collapsed="false">
      <c r="A75" s="58"/>
      <c r="B75" s="128"/>
      <c r="C75" s="119" t="s">
        <v>69</v>
      </c>
      <c r="D75" s="119"/>
      <c r="E75" s="119"/>
      <c r="F75" s="119"/>
      <c r="G75" s="67"/>
      <c r="H75" s="47" t="s">
        <v>58</v>
      </c>
      <c r="I75" s="129" t="n">
        <v>0.03875</v>
      </c>
      <c r="J75" s="129" t="n">
        <v>0.03875</v>
      </c>
      <c r="K75" s="129" t="n">
        <v>0.03875</v>
      </c>
      <c r="L75" s="129" t="n">
        <v>0.03875</v>
      </c>
      <c r="M75" s="129" t="n">
        <v>0.03875</v>
      </c>
      <c r="N75" s="129" t="n">
        <v>0.03875</v>
      </c>
      <c r="O75" s="129" t="n">
        <v>0.03875</v>
      </c>
      <c r="P75" s="129" t="n">
        <v>0.03875</v>
      </c>
      <c r="Q75" s="129" t="n">
        <v>0.03875</v>
      </c>
      <c r="R75" s="129" t="n">
        <v>0.03875</v>
      </c>
      <c r="S75" s="129" t="n">
        <v>0.03875</v>
      </c>
      <c r="T75" s="129" t="n">
        <v>0.03875</v>
      </c>
      <c r="U75" s="129" t="n">
        <v>0.03875</v>
      </c>
      <c r="V75" s="129" t="n">
        <v>0.03875</v>
      </c>
      <c r="W75" s="129" t="n">
        <v>0.03875</v>
      </c>
      <c r="X75" s="129" t="n">
        <v>0.03875</v>
      </c>
      <c r="Y75" s="129" t="n">
        <v>0.03875</v>
      </c>
      <c r="Z75" s="129" t="n">
        <v>0.03875</v>
      </c>
      <c r="AA75" s="129" t="n">
        <v>0.03875</v>
      </c>
      <c r="AB75" s="129" t="n">
        <v>0.03875</v>
      </c>
      <c r="AC75" s="130" t="n">
        <v>0.03875</v>
      </c>
    </row>
    <row r="76" customFormat="false" ht="12.75" hidden="false" customHeight="false" outlineLevel="0" collapsed="false">
      <c r="A76" s="58"/>
      <c r="B76" s="65"/>
      <c r="C76" s="58" t="s">
        <v>65</v>
      </c>
      <c r="D76" s="58"/>
      <c r="E76" s="58"/>
      <c r="F76" s="58"/>
      <c r="G76" s="67"/>
      <c r="H76" s="47" t="s">
        <v>58</v>
      </c>
      <c r="I76" s="131" t="n">
        <v>0.3</v>
      </c>
      <c r="J76" s="131" t="n">
        <v>0.3</v>
      </c>
      <c r="K76" s="131" t="n">
        <v>0.3</v>
      </c>
      <c r="L76" s="131" t="n">
        <v>0.3</v>
      </c>
      <c r="M76" s="131" t="n">
        <v>0.3</v>
      </c>
      <c r="N76" s="131" t="n">
        <v>0.3</v>
      </c>
      <c r="O76" s="131" t="n">
        <v>0.3</v>
      </c>
      <c r="P76" s="131" t="n">
        <v>0.3</v>
      </c>
      <c r="Q76" s="131" t="n">
        <v>0.3</v>
      </c>
      <c r="R76" s="131" t="n">
        <v>0.3</v>
      </c>
      <c r="S76" s="131" t="n">
        <v>0.3</v>
      </c>
      <c r="T76" s="131" t="n">
        <v>0.3</v>
      </c>
      <c r="U76" s="131" t="n">
        <v>0.3</v>
      </c>
      <c r="V76" s="131" t="n">
        <v>0.3</v>
      </c>
      <c r="W76" s="131" t="n">
        <v>0.3</v>
      </c>
      <c r="X76" s="131" t="n">
        <v>0.3</v>
      </c>
      <c r="Y76" s="131" t="n">
        <v>0.3</v>
      </c>
      <c r="Z76" s="131" t="n">
        <v>0.3</v>
      </c>
      <c r="AA76" s="131" t="n">
        <v>0.3</v>
      </c>
      <c r="AB76" s="131" t="n">
        <v>0.3</v>
      </c>
      <c r="AC76" s="135" t="n">
        <v>0.3</v>
      </c>
    </row>
    <row r="77" customFormat="false" ht="12.75" hidden="false" customHeight="false" outlineLevel="0" collapsed="false">
      <c r="A77" s="58"/>
      <c r="B77" s="78"/>
      <c r="C77" s="79" t="s">
        <v>70</v>
      </c>
      <c r="D77" s="79"/>
      <c r="E77" s="79"/>
      <c r="F77" s="79"/>
      <c r="G77" s="80"/>
      <c r="H77" s="101" t="s">
        <v>58</v>
      </c>
      <c r="I77" s="132" t="n">
        <f aca="false">I$67+SUM(I74:I76)</f>
        <v>4.44516666666667</v>
      </c>
      <c r="J77" s="132" t="n">
        <f aca="false">J$67+SUM(J74:J76)</f>
        <v>3.91491666666667</v>
      </c>
      <c r="K77" s="132" t="n">
        <f aca="false">K$67+SUM(K74:K76)</f>
        <v>3.65625</v>
      </c>
      <c r="L77" s="132" t="n">
        <f aca="false">L$67+SUM(L74:L76)</f>
        <v>3.606875</v>
      </c>
      <c r="M77" s="132" t="n">
        <f aca="false">M$67+SUM(M74:M76)</f>
        <v>3.60104166666667</v>
      </c>
      <c r="N77" s="132" t="n">
        <f aca="false">N$67+SUM(N74:N76)</f>
        <v>3.61395833333333</v>
      </c>
      <c r="O77" s="132" t="n">
        <f aca="false">O$67+SUM(O74:O76)</f>
        <v>3.63395833333333</v>
      </c>
      <c r="P77" s="132" t="n">
        <f aca="false">P$67+SUM(P74:P76)</f>
        <v>3.70395833333333</v>
      </c>
      <c r="Q77" s="132" t="n">
        <f aca="false">Q$67+SUM(Q74:Q76)</f>
        <v>3.70395833333333</v>
      </c>
      <c r="R77" s="132" t="n">
        <f aca="false">R$67+SUM(R74:R76)</f>
        <v>3.75395833333333</v>
      </c>
      <c r="S77" s="132" t="n">
        <f aca="false">S$67+SUM(S74:S76)</f>
        <v>3.81395833333333</v>
      </c>
      <c r="T77" s="132" t="n">
        <f aca="false">T$67+SUM(T74:T76)</f>
        <v>3.88395833333333</v>
      </c>
      <c r="U77" s="132" t="n">
        <f aca="false">U$67+SUM(U74:U76)</f>
        <v>3.96395833333333</v>
      </c>
      <c r="V77" s="132" t="n">
        <f aca="false">V$67+SUM(V74:V76)</f>
        <v>4.05395833333333</v>
      </c>
      <c r="W77" s="132" t="n">
        <f aca="false">W$67+SUM(W74:W76)</f>
        <v>4.14895833333334</v>
      </c>
      <c r="X77" s="132" t="n">
        <f aca="false">X$67+SUM(X74:X76)</f>
        <v>4.24395833333333</v>
      </c>
      <c r="Y77" s="132" t="n">
        <f aca="false">Y$67+SUM(Y74:Y76)</f>
        <v>4.33895833333333</v>
      </c>
      <c r="Z77" s="132" t="n">
        <f aca="false">Z$67+SUM(Z74:Z76)</f>
        <v>4.43395833333333</v>
      </c>
      <c r="AA77" s="132" t="n">
        <f aca="false">AA$67+SUM(AA74:AA76)</f>
        <v>4.52895833333333</v>
      </c>
      <c r="AB77" s="132" t="n">
        <f aca="false">AB$67+SUM(AB74:AB76)</f>
        <v>4.62395833333333</v>
      </c>
      <c r="AC77" s="133" t="n">
        <f aca="false">AC$67+SUM(AC74:AC76)</f>
        <v>4.980125</v>
      </c>
    </row>
    <row r="78" customFormat="false" ht="12.75" hidden="false" customHeight="false" outlineLevel="0" collapsed="false">
      <c r="A78" s="58"/>
      <c r="B78" s="58"/>
      <c r="C78" s="58"/>
      <c r="D78" s="58"/>
      <c r="E78" s="58"/>
      <c r="F78" s="58"/>
      <c r="G78" s="1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customFormat="false" ht="12.75" hidden="false" customHeight="false" outlineLevel="0" collapsed="false">
      <c r="A79" s="58"/>
      <c r="B79" s="136" t="s">
        <v>71</v>
      </c>
      <c r="C79" s="137"/>
      <c r="D79" s="137"/>
      <c r="E79" s="137"/>
      <c r="F79" s="137"/>
      <c r="G79" s="116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customFormat="false" ht="12.75" hidden="false" customHeight="false" outlineLevel="0" collapsed="false">
      <c r="A80" s="17"/>
      <c r="B80" s="138" t="s">
        <v>52</v>
      </c>
      <c r="C80" s="139"/>
      <c r="D80" s="139"/>
      <c r="E80" s="139"/>
      <c r="F80" s="139"/>
      <c r="G80" s="140"/>
      <c r="H80" s="17"/>
      <c r="I80" s="141" t="n">
        <v>3.56</v>
      </c>
      <c r="J80" s="142" t="n">
        <v>3.56</v>
      </c>
      <c r="K80" s="142" t="n">
        <v>3.56</v>
      </c>
      <c r="L80" s="142" t="n">
        <v>3.56</v>
      </c>
      <c r="M80" s="142" t="n">
        <v>3.56</v>
      </c>
      <c r="N80" s="142" t="n">
        <v>3.56</v>
      </c>
      <c r="O80" s="142" t="n">
        <v>3.56</v>
      </c>
      <c r="P80" s="142" t="n">
        <v>3.56</v>
      </c>
      <c r="Q80" s="142" t="n">
        <v>3.56</v>
      </c>
      <c r="R80" s="142" t="n">
        <v>3.56</v>
      </c>
      <c r="S80" s="142" t="n">
        <v>3.56</v>
      </c>
      <c r="T80" s="142" t="n">
        <v>3.56</v>
      </c>
      <c r="U80" s="142" t="n">
        <v>3.56</v>
      </c>
      <c r="V80" s="142"/>
      <c r="W80" s="142"/>
      <c r="X80" s="142"/>
      <c r="Y80" s="142"/>
      <c r="Z80" s="142"/>
      <c r="AA80" s="142"/>
      <c r="AB80" s="142"/>
      <c r="AC80" s="143"/>
    </row>
    <row r="81" customFormat="false" ht="12.75" hidden="false" customHeight="false" outlineLevel="0" collapsed="false">
      <c r="A81" s="58"/>
      <c r="B81" s="144" t="s">
        <v>54</v>
      </c>
      <c r="C81" s="137"/>
      <c r="D81" s="137"/>
      <c r="E81" s="137"/>
      <c r="F81" s="137"/>
      <c r="G81" s="116"/>
      <c r="H81" s="17"/>
      <c r="I81" s="141" t="n">
        <v>3.82</v>
      </c>
      <c r="J81" s="142" t="n">
        <v>3.82</v>
      </c>
      <c r="K81" s="142" t="n">
        <v>3.82</v>
      </c>
      <c r="L81" s="142" t="n">
        <v>3.82</v>
      </c>
      <c r="M81" s="142" t="n">
        <v>3.82</v>
      </c>
      <c r="N81" s="142" t="n">
        <v>3.82</v>
      </c>
      <c r="O81" s="142" t="n">
        <v>3.82</v>
      </c>
      <c r="P81" s="142" t="n">
        <v>3.82</v>
      </c>
      <c r="Q81" s="142" t="n">
        <v>3.82</v>
      </c>
      <c r="R81" s="142" t="n">
        <v>3.82</v>
      </c>
      <c r="S81" s="142" t="n">
        <v>3.82</v>
      </c>
      <c r="T81" s="142" t="n">
        <v>3.82</v>
      </c>
      <c r="U81" s="142" t="n">
        <v>3.82</v>
      </c>
      <c r="V81" s="142"/>
      <c r="W81" s="142"/>
      <c r="X81" s="142"/>
      <c r="Y81" s="142"/>
      <c r="Z81" s="142"/>
      <c r="AA81" s="142"/>
      <c r="AB81" s="142"/>
      <c r="AC81" s="143"/>
    </row>
    <row r="82" customFormat="false" ht="12.75" hidden="false" customHeight="false" outlineLevel="0" collapsed="false">
      <c r="A82" s="58"/>
      <c r="B82" s="58"/>
      <c r="C82" s="58"/>
      <c r="D82" s="58"/>
      <c r="E82" s="58"/>
      <c r="F82" s="58"/>
      <c r="G82" s="16"/>
      <c r="H82" s="17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</row>
    <row r="83" customFormat="false" ht="18" hidden="false" customHeight="false" outlineLevel="0" collapsed="false">
      <c r="A83" s="18" t="s">
        <v>52</v>
      </c>
      <c r="B83" s="16"/>
      <c r="C83" s="16"/>
      <c r="D83" s="16"/>
      <c r="E83" s="16"/>
      <c r="F83" s="16"/>
      <c r="G83" s="16"/>
      <c r="H83" s="17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</row>
    <row r="84" customFormat="false" ht="12.75" hidden="false" customHeight="false" outlineLevel="0" collapsed="false">
      <c r="A84" s="16"/>
      <c r="B84" s="16"/>
      <c r="C84" s="16"/>
      <c r="D84" s="16"/>
      <c r="E84" s="16"/>
      <c r="F84" s="16"/>
      <c r="G84" s="16"/>
      <c r="H84" s="17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</row>
    <row r="85" customFormat="false" ht="15" hidden="false" customHeight="false" outlineLevel="0" collapsed="false">
      <c r="A85" s="16"/>
      <c r="B85" s="60" t="s">
        <v>72</v>
      </c>
      <c r="C85" s="60"/>
      <c r="D85" s="60"/>
      <c r="E85" s="60"/>
      <c r="F85" s="60"/>
      <c r="G85" s="60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customFormat="false" ht="12.75" hidden="false" customHeight="false" outlineLevel="0" collapsed="false">
      <c r="A86" s="16"/>
      <c r="B86" s="16"/>
      <c r="C86" s="16"/>
      <c r="D86" s="16"/>
      <c r="E86" s="16"/>
      <c r="F86" s="16"/>
      <c r="G86" s="1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customFormat="false" ht="12.75" hidden="false" customHeight="false" outlineLevel="0" collapsed="false">
      <c r="A87" s="16"/>
      <c r="B87" s="16" t="s">
        <v>73</v>
      </c>
      <c r="C87" s="16"/>
      <c r="D87" s="16"/>
      <c r="E87" s="16"/>
      <c r="F87" s="16"/>
      <c r="G87" s="16"/>
      <c r="H87" s="63" t="s">
        <v>74</v>
      </c>
      <c r="I87" s="147" t="n">
        <v>290</v>
      </c>
      <c r="J87" s="147" t="n">
        <f aca="false">I87</f>
        <v>290</v>
      </c>
      <c r="K87" s="147" t="n">
        <v>290</v>
      </c>
      <c r="L87" s="147" t="n">
        <v>290</v>
      </c>
      <c r="M87" s="147" t="n">
        <v>290</v>
      </c>
      <c r="N87" s="147" t="n">
        <v>290</v>
      </c>
      <c r="O87" s="147" t="n">
        <v>290</v>
      </c>
      <c r="P87" s="147" t="n">
        <v>290</v>
      </c>
      <c r="Q87" s="147" t="n">
        <v>290</v>
      </c>
      <c r="R87" s="147" t="n">
        <v>290</v>
      </c>
      <c r="S87" s="147" t="n">
        <v>264.8</v>
      </c>
      <c r="T87" s="148" t="n">
        <f aca="false">290-84</f>
        <v>206</v>
      </c>
      <c r="U87" s="148" t="n">
        <f aca="false">290-84</f>
        <v>206</v>
      </c>
      <c r="V87" s="148" t="n">
        <f aca="false">290-84</f>
        <v>206</v>
      </c>
      <c r="W87" s="148" t="n">
        <f aca="false">290-84</f>
        <v>206</v>
      </c>
      <c r="X87" s="148" t="n">
        <f aca="false">290-84</f>
        <v>206</v>
      </c>
      <c r="Y87" s="148" t="n">
        <f aca="false">290-265</f>
        <v>25</v>
      </c>
      <c r="Z87" s="148" t="n">
        <f aca="false">290-265</f>
        <v>25</v>
      </c>
      <c r="AA87" s="148" t="n">
        <f aca="false">290-265</f>
        <v>25</v>
      </c>
      <c r="AB87" s="148" t="n">
        <f aca="false">290-265</f>
        <v>25</v>
      </c>
      <c r="AC87" s="148" t="n">
        <f aca="false">290-265</f>
        <v>25</v>
      </c>
    </row>
    <row r="88" customFormat="false" ht="12.75" hidden="false" customHeight="false" outlineLevel="0" collapsed="false">
      <c r="A88" s="16"/>
      <c r="B88" s="16"/>
      <c r="C88" s="16"/>
      <c r="D88" s="16"/>
      <c r="E88" s="16"/>
      <c r="F88" s="16"/>
      <c r="G88" s="16"/>
      <c r="H88" s="63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</row>
    <row r="89" customFormat="false" ht="12.75" hidden="false" customHeight="false" outlineLevel="0" collapsed="false">
      <c r="A89" s="16"/>
      <c r="B89" s="16" t="s">
        <v>75</v>
      </c>
      <c r="C89" s="16"/>
      <c r="D89" s="16"/>
      <c r="E89" s="16"/>
      <c r="F89" s="16"/>
      <c r="G89" s="16"/>
      <c r="H89" s="63" t="s">
        <v>76</v>
      </c>
      <c r="I89" s="147" t="n">
        <v>8325</v>
      </c>
      <c r="J89" s="147" t="n">
        <v>8380</v>
      </c>
      <c r="K89" s="147" t="n">
        <v>8229</v>
      </c>
      <c r="L89" s="147" t="n">
        <v>8283</v>
      </c>
      <c r="M89" s="147" t="n">
        <v>8339</v>
      </c>
      <c r="N89" s="147" t="n">
        <v>8270</v>
      </c>
      <c r="O89" s="147" t="n">
        <v>8325</v>
      </c>
      <c r="P89" s="147" t="n">
        <v>8380</v>
      </c>
      <c r="Q89" s="147" t="n">
        <v>8229</v>
      </c>
      <c r="R89" s="147" t="n">
        <v>8283</v>
      </c>
      <c r="S89" s="147" t="n">
        <v>8339</v>
      </c>
      <c r="T89" s="150" t="n">
        <f aca="false">N89+950</f>
        <v>9220</v>
      </c>
      <c r="U89" s="150" t="n">
        <f aca="false">O89+950</f>
        <v>9275</v>
      </c>
      <c r="V89" s="150" t="n">
        <f aca="false">P89+950</f>
        <v>9330</v>
      </c>
      <c r="W89" s="150" t="n">
        <f aca="false">Q89+950</f>
        <v>9179</v>
      </c>
      <c r="X89" s="150" t="n">
        <f aca="false">R89+950</f>
        <v>9233</v>
      </c>
      <c r="Y89" s="150" t="n">
        <f aca="false">S89+950</f>
        <v>9289</v>
      </c>
      <c r="Z89" s="150" t="n">
        <f aca="false">T89+950</f>
        <v>10170</v>
      </c>
      <c r="AA89" s="150" t="n">
        <f aca="false">U89+950</f>
        <v>10225</v>
      </c>
      <c r="AB89" s="150" t="n">
        <f aca="false">V89+950</f>
        <v>10280</v>
      </c>
      <c r="AC89" s="150" t="n">
        <f aca="false">W89+950</f>
        <v>10129</v>
      </c>
    </row>
    <row r="90" customFormat="false" ht="12.75" hidden="false" customHeight="false" outlineLevel="0" collapsed="false">
      <c r="A90" s="16"/>
      <c r="B90" s="16"/>
      <c r="C90" s="16"/>
      <c r="D90" s="16"/>
      <c r="E90" s="16"/>
      <c r="F90" s="16"/>
      <c r="G90" s="16"/>
      <c r="H90" s="63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</row>
    <row r="91" customFormat="false" ht="12.75" hidden="false" customHeight="false" outlineLevel="0" collapsed="false">
      <c r="A91" s="16"/>
      <c r="B91" s="16" t="s">
        <v>77</v>
      </c>
      <c r="C91" s="16"/>
      <c r="D91" s="16"/>
      <c r="E91" s="16"/>
      <c r="F91" s="16"/>
      <c r="G91" s="16"/>
      <c r="H91" s="63"/>
      <c r="I91" s="151" t="n">
        <v>0.9565</v>
      </c>
      <c r="J91" s="151" t="n">
        <v>0.8915</v>
      </c>
      <c r="K91" s="151" t="n">
        <v>0.9615</v>
      </c>
      <c r="L91" s="151" t="n">
        <v>0.9315</v>
      </c>
      <c r="M91" s="151" t="n">
        <v>0.9565</v>
      </c>
      <c r="N91" s="151" t="n">
        <v>0.9615</v>
      </c>
      <c r="O91" s="151" t="n">
        <v>0.9565</v>
      </c>
      <c r="P91" s="151" t="n">
        <v>0.8915</v>
      </c>
      <c r="Q91" s="151" t="n">
        <v>0.9615</v>
      </c>
      <c r="R91" s="151" t="n">
        <v>0.9315</v>
      </c>
      <c r="S91" s="151" t="n">
        <v>0.9565</v>
      </c>
      <c r="T91" s="152" t="n">
        <v>0.9615</v>
      </c>
      <c r="U91" s="152" t="n">
        <v>0.9565</v>
      </c>
      <c r="V91" s="152" t="n">
        <v>0.8915</v>
      </c>
      <c r="W91" s="152" t="n">
        <v>0.9615</v>
      </c>
      <c r="X91" s="152" t="n">
        <v>0.9315</v>
      </c>
      <c r="Y91" s="152" t="n">
        <v>0.9565</v>
      </c>
      <c r="Z91" s="152" t="n">
        <v>0.9615</v>
      </c>
      <c r="AA91" s="152" t="n">
        <v>0.9565</v>
      </c>
      <c r="AB91" s="152" t="n">
        <v>0.8915</v>
      </c>
      <c r="AC91" s="152" t="n">
        <v>0.9615</v>
      </c>
    </row>
    <row r="92" customFormat="false" ht="12.75" hidden="false" customHeight="false" outlineLevel="0" collapsed="false">
      <c r="A92" s="16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customFormat="false" ht="12.75" hidden="false" customHeight="false" outlineLevel="0" collapsed="false">
      <c r="A93" s="16"/>
      <c r="B93" s="16" t="s">
        <v>78</v>
      </c>
      <c r="C93" s="16"/>
      <c r="D93" s="16"/>
      <c r="E93" s="16"/>
      <c r="F93" s="16"/>
      <c r="G93" s="16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customFormat="false" ht="12.75" hidden="false" customHeight="false" outlineLevel="0" collapsed="false">
      <c r="A94" s="16"/>
      <c r="B94" s="16"/>
      <c r="C94" s="58" t="s">
        <v>36</v>
      </c>
      <c r="D94" s="58"/>
      <c r="E94" s="16"/>
      <c r="F94" s="16"/>
      <c r="G94" s="16"/>
      <c r="H94" s="63" t="s">
        <v>79</v>
      </c>
      <c r="I94" s="147" t="n">
        <v>1127000</v>
      </c>
      <c r="J94" s="147" t="n">
        <v>1051000</v>
      </c>
      <c r="K94" s="147" t="n">
        <v>1133000</v>
      </c>
      <c r="L94" s="147" t="n">
        <v>1098000</v>
      </c>
      <c r="M94" s="147" t="n">
        <v>1127000</v>
      </c>
      <c r="N94" s="147" t="n">
        <v>1133000</v>
      </c>
      <c r="O94" s="147" t="n">
        <v>1127000</v>
      </c>
      <c r="P94" s="147" t="n">
        <v>1051000</v>
      </c>
      <c r="Q94" s="147" t="n">
        <v>1133000</v>
      </c>
      <c r="R94" s="147" t="n">
        <v>1098000</v>
      </c>
      <c r="S94" s="147" t="n">
        <v>1127000</v>
      </c>
      <c r="T94" s="150" t="n">
        <v>1133000</v>
      </c>
      <c r="U94" s="150" t="n">
        <v>1127000</v>
      </c>
      <c r="V94" s="150" t="n">
        <v>1051000</v>
      </c>
      <c r="W94" s="150" t="n">
        <v>1133000</v>
      </c>
      <c r="X94" s="150" t="n">
        <f aca="false">1098000*9/12</f>
        <v>823500</v>
      </c>
      <c r="Y94" s="150" t="n">
        <v>0</v>
      </c>
      <c r="Z94" s="150" t="n">
        <v>0</v>
      </c>
      <c r="AA94" s="150" t="n">
        <v>0</v>
      </c>
      <c r="AB94" s="150" t="n">
        <v>0</v>
      </c>
      <c r="AC94" s="150" t="n">
        <v>0</v>
      </c>
    </row>
    <row r="95" customFormat="false" ht="12.75" hidden="false" customHeight="false" outlineLevel="0" collapsed="false">
      <c r="A95" s="16"/>
      <c r="B95" s="16"/>
      <c r="C95" s="58" t="s">
        <v>39</v>
      </c>
      <c r="D95" s="58"/>
      <c r="E95" s="16"/>
      <c r="F95" s="16"/>
      <c r="G95" s="16"/>
      <c r="H95" s="63" t="s">
        <v>79</v>
      </c>
      <c r="I95" s="147" t="n">
        <v>701000</v>
      </c>
      <c r="J95" s="147" t="n">
        <v>654000</v>
      </c>
      <c r="K95" s="147" t="n">
        <v>705000</v>
      </c>
      <c r="L95" s="147" t="n">
        <v>683000</v>
      </c>
      <c r="M95" s="147" t="n">
        <v>701000</v>
      </c>
      <c r="N95" s="147" t="n">
        <v>705000</v>
      </c>
      <c r="O95" s="147" t="n">
        <v>701000</v>
      </c>
      <c r="P95" s="147" t="n">
        <v>654000</v>
      </c>
      <c r="Q95" s="147" t="n">
        <v>705000</v>
      </c>
      <c r="R95" s="147" t="n">
        <v>683000</v>
      </c>
      <c r="S95" s="147" t="n">
        <v>498000</v>
      </c>
      <c r="T95" s="150" t="n">
        <v>0</v>
      </c>
      <c r="U95" s="150" t="n">
        <v>0</v>
      </c>
      <c r="V95" s="150" t="n">
        <v>0</v>
      </c>
      <c r="W95" s="150" t="n">
        <v>0</v>
      </c>
      <c r="X95" s="150" t="n">
        <v>0</v>
      </c>
      <c r="Y95" s="150" t="n">
        <v>0</v>
      </c>
      <c r="Z95" s="150" t="n">
        <v>0</v>
      </c>
      <c r="AA95" s="150" t="n">
        <v>0</v>
      </c>
      <c r="AB95" s="150" t="n">
        <v>0</v>
      </c>
      <c r="AC95" s="150" t="n">
        <v>0</v>
      </c>
    </row>
    <row r="96" customFormat="false" ht="12.75" hidden="false" customHeight="false" outlineLevel="0" collapsed="false">
      <c r="A96" s="16"/>
      <c r="B96" s="16"/>
      <c r="C96" s="58" t="s">
        <v>40</v>
      </c>
      <c r="D96" s="58"/>
      <c r="E96" s="16"/>
      <c r="F96" s="16"/>
      <c r="G96" s="16"/>
      <c r="H96" s="63" t="s">
        <v>79</v>
      </c>
      <c r="I96" s="147" t="n">
        <v>207000</v>
      </c>
      <c r="J96" s="147" t="n">
        <v>193000</v>
      </c>
      <c r="K96" s="147" t="n">
        <v>208000</v>
      </c>
      <c r="L96" s="147" t="n">
        <v>202000</v>
      </c>
      <c r="M96" s="147" t="n">
        <v>207000</v>
      </c>
      <c r="N96" s="147" t="n">
        <v>208000</v>
      </c>
      <c r="O96" s="147" t="n">
        <v>207000</v>
      </c>
      <c r="P96" s="147" t="n">
        <v>193000</v>
      </c>
      <c r="Q96" s="147" t="n">
        <v>208000</v>
      </c>
      <c r="R96" s="147" t="n">
        <v>202000</v>
      </c>
      <c r="S96" s="147" t="n">
        <v>207000</v>
      </c>
      <c r="T96" s="150" t="n">
        <v>208000</v>
      </c>
      <c r="U96" s="150" t="n">
        <v>207000</v>
      </c>
      <c r="V96" s="150" t="n">
        <v>193000</v>
      </c>
      <c r="W96" s="150" t="n">
        <v>208000</v>
      </c>
      <c r="X96" s="150" t="n">
        <f aca="false">202000*9/12</f>
        <v>151500</v>
      </c>
      <c r="Y96" s="150" t="n">
        <v>0</v>
      </c>
      <c r="Z96" s="150" t="n">
        <v>0</v>
      </c>
      <c r="AA96" s="150" t="n">
        <v>0</v>
      </c>
      <c r="AB96" s="150" t="n">
        <v>0</v>
      </c>
      <c r="AC96" s="150" t="n">
        <v>0</v>
      </c>
    </row>
    <row r="97" customFormat="false" ht="12.75" hidden="false" customHeight="false" outlineLevel="0" collapsed="false">
      <c r="A97" s="16"/>
      <c r="B97" s="16"/>
      <c r="C97" s="58" t="s">
        <v>41</v>
      </c>
      <c r="D97" s="58"/>
      <c r="E97" s="16"/>
      <c r="F97" s="16"/>
      <c r="G97" s="16"/>
      <c r="H97" s="63" t="s">
        <v>79</v>
      </c>
      <c r="I97" s="147" t="n">
        <v>174000</v>
      </c>
      <c r="J97" s="147" t="n">
        <v>162000</v>
      </c>
      <c r="K97" s="147" t="n">
        <v>175000</v>
      </c>
      <c r="L97" s="147" t="n">
        <v>170000</v>
      </c>
      <c r="M97" s="147" t="n">
        <v>174000</v>
      </c>
      <c r="N97" s="147" t="n">
        <v>175000</v>
      </c>
      <c r="O97" s="147" t="n">
        <v>174000</v>
      </c>
      <c r="P97" s="147" t="n">
        <v>162000</v>
      </c>
      <c r="Q97" s="147" t="n">
        <v>175000</v>
      </c>
      <c r="R97" s="147" t="n">
        <v>170000</v>
      </c>
      <c r="S97" s="147" t="n">
        <v>174000</v>
      </c>
      <c r="T97" s="150" t="n">
        <v>175000</v>
      </c>
      <c r="U97" s="150" t="n">
        <v>174000</v>
      </c>
      <c r="V97" s="150" t="n">
        <v>162000</v>
      </c>
      <c r="W97" s="150" t="n">
        <v>175000</v>
      </c>
      <c r="X97" s="150" t="n">
        <f aca="false">170000*9/12</f>
        <v>127500</v>
      </c>
      <c r="Y97" s="150" t="n">
        <v>0</v>
      </c>
      <c r="Z97" s="150" t="n">
        <v>0</v>
      </c>
      <c r="AA97" s="150" t="n">
        <v>0</v>
      </c>
      <c r="AB97" s="150" t="n">
        <v>0</v>
      </c>
      <c r="AC97" s="150" t="n">
        <v>0</v>
      </c>
    </row>
    <row r="98" customFormat="false" ht="12.75" hidden="false" customHeight="false" outlineLevel="0" collapsed="false">
      <c r="A98" s="16"/>
      <c r="B98" s="16"/>
      <c r="C98" s="58" t="s">
        <v>42</v>
      </c>
      <c r="D98" s="58"/>
      <c r="E98" s="16"/>
      <c r="F98" s="16"/>
      <c r="G98" s="16"/>
      <c r="H98" s="63" t="s">
        <v>79</v>
      </c>
      <c r="I98" s="153" t="n">
        <v>207000</v>
      </c>
      <c r="J98" s="153" t="n">
        <v>193000</v>
      </c>
      <c r="K98" s="153" t="n">
        <v>208000</v>
      </c>
      <c r="L98" s="153" t="n">
        <v>202000</v>
      </c>
      <c r="M98" s="153" t="n">
        <v>207000</v>
      </c>
      <c r="N98" s="153" t="n">
        <v>208000</v>
      </c>
      <c r="O98" s="153" t="n">
        <v>207000</v>
      </c>
      <c r="P98" s="153" t="n">
        <v>193000</v>
      </c>
      <c r="Q98" s="153" t="n">
        <v>208000</v>
      </c>
      <c r="R98" s="153" t="n">
        <v>202000</v>
      </c>
      <c r="S98" s="153" t="n">
        <v>207000</v>
      </c>
      <c r="T98" s="154" t="n">
        <v>208000</v>
      </c>
      <c r="U98" s="154" t="n">
        <v>207000</v>
      </c>
      <c r="V98" s="154" t="n">
        <v>193000</v>
      </c>
      <c r="W98" s="154" t="n">
        <v>208000</v>
      </c>
      <c r="X98" s="154" t="n">
        <v>202000</v>
      </c>
      <c r="Y98" s="154" t="n">
        <v>207000</v>
      </c>
      <c r="Z98" s="154" t="n">
        <v>207000</v>
      </c>
      <c r="AA98" s="154" t="n">
        <v>207000</v>
      </c>
      <c r="AB98" s="154" t="n">
        <v>207000</v>
      </c>
      <c r="AC98" s="154" t="n">
        <f aca="false">207000*9/12</f>
        <v>155250</v>
      </c>
    </row>
    <row r="99" customFormat="false" ht="12.75" hidden="false" customHeight="false" outlineLevel="0" collapsed="false">
      <c r="A99" s="16"/>
      <c r="B99" s="16"/>
      <c r="C99" s="16" t="s">
        <v>80</v>
      </c>
      <c r="D99" s="16"/>
      <c r="E99" s="16"/>
      <c r="F99" s="16"/>
      <c r="G99" s="16"/>
      <c r="H99" s="63" t="s">
        <v>79</v>
      </c>
      <c r="I99" s="155" t="n">
        <f aca="false">SUM(I94:I98)</f>
        <v>2416000</v>
      </c>
      <c r="J99" s="155" t="n">
        <f aca="false">SUM(J94:J98)</f>
        <v>2253000</v>
      </c>
      <c r="K99" s="155" t="n">
        <f aca="false">SUM(K94:K98)</f>
        <v>2429000</v>
      </c>
      <c r="L99" s="155" t="n">
        <f aca="false">SUM(L94:L98)</f>
        <v>2355000</v>
      </c>
      <c r="M99" s="155" t="n">
        <f aca="false">SUM(M94:M98)</f>
        <v>2416000</v>
      </c>
      <c r="N99" s="155" t="n">
        <f aca="false">SUM(N94:N98)</f>
        <v>2429000</v>
      </c>
      <c r="O99" s="155" t="n">
        <f aca="false">SUM(O94:O98)</f>
        <v>2416000</v>
      </c>
      <c r="P99" s="155" t="n">
        <f aca="false">SUM(P94:P98)</f>
        <v>2253000</v>
      </c>
      <c r="Q99" s="155" t="n">
        <f aca="false">SUM(Q94:Q98)</f>
        <v>2429000</v>
      </c>
      <c r="R99" s="155" t="n">
        <f aca="false">SUM(R94:R98)</f>
        <v>2355000</v>
      </c>
      <c r="S99" s="155" t="n">
        <f aca="false">SUM(S94:S98)</f>
        <v>2213000</v>
      </c>
      <c r="T99" s="155" t="n">
        <f aca="false">SUM(T94:T98)</f>
        <v>1724000</v>
      </c>
      <c r="U99" s="155" t="n">
        <f aca="false">SUM(U94:U98)</f>
        <v>1715000</v>
      </c>
      <c r="V99" s="155" t="n">
        <f aca="false">SUM(V94:V98)</f>
        <v>1599000</v>
      </c>
      <c r="W99" s="155" t="n">
        <f aca="false">SUM(W94:W98)</f>
        <v>1724000</v>
      </c>
      <c r="X99" s="155" t="n">
        <f aca="false">SUM(X94:X98)</f>
        <v>1304500</v>
      </c>
      <c r="Y99" s="155" t="n">
        <f aca="false">SUM(Y94:Y98)</f>
        <v>207000</v>
      </c>
      <c r="Z99" s="155" t="n">
        <f aca="false">SUM(Z94:Z98)</f>
        <v>207000</v>
      </c>
      <c r="AA99" s="155" t="n">
        <f aca="false">SUM(AA94:AA98)</f>
        <v>207000</v>
      </c>
      <c r="AB99" s="155" t="n">
        <f aca="false">SUM(AB94:AB98)</f>
        <v>207000</v>
      </c>
      <c r="AC99" s="155" t="n">
        <f aca="false">SUM(AC94:AC98)</f>
        <v>155250</v>
      </c>
    </row>
    <row r="100" customFormat="false" ht="12.75" hidden="false" customHeight="false" outlineLevel="0" collapsed="false">
      <c r="A100" s="16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63"/>
      <c r="BZ100" s="63"/>
      <c r="CA100" s="63"/>
      <c r="CB100" s="63"/>
      <c r="CC100" s="63"/>
      <c r="CD100" s="63"/>
      <c r="CE100" s="63"/>
      <c r="CF100" s="63"/>
      <c r="CG100" s="63"/>
      <c r="CH100" s="63"/>
      <c r="CI100" s="63"/>
      <c r="CJ100" s="63"/>
      <c r="CK100" s="63"/>
      <c r="CL100" s="63"/>
      <c r="CM100" s="63"/>
      <c r="CN100" s="63"/>
      <c r="CO100" s="63"/>
      <c r="CP100" s="63"/>
      <c r="CQ100" s="63"/>
      <c r="CR100" s="63"/>
      <c r="CS100" s="63"/>
      <c r="CT100" s="63"/>
      <c r="CU100" s="63"/>
      <c r="CV100" s="63"/>
      <c r="CW100" s="63"/>
      <c r="CX100" s="63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3"/>
      <c r="DR100" s="63"/>
      <c r="DS100" s="63"/>
      <c r="DT100" s="63"/>
      <c r="DU100" s="63"/>
      <c r="DV100" s="63"/>
      <c r="DW100" s="63"/>
      <c r="DX100" s="63"/>
      <c r="DY100" s="63"/>
      <c r="DZ100" s="63"/>
      <c r="EA100" s="63"/>
      <c r="EB100" s="63"/>
      <c r="EC100" s="63"/>
      <c r="ED100" s="63"/>
      <c r="EE100" s="63"/>
      <c r="EF100" s="63"/>
      <c r="EG100" s="63"/>
      <c r="EH100" s="63"/>
      <c r="EI100" s="63"/>
      <c r="EJ100" s="63"/>
      <c r="EK100" s="63"/>
      <c r="EL100" s="63"/>
      <c r="EM100" s="63"/>
      <c r="EN100" s="63"/>
      <c r="EO100" s="63"/>
      <c r="EP100" s="63"/>
      <c r="EQ100" s="63"/>
      <c r="ER100" s="63"/>
      <c r="ES100" s="63"/>
      <c r="ET100" s="63"/>
      <c r="EU100" s="63"/>
      <c r="EV100" s="63"/>
      <c r="EW100" s="63"/>
      <c r="EX100" s="63"/>
      <c r="EY100" s="63"/>
      <c r="EZ100" s="63"/>
      <c r="FA100" s="63"/>
      <c r="FB100" s="63"/>
      <c r="FC100" s="63"/>
      <c r="FD100" s="63"/>
      <c r="FE100" s="63"/>
      <c r="FF100" s="63"/>
      <c r="FG100" s="63"/>
      <c r="FH100" s="63"/>
      <c r="FI100" s="63"/>
      <c r="FJ100" s="63"/>
      <c r="FK100" s="63"/>
      <c r="FL100" s="63"/>
      <c r="FM100" s="63"/>
      <c r="FN100" s="63"/>
      <c r="FO100" s="63"/>
      <c r="FP100" s="63"/>
      <c r="FQ100" s="63"/>
      <c r="FR100" s="63"/>
      <c r="FS100" s="63"/>
      <c r="FT100" s="63"/>
      <c r="FU100" s="63"/>
      <c r="FV100" s="63"/>
      <c r="FW100" s="63"/>
      <c r="FX100" s="63"/>
      <c r="FY100" s="63"/>
      <c r="FZ100" s="63"/>
      <c r="GA100" s="63"/>
      <c r="GB100" s="63"/>
      <c r="GC100" s="63"/>
      <c r="GD100" s="63"/>
      <c r="GE100" s="63"/>
      <c r="GF100" s="63"/>
      <c r="GG100" s="63"/>
      <c r="GH100" s="63"/>
      <c r="GI100" s="63"/>
      <c r="GJ100" s="63"/>
      <c r="GK100" s="63"/>
      <c r="GL100" s="63"/>
      <c r="GM100" s="63"/>
      <c r="GN100" s="63"/>
      <c r="GO100" s="63"/>
      <c r="GP100" s="63"/>
      <c r="GQ100" s="63"/>
      <c r="GR100" s="63"/>
      <c r="GS100" s="63"/>
      <c r="GT100" s="63"/>
      <c r="GU100" s="63"/>
      <c r="GV100" s="63"/>
      <c r="GW100" s="63"/>
      <c r="GX100" s="63"/>
      <c r="GY100" s="63"/>
      <c r="GZ100" s="63"/>
      <c r="HA100" s="63"/>
      <c r="HB100" s="63"/>
      <c r="HC100" s="63"/>
      <c r="HD100" s="63"/>
      <c r="HE100" s="63"/>
      <c r="HF100" s="63"/>
      <c r="HG100" s="63"/>
      <c r="HH100" s="63"/>
      <c r="HI100" s="63"/>
      <c r="HJ100" s="63"/>
      <c r="HK100" s="63"/>
      <c r="HL100" s="63"/>
      <c r="HM100" s="63"/>
      <c r="HN100" s="63"/>
      <c r="HO100" s="63"/>
      <c r="HP100" s="63"/>
      <c r="HQ100" s="63"/>
      <c r="HR100" s="63"/>
      <c r="HS100" s="63"/>
      <c r="HT100" s="63"/>
      <c r="HU100" s="63"/>
      <c r="HV100" s="63"/>
      <c r="HW100" s="63"/>
      <c r="HX100" s="63"/>
      <c r="HY100" s="63"/>
      <c r="HZ100" s="63"/>
      <c r="IA100" s="63"/>
      <c r="IB100" s="63"/>
      <c r="IC100" s="63"/>
      <c r="ID100" s="63"/>
      <c r="IE100" s="63"/>
      <c r="IF100" s="63"/>
      <c r="IG100" s="63"/>
      <c r="IH100" s="63"/>
      <c r="II100" s="63"/>
      <c r="IJ100" s="63"/>
      <c r="IK100" s="63"/>
      <c r="IL100" s="63"/>
    </row>
    <row r="101" customFormat="false" ht="12.75" hidden="false" customHeight="false" outlineLevel="0" collapsed="false">
      <c r="A101" s="16"/>
      <c r="B101" s="16" t="s">
        <v>81</v>
      </c>
      <c r="C101" s="16"/>
      <c r="D101" s="16"/>
      <c r="E101" s="16"/>
      <c r="F101" s="16"/>
      <c r="G101" s="16"/>
      <c r="H101" s="63" t="s">
        <v>74</v>
      </c>
      <c r="I101" s="148" t="n">
        <v>10</v>
      </c>
      <c r="J101" s="148" t="n">
        <v>10</v>
      </c>
      <c r="K101" s="148" t="n">
        <v>10</v>
      </c>
      <c r="L101" s="148" t="n">
        <v>10</v>
      </c>
      <c r="M101" s="148" t="n">
        <v>10</v>
      </c>
      <c r="N101" s="148" t="n">
        <v>10</v>
      </c>
      <c r="O101" s="148" t="n">
        <v>10</v>
      </c>
      <c r="P101" s="148" t="n">
        <v>10</v>
      </c>
      <c r="Q101" s="148" t="n">
        <v>10</v>
      </c>
      <c r="R101" s="148" t="n">
        <v>10</v>
      </c>
      <c r="S101" s="148" t="n">
        <v>10</v>
      </c>
      <c r="T101" s="148" t="n">
        <v>10</v>
      </c>
      <c r="U101" s="148" t="n">
        <v>10</v>
      </c>
      <c r="V101" s="148" t="n">
        <v>10</v>
      </c>
      <c r="W101" s="148" t="n">
        <v>10</v>
      </c>
      <c r="X101" s="148" t="n">
        <v>10</v>
      </c>
      <c r="Y101" s="148" t="n">
        <v>10</v>
      </c>
      <c r="Z101" s="148" t="n">
        <v>10</v>
      </c>
      <c r="AA101" s="148" t="n">
        <v>10</v>
      </c>
      <c r="AB101" s="148" t="n">
        <v>10</v>
      </c>
      <c r="AC101" s="148" t="n">
        <v>10</v>
      </c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  <c r="CW101" s="63"/>
      <c r="CX101" s="63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3"/>
      <c r="DR101" s="63"/>
      <c r="DS101" s="63"/>
      <c r="DT101" s="63"/>
      <c r="DU101" s="63"/>
      <c r="DV101" s="63"/>
      <c r="DW101" s="63"/>
      <c r="DX101" s="63"/>
      <c r="DY101" s="63"/>
      <c r="DZ101" s="63"/>
      <c r="EA101" s="63"/>
      <c r="EB101" s="63"/>
      <c r="EC101" s="63"/>
      <c r="ED101" s="63"/>
      <c r="EE101" s="63"/>
      <c r="EF101" s="63"/>
      <c r="EG101" s="63"/>
      <c r="EH101" s="63"/>
      <c r="EI101" s="63"/>
      <c r="EJ101" s="63"/>
      <c r="EK101" s="63"/>
      <c r="EL101" s="63"/>
      <c r="EM101" s="63"/>
      <c r="EN101" s="63"/>
      <c r="EO101" s="63"/>
      <c r="EP101" s="63"/>
      <c r="EQ101" s="63"/>
      <c r="ER101" s="63"/>
      <c r="ES101" s="63"/>
      <c r="ET101" s="63"/>
      <c r="EU101" s="63"/>
      <c r="EV101" s="63"/>
      <c r="EW101" s="63"/>
      <c r="EX101" s="63"/>
      <c r="EY101" s="63"/>
      <c r="EZ101" s="63"/>
      <c r="FA101" s="63"/>
      <c r="FB101" s="63"/>
      <c r="FC101" s="63"/>
      <c r="FD101" s="63"/>
      <c r="FE101" s="63"/>
      <c r="FF101" s="63"/>
      <c r="FG101" s="63"/>
      <c r="FH101" s="63"/>
      <c r="FI101" s="63"/>
      <c r="FJ101" s="63"/>
      <c r="FK101" s="63"/>
      <c r="FL101" s="63"/>
      <c r="FM101" s="63"/>
      <c r="FN101" s="63"/>
      <c r="FO101" s="63"/>
      <c r="FP101" s="63"/>
      <c r="FQ101" s="63"/>
      <c r="FR101" s="63"/>
      <c r="FS101" s="63"/>
      <c r="FT101" s="63"/>
      <c r="FU101" s="63"/>
      <c r="FV101" s="63"/>
      <c r="FW101" s="63"/>
      <c r="FX101" s="63"/>
      <c r="FY101" s="63"/>
      <c r="FZ101" s="63"/>
      <c r="GA101" s="63"/>
      <c r="GB101" s="63"/>
      <c r="GC101" s="63"/>
      <c r="GD101" s="63"/>
      <c r="GE101" s="63"/>
      <c r="GF101" s="63"/>
      <c r="GG101" s="63"/>
      <c r="GH101" s="63"/>
      <c r="GI101" s="63"/>
      <c r="GJ101" s="63"/>
      <c r="GK101" s="63"/>
      <c r="GL101" s="63"/>
      <c r="GM101" s="63"/>
      <c r="GN101" s="63"/>
      <c r="GO101" s="63"/>
      <c r="GP101" s="63"/>
      <c r="GQ101" s="63"/>
      <c r="GR101" s="63"/>
      <c r="GS101" s="63"/>
      <c r="GT101" s="63"/>
      <c r="GU101" s="63"/>
      <c r="GV101" s="63"/>
      <c r="GW101" s="63"/>
      <c r="GX101" s="63"/>
      <c r="GY101" s="63"/>
      <c r="GZ101" s="63"/>
      <c r="HA101" s="63"/>
      <c r="HB101" s="63"/>
      <c r="HC101" s="63"/>
      <c r="HD101" s="63"/>
      <c r="HE101" s="63"/>
      <c r="HF101" s="63"/>
      <c r="HG101" s="63"/>
      <c r="HH101" s="63"/>
      <c r="HI101" s="63"/>
      <c r="HJ101" s="63"/>
      <c r="HK101" s="63"/>
      <c r="HL101" s="63"/>
      <c r="HM101" s="63"/>
      <c r="HN101" s="63"/>
      <c r="HO101" s="63"/>
      <c r="HP101" s="63"/>
      <c r="HQ101" s="63"/>
      <c r="HR101" s="63"/>
      <c r="HS101" s="63"/>
      <c r="HT101" s="63"/>
      <c r="HU101" s="63"/>
      <c r="HV101" s="63"/>
      <c r="HW101" s="63"/>
      <c r="HX101" s="63"/>
      <c r="HY101" s="63"/>
      <c r="HZ101" s="63"/>
      <c r="IA101" s="63"/>
      <c r="IB101" s="63"/>
      <c r="IC101" s="63"/>
      <c r="ID101" s="63"/>
      <c r="IE101" s="63"/>
      <c r="IF101" s="63"/>
      <c r="IG101" s="63"/>
      <c r="IH101" s="63"/>
      <c r="II101" s="63"/>
      <c r="IJ101" s="63"/>
      <c r="IK101" s="63"/>
      <c r="IL101" s="63"/>
    </row>
    <row r="102" customFormat="false" ht="12.75" hidden="false" customHeight="false" outlineLevel="0" collapsed="false">
      <c r="A102" s="16"/>
      <c r="B102" s="16" t="s">
        <v>82</v>
      </c>
      <c r="C102" s="16"/>
      <c r="D102" s="16"/>
      <c r="E102" s="16" t="s">
        <v>83</v>
      </c>
      <c r="F102" s="16" t="n">
        <f aca="false">F166</f>
        <v>0</v>
      </c>
      <c r="G102" s="16"/>
      <c r="H102" s="63" t="s">
        <v>79</v>
      </c>
      <c r="I102" s="148" t="n">
        <v>0</v>
      </c>
      <c r="J102" s="148" t="n">
        <v>0</v>
      </c>
      <c r="K102" s="148" t="n">
        <v>0</v>
      </c>
      <c r="L102" s="148" t="n">
        <v>0</v>
      </c>
      <c r="M102" s="148" t="n">
        <v>0</v>
      </c>
      <c r="N102" s="148" t="n">
        <v>0</v>
      </c>
      <c r="O102" s="148" t="n">
        <v>0</v>
      </c>
      <c r="P102" s="148" t="n">
        <v>0</v>
      </c>
      <c r="Q102" s="148" t="n">
        <v>0</v>
      </c>
      <c r="R102" s="148" t="n">
        <v>0</v>
      </c>
      <c r="S102" s="148" t="n">
        <v>0</v>
      </c>
      <c r="T102" s="148" t="n">
        <v>0</v>
      </c>
      <c r="U102" s="148" t="n">
        <v>0</v>
      </c>
      <c r="V102" s="148" t="n">
        <v>0</v>
      </c>
      <c r="W102" s="148" t="n">
        <v>0</v>
      </c>
      <c r="X102" s="148" t="n">
        <v>0</v>
      </c>
      <c r="Y102" s="148" t="n">
        <v>0</v>
      </c>
      <c r="Z102" s="148" t="n">
        <v>0</v>
      </c>
      <c r="AA102" s="148" t="n">
        <v>0</v>
      </c>
      <c r="AB102" s="148" t="n">
        <v>0</v>
      </c>
      <c r="AC102" s="148" t="n">
        <v>0</v>
      </c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3"/>
      <c r="DL102" s="63"/>
      <c r="DM102" s="63"/>
      <c r="DN102" s="63"/>
      <c r="DO102" s="63"/>
      <c r="DP102" s="63"/>
      <c r="DQ102" s="63"/>
      <c r="DR102" s="63"/>
      <c r="DS102" s="63"/>
      <c r="DT102" s="63"/>
      <c r="DU102" s="63"/>
      <c r="DV102" s="63"/>
      <c r="DW102" s="63"/>
      <c r="DX102" s="63"/>
      <c r="DY102" s="63"/>
      <c r="DZ102" s="63"/>
      <c r="EA102" s="63"/>
      <c r="EB102" s="63"/>
      <c r="EC102" s="63"/>
      <c r="ED102" s="63"/>
      <c r="EE102" s="63"/>
      <c r="EF102" s="63"/>
      <c r="EG102" s="63"/>
      <c r="EH102" s="63"/>
      <c r="EI102" s="63"/>
      <c r="EJ102" s="63"/>
      <c r="EK102" s="63"/>
      <c r="EL102" s="63"/>
      <c r="EM102" s="63"/>
      <c r="EN102" s="63"/>
      <c r="EO102" s="63"/>
      <c r="EP102" s="63"/>
      <c r="EQ102" s="63"/>
      <c r="ER102" s="63"/>
      <c r="ES102" s="63"/>
      <c r="ET102" s="63"/>
      <c r="EU102" s="63"/>
      <c r="EV102" s="63"/>
      <c r="EW102" s="63"/>
      <c r="EX102" s="63"/>
      <c r="EY102" s="63"/>
      <c r="EZ102" s="63"/>
      <c r="FA102" s="63"/>
      <c r="FB102" s="63"/>
      <c r="FC102" s="63"/>
      <c r="FD102" s="63"/>
      <c r="FE102" s="63"/>
      <c r="FF102" s="63"/>
      <c r="FG102" s="63"/>
      <c r="FH102" s="63"/>
      <c r="FI102" s="63"/>
      <c r="FJ102" s="63"/>
      <c r="FK102" s="63"/>
      <c r="FL102" s="63"/>
      <c r="FM102" s="63"/>
      <c r="FN102" s="63"/>
      <c r="FO102" s="63"/>
      <c r="FP102" s="63"/>
      <c r="FQ102" s="63"/>
      <c r="FR102" s="63"/>
      <c r="FS102" s="63"/>
      <c r="FT102" s="63"/>
      <c r="FU102" s="63"/>
      <c r="FV102" s="63"/>
      <c r="FW102" s="63"/>
      <c r="FX102" s="63"/>
      <c r="FY102" s="63"/>
      <c r="FZ102" s="63"/>
      <c r="GA102" s="63"/>
      <c r="GB102" s="63"/>
      <c r="GC102" s="63"/>
      <c r="GD102" s="63"/>
      <c r="GE102" s="63"/>
      <c r="GF102" s="63"/>
      <c r="GG102" s="63"/>
      <c r="GH102" s="63"/>
      <c r="GI102" s="63"/>
      <c r="GJ102" s="63"/>
      <c r="GK102" s="63"/>
      <c r="GL102" s="63"/>
      <c r="GM102" s="63"/>
      <c r="GN102" s="63"/>
      <c r="GO102" s="63"/>
      <c r="GP102" s="63"/>
      <c r="GQ102" s="63"/>
      <c r="GR102" s="63"/>
      <c r="GS102" s="63"/>
      <c r="GT102" s="63"/>
      <c r="GU102" s="63"/>
      <c r="GV102" s="63"/>
      <c r="GW102" s="63"/>
      <c r="GX102" s="63"/>
      <c r="GY102" s="63"/>
      <c r="GZ102" s="63"/>
      <c r="HA102" s="63"/>
      <c r="HB102" s="63"/>
      <c r="HC102" s="63"/>
      <c r="HD102" s="63"/>
      <c r="HE102" s="63"/>
      <c r="HF102" s="63"/>
      <c r="HG102" s="63"/>
      <c r="HH102" s="63"/>
      <c r="HI102" s="63"/>
      <c r="HJ102" s="63"/>
      <c r="HK102" s="63"/>
      <c r="HL102" s="63"/>
      <c r="HM102" s="63"/>
      <c r="HN102" s="63"/>
      <c r="HO102" s="63"/>
      <c r="HP102" s="63"/>
      <c r="HQ102" s="63"/>
      <c r="HR102" s="63"/>
      <c r="HS102" s="63"/>
      <c r="HT102" s="63"/>
      <c r="HU102" s="63"/>
      <c r="HV102" s="63"/>
      <c r="HW102" s="63"/>
      <c r="HX102" s="63"/>
      <c r="HY102" s="63"/>
      <c r="HZ102" s="63"/>
      <c r="IA102" s="63"/>
      <c r="IB102" s="63"/>
      <c r="IC102" s="63"/>
      <c r="ID102" s="63"/>
      <c r="IE102" s="63"/>
      <c r="IF102" s="63"/>
      <c r="IG102" s="63"/>
      <c r="IH102" s="63"/>
      <c r="II102" s="63"/>
      <c r="IJ102" s="63"/>
      <c r="IK102" s="63"/>
      <c r="IL102" s="63"/>
    </row>
    <row r="103" customFormat="false" ht="12.75" hidden="false" customHeight="false" outlineLevel="0" collapsed="false">
      <c r="A103" s="16"/>
      <c r="B103" s="16" t="s">
        <v>84</v>
      </c>
      <c r="C103" s="16"/>
      <c r="D103" s="16"/>
      <c r="E103" s="16"/>
      <c r="F103" s="16"/>
      <c r="G103" s="16"/>
      <c r="H103" s="63" t="s">
        <v>38</v>
      </c>
      <c r="I103" s="103" t="n">
        <v>0</v>
      </c>
      <c r="J103" s="103" t="n">
        <v>0</v>
      </c>
      <c r="K103" s="103" t="n">
        <v>0</v>
      </c>
      <c r="L103" s="103" t="n">
        <v>0</v>
      </c>
      <c r="M103" s="103" t="n">
        <v>0</v>
      </c>
      <c r="N103" s="103" t="n">
        <v>0</v>
      </c>
      <c r="O103" s="103" t="n">
        <v>0</v>
      </c>
      <c r="P103" s="103" t="n">
        <v>0</v>
      </c>
      <c r="Q103" s="103" t="n">
        <v>0</v>
      </c>
      <c r="R103" s="103" t="n">
        <v>0</v>
      </c>
      <c r="S103" s="103" t="n">
        <v>0</v>
      </c>
      <c r="T103" s="103" t="n">
        <v>0</v>
      </c>
      <c r="U103" s="103" t="n">
        <v>0</v>
      </c>
      <c r="V103" s="103" t="n">
        <v>0</v>
      </c>
      <c r="W103" s="103" t="n">
        <v>0</v>
      </c>
      <c r="X103" s="103" t="n">
        <v>0</v>
      </c>
      <c r="Y103" s="103" t="n">
        <v>0</v>
      </c>
      <c r="Z103" s="103" t="n">
        <v>0</v>
      </c>
      <c r="AA103" s="103" t="n">
        <v>0</v>
      </c>
      <c r="AB103" s="103" t="n">
        <v>0</v>
      </c>
      <c r="AC103" s="103" t="n">
        <v>0</v>
      </c>
    </row>
    <row r="104" customFormat="false" ht="12.75" hidden="false" customHeight="false" outlineLevel="0" collapsed="false">
      <c r="A104" s="16"/>
      <c r="B104" s="16"/>
      <c r="C104" s="16"/>
      <c r="D104" s="16"/>
      <c r="E104" s="16"/>
      <c r="F104" s="16"/>
      <c r="G104" s="16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customFormat="false" ht="12.75" hidden="false" customHeight="false" outlineLevel="0" collapsed="false">
      <c r="A105" s="16"/>
      <c r="B105" s="16" t="s">
        <v>85</v>
      </c>
      <c r="C105" s="16"/>
      <c r="D105" s="16"/>
      <c r="E105" s="16"/>
      <c r="F105" s="16"/>
      <c r="G105" s="16"/>
      <c r="H105" s="63" t="s">
        <v>79</v>
      </c>
      <c r="I105" s="149" t="n">
        <f aca="false">+I99+I101</f>
        <v>2416010</v>
      </c>
      <c r="J105" s="149" t="n">
        <f aca="false">+J99+J102</f>
        <v>2253000</v>
      </c>
      <c r="K105" s="149" t="n">
        <f aca="false">+K99+K102</f>
        <v>2429000</v>
      </c>
      <c r="L105" s="149" t="n">
        <f aca="false">+L99+L102</f>
        <v>2355000</v>
      </c>
      <c r="M105" s="149" t="n">
        <f aca="false">+M99+M102</f>
        <v>2416000</v>
      </c>
      <c r="N105" s="149" t="n">
        <f aca="false">+N99+N102</f>
        <v>2429000</v>
      </c>
      <c r="O105" s="149" t="n">
        <f aca="false">+O99+O102</f>
        <v>2416000</v>
      </c>
      <c r="P105" s="149" t="n">
        <f aca="false">+P99+P102</f>
        <v>2253000</v>
      </c>
      <c r="Q105" s="149" t="n">
        <f aca="false">+Q99+Q102</f>
        <v>2429000</v>
      </c>
      <c r="R105" s="149" t="n">
        <f aca="false">+R99+R102</f>
        <v>2355000</v>
      </c>
      <c r="S105" s="149" t="n">
        <f aca="false">+S99+S102</f>
        <v>2213000</v>
      </c>
      <c r="T105" s="149" t="n">
        <f aca="false">+T99+T102</f>
        <v>1724000</v>
      </c>
      <c r="U105" s="149" t="n">
        <f aca="false">+U99+U102</f>
        <v>1715000</v>
      </c>
      <c r="V105" s="149" t="n">
        <f aca="false">+V99+V102</f>
        <v>1599000</v>
      </c>
      <c r="W105" s="149" t="n">
        <f aca="false">+W99+W102</f>
        <v>1724000</v>
      </c>
      <c r="X105" s="149" t="n">
        <f aca="false">+X99+X102</f>
        <v>1304500</v>
      </c>
      <c r="Y105" s="149" t="n">
        <f aca="false">+Y99+Y102</f>
        <v>207000</v>
      </c>
      <c r="Z105" s="149" t="n">
        <f aca="false">+Z99+Z102</f>
        <v>207000</v>
      </c>
      <c r="AA105" s="149" t="n">
        <f aca="false">+AA99+AA102</f>
        <v>207000</v>
      </c>
      <c r="AB105" s="149" t="n">
        <f aca="false">+AB99+AB102</f>
        <v>207000</v>
      </c>
      <c r="AC105" s="149" t="n">
        <f aca="false">+AC99+AC102</f>
        <v>155250</v>
      </c>
    </row>
    <row r="106" customFormat="false" ht="12.75" hidden="false" customHeight="false" outlineLevel="0" collapsed="false">
      <c r="A106" s="16"/>
      <c r="B106" s="16"/>
      <c r="C106" s="16"/>
      <c r="D106" s="16"/>
      <c r="E106" s="16"/>
      <c r="F106" s="16"/>
      <c r="G106" s="16"/>
      <c r="H106" s="17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</row>
    <row r="107" customFormat="false" ht="12.75" hidden="false" customHeight="false" outlineLevel="0" collapsed="false">
      <c r="A107" s="16"/>
      <c r="B107" s="16" t="s">
        <v>86</v>
      </c>
      <c r="C107" s="16"/>
      <c r="D107" s="16"/>
      <c r="E107" s="16"/>
      <c r="F107" s="16"/>
      <c r="G107" s="16"/>
      <c r="H107" s="17"/>
      <c r="I107" s="156" t="n">
        <f aca="false">+I105/((+I87+I101)*I25)</f>
        <v>0.919334094368341</v>
      </c>
      <c r="J107" s="156" t="n">
        <f aca="false">+J105/((+J87+J101)*J25)</f>
        <v>0.857305936073059</v>
      </c>
      <c r="K107" s="156" t="n">
        <f aca="false">+K105/((+K87+K101)*K25)</f>
        <v>0.92427701674277</v>
      </c>
      <c r="L107" s="156" t="n">
        <f aca="false">+L105/((+L87+L101)*L25)</f>
        <v>0.893670309653916</v>
      </c>
      <c r="M107" s="156" t="n">
        <f aca="false">+M105/((+M87+M101)*M25)</f>
        <v>0.919330289193303</v>
      </c>
      <c r="N107" s="156" t="n">
        <f aca="false">+N105/((+N87+N101)*N25)</f>
        <v>0.92427701674277</v>
      </c>
      <c r="O107" s="156" t="n">
        <f aca="false">+O105/((+O87+O101)*O25)</f>
        <v>0.919330289193303</v>
      </c>
      <c r="P107" s="156" t="n">
        <f aca="false">+P105/((+P87+P101)*P25)</f>
        <v>0.854963570127505</v>
      </c>
      <c r="Q107" s="156" t="n">
        <f aca="false">+Q105/((+Q87+Q101)*Q25)</f>
        <v>0.92427701674277</v>
      </c>
      <c r="R107" s="156" t="n">
        <f aca="false">+R105/((+R87+R101)*R25)</f>
        <v>0.896118721461187</v>
      </c>
      <c r="S107" s="156" t="n">
        <f aca="false">+S105/((+S87+S101)*S25)</f>
        <v>0.919307026114468</v>
      </c>
      <c r="T107" s="156" t="n">
        <f aca="false">+T105/((+T87+T101)*T25)</f>
        <v>0.9086386021723</v>
      </c>
      <c r="U107" s="156" t="n">
        <f aca="false">+U105/((+U87+U101)*U25)</f>
        <v>0.906371554202604</v>
      </c>
      <c r="V107" s="156" t="n">
        <f aca="false">+V105/((+V87+V101)*V25)</f>
        <v>0.845065956367326</v>
      </c>
      <c r="W107" s="156" t="n">
        <f aca="false">+W105/((+W87+W101)*W25)</f>
        <v>0.911128023000169</v>
      </c>
      <c r="X107" s="156" t="n">
        <f aca="false">+X105/((+X87+X101)*X25)</f>
        <v>0.687540055994063</v>
      </c>
      <c r="Y107" s="156" t="n">
        <f aca="false">+Y105/((+Y87+Y101)*Y25)</f>
        <v>0.675146771037182</v>
      </c>
      <c r="Z107" s="156" t="n">
        <f aca="false">+Z105/((+Z87+Z101)*Z25)</f>
        <v>0.675146771037182</v>
      </c>
      <c r="AA107" s="156" t="n">
        <f aca="false">+AA105/((+AA87+AA101)*AA25)</f>
        <v>0.675146771037182</v>
      </c>
      <c r="AB107" s="156" t="n">
        <f aca="false">+AB105/((+AB87+AB101)*AB25)</f>
        <v>0.673302107728337</v>
      </c>
      <c r="AC107" s="156" t="n">
        <f aca="false">+AC105/((+AC87+AC101)*AC25)</f>
        <v>0.506360078277887</v>
      </c>
    </row>
    <row r="108" customFormat="false" ht="12.75" hidden="false" customHeight="false" outlineLevel="0" collapsed="false">
      <c r="A108" s="16"/>
      <c r="B108" s="16"/>
      <c r="C108" s="16"/>
      <c r="D108" s="16"/>
      <c r="E108" s="16"/>
      <c r="F108" s="16"/>
      <c r="G108" s="16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customFormat="false" ht="12.75" hidden="false" customHeight="false" outlineLevel="0" collapsed="false">
      <c r="A109" s="16"/>
      <c r="B109" s="16" t="s">
        <v>87</v>
      </c>
      <c r="C109" s="16"/>
      <c r="D109" s="16"/>
      <c r="E109" s="16"/>
      <c r="F109" s="16"/>
      <c r="G109" s="1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customFormat="false" ht="12.75" hidden="false" customHeight="false" outlineLevel="0" collapsed="false">
      <c r="A110" s="16"/>
      <c r="B110" s="16"/>
      <c r="C110" s="16" t="s">
        <v>88</v>
      </c>
      <c r="D110" s="16"/>
      <c r="E110" s="16"/>
      <c r="F110" s="157" t="n">
        <f aca="false">L18</f>
        <v>1</v>
      </c>
      <c r="G110" s="16"/>
      <c r="H110" s="17"/>
      <c r="I110" s="157" t="n">
        <v>20724000</v>
      </c>
      <c r="J110" s="157" t="n">
        <v>20551000</v>
      </c>
      <c r="K110" s="157" t="n">
        <v>19332000</v>
      </c>
      <c r="L110" s="157" t="n">
        <v>20416000</v>
      </c>
      <c r="M110" s="157" t="n">
        <v>19933000</v>
      </c>
      <c r="N110" s="157" t="n">
        <v>20585000</v>
      </c>
      <c r="O110" s="157" t="n">
        <v>20518000</v>
      </c>
      <c r="P110" s="157" t="n">
        <v>20551000</v>
      </c>
      <c r="Q110" s="157" t="n">
        <v>19332000</v>
      </c>
      <c r="R110" s="157" t="n">
        <v>20416000</v>
      </c>
      <c r="S110" s="157" t="n">
        <v>19933000</v>
      </c>
      <c r="T110" s="157" t="n">
        <f aca="false">T111</f>
        <v>16041307.24512</v>
      </c>
      <c r="U110" s="157" t="n">
        <f aca="false">U111</f>
        <v>16009221.711</v>
      </c>
      <c r="V110" s="157" t="n">
        <f aca="false">V111</f>
        <v>15009779.6892</v>
      </c>
      <c r="W110" s="157" t="n">
        <f aca="false">W111</f>
        <v>15926340.07476</v>
      </c>
      <c r="X110" s="157" t="n">
        <f aca="false">X111</f>
        <v>11458728</v>
      </c>
      <c r="Y110" s="157" t="n">
        <f aca="false">Y111</f>
        <v>1945799.3415</v>
      </c>
      <c r="Z110" s="157" t="n">
        <f aca="false">Z111</f>
        <v>2141481.645</v>
      </c>
      <c r="AA110" s="157" t="n">
        <f aca="false">AA111</f>
        <v>2141866.5375</v>
      </c>
      <c r="AB110" s="157" t="n">
        <f aca="false">AB111</f>
        <v>2012550.552</v>
      </c>
      <c r="AC110" s="157" t="n">
        <f aca="false">AC111</f>
        <v>2132848.3365</v>
      </c>
      <c r="AD110" s="157" t="s">
        <v>3</v>
      </c>
    </row>
    <row r="111" customFormat="false" ht="12.75" hidden="false" customHeight="false" outlineLevel="0" collapsed="false">
      <c r="A111" s="16"/>
      <c r="B111" s="16"/>
      <c r="C111" s="16" t="s">
        <v>89</v>
      </c>
      <c r="D111" s="16"/>
      <c r="E111" s="16"/>
      <c r="F111" s="16" t="s">
        <v>3</v>
      </c>
      <c r="G111" s="16"/>
      <c r="H111" s="63" t="s">
        <v>90</v>
      </c>
      <c r="I111" s="157" t="n">
        <f aca="false">(I87*I25*I91*I89)/1000</f>
        <v>20228855.895</v>
      </c>
      <c r="J111" s="157" t="n">
        <f aca="false">J99*J89/1000</f>
        <v>18880140</v>
      </c>
      <c r="K111" s="157" t="n">
        <f aca="false">(K87*K25*K91*K89)/1000</f>
        <v>20100110.9634</v>
      </c>
      <c r="L111" s="157" t="n">
        <f aca="false">(L87*L25*L91*L89)/1000</f>
        <v>19654447.75272</v>
      </c>
      <c r="M111" s="157" t="n">
        <f aca="false">(M87*M25*M91*M89)/1000</f>
        <v>20262874.3914</v>
      </c>
      <c r="N111" s="157" t="n">
        <f aca="false">(N87*N25*N91*N89)/1000</f>
        <v>20200257.342</v>
      </c>
      <c r="O111" s="157" t="n">
        <f aca="false">(O87*O25*O91*O89)/1000</f>
        <v>20228855.895</v>
      </c>
      <c r="P111" s="157" t="n">
        <f aca="false">(P87*P25*P91*P89)/1000</f>
        <v>19030740.6672</v>
      </c>
      <c r="Q111" s="157" t="n">
        <f aca="false">(Q87*Q25*Q91*Q89)/1000</f>
        <v>20100110.9634</v>
      </c>
      <c r="R111" s="157" t="n">
        <f aca="false">(R87*R25*R91*R89)/1000</f>
        <v>19600747.0758</v>
      </c>
      <c r="S111" s="157" t="n">
        <f aca="false">(S87*S25*S91*S89)/1000</f>
        <v>18502100.478768</v>
      </c>
      <c r="T111" s="157" t="n">
        <f aca="false">(T87*T25*T91*T89)/1000</f>
        <v>16041307.24512</v>
      </c>
      <c r="U111" s="157" t="n">
        <f aca="false">(U87*U25*U91*U89)/1000</f>
        <v>16009221.711</v>
      </c>
      <c r="V111" s="157" t="n">
        <f aca="false">(V87*V25*V91*V89)/1000</f>
        <v>15009779.6892</v>
      </c>
      <c r="W111" s="157" t="n">
        <f aca="false">(W87*W25*W91*W89)/1000</f>
        <v>15926340.07476</v>
      </c>
      <c r="X111" s="157" t="n">
        <f aca="false">(X25*X99)/1000</f>
        <v>11458728</v>
      </c>
      <c r="Y111" s="157" t="n">
        <f aca="false">(Y87*Y25*Y91*Y89)/1000</f>
        <v>1945799.3415</v>
      </c>
      <c r="Z111" s="157" t="n">
        <f aca="false">(Z87*Z25*Z91*Z89)/1000</f>
        <v>2141481.645</v>
      </c>
      <c r="AA111" s="157" t="n">
        <f aca="false">(AA87*AA25*AA91*AA89)/1000</f>
        <v>2141866.5375</v>
      </c>
      <c r="AB111" s="157" t="n">
        <f aca="false">(AB87*AB25*AB91*AB89)/1000</f>
        <v>2012550.552</v>
      </c>
      <c r="AC111" s="157" t="n">
        <f aca="false">(AC87*AC25*AC91*AC89)/1000</f>
        <v>2132848.3365</v>
      </c>
    </row>
    <row r="112" customFormat="false" ht="12.75" hidden="false" customHeight="false" outlineLevel="0" collapsed="false">
      <c r="A112" s="16"/>
      <c r="B112" s="16"/>
      <c r="C112" s="16" t="s">
        <v>91</v>
      </c>
      <c r="D112" s="16"/>
      <c r="E112" s="16"/>
      <c r="F112" s="16"/>
      <c r="G112" s="16"/>
      <c r="H112" s="63" t="s">
        <v>90</v>
      </c>
      <c r="I112" s="158" t="n">
        <f aca="false">+I102*1000*I89/1000000</f>
        <v>0</v>
      </c>
      <c r="J112" s="158" t="n">
        <f aca="false">+J102*1000*J89/1000000</f>
        <v>0</v>
      </c>
      <c r="K112" s="158" t="n">
        <f aca="false">+K102*1000*K89/1000000</f>
        <v>0</v>
      </c>
      <c r="L112" s="158" t="n">
        <f aca="false">+L102*1000*L89/1000000</f>
        <v>0</v>
      </c>
      <c r="M112" s="158" t="n">
        <f aca="false">+M102*1000*M89/1000000</f>
        <v>0</v>
      </c>
      <c r="N112" s="158" t="n">
        <f aca="false">+N102*1000*N89/1000000</f>
        <v>0</v>
      </c>
      <c r="O112" s="158" t="n">
        <f aca="false">+O102*1000*O89/1000000</f>
        <v>0</v>
      </c>
      <c r="P112" s="158" t="n">
        <f aca="false">+P102*1000*P89/1000000</f>
        <v>0</v>
      </c>
      <c r="Q112" s="158" t="n">
        <f aca="false">+Q102*1000*Q89/1000000</f>
        <v>0</v>
      </c>
      <c r="R112" s="158" t="n">
        <f aca="false">+R102*1000*R89/1000000</f>
        <v>0</v>
      </c>
      <c r="S112" s="158" t="n">
        <f aca="false">+S102*1000*S89/1000000</f>
        <v>0</v>
      </c>
      <c r="T112" s="158" t="n">
        <f aca="false">+T102*1000*T89/1000000</f>
        <v>0</v>
      </c>
      <c r="U112" s="158" t="n">
        <f aca="false">+U102*1000*U89/1000000</f>
        <v>0</v>
      </c>
      <c r="V112" s="158" t="n">
        <f aca="false">+V102*1000*V89/1000000</f>
        <v>0</v>
      </c>
      <c r="W112" s="158" t="n">
        <f aca="false">+W102*1000*W89/1000000</f>
        <v>0</v>
      </c>
      <c r="X112" s="158" t="n">
        <f aca="false">+X102*1000*X89/1000000</f>
        <v>0</v>
      </c>
      <c r="Y112" s="158" t="n">
        <f aca="false">+Y102*1000*Y89/1000000</f>
        <v>0</v>
      </c>
      <c r="Z112" s="158" t="n">
        <f aca="false">+Z102*1000*Z89/1000000</f>
        <v>0</v>
      </c>
      <c r="AA112" s="158" t="n">
        <f aca="false">+AA102*1000*AA89/1000000</f>
        <v>0</v>
      </c>
      <c r="AB112" s="158" t="n">
        <f aca="false">+AB102*1000*AB89/1000000</f>
        <v>0</v>
      </c>
      <c r="AC112" s="158" t="n">
        <f aca="false">+AC102*1000*AC89/1000000</f>
        <v>0</v>
      </c>
    </row>
    <row r="113" customFormat="false" ht="12.75" hidden="false" customHeight="false" outlineLevel="0" collapsed="false">
      <c r="A113" s="16"/>
      <c r="B113" s="16"/>
      <c r="C113" s="16" t="s">
        <v>80</v>
      </c>
      <c r="D113" s="16"/>
      <c r="E113" s="16"/>
      <c r="F113" s="16"/>
      <c r="G113" s="16"/>
      <c r="H113" s="63" t="s">
        <v>90</v>
      </c>
      <c r="I113" s="157" t="n">
        <f aca="false">IF($F$110=1,I110,I111)</f>
        <v>20724000</v>
      </c>
      <c r="J113" s="157" t="n">
        <f aca="false">IF($F$110=1,J110,J111)</f>
        <v>20551000</v>
      </c>
      <c r="K113" s="157" t="n">
        <f aca="false">IF($F$110=1,K110,K111)</f>
        <v>19332000</v>
      </c>
      <c r="L113" s="157" t="n">
        <f aca="false">IF($F$110=1,L110,L111)</f>
        <v>20416000</v>
      </c>
      <c r="M113" s="157" t="n">
        <f aca="false">IF($F$110=1,M110,M111)</f>
        <v>19933000</v>
      </c>
      <c r="N113" s="157" t="n">
        <f aca="false">IF($F$110=1,N110,N111)</f>
        <v>20585000</v>
      </c>
      <c r="O113" s="157" t="n">
        <f aca="false">IF($F$110=1,O110,O111)</f>
        <v>20518000</v>
      </c>
      <c r="P113" s="157" t="n">
        <f aca="false">IF($F$110=1,P110,P111)</f>
        <v>20551000</v>
      </c>
      <c r="Q113" s="157" t="n">
        <f aca="false">IF($F$110=1,Q110,Q111)</f>
        <v>19332000</v>
      </c>
      <c r="R113" s="157" t="n">
        <f aca="false">IF($F$110=1,R110,R111)</f>
        <v>20416000</v>
      </c>
      <c r="S113" s="157" t="n">
        <f aca="false">IF($F$110=1,S110,S111)</f>
        <v>19933000</v>
      </c>
      <c r="T113" s="157" t="n">
        <f aca="false">IF($F$110=1,T110,T111)</f>
        <v>16041307.24512</v>
      </c>
      <c r="U113" s="157" t="n">
        <f aca="false">IF($F$110=1,U110,U111)</f>
        <v>16009221.711</v>
      </c>
      <c r="V113" s="157" t="n">
        <f aca="false">IF($F$110=1,V110,V111)</f>
        <v>15009779.6892</v>
      </c>
      <c r="W113" s="157" t="n">
        <f aca="false">IF($F$110=1,W110,W111)</f>
        <v>15926340.07476</v>
      </c>
      <c r="X113" s="157" t="n">
        <f aca="false">IF($F$110=1,X110,X111)</f>
        <v>11458728</v>
      </c>
      <c r="Y113" s="157" t="n">
        <f aca="false">IF($F$110=1,Y110,Y111)</f>
        <v>1945799.3415</v>
      </c>
      <c r="Z113" s="157" t="n">
        <f aca="false">IF($F$110=1,Z110,Z111)</f>
        <v>2141481.645</v>
      </c>
      <c r="AA113" s="157" t="n">
        <f aca="false">IF($F$110=1,AA110,AA111)</f>
        <v>2141866.5375</v>
      </c>
      <c r="AB113" s="157" t="n">
        <f aca="false">IF($F$110=1,AB110,AB111)</f>
        <v>2012550.552</v>
      </c>
      <c r="AC113" s="157" t="n">
        <f aca="false">IF($F$110=1,AC110,AC111)</f>
        <v>2132848.3365</v>
      </c>
    </row>
    <row r="114" customFormat="false" ht="12.75" hidden="false" customHeight="false" outlineLevel="0" collapsed="false">
      <c r="A114" s="16"/>
      <c r="B114" s="16"/>
      <c r="C114" s="16"/>
      <c r="D114" s="16"/>
      <c r="E114" s="16"/>
      <c r="F114" s="16"/>
      <c r="G114" s="16"/>
      <c r="H114" s="63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</row>
    <row r="115" customFormat="false" ht="12.75" hidden="false" customHeight="false" outlineLevel="0" collapsed="false">
      <c r="A115" s="16"/>
      <c r="B115" s="16" t="s">
        <v>92</v>
      </c>
      <c r="C115" s="16"/>
      <c r="D115" s="16"/>
      <c r="E115" s="16"/>
      <c r="F115" s="16"/>
      <c r="G115" s="16"/>
      <c r="H115" s="63" t="s">
        <v>93</v>
      </c>
      <c r="I115" s="157" t="n">
        <f aca="false">+I113/(+I$25/24)</f>
        <v>56778.0821917808</v>
      </c>
      <c r="J115" s="157" t="n">
        <f aca="false">+J113/(+J25/24)</f>
        <v>56304.1095890411</v>
      </c>
      <c r="K115" s="157" t="n">
        <f aca="false">+K113/(+K25/24)</f>
        <v>52964.3835616438</v>
      </c>
      <c r="L115" s="157" t="n">
        <f aca="false">+L113/(+L25/24)</f>
        <v>55781.4207650273</v>
      </c>
      <c r="M115" s="157" t="n">
        <f aca="false">+M113/(+M25/24)</f>
        <v>54610.9589041096</v>
      </c>
      <c r="N115" s="157" t="n">
        <f aca="false">+N113/(+N25/24)</f>
        <v>56397.2602739726</v>
      </c>
      <c r="O115" s="157" t="n">
        <f aca="false">+O113/(+O25/24)</f>
        <v>56213.698630137</v>
      </c>
      <c r="P115" s="157" t="n">
        <f aca="false">+P113/(+P25/24)</f>
        <v>56150.2732240437</v>
      </c>
      <c r="Q115" s="157" t="n">
        <f aca="false">+Q113/(+Q25/24)</f>
        <v>52964.3835616438</v>
      </c>
      <c r="R115" s="157" t="n">
        <f aca="false">+R113/(+R25/24)</f>
        <v>55934.2465753425</v>
      </c>
      <c r="S115" s="157" t="n">
        <f aca="false">+S113/(+S25/24)</f>
        <v>54610.9589041096</v>
      </c>
      <c r="T115" s="157" t="n">
        <f aca="false">+T113/(+T25/24)</f>
        <v>43828.70832</v>
      </c>
      <c r="U115" s="157" t="n">
        <f aca="false">+U113/(+U25/24)</f>
        <v>43860.8814</v>
      </c>
      <c r="V115" s="157" t="n">
        <f aca="false">+V113/(+V25/24)</f>
        <v>41122.68408</v>
      </c>
      <c r="W115" s="157" t="n">
        <f aca="false">+W113/(+W25/24)</f>
        <v>43633.808424</v>
      </c>
      <c r="X115" s="157" t="n">
        <f aca="false">+X113/(+X25/24)</f>
        <v>31308</v>
      </c>
      <c r="Y115" s="157" t="n">
        <f aca="false">+Y113/(+Y25/24)</f>
        <v>5330.9571</v>
      </c>
      <c r="Z115" s="157" t="n">
        <f aca="false">+Z113/(+Z25/24)</f>
        <v>5867.073</v>
      </c>
      <c r="AA115" s="157" t="n">
        <f aca="false">+AA113/(+AA25/24)</f>
        <v>5868.1275</v>
      </c>
      <c r="AB115" s="157" t="n">
        <f aca="false">+AB113/(+AB25/24)</f>
        <v>5498.772</v>
      </c>
      <c r="AC115" s="157" t="n">
        <f aca="false">+AC113/(+AC25/24)</f>
        <v>5843.4201</v>
      </c>
    </row>
    <row r="116" customFormat="false" ht="12.75" hidden="false" customHeight="false" outlineLevel="0" collapsed="false">
      <c r="A116" s="16"/>
      <c r="B116" s="16"/>
      <c r="C116" s="16"/>
      <c r="D116" s="16"/>
      <c r="E116" s="16"/>
      <c r="F116" s="16"/>
      <c r="G116" s="16"/>
      <c r="H116" s="17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</row>
    <row r="117" customFormat="false" ht="12.75" hidden="false" customHeight="false" outlineLevel="0" collapsed="false">
      <c r="A117" s="16"/>
      <c r="B117" s="16" t="s">
        <v>94</v>
      </c>
      <c r="C117" s="16"/>
      <c r="D117" s="16"/>
      <c r="E117" s="16"/>
      <c r="F117" s="16"/>
      <c r="G117" s="16"/>
      <c r="H117" s="63" t="s">
        <v>38</v>
      </c>
      <c r="I117" s="103" t="n">
        <f aca="false">I180</f>
        <v>1.08</v>
      </c>
      <c r="J117" s="103" t="n">
        <f aca="false">J180</f>
        <v>1.11242898411118</v>
      </c>
      <c r="K117" s="103" t="n">
        <f aca="false">K180</f>
        <v>1.14471655290401</v>
      </c>
      <c r="L117" s="103" t="n">
        <f aca="false">L180</f>
        <v>1.17736752350011</v>
      </c>
      <c r="M117" s="103" t="n">
        <f aca="false">M180</f>
        <v>1.2103597390503</v>
      </c>
      <c r="N117" s="103" t="n">
        <f aca="false">N180</f>
        <v>1.24330595601238</v>
      </c>
      <c r="O117" s="103" t="n">
        <f aca="false">O180</f>
        <v>1.27652593106252</v>
      </c>
      <c r="P117" s="103" t="n">
        <f aca="false">P180</f>
        <v>1.30999384827986</v>
      </c>
      <c r="Q117" s="103" t="n">
        <f aca="false">Q180</f>
        <v>1.34381409777795</v>
      </c>
      <c r="R117" s="103" t="n">
        <f aca="false">R180</f>
        <v>1.37796882034661</v>
      </c>
      <c r="S117" s="103" t="n">
        <f aca="false">S180</f>
        <v>1.41271545557486</v>
      </c>
      <c r="T117" s="103" t="n">
        <f aca="false">T180</f>
        <v>1.44805512454308</v>
      </c>
      <c r="U117" s="103" t="n">
        <f aca="false">U180</f>
        <v>1.48471415348849</v>
      </c>
      <c r="V117" s="103" t="n">
        <f aca="false">V180</f>
        <v>1.52289638677759</v>
      </c>
      <c r="W117" s="103" t="n">
        <f aca="false">W180</f>
        <v>1.56267101670451</v>
      </c>
      <c r="X117" s="103" t="n">
        <f aca="false">X180</f>
        <v>1.60442412818561</v>
      </c>
      <c r="Y117" s="103" t="n">
        <f aca="false">Y180</f>
        <v>1.64793604691474</v>
      </c>
      <c r="Z117" s="103" t="n">
        <f aca="false">Z180</f>
        <v>1.69312350663364</v>
      </c>
      <c r="AA117" s="103" t="n">
        <f aca="false">AA180</f>
        <v>1.74090766129472</v>
      </c>
      <c r="AB117" s="103" t="n">
        <f aca="false">AB180</f>
        <v>1.79143643812351</v>
      </c>
      <c r="AC117" s="103" t="n">
        <f aca="false">AC180</f>
        <v>1.84612557769556</v>
      </c>
    </row>
    <row r="118" customFormat="false" ht="12.75" hidden="false" customHeight="false" outlineLevel="0" collapsed="false">
      <c r="A118" s="16"/>
      <c r="B118" s="16"/>
      <c r="C118" s="16"/>
      <c r="D118" s="16"/>
      <c r="E118" s="16"/>
      <c r="F118" s="16"/>
      <c r="G118" s="16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  <c r="EK118" s="63"/>
      <c r="EL118" s="63"/>
      <c r="EM118" s="63"/>
      <c r="EN118" s="63"/>
      <c r="EO118" s="63"/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63"/>
      <c r="FG118" s="63"/>
      <c r="FH118" s="63"/>
      <c r="FI118" s="63"/>
      <c r="FJ118" s="63"/>
      <c r="FK118" s="63"/>
      <c r="FL118" s="63"/>
      <c r="FM118" s="63"/>
      <c r="FN118" s="63"/>
      <c r="FO118" s="63"/>
      <c r="FP118" s="63"/>
      <c r="FQ118" s="63"/>
      <c r="FR118" s="63"/>
      <c r="FS118" s="63"/>
      <c r="FT118" s="63"/>
      <c r="FU118" s="63"/>
      <c r="FV118" s="63"/>
      <c r="FW118" s="63"/>
      <c r="FX118" s="63"/>
      <c r="FY118" s="63"/>
      <c r="FZ118" s="63"/>
      <c r="GA118" s="63"/>
      <c r="GB118" s="63"/>
      <c r="GC118" s="63"/>
      <c r="GD118" s="63"/>
      <c r="GE118" s="63"/>
      <c r="GF118" s="63"/>
      <c r="GG118" s="63"/>
      <c r="GH118" s="63"/>
      <c r="GI118" s="63"/>
      <c r="GJ118" s="63"/>
      <c r="GK118" s="63"/>
      <c r="GL118" s="63"/>
      <c r="GM118" s="63"/>
      <c r="GN118" s="63"/>
      <c r="GO118" s="63"/>
      <c r="GP118" s="63"/>
      <c r="GQ118" s="63"/>
      <c r="GR118" s="63"/>
      <c r="GS118" s="63"/>
      <c r="GT118" s="63"/>
      <c r="GU118" s="63"/>
      <c r="GV118" s="63"/>
      <c r="GW118" s="63"/>
      <c r="GX118" s="63"/>
      <c r="GY118" s="63"/>
      <c r="GZ118" s="63"/>
      <c r="HA118" s="63"/>
      <c r="HB118" s="63"/>
      <c r="HC118" s="63"/>
      <c r="HD118" s="63"/>
      <c r="HE118" s="63"/>
      <c r="HF118" s="63"/>
      <c r="HG118" s="63"/>
      <c r="HH118" s="63"/>
      <c r="HI118" s="63"/>
      <c r="HJ118" s="63"/>
      <c r="HK118" s="63"/>
      <c r="HL118" s="63"/>
      <c r="HM118" s="63"/>
      <c r="HN118" s="63"/>
      <c r="HO118" s="63"/>
      <c r="HP118" s="63"/>
      <c r="HQ118" s="63"/>
      <c r="HR118" s="63"/>
      <c r="HS118" s="63"/>
      <c r="HT118" s="63"/>
      <c r="HU118" s="63"/>
      <c r="HV118" s="63"/>
      <c r="HW118" s="63"/>
      <c r="HX118" s="63"/>
      <c r="HY118" s="63"/>
      <c r="HZ118" s="63"/>
      <c r="IA118" s="63"/>
      <c r="IB118" s="63"/>
      <c r="IC118" s="63"/>
      <c r="ID118" s="63"/>
      <c r="IE118" s="63"/>
      <c r="IF118" s="63"/>
      <c r="IG118" s="63"/>
      <c r="IH118" s="63"/>
      <c r="II118" s="63"/>
      <c r="IJ118" s="63"/>
      <c r="IK118" s="63"/>
      <c r="IL118" s="63"/>
      <c r="IM118" s="63"/>
      <c r="IN118" s="63"/>
      <c r="IO118" s="63"/>
      <c r="IP118" s="63"/>
      <c r="IQ118" s="63"/>
      <c r="IR118" s="63"/>
      <c r="IS118" s="63"/>
      <c r="IT118" s="63"/>
      <c r="IU118" s="63"/>
      <c r="IV118" s="63"/>
    </row>
    <row r="119" customFormat="false" ht="12.75" hidden="false" customHeight="false" outlineLevel="0" collapsed="false">
      <c r="A119" s="16"/>
      <c r="B119" s="16" t="s">
        <v>95</v>
      </c>
      <c r="C119" s="16"/>
      <c r="D119" s="16"/>
      <c r="E119" s="16"/>
      <c r="F119" s="16"/>
      <c r="G119" s="16"/>
      <c r="H119" s="63" t="s">
        <v>96</v>
      </c>
      <c r="I119" s="147" t="n">
        <v>568</v>
      </c>
      <c r="J119" s="147" t="n">
        <v>568</v>
      </c>
      <c r="K119" s="147" t="n">
        <v>568</v>
      </c>
      <c r="L119" s="147" t="n">
        <v>568</v>
      </c>
      <c r="M119" s="147" t="n">
        <v>568</v>
      </c>
      <c r="N119" s="147" t="n">
        <v>568</v>
      </c>
      <c r="O119" s="147" t="n">
        <v>568</v>
      </c>
      <c r="P119" s="147" t="n">
        <v>568</v>
      </c>
      <c r="Q119" s="147" t="n">
        <v>568</v>
      </c>
      <c r="R119" s="147" t="n">
        <v>568</v>
      </c>
      <c r="S119" s="147" t="n">
        <v>568</v>
      </c>
      <c r="T119" s="147" t="n">
        <v>568</v>
      </c>
      <c r="U119" s="147" t="n">
        <v>568</v>
      </c>
      <c r="V119" s="147" t="n">
        <v>568</v>
      </c>
      <c r="W119" s="147" t="n">
        <v>568</v>
      </c>
      <c r="X119" s="147" t="n">
        <v>568</v>
      </c>
      <c r="Y119" s="74" t="n">
        <v>0</v>
      </c>
      <c r="Z119" s="74" t="n">
        <v>0</v>
      </c>
      <c r="AA119" s="74" t="n">
        <v>0</v>
      </c>
      <c r="AB119" s="74" t="n">
        <v>0</v>
      </c>
      <c r="AC119" s="74" t="n">
        <v>0</v>
      </c>
    </row>
    <row r="120" customFormat="false" ht="12.75" hidden="false" customHeight="false" outlineLevel="0" collapsed="false">
      <c r="A120" s="16"/>
      <c r="B120" s="16"/>
      <c r="C120" s="16"/>
      <c r="D120" s="16"/>
      <c r="E120" s="16"/>
      <c r="F120" s="16"/>
      <c r="G120" s="16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</row>
    <row r="121" customFormat="false" ht="15" hidden="false" customHeight="false" outlineLevel="0" collapsed="false">
      <c r="A121" s="16"/>
      <c r="B121" s="60" t="s">
        <v>97</v>
      </c>
      <c r="C121" s="60"/>
      <c r="D121" s="60"/>
      <c r="E121" s="60"/>
      <c r="F121" s="60"/>
      <c r="G121" s="60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customFormat="false" ht="12.75" hidden="false" customHeight="false" outlineLevel="0" collapsed="false">
      <c r="A122" s="16"/>
      <c r="B122" s="16"/>
      <c r="C122" s="58"/>
      <c r="D122" s="58"/>
      <c r="E122" s="16"/>
      <c r="F122" s="16"/>
      <c r="G122" s="16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  <c r="EE122" s="63"/>
      <c r="EF122" s="63"/>
      <c r="EG122" s="63"/>
      <c r="EH122" s="63"/>
      <c r="EI122" s="63"/>
      <c r="EJ122" s="63"/>
      <c r="EK122" s="63"/>
      <c r="EL122" s="63"/>
      <c r="EM122" s="63"/>
      <c r="EN122" s="63"/>
      <c r="EO122" s="63"/>
      <c r="EP122" s="63"/>
      <c r="EQ122" s="63"/>
      <c r="ER122" s="63"/>
      <c r="ES122" s="63"/>
      <c r="ET122" s="63"/>
      <c r="EU122" s="63"/>
      <c r="EV122" s="63"/>
      <c r="EW122" s="63"/>
      <c r="EX122" s="63"/>
      <c r="EY122" s="63"/>
      <c r="EZ122" s="63"/>
      <c r="FA122" s="63"/>
      <c r="FB122" s="63"/>
      <c r="FC122" s="63"/>
      <c r="FD122" s="63"/>
      <c r="FE122" s="63"/>
      <c r="FF122" s="63"/>
      <c r="FG122" s="63"/>
      <c r="FH122" s="63"/>
      <c r="FI122" s="63"/>
      <c r="FJ122" s="63"/>
      <c r="FK122" s="63"/>
      <c r="FL122" s="63"/>
      <c r="FM122" s="63"/>
      <c r="FN122" s="63"/>
      <c r="FO122" s="63"/>
      <c r="FP122" s="63"/>
      <c r="FQ122" s="63"/>
      <c r="FR122" s="63"/>
      <c r="FS122" s="63"/>
      <c r="FT122" s="63"/>
      <c r="FU122" s="63"/>
      <c r="FV122" s="63"/>
      <c r="FW122" s="63"/>
      <c r="FX122" s="63"/>
      <c r="FY122" s="63"/>
      <c r="FZ122" s="63"/>
      <c r="GA122" s="63"/>
      <c r="GB122" s="63"/>
      <c r="GC122" s="63"/>
      <c r="GD122" s="63"/>
      <c r="GE122" s="63"/>
      <c r="GF122" s="63"/>
      <c r="GG122" s="63"/>
      <c r="GH122" s="63"/>
      <c r="GI122" s="63"/>
      <c r="GJ122" s="63"/>
      <c r="GK122" s="63"/>
      <c r="GL122" s="63"/>
      <c r="GM122" s="63"/>
      <c r="GN122" s="63"/>
      <c r="GO122" s="63"/>
      <c r="GP122" s="63"/>
      <c r="GQ122" s="63"/>
      <c r="GR122" s="63"/>
      <c r="GS122" s="63"/>
      <c r="GT122" s="63"/>
      <c r="GU122" s="63"/>
      <c r="GV122" s="63"/>
      <c r="GW122" s="63"/>
      <c r="GX122" s="63"/>
      <c r="GY122" s="63"/>
      <c r="GZ122" s="63"/>
      <c r="HA122" s="63"/>
      <c r="HB122" s="63"/>
      <c r="HC122" s="63"/>
      <c r="HD122" s="63"/>
      <c r="HE122" s="63"/>
      <c r="HF122" s="63"/>
      <c r="HG122" s="63"/>
      <c r="HH122" s="63"/>
      <c r="HI122" s="63"/>
      <c r="HJ122" s="63"/>
      <c r="HK122" s="63"/>
      <c r="HL122" s="63"/>
      <c r="HM122" s="63"/>
      <c r="HN122" s="63"/>
      <c r="HO122" s="63"/>
      <c r="HP122" s="63"/>
      <c r="HQ122" s="63"/>
      <c r="HR122" s="63"/>
      <c r="HS122" s="63"/>
      <c r="HT122" s="63"/>
      <c r="HU122" s="63"/>
      <c r="HV122" s="63"/>
      <c r="HW122" s="63"/>
      <c r="HX122" s="63"/>
      <c r="HY122" s="63"/>
      <c r="HZ122" s="63"/>
      <c r="IA122" s="63"/>
      <c r="IB122" s="63"/>
      <c r="IC122" s="63"/>
      <c r="ID122" s="63"/>
      <c r="IE122" s="63"/>
      <c r="IF122" s="63"/>
      <c r="IG122" s="63"/>
      <c r="IH122" s="63"/>
    </row>
    <row r="123" customFormat="false" ht="12.75" hidden="false" customHeight="false" outlineLevel="0" collapsed="false">
      <c r="A123" s="16"/>
      <c r="B123" s="16" t="s">
        <v>98</v>
      </c>
      <c r="C123" s="16"/>
      <c r="D123" s="16"/>
      <c r="E123" s="16"/>
      <c r="F123" s="159" t="s">
        <v>37</v>
      </c>
      <c r="G123" s="159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customFormat="false" ht="12.75" hidden="false" customHeight="false" outlineLevel="0" collapsed="false">
      <c r="A124" s="16"/>
      <c r="B124" s="16"/>
      <c r="C124" s="58" t="s">
        <v>36</v>
      </c>
      <c r="D124" s="16"/>
      <c r="E124" s="16"/>
      <c r="F124" s="16"/>
      <c r="G124" s="16"/>
      <c r="H124" s="63" t="s">
        <v>99</v>
      </c>
      <c r="I124" s="160" t="n">
        <f aca="false">IF(+$F$123="Table 1",+I94*I33,IF(+$F$123="Table 2",+I94*I38,"Input Error"))/1000</f>
        <v>73255</v>
      </c>
      <c r="J124" s="160" t="n">
        <f aca="false">IF(+$F$123="Table 1",+J94*J33,IF(+$F$123="Table 2",+J94*J38,"Input Error"))/1000</f>
        <v>68315</v>
      </c>
      <c r="K124" s="160" t="n">
        <f aca="false">IF(+$F$123="Table 1",+K94*K33,IF(+$F$123="Table 2",+K94*K38,"Input Error"))/1000</f>
        <v>73645</v>
      </c>
      <c r="L124" s="160" t="n">
        <f aca="false">IF(+$F$123="Table 1",+L94*L33,IF(+$F$123="Table 2",+L94*L38,"Input Error"))/1000</f>
        <v>71370</v>
      </c>
      <c r="M124" s="160" t="n">
        <f aca="false">IF(+$F$123="Table 1",+M94*M33,IF(+$F$123="Table 2",+M94*M38,"Input Error"))/1000</f>
        <v>73255</v>
      </c>
      <c r="N124" s="160" t="n">
        <f aca="false">IF(+$F$123="Table 1",+N94*N33,IF(+$F$123="Table 2",+N94*N38,"Input Error"))/1000</f>
        <v>73645</v>
      </c>
      <c r="O124" s="160" t="n">
        <f aca="false">IF(+$F$123="Table 1",+O94*O33,IF(+$F$123="Table 2",+O94*O38,"Input Error"))/1000</f>
        <v>73255</v>
      </c>
      <c r="P124" s="160" t="n">
        <f aca="false">IF(+$F$123="Table 1",+P94*P33,IF(+$F$123="Table 2",+P94*P38,"Input Error"))/1000</f>
        <v>68315</v>
      </c>
      <c r="Q124" s="160" t="n">
        <f aca="false">IF(+$F$123="Table 1",+Q94*Q33,IF(+$F$123="Table 2",+Q94*Q38,"Input Error"))/1000</f>
        <v>73645</v>
      </c>
      <c r="R124" s="160" t="n">
        <f aca="false">IF(+$F$123="Table 1",+R94*R33,IF(+$F$123="Table 2",+R94*R38,"Input Error"))/1000</f>
        <v>71370</v>
      </c>
      <c r="S124" s="160" t="n">
        <f aca="false">IF(+$F$123="Table 1",+S94*S33,IF(+$F$123="Table 2",+S94*S38,"Input Error"))/1000</f>
        <v>73255</v>
      </c>
      <c r="T124" s="160" t="n">
        <f aca="false">IF(+$F$123="Table 1",+T94*T33,IF(+$F$123="Table 2",+T94*T38,"Input Error"))/1000</f>
        <v>73645</v>
      </c>
      <c r="U124" s="160" t="n">
        <f aca="false">IF(+$F$123="Table 1",+U94*U33,IF(+$F$123="Table 2",+U94*U38,"Input Error"))/1000</f>
        <v>73255</v>
      </c>
      <c r="V124" s="160" t="n">
        <f aca="false">IF(+$F$123="Table 1",+V94*V33,IF(+$F$123="Table 2",+V94*V38,"Input Error"))/1000</f>
        <v>68315</v>
      </c>
      <c r="W124" s="160" t="n">
        <f aca="false">IF(+$F$123="Table 1",+W94*W33,IF(+$F$123="Table 2",+W94*W38,"Input Error"))/1000</f>
        <v>73645</v>
      </c>
      <c r="X124" s="160" t="n">
        <f aca="false">IF(+$F$123="Table 1",+X94*X33,IF(+$F$123="Table 2",+X94*X38,"Input Error"))/1000</f>
        <v>53527.5</v>
      </c>
      <c r="Y124" s="160" t="n">
        <f aca="false">IF(+$F$123="Table 1",+Y94*Y33,IF(+$F$123="Table 2",+Y94*Y38,"Input Error"))/1000</f>
        <v>0</v>
      </c>
      <c r="Z124" s="160" t="n">
        <f aca="false">IF(+$F$123="Table 1",+Z94*Z33,IF(+$F$123="Table 2",+Z94*Z38,"Input Error"))/1000</f>
        <v>0</v>
      </c>
      <c r="AA124" s="160" t="n">
        <f aca="false">IF(+$F$123="Table 1",+AA94*AA33,IF(+$F$123="Table 2",+AA94*AA38,"Input Error"))/1000</f>
        <v>0</v>
      </c>
      <c r="AB124" s="160" t="n">
        <f aca="false">IF(+$F$123="Table 1",+AB94*AB33,IF(+$F$123="Table 2",+AB94*AB38,"Input Error"))/1000</f>
        <v>0</v>
      </c>
      <c r="AC124" s="160" t="n">
        <f aca="false">IF(+$F$123="Table 1",+AC94*AC33,IF(+$F$123="Table 2",+AC94*AC38,"Input Error"))/1000</f>
        <v>0</v>
      </c>
    </row>
    <row r="125" customFormat="false" ht="12.75" hidden="false" customHeight="false" outlineLevel="0" collapsed="false">
      <c r="A125" s="16"/>
      <c r="B125" s="16"/>
      <c r="C125" s="58" t="s">
        <v>39</v>
      </c>
      <c r="D125" s="16"/>
      <c r="E125" s="16"/>
      <c r="F125" s="16"/>
      <c r="G125" s="16"/>
      <c r="H125" s="63" t="s">
        <v>99</v>
      </c>
      <c r="I125" s="160" t="n">
        <f aca="false">IF(+$F$123="Table 1",+I95*I34,IF(+$F$123="Table 2",+I95*I39,"Input Error"))/1000</f>
        <v>60496.3</v>
      </c>
      <c r="J125" s="160" t="n">
        <f aca="false">IF(+$F$123="Table 1",+J95*J34,IF(+$F$123="Table 2",+J95*J39,"Input Error"))/1000</f>
        <v>60625.8</v>
      </c>
      <c r="K125" s="160" t="n">
        <f aca="false">IF(+$F$123="Table 1",+K95*K34,IF(+$F$123="Table 2",+K95*K39,"Input Error"))/1000</f>
        <v>70288.5</v>
      </c>
      <c r="L125" s="160" t="n">
        <f aca="false">IF(+$F$123="Table 1",+L95*L34,IF(+$F$123="Table 2",+L95*L39,"Input Error"))/1000</f>
        <v>73217.6</v>
      </c>
      <c r="M125" s="160" t="n">
        <f aca="false">IF(+$F$123="Table 1",+M95*M34,IF(+$F$123="Table 2",+M95*M39,"Input Error"))/1000</f>
        <v>80755.2</v>
      </c>
      <c r="N125" s="160" t="n">
        <f aca="false">IF(+$F$123="Table 1",+N95*N34,IF(+$F$123="Table 2",+N95*N39,"Input Error"))/1000</f>
        <v>87349.5</v>
      </c>
      <c r="O125" s="160" t="n">
        <f aca="false">IF(+$F$123="Table 1",+O95*O34,IF(+$F$123="Table 2",+O95*O39,"Input Error"))/1000</f>
        <v>93303.1</v>
      </c>
      <c r="P125" s="160" t="n">
        <f aca="false">IF(+$F$123="Table 1",+P95*P34,IF(+$F$123="Table 2",+P95*P39,"Input Error"))/1000</f>
        <v>93587.4</v>
      </c>
      <c r="Q125" s="160" t="n">
        <f aca="false">IF(+$F$123="Table 1",+Q95*Q34,IF(+$F$123="Table 2",+Q95*Q39,"Input Error"))/1000</f>
        <v>108499.5</v>
      </c>
      <c r="R125" s="160" t="n">
        <f aca="false">IF(+$F$123="Table 1",+R95*R34,IF(+$F$123="Table 2",+R95*R39,"Input Error"))/1000</f>
        <v>112968.2</v>
      </c>
      <c r="S125" s="160" t="n">
        <f aca="false">IF(+$F$123="Table 1",+S95*S34,IF(+$F$123="Table 2",+S95*S39,"Input Error"))/1000</f>
        <v>88544.4</v>
      </c>
      <c r="T125" s="160" t="n">
        <f aca="false">IF(+$F$123="Table 1",+T95*T34,IF(+$F$123="Table 2",+T95*T39,"Input Error"))/1000</f>
        <v>0</v>
      </c>
      <c r="U125" s="160" t="n">
        <f aca="false">IF(+$F$123="Table 1",+U95*U34,IF(+$F$123="Table 2",+U95*U39,"Input Error"))/1000</f>
        <v>0</v>
      </c>
      <c r="V125" s="160" t="n">
        <f aca="false">IF(+$F$123="Table 1",+V95*V34,IF(+$F$123="Table 2",+V95*V39,"Input Error"))/1000</f>
        <v>0</v>
      </c>
      <c r="W125" s="160" t="n">
        <f aca="false">IF(+$F$123="Table 1",+W95*W34,IF(+$F$123="Table 2",+W95*W39,"Input Error"))/1000</f>
        <v>0</v>
      </c>
      <c r="X125" s="160" t="n">
        <f aca="false">IF(+$F$123="Table 1",+X95*X34,IF(+$F$123="Table 2",+X95*X39,"Input Error"))/1000</f>
        <v>0</v>
      </c>
      <c r="Y125" s="160" t="n">
        <f aca="false">IF(+$F$123="Table 1",+Y95*Y34,IF(+$F$123="Table 2",+Y95*Y39,"Input Error"))/1000</f>
        <v>0</v>
      </c>
      <c r="Z125" s="160" t="n">
        <f aca="false">IF(+$F$123="Table 1",+Z95*Z34,IF(+$F$123="Table 2",+Z95*Z39,"Input Error"))/1000</f>
        <v>0</v>
      </c>
      <c r="AA125" s="160" t="n">
        <f aca="false">IF(+$F$123="Table 1",+AA95*AA34,IF(+$F$123="Table 2",+AA95*AA39,"Input Error"))/1000</f>
        <v>0</v>
      </c>
      <c r="AB125" s="160" t="n">
        <f aca="false">IF(+$F$123="Table 1",+AB95*AB34,IF(+$F$123="Table 2",+AB95*AB39,"Input Error"))/1000</f>
        <v>0</v>
      </c>
      <c r="AC125" s="160" t="n">
        <f aca="false">IF(+$F$123="Table 1",+AC95*AC34,IF(+$F$123="Table 2",+AC95*AC39,"Input Error"))/1000</f>
        <v>0</v>
      </c>
    </row>
    <row r="126" customFormat="false" ht="12.75" hidden="false" customHeight="false" outlineLevel="0" collapsed="false">
      <c r="A126" s="16"/>
      <c r="B126" s="16"/>
      <c r="C126" s="58" t="s">
        <v>40</v>
      </c>
      <c r="D126" s="16"/>
      <c r="E126" s="16"/>
      <c r="F126" s="16"/>
      <c r="G126" s="16"/>
      <c r="H126" s="63" t="s">
        <v>99</v>
      </c>
      <c r="I126" s="160" t="n">
        <f aca="false">IF(+$F$123="Table 1",+I96*I35,IF(+$F$123="Table 2",+I96*I40,"Input Error"))/1000</f>
        <v>10929.6</v>
      </c>
      <c r="J126" s="160" t="n">
        <f aca="false">IF(+$F$123="Table 1",+J96*J35,IF(+$F$123="Table 2",+J96*J40,"Input Error"))/1000</f>
        <v>9881.6</v>
      </c>
      <c r="K126" s="160" t="n">
        <f aca="false">IF(+$F$123="Table 1",+K96*K35,IF(+$F$123="Table 2",+K96*K40,"Input Error"))/1000</f>
        <v>11502.4</v>
      </c>
      <c r="L126" s="160" t="n">
        <f aca="false">IF(+$F$123="Table 1",+L96*L35,IF(+$F$123="Table 2",+L96*L40,"Input Error"))/1000</f>
        <v>11150.4</v>
      </c>
      <c r="M126" s="160" t="n">
        <f aca="false">IF(+$F$123="Table 1",+M96*M35,IF(+$F$123="Table 2",+M96*M40,"Input Error"))/1000</f>
        <v>11881.8</v>
      </c>
      <c r="N126" s="160" t="n">
        <f aca="false">IF(+$F$123="Table 1",+N96*N35,IF(+$F$123="Table 2",+N96*N40,"Input Error"))/1000</f>
        <v>12230.4</v>
      </c>
      <c r="O126" s="160" t="n">
        <f aca="false">IF(+$F$123="Table 1",+O96*O35,IF(+$F$123="Table 2",+O96*O40,"Input Error"))/1000</f>
        <v>12399.3</v>
      </c>
      <c r="P126" s="160" t="n">
        <f aca="false">IF(+$F$123="Table 1",+P96*P35,IF(+$F$123="Table 2",+P96*P40,"Input Error"))/1000</f>
        <v>11271.2</v>
      </c>
      <c r="Q126" s="160" t="n">
        <f aca="false">IF(+$F$123="Table 1",+Q96*Q35,IF(+$F$123="Table 2",+Q96*Q40,"Input Error"))/1000</f>
        <v>13041.6</v>
      </c>
      <c r="R126" s="160" t="n">
        <f aca="false">IF(+$F$123="Table 1",+R96*R35,IF(+$F$123="Table 2",+R96*R40,"Input Error"))/1000</f>
        <v>12685.6</v>
      </c>
      <c r="S126" s="160" t="n">
        <f aca="false">IF(+$F$123="Table 1",+S96*S35,IF(+$F$123="Table 2",+S96*S40,"Input Error"))/1000</f>
        <v>13392.9</v>
      </c>
      <c r="T126" s="160" t="n">
        <f aca="false">IF(+$F$123="Table 1",+T96*T35,IF(+$F$123="Table 2",+T96*T40,"Input Error"))/1000</f>
        <v>13864.7566878981</v>
      </c>
      <c r="U126" s="160" t="n">
        <f aca="false">IF(+$F$123="Table 1",+U96*U35,IF(+$F$123="Table 2",+U96*U40,"Input Error"))/1000</f>
        <v>14215.5576192239</v>
      </c>
      <c r="V126" s="160" t="n">
        <f aca="false">IF(+$F$123="Table 1",+V96*V35,IF(+$F$123="Table 2",+V96*V40,"Input Error"))/1000</f>
        <v>13655.1193534425</v>
      </c>
      <c r="W126" s="160" t="n">
        <f aca="false">IF(+$F$123="Table 1",+W96*W35,IF(+$F$123="Table 2",+W96*W40,"Input Error"))/1000</f>
        <v>15161.6394022382</v>
      </c>
      <c r="X126" s="160" t="n">
        <f aca="false">IF(+$F$123="Table 1",+X96*X35,IF(+$F$123="Table 2",+X96*X40,"Input Error"))/1000</f>
        <v>11377.3232715817</v>
      </c>
      <c r="Y126" s="160" t="n">
        <f aca="false">IF(+$F$123="Table 1",+Y96*Y35,IF(+$F$123="Table 2",+Y96*Y40,"Input Error"))/1000</f>
        <v>0</v>
      </c>
      <c r="Z126" s="160" t="n">
        <f aca="false">IF(+$F$123="Table 1",+Z96*Z35,IF(+$F$123="Table 2",+Z96*Z40,"Input Error"))/1000</f>
        <v>0</v>
      </c>
      <c r="AA126" s="160" t="n">
        <f aca="false">IF(+$F$123="Table 1",+AA96*AA35,IF(+$F$123="Table 2",+AA96*AA40,"Input Error"))/1000</f>
        <v>0</v>
      </c>
      <c r="AB126" s="160" t="n">
        <f aca="false">IF(+$F$123="Table 1",+AB96*AB35,IF(+$F$123="Table 2",+AB96*AB40,"Input Error"))/1000</f>
        <v>0</v>
      </c>
      <c r="AC126" s="160" t="n">
        <f aca="false">IF(+$F$123="Table 1",+AC96*AC35,IF(+$F$123="Table 2",+AC96*AC40,"Input Error"))/1000</f>
        <v>0</v>
      </c>
    </row>
    <row r="127" customFormat="false" ht="12.75" hidden="false" customHeight="false" outlineLevel="0" collapsed="false">
      <c r="A127" s="16"/>
      <c r="B127" s="16"/>
      <c r="C127" s="58" t="s">
        <v>41</v>
      </c>
      <c r="D127" s="16"/>
      <c r="E127" s="16"/>
      <c r="F127" s="16"/>
      <c r="G127" s="16"/>
      <c r="H127" s="63" t="s">
        <v>99</v>
      </c>
      <c r="I127" s="160" t="n">
        <f aca="false">IF(+$F$123="Table 1",+I97*I36,IF(+$F$123="Table 2",+I97*I41,"Input Error"))/1000</f>
        <v>15016.2</v>
      </c>
      <c r="J127" s="160" t="n">
        <f aca="false">IF(+$F$123="Table 1",+J97*J36,IF(+$F$123="Table 2",+J97*J41,"Input Error"))/1000</f>
        <v>15017.4</v>
      </c>
      <c r="K127" s="160" t="n">
        <f aca="false">IF(+$F$123="Table 1",+K97*K36,IF(+$F$123="Table 2",+K97*K41,"Input Error"))/1000</f>
        <v>17447.5</v>
      </c>
      <c r="L127" s="160" t="n">
        <f aca="false">IF(+$F$123="Table 1",+L97*L36,IF(+$F$123="Table 2",+L97*L41,"Input Error"))/1000</f>
        <v>18224</v>
      </c>
      <c r="M127" s="160" t="n">
        <f aca="false">IF(+$F$123="Table 1",+M97*M36,IF(+$F$123="Table 2",+M97*M41,"Input Error"))/1000</f>
        <v>20044.8</v>
      </c>
      <c r="N127" s="160" t="n">
        <f aca="false">IF(+$F$123="Table 1",+N97*N36,IF(+$F$123="Table 2",+N97*N41,"Input Error"))/1000</f>
        <v>21682.5</v>
      </c>
      <c r="O127" s="160" t="n">
        <f aca="false">IF(+$F$123="Table 1",+O97*O36,IF(+$F$123="Table 2",+O97*O41,"Input Error"))/1000</f>
        <v>23159.4</v>
      </c>
      <c r="P127" s="160" t="n">
        <f aca="false">IF(+$F$123="Table 1",+P97*P36,IF(+$F$123="Table 2",+P97*P41,"Input Error"))/1000</f>
        <v>23182.2</v>
      </c>
      <c r="Q127" s="160" t="n">
        <f aca="false">IF(+$F$123="Table 1",+Q97*Q36,IF(+$F$123="Table 2",+Q97*Q41,"Input Error"))/1000</f>
        <v>26932.5</v>
      </c>
      <c r="R127" s="160" t="n">
        <f aca="false">IF(+$F$123="Table 1",+R97*R36,IF(+$F$123="Table 2",+R97*R41,"Input Error"))/1000</f>
        <v>28118</v>
      </c>
      <c r="S127" s="160" t="n">
        <f aca="false">IF(+$F$123="Table 1",+S97*S36,IF(+$F$123="Table 2",+S97*S41,"Input Error"))/1000</f>
        <v>30937.2</v>
      </c>
      <c r="T127" s="160" t="n">
        <f aca="false">IF(+$F$123="Table 1",+T97*T36,IF(+$F$123="Table 2",+T97*T41,"Input Error"))/1000</f>
        <v>33447.684401451</v>
      </c>
      <c r="U127" s="160" t="n">
        <f aca="false">IF(+$F$123="Table 1",+U97*U36,IF(+$F$123="Table 2",+U97*U41,"Input Error"))/1000</f>
        <v>35749.7910473163</v>
      </c>
      <c r="V127" s="160" t="n">
        <f aca="false">IF(+$F$123="Table 1",+V97*V36,IF(+$F$123="Table 2",+V97*V41,"Input Error"))/1000</f>
        <v>35779.603657121</v>
      </c>
      <c r="W127" s="160" t="n">
        <f aca="false">IF(+$F$123="Table 1",+W97*W36,IF(+$F$123="Table 2",+W97*W41,"Input Error"))/1000</f>
        <v>41548.4484971457</v>
      </c>
      <c r="X127" s="160" t="n">
        <f aca="false">IF(+$F$123="Table 1",+X97*X36,IF(+$F$123="Table 2",+X97*X41,"Input Error"))/1000</f>
        <v>32540.4233272083</v>
      </c>
      <c r="Y127" s="160" t="n">
        <f aca="false">IF(+$F$123="Table 1",+Y97*Y36,IF(+$F$123="Table 2",+Y97*Y41,"Input Error"))/1000</f>
        <v>0</v>
      </c>
      <c r="Z127" s="160" t="n">
        <f aca="false">IF(+$F$123="Table 1",+Z97*Z36,IF(+$F$123="Table 2",+Z97*Z41,"Input Error"))/1000</f>
        <v>0</v>
      </c>
      <c r="AA127" s="160" t="n">
        <f aca="false">IF(+$F$123="Table 1",+AA97*AA36,IF(+$F$123="Table 2",+AA97*AA41,"Input Error"))/1000</f>
        <v>0</v>
      </c>
      <c r="AB127" s="160" t="n">
        <f aca="false">IF(+$F$123="Table 1",+AB97*AB36,IF(+$F$123="Table 2",+AB97*AB41,"Input Error"))/1000</f>
        <v>0</v>
      </c>
      <c r="AC127" s="160" t="n">
        <f aca="false">IF(+$F$123="Table 1",+AC97*AC36,IF(+$F$123="Table 2",+AC97*AC41,"Input Error"))/1000</f>
        <v>0</v>
      </c>
    </row>
    <row r="128" customFormat="false" ht="12.75" hidden="false" customHeight="false" outlineLevel="0" collapsed="false">
      <c r="A128" s="16"/>
      <c r="B128" s="16"/>
      <c r="C128" s="58" t="s">
        <v>42</v>
      </c>
      <c r="D128" s="16"/>
      <c r="E128" s="16"/>
      <c r="F128" s="16"/>
      <c r="G128" s="16"/>
      <c r="H128" s="63" t="s">
        <v>99</v>
      </c>
      <c r="I128" s="160" t="n">
        <f aca="false">IF(+$F$123="Table 1",+I98*I37,IF(+$F$123="Table 2",+I98*I42,"Input Error"))/1000</f>
        <v>6437.7</v>
      </c>
      <c r="J128" s="160" t="n">
        <f aca="false">IF(+$F$123="Table 1",+J98*J37,IF(+$F$123="Table 2",+J98*J42,"Input Error"))/1000</f>
        <v>6465.5</v>
      </c>
      <c r="K128" s="160" t="n">
        <f aca="false">IF(+$F$123="Table 1",+K98*K37,IF(+$F$123="Table 2",+K98*K42,"Input Error"))/1000</f>
        <v>7363.2</v>
      </c>
      <c r="L128" s="160" t="n">
        <f aca="false">IF(+$F$123="Table 1",+L98*L37,IF(+$F$123="Table 2",+L98*L42,"Input Error"))/1000</f>
        <v>7595.2</v>
      </c>
      <c r="M128" s="160" t="n">
        <f aca="false">IF(+$F$123="Table 1",+M98*M37,IF(+$F$123="Table 2",+M98*M42,"Input Error"))/1000</f>
        <v>8217.9</v>
      </c>
      <c r="N128" s="160" t="n">
        <f aca="false">IF(+$F$123="Table 1",+N98*N37,IF(+$F$123="Table 2",+N98*N42,"Input Error"))/1000</f>
        <v>8465.6</v>
      </c>
      <c r="O128" s="160" t="n">
        <f aca="false">IF(+$F$123="Table 1",+O98*O37,IF(+$F$123="Table 2",+O98*O42,"Input Error"))/1000</f>
        <v>8631.9</v>
      </c>
      <c r="P128" s="160" t="n">
        <f aca="false">IF(+$F$123="Table 1",+P98*P37,IF(+$F$123="Table 2",+P98*P42,"Input Error"))/1000</f>
        <v>8241.1</v>
      </c>
      <c r="Q128" s="160" t="n">
        <f aca="false">IF(+$F$123="Table 1",+Q98*Q37,IF(+$F$123="Table 2",+Q98*Q42,"Input Error"))/1000</f>
        <v>9193.6</v>
      </c>
      <c r="R128" s="160" t="n">
        <f aca="false">IF(+$F$123="Table 1",+R98*R37,IF(+$F$123="Table 2",+R98*R42,"Input Error"))/1000</f>
        <v>9251.6</v>
      </c>
      <c r="S128" s="160" t="n">
        <f aca="false">IF(+$F$123="Table 1",+S98*S37,IF(+$F$123="Table 2",+S98*S42,"Input Error"))/1000</f>
        <v>9646.2</v>
      </c>
      <c r="T128" s="160" t="n">
        <f aca="false">IF(+$F$123="Table 1",+T98*T37,IF(+$F$123="Table 2",+T98*T42,"Input Error"))/1000</f>
        <v>9862.10655021834</v>
      </c>
      <c r="U128" s="160" t="n">
        <f aca="false">IF(+$F$123="Table 1",+U98*U37,IF(+$F$123="Table 2",+U98*U42,"Input Error"))/1000</f>
        <v>9986.12825460995</v>
      </c>
      <c r="V128" s="160" t="n">
        <f aca="false">IF(+$F$123="Table 1",+V98*V37,IF(+$F$123="Table 2",+V98*V42,"Input Error"))/1000</f>
        <v>9473.37091495379</v>
      </c>
      <c r="W128" s="160" t="n">
        <f aca="false">IF(+$F$123="Table 1",+W98*W37,IF(+$F$123="Table 2",+W98*W42,"Input Error"))/1000</f>
        <v>10387.9776460466</v>
      </c>
      <c r="X128" s="160" t="n">
        <f aca="false">IF(+$F$123="Table 1",+X98*X37,IF(+$F$123="Table 2",+X98*X42,"Input Error"))/1000</f>
        <v>10264.5397188619</v>
      </c>
      <c r="Y128" s="160" t="n">
        <f aca="false">IF(+$F$123="Table 1",+Y98*Y37,IF(+$F$123="Table 2",+Y98*Y42,"Input Error"))/1000</f>
        <v>10702.3437066113</v>
      </c>
      <c r="Z128" s="160" t="n">
        <f aca="false">IF(+$F$123="Table 1",+Z98*Z37,IF(+$F$123="Table 2",+Z98*Z42,"Input Error"))/1000</f>
        <v>10889.2842080368</v>
      </c>
      <c r="AA128" s="160" t="n">
        <f aca="false">IF(+$F$123="Table 1",+AA98*AA37,IF(+$F$123="Table 2",+AA98*AA42,"Input Error"))/1000</f>
        <v>11079.4900457318</v>
      </c>
      <c r="AB128" s="160" t="n">
        <f aca="false">IF(+$F$123="Table 1",+AB98*AB37,IF(+$F$123="Table 2",+AB98*AB42,"Input Error"))/1000</f>
        <v>11273.0182561376</v>
      </c>
      <c r="AC128" s="160" t="n">
        <f aca="false">IF(+$F$123="Table 1",+AC98*AC37,IF(+$F$123="Table 2",+AC98*AC42,"Input Error"))/1000</f>
        <v>8602.44515397401</v>
      </c>
    </row>
    <row r="129" customFormat="false" ht="12.75" hidden="false" customHeight="false" outlineLevel="0" collapsed="false">
      <c r="A129" s="16"/>
      <c r="B129" s="16"/>
      <c r="C129" s="58"/>
      <c r="D129" s="16"/>
      <c r="E129" s="16"/>
      <c r="F129" s="16"/>
      <c r="G129" s="16"/>
      <c r="H129" s="63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</row>
    <row r="130" customFormat="false" ht="12.75" hidden="false" customHeight="false" outlineLevel="0" collapsed="false">
      <c r="A130" s="16"/>
      <c r="B130" s="58" t="s">
        <v>100</v>
      </c>
      <c r="C130" s="17"/>
      <c r="D130" s="16"/>
      <c r="E130" s="16" t="s">
        <v>101</v>
      </c>
      <c r="F130" s="16" t="n">
        <v>1</v>
      </c>
      <c r="G130" s="16"/>
      <c r="H130" s="63" t="s">
        <v>99</v>
      </c>
      <c r="I130" s="160" t="n">
        <f aca="false">IF($F$130=1,Merchant!E20,Merchant!E14)</f>
        <v>736.052150347669</v>
      </c>
      <c r="J130" s="160" t="n">
        <f aca="false">IF($F$130=1,Merchant!F20,Merchant!F14)</f>
        <v>664.031765913842</v>
      </c>
      <c r="K130" s="160" t="n">
        <f aca="false">IF($F$130=1,Merchant!G20,Merchant!G14)</f>
        <v>624.508565135852</v>
      </c>
      <c r="L130" s="160" t="n">
        <f aca="false">IF($F$130=1,Merchant!H20,Merchant!H14)</f>
        <v>604.343768789908</v>
      </c>
      <c r="M130" s="160" t="n">
        <f aca="false">IF($F$130=1,Merchant!I20,Merchant!I14)</f>
        <v>613.320544100303</v>
      </c>
      <c r="N130" s="160" t="n">
        <f aca="false">IF($F$130=1,Merchant!J20,Merchant!J14)</f>
        <v>643.773455489831</v>
      </c>
      <c r="O130" s="160" t="n">
        <f aca="false">IF($F$130=1,Merchant!K20,Merchant!K14)</f>
        <v>654.062073827208</v>
      </c>
      <c r="P130" s="160" t="n">
        <f aca="false">IF($F$130=1,Merchant!L20,Merchant!L14)</f>
        <v>657.847535153714</v>
      </c>
      <c r="Q130" s="160" t="n">
        <f aca="false">IF($F$130=1,Merchant!M20,Merchant!M14)</f>
        <v>674.841616220666</v>
      </c>
      <c r="R130" s="160" t="n">
        <f aca="false">IF($F$130=1,Merchant!N20,Merchant!N14)</f>
        <v>679.790478399035</v>
      </c>
      <c r="S130" s="160" t="n">
        <f aca="false">IF($F$130=1,Merchant!O20,Merchant!O14)</f>
        <v>686.561384481783</v>
      </c>
      <c r="T130" s="160" t="n">
        <f aca="false">IF($F$130=1,Merchant!P20,Merchant!P14)</f>
        <v>6544.53979156737</v>
      </c>
      <c r="U130" s="160" t="n">
        <f aca="false">IF($F$130=1,Merchant!Q20,Merchant!Q14)</f>
        <v>6567.33040441028</v>
      </c>
      <c r="V130" s="160" t="n">
        <f aca="false">IF($F$130=1,Merchant!R20,Merchant!R14)</f>
        <v>6548.61437927262</v>
      </c>
      <c r="W130" s="160" t="n">
        <f aca="false">IF($F$130=1,Merchant!S20,Merchant!S14)</f>
        <v>6657.1193284584</v>
      </c>
      <c r="X130" s="160" t="n">
        <f aca="false">IF($F$130=1,Merchant!T20,Merchant!T14)</f>
        <v>6591.3315534554</v>
      </c>
      <c r="Y130" s="160" t="n">
        <f aca="false">IF($F$130=1,Merchant!U20,Merchant!U14)</f>
        <v>17469.2078777519</v>
      </c>
      <c r="Z130" s="160" t="n">
        <f aca="false">Y130*(1+Z27)</f>
        <v>17792.3882234903</v>
      </c>
      <c r="AA130" s="160" t="n">
        <f aca="false">Z130*(1+AA27)</f>
        <v>18137.560555026</v>
      </c>
      <c r="AB130" s="160" t="n">
        <f aca="false">AA130*(1+AB27)</f>
        <v>18505.753034293</v>
      </c>
      <c r="AC130" s="160" t="n">
        <f aca="false">AB130*(1+AC27)</f>
        <v>18898.07499862</v>
      </c>
    </row>
    <row r="131" customFormat="false" ht="12.75" hidden="false" customHeight="false" outlineLevel="0" collapsed="false">
      <c r="A131" s="16"/>
      <c r="B131" s="58"/>
      <c r="C131" s="17"/>
      <c r="D131" s="16"/>
      <c r="E131" s="16"/>
      <c r="F131" s="16"/>
      <c r="G131" s="16"/>
      <c r="H131" s="63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</row>
    <row r="132" customFormat="false" ht="12.75" hidden="false" customHeight="false" outlineLevel="0" collapsed="false">
      <c r="A132" s="16"/>
      <c r="B132" s="58" t="s">
        <v>102</v>
      </c>
      <c r="C132" s="17"/>
      <c r="D132" s="16"/>
      <c r="E132" s="16"/>
      <c r="F132" s="16"/>
      <c r="G132" s="16"/>
      <c r="H132" s="63" t="s">
        <v>99</v>
      </c>
      <c r="I132" s="160" t="n">
        <f aca="false">+I56*I119</f>
        <v>1051</v>
      </c>
      <c r="J132" s="160" t="n">
        <f aca="false">+J56*J119</f>
        <v>729</v>
      </c>
      <c r="K132" s="160" t="n">
        <f aca="false">+K56*K119</f>
        <v>1137</v>
      </c>
      <c r="L132" s="160" t="n">
        <f aca="false">+L56*L119</f>
        <v>997</v>
      </c>
      <c r="M132" s="160" t="n">
        <f aca="false">+M56*M119</f>
        <v>1170</v>
      </c>
      <c r="N132" s="160" t="n">
        <f aca="false">+N56*N119</f>
        <v>1232</v>
      </c>
      <c r="O132" s="160" t="n">
        <f aca="false">+O56*O119</f>
        <v>1234</v>
      </c>
      <c r="P132" s="160" t="n">
        <f aca="false">+P56*P119</f>
        <v>855</v>
      </c>
      <c r="Q132" s="160" t="n">
        <f aca="false">+Q56*Q119</f>
        <v>1334</v>
      </c>
      <c r="R132" s="160" t="n">
        <f aca="false">+R56*R119</f>
        <v>1170</v>
      </c>
      <c r="S132" s="160" t="n">
        <f aca="false">+S56*S119</f>
        <v>1374</v>
      </c>
      <c r="T132" s="160" t="n">
        <f aca="false">+T56*T119</f>
        <v>1613.56923076923</v>
      </c>
      <c r="U132" s="160" t="n">
        <f aca="false">+U56*U119</f>
        <v>1894.90950690335</v>
      </c>
      <c r="V132" s="160" t="n">
        <f aca="false">+V56*V119</f>
        <v>2225.30398503009</v>
      </c>
      <c r="W132" s="160" t="n">
        <f aca="false">+W56*W119</f>
        <v>2613.30570549688</v>
      </c>
      <c r="X132" s="160" t="n">
        <f aca="false">+X56*X119</f>
        <v>3068.95900799377</v>
      </c>
      <c r="Y132" s="160" t="n">
        <f aca="false">+Y56*Y119</f>
        <v>0</v>
      </c>
      <c r="Z132" s="160" t="n">
        <f aca="false">+Z56*Z119</f>
        <v>0</v>
      </c>
      <c r="AA132" s="160" t="n">
        <f aca="false">+AA56*AA119</f>
        <v>0</v>
      </c>
      <c r="AB132" s="160" t="n">
        <f aca="false">+AB56*AB119</f>
        <v>0</v>
      </c>
      <c r="AC132" s="160" t="n">
        <f aca="false">+AC56*AC119</f>
        <v>0</v>
      </c>
    </row>
    <row r="133" customFormat="false" ht="12.75" hidden="false" customHeight="false" outlineLevel="0" collapsed="false">
      <c r="A133" s="16"/>
      <c r="B133" s="58"/>
      <c r="C133" s="17"/>
      <c r="D133" s="16"/>
      <c r="E133" s="16"/>
      <c r="F133" s="16"/>
      <c r="G133" s="16"/>
      <c r="H133" s="63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</row>
    <row r="134" customFormat="false" ht="12.75" hidden="false" customHeight="false" outlineLevel="0" collapsed="false">
      <c r="A134" s="16"/>
      <c r="B134" s="16" t="s">
        <v>80</v>
      </c>
      <c r="C134" s="17"/>
      <c r="D134" s="16"/>
      <c r="E134" s="16"/>
      <c r="F134" s="16"/>
      <c r="G134" s="16"/>
      <c r="H134" s="63" t="s">
        <v>99</v>
      </c>
      <c r="I134" s="155" t="n">
        <f aca="false">SUM(I124:I133)</f>
        <v>167921.852150348</v>
      </c>
      <c r="J134" s="155" t="n">
        <f aca="false">SUM(J124:J133)</f>
        <v>161698.331765914</v>
      </c>
      <c r="K134" s="155" t="n">
        <f aca="false">SUM(K124:K133)</f>
        <v>182008.108565136</v>
      </c>
      <c r="L134" s="155" t="n">
        <f aca="false">SUM(L124:L133)</f>
        <v>183158.54376879</v>
      </c>
      <c r="M134" s="155" t="n">
        <f aca="false">SUM(M124:M133)</f>
        <v>195938.0205441</v>
      </c>
      <c r="N134" s="155" t="n">
        <f aca="false">SUM(N124:N133)</f>
        <v>205248.77345549</v>
      </c>
      <c r="O134" s="155" t="n">
        <f aca="false">SUM(O124:O133)</f>
        <v>212636.762073827</v>
      </c>
      <c r="P134" s="155" t="n">
        <f aca="false">SUM(P124:P133)</f>
        <v>206109.747535154</v>
      </c>
      <c r="Q134" s="155" t="n">
        <f aca="false">SUM(Q124:Q133)</f>
        <v>233321.041616221</v>
      </c>
      <c r="R134" s="155" t="n">
        <f aca="false">SUM(R124:R133)</f>
        <v>236243.190478399</v>
      </c>
      <c r="S134" s="155" t="n">
        <f aca="false">SUM(S124:S133)</f>
        <v>217836.261384482</v>
      </c>
      <c r="T134" s="155" t="n">
        <f aca="false">SUM(T124:T133)</f>
        <v>138977.656661904</v>
      </c>
      <c r="U134" s="155" t="n">
        <f aca="false">SUM(U124:U133)</f>
        <v>141668.716832464</v>
      </c>
      <c r="V134" s="155" t="n">
        <f aca="false">SUM(V124:V133)</f>
        <v>135997.01228982</v>
      </c>
      <c r="W134" s="155" t="n">
        <f aca="false">SUM(W124:W133)</f>
        <v>150013.490579386</v>
      </c>
      <c r="X134" s="155" t="n">
        <f aca="false">SUM(X124:X133)</f>
        <v>117370.076879101</v>
      </c>
      <c r="Y134" s="155" t="n">
        <f aca="false">SUM(Y124:Y133)</f>
        <v>28171.5515843632</v>
      </c>
      <c r="Z134" s="155" t="n">
        <f aca="false">SUM(Z124:Z133)</f>
        <v>28681.6724315271</v>
      </c>
      <c r="AA134" s="155" t="n">
        <f aca="false">SUM(AA124:AA133)</f>
        <v>29217.0506007578</v>
      </c>
      <c r="AB134" s="155" t="n">
        <f aca="false">SUM(AB124:AB133)</f>
        <v>29778.7712904306</v>
      </c>
      <c r="AC134" s="155" t="n">
        <f aca="false">SUM(AC124:AC133)</f>
        <v>27500.520152594</v>
      </c>
    </row>
    <row r="135" customFormat="false" ht="12.75" hidden="false" customHeight="false" outlineLevel="0" collapsed="false">
      <c r="A135" s="16"/>
      <c r="B135" s="16"/>
      <c r="C135" s="16"/>
      <c r="D135" s="16"/>
      <c r="E135" s="16"/>
      <c r="F135" s="16"/>
      <c r="G135" s="16"/>
      <c r="H135" s="63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customFormat="false" ht="15" hidden="false" customHeight="false" outlineLevel="0" collapsed="false">
      <c r="A136" s="16"/>
      <c r="B136" s="60" t="s">
        <v>103</v>
      </c>
      <c r="C136" s="60"/>
      <c r="D136" s="60"/>
      <c r="E136" s="60"/>
      <c r="F136" s="60"/>
      <c r="G136" s="60"/>
      <c r="H136" s="1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customFormat="false" ht="12.75" hidden="false" customHeight="false" outlineLevel="0" collapsed="false">
      <c r="A137" s="16"/>
      <c r="B137" s="16"/>
      <c r="C137" s="16"/>
      <c r="D137" s="16"/>
      <c r="E137" s="16"/>
      <c r="F137" s="16"/>
      <c r="G137" s="16"/>
      <c r="H137" s="63"/>
      <c r="I137" s="157" t="n">
        <v>98750</v>
      </c>
      <c r="J137" s="157" t="n">
        <v>97386</v>
      </c>
      <c r="K137" s="157" t="n">
        <v>103558</v>
      </c>
      <c r="L137" s="157" t="n">
        <v>104558</v>
      </c>
      <c r="M137" s="157" t="n">
        <v>109607</v>
      </c>
      <c r="N137" s="157" t="n">
        <v>112259</v>
      </c>
      <c r="O137" s="157" t="n">
        <v>115195</v>
      </c>
      <c r="P137" s="157" t="n">
        <v>113241</v>
      </c>
      <c r="Q137" s="157" t="n">
        <v>120665</v>
      </c>
      <c r="R137" s="157" t="n">
        <v>121557</v>
      </c>
      <c r="S137" s="157" t="n">
        <v>127608</v>
      </c>
      <c r="T137" s="157" t="n">
        <f aca="false">T138</f>
        <v>100997.807544994</v>
      </c>
      <c r="U137" s="157" t="n">
        <f aca="false">U138</f>
        <v>104036.267451836</v>
      </c>
      <c r="V137" s="157" t="n">
        <f aca="false">V138</f>
        <v>100677.220075507</v>
      </c>
      <c r="W137" s="157" t="n">
        <f aca="false">W138</f>
        <v>110259.301406117</v>
      </c>
      <c r="X137" s="157" t="n">
        <f aca="false">X138</f>
        <v>81880.0343531125</v>
      </c>
      <c r="Y137" s="157" t="n">
        <f aca="false">Y138</f>
        <v>14350.9949584363</v>
      </c>
      <c r="Z137" s="157" t="n">
        <f aca="false">Z138</f>
        <v>16301.9917964663</v>
      </c>
      <c r="AA137" s="157" t="n">
        <f aca="false">AA138</f>
        <v>16829.1070866301</v>
      </c>
      <c r="AB137" s="157" t="n">
        <f aca="false">AB138</f>
        <v>16321.4154704338</v>
      </c>
      <c r="AC137" s="157" t="n">
        <f aca="false">AC138</f>
        <v>17853.0882127255</v>
      </c>
    </row>
    <row r="138" customFormat="false" ht="12.75" hidden="false" customHeight="false" outlineLevel="0" collapsed="false">
      <c r="A138" s="16"/>
      <c r="B138" s="16" t="s">
        <v>104</v>
      </c>
      <c r="C138" s="16"/>
      <c r="D138" s="16"/>
      <c r="E138" s="16"/>
      <c r="F138" s="16"/>
      <c r="G138" s="16"/>
      <c r="H138" s="63" t="s">
        <v>99</v>
      </c>
      <c r="I138" s="157" t="n">
        <f aca="false">IF(+I63&gt;0,+I63*I113/1000,+I72*I113/1000)</f>
        <v>96781.08</v>
      </c>
      <c r="J138" s="157" t="n">
        <f aca="false">IF(+J63&gt;0,+J63*J113/1000,+J72*J113/1000)</f>
        <v>98850.31</v>
      </c>
      <c r="K138" s="157" t="n">
        <f aca="false">IF(+K63&gt;0,+K63*K113/1000,+K72*K113/1000)</f>
        <v>97433.28</v>
      </c>
      <c r="L138" s="157" t="n">
        <f aca="false">IF(+L63&gt;0,+L63*L113/1000,+L72*L113/1000)</f>
        <v>103509.12</v>
      </c>
      <c r="M138" s="157" t="n">
        <f aca="false">IF(+M63&gt;0,+M63*M113/1000,+M72*M113/1000)</f>
        <v>104648.25</v>
      </c>
      <c r="N138" s="157" t="n">
        <f aca="false">IF(+N63&gt;0,+N63*N113/1000,+N72*N113/1000)</f>
        <v>109512.2</v>
      </c>
      <c r="O138" s="157" t="n">
        <f aca="false">IF(+O63&gt;0,+O63*O113/1000,+O72*O113/1000)</f>
        <v>112233.46</v>
      </c>
      <c r="P138" s="157" t="n">
        <f aca="false">IF(+P63&gt;0,+P63*P113/1000,+P72*P113/1000)</f>
        <v>115291.11</v>
      </c>
      <c r="Q138" s="157" t="n">
        <f aca="false">IF(+Q63&gt;0,+Q63*Q113/1000,+Q72*Q113/1000)</f>
        <v>113285.52</v>
      </c>
      <c r="R138" s="157" t="n">
        <f aca="false">IF(+R63&gt;0,+R63*R113/1000,+R72*R113/1000)</f>
        <v>120658.56</v>
      </c>
      <c r="S138" s="157" t="n">
        <f aca="false">IF(+S63&gt;0,+S63*S113/1000,+S72*S113/1000)</f>
        <v>121591.3</v>
      </c>
      <c r="T138" s="157" t="n">
        <f aca="false">IF(+T63&gt;0,+T63*T113/1000,+T72*T113/1000)</f>
        <v>100997.807544994</v>
      </c>
      <c r="U138" s="157" t="n">
        <f aca="false">IF(+U63&gt;0,+U63*U113/1000,+U72*U113/1000)</f>
        <v>104036.267451836</v>
      </c>
      <c r="V138" s="157" t="n">
        <f aca="false">IF(+V63&gt;0,+V63*V113/1000,+V72*V113/1000)</f>
        <v>100677.220075507</v>
      </c>
      <c r="W138" s="157" t="n">
        <f aca="false">IF(+W63&gt;0,+W63*W113/1000,+W72*W113/1000)</f>
        <v>110259.301406117</v>
      </c>
      <c r="X138" s="157" t="n">
        <f aca="false">IF(+X63&gt;0,+X63*X113/1000,+X72*X113/1000)</f>
        <v>81880.0343531125</v>
      </c>
      <c r="Y138" s="157" t="n">
        <f aca="false">IF(+Y63&gt;0,+Y63*Y113/1000,+Y72*Y113/1000)</f>
        <v>14350.9949584363</v>
      </c>
      <c r="Z138" s="157" t="n">
        <f aca="false">IF(+Z63&gt;0,+Z63*Z113/1000,+Z72*Z113/1000)</f>
        <v>16301.9917964663</v>
      </c>
      <c r="AA138" s="157" t="n">
        <f aca="false">IF(+AA63&gt;0,+AA63*AA113/1000,+AA72*AA113/1000)</f>
        <v>16829.1070866301</v>
      </c>
      <c r="AB138" s="157" t="n">
        <f aca="false">IF(+AB63&gt;0,+AB63*AB113/1000,+AB72*AB113/1000)</f>
        <v>16321.4154704338</v>
      </c>
      <c r="AC138" s="157" t="n">
        <f aca="false">IF(+AC63&gt;0,+AC63*AC113/1000,+AC72*AC113/1000)</f>
        <v>17853.0882127255</v>
      </c>
    </row>
    <row r="139" customFormat="false" ht="12.75" hidden="false" customHeight="false" outlineLevel="0" collapsed="false">
      <c r="A139" s="16"/>
      <c r="B139" s="16" t="s">
        <v>94</v>
      </c>
      <c r="C139" s="16"/>
      <c r="D139" s="16"/>
      <c r="E139" s="16"/>
      <c r="F139" s="16"/>
      <c r="G139" s="16"/>
      <c r="H139" s="63" t="s">
        <v>99</v>
      </c>
      <c r="I139" s="157" t="n">
        <f aca="false">+I105*I117/1000</f>
        <v>2609.2908</v>
      </c>
      <c r="J139" s="157" t="n">
        <f aca="false">+J105*J117/1000</f>
        <v>2506.30250120249</v>
      </c>
      <c r="K139" s="157" t="n">
        <f aca="false">+K105*K117/1000</f>
        <v>2780.51650700385</v>
      </c>
      <c r="L139" s="157" t="n">
        <f aca="false">+L105*L117/1000</f>
        <v>2772.70051784277</v>
      </c>
      <c r="M139" s="157" t="n">
        <f aca="false">+M105*M117/1000</f>
        <v>2924.22912954553</v>
      </c>
      <c r="N139" s="157" t="n">
        <f aca="false">+N105*N117/1000</f>
        <v>3019.99016715406</v>
      </c>
      <c r="O139" s="157" t="n">
        <f aca="false">+O105*O117/1000</f>
        <v>3084.08664944705</v>
      </c>
      <c r="P139" s="157" t="n">
        <f aca="false">+P105*P117/1000</f>
        <v>2951.41614017454</v>
      </c>
      <c r="Q139" s="157" t="n">
        <f aca="false">+Q105*Q117/1000</f>
        <v>3264.12444350263</v>
      </c>
      <c r="R139" s="157" t="n">
        <f aca="false">+R105*R117/1000</f>
        <v>3245.11657191626</v>
      </c>
      <c r="S139" s="157" t="n">
        <f aca="false">+S105*S117/1000</f>
        <v>3126.33930318716</v>
      </c>
      <c r="T139" s="157" t="n">
        <f aca="false">+T105*T117/1000</f>
        <v>2496.44703471227</v>
      </c>
      <c r="U139" s="157" t="n">
        <f aca="false">+U105*U117/1000</f>
        <v>2546.28477323276</v>
      </c>
      <c r="V139" s="157" t="n">
        <f aca="false">+V105*V117/1000</f>
        <v>2435.11132245737</v>
      </c>
      <c r="W139" s="157" t="n">
        <f aca="false">+W105*W117/1000</f>
        <v>2694.04483279857</v>
      </c>
      <c r="X139" s="157" t="n">
        <f aca="false">+X105*X117/1000</f>
        <v>2092.97127521813</v>
      </c>
      <c r="Y139" s="157" t="n">
        <f aca="false">+Y105*Y117/1000</f>
        <v>341.12276171135</v>
      </c>
      <c r="Z139" s="157" t="n">
        <f aca="false">+Z105*Z117/1000</f>
        <v>350.476565873163</v>
      </c>
      <c r="AA139" s="157" t="n">
        <f aca="false">+AA105*AA117/1000</f>
        <v>360.367885888007</v>
      </c>
      <c r="AB139" s="157" t="n">
        <f aca="false">+AB105*AB117/1000</f>
        <v>370.827342691566</v>
      </c>
      <c r="AC139" s="157" t="n">
        <f aca="false">+AC105*AC117/1000</f>
        <v>286.610995937235</v>
      </c>
    </row>
    <row r="140" customFormat="false" ht="12.75" hidden="false" customHeight="false" outlineLevel="0" collapsed="false">
      <c r="A140" s="16"/>
      <c r="B140" s="16" t="s">
        <v>105</v>
      </c>
      <c r="C140" s="16"/>
      <c r="D140" s="16"/>
      <c r="E140" s="16"/>
      <c r="F140" s="16"/>
      <c r="G140" s="16"/>
      <c r="H140" s="63" t="s">
        <v>99</v>
      </c>
      <c r="I140" s="147" t="n">
        <f aca="false">10089-I139</f>
        <v>7479.7092</v>
      </c>
      <c r="J140" s="157" t="n">
        <f aca="false">3122-J139</f>
        <v>615.697498797514</v>
      </c>
      <c r="K140" s="157" t="n">
        <f aca="false">7987-K139</f>
        <v>5206.48349299615</v>
      </c>
      <c r="L140" s="157" t="n">
        <f aca="false">4264-L139</f>
        <v>1491.29948215723</v>
      </c>
      <c r="M140" s="157" t="n">
        <f aca="false">3833-M139</f>
        <v>908.770870454469</v>
      </c>
      <c r="N140" s="157" t="n">
        <f aca="false">6174-N139</f>
        <v>3154.00983284594</v>
      </c>
      <c r="O140" s="157" t="n">
        <f aca="false">8149-O139</f>
        <v>5064.91335055295</v>
      </c>
      <c r="P140" s="157" t="n">
        <f aca="false">3646-P139</f>
        <v>694.583859825465</v>
      </c>
      <c r="Q140" s="157" t="n">
        <f aca="false">8516-Q139</f>
        <v>5251.87555649737</v>
      </c>
      <c r="R140" s="157" t="n">
        <f aca="false">3601-R139</f>
        <v>355.883428083742</v>
      </c>
      <c r="S140" s="157" t="n">
        <f aca="false">5085-S139</f>
        <v>1958.66069681284</v>
      </c>
      <c r="T140" s="157" t="n">
        <v>909.044925281907</v>
      </c>
      <c r="U140" s="157" t="n">
        <v>3154.35220218097</v>
      </c>
      <c r="V140" s="157" t="n">
        <v>5065.32025362114</v>
      </c>
      <c r="W140" s="157" t="n">
        <v>695.02493093184</v>
      </c>
      <c r="X140" s="157" t="n">
        <v>5252.41778136266</v>
      </c>
      <c r="Y140" s="157" t="n">
        <v>356.473930645048</v>
      </c>
      <c r="Z140" s="157" t="n">
        <f aca="false">+Y140*(1+Z$28)</f>
        <v>366.248673671041</v>
      </c>
      <c r="AA140" s="157" t="n">
        <f aca="false">+Z140*(1+AA$28)</f>
        <v>376.585121779254</v>
      </c>
      <c r="AB140" s="157" t="n">
        <f aca="false">+AA140*(1+AB$28)</f>
        <v>387.515273905343</v>
      </c>
      <c r="AC140" s="157" t="n">
        <f aca="false">+AB140*(1+AC$28)</f>
        <v>399.345376525734</v>
      </c>
    </row>
    <row r="141" customFormat="false" ht="12.75" hidden="false" customHeight="false" outlineLevel="0" collapsed="false">
      <c r="A141" s="16"/>
      <c r="B141" s="16" t="s">
        <v>106</v>
      </c>
      <c r="C141" s="16"/>
      <c r="D141" s="16"/>
      <c r="E141" s="16"/>
      <c r="F141" s="16"/>
      <c r="G141" s="16"/>
      <c r="H141" s="63" t="s">
        <v>99</v>
      </c>
      <c r="I141" s="147" t="n">
        <v>495</v>
      </c>
      <c r="J141" s="157" t="n">
        <v>883</v>
      </c>
      <c r="K141" s="157" t="n">
        <f aca="false">J141*(1+K28)</f>
        <v>908.628533282826</v>
      </c>
      <c r="L141" s="157" t="n">
        <f aca="false">K141*(1+L28)</f>
        <v>934.545519848392</v>
      </c>
      <c r="M141" s="157" t="n">
        <f aca="false">L141*(1+M28)</f>
        <v>960.733372508572</v>
      </c>
      <c r="N141" s="157" t="n">
        <f aca="false">M141*(1+N28)</f>
        <v>986.884713396867</v>
      </c>
      <c r="O141" s="157" t="n">
        <f aca="false">N141*(1+O28)</f>
        <v>1013.25335210392</v>
      </c>
      <c r="P141" s="157" t="n">
        <f aca="false">O141*(1+P28)</f>
        <v>1039.81879702221</v>
      </c>
      <c r="Q141" s="157" t="n">
        <f aca="false">P141*(1+Q28)</f>
        <v>1066.66390869526</v>
      </c>
      <c r="R141" s="157" t="n">
        <f aca="false">Q141*(1+R28)</f>
        <v>1093.7745112226</v>
      </c>
      <c r="S141" s="157" t="n">
        <f aca="false">R141*(1+S28)</f>
        <v>1121.35494947507</v>
      </c>
      <c r="T141" s="157" t="n">
        <f aca="false">S141*(1+T28)</f>
        <v>1149.40611331981</v>
      </c>
      <c r="U141" s="157" t="n">
        <f aca="false">T141*(1+U28)</f>
        <v>1178.50453040633</v>
      </c>
      <c r="V141" s="157" t="n">
        <f aca="false">U141*(1+V28)</f>
        <v>1208.81200394022</v>
      </c>
      <c r="W141" s="157" t="n">
        <f aca="false">V141*(1+W28)</f>
        <v>1240.38345589544</v>
      </c>
      <c r="X141" s="157" t="n">
        <f aca="false">W141*(1+X28)</f>
        <v>1273.52534446937</v>
      </c>
      <c r="Y141" s="157" t="n">
        <f aca="false">X141*(1+Y28)</f>
        <v>1308.06330130669</v>
      </c>
      <c r="Z141" s="157" t="n">
        <f aca="false">Y141*(1+Z28)</f>
        <v>1343.9312331043</v>
      </c>
      <c r="AA141" s="157" t="n">
        <f aca="false">Z141*(1+AA28)</f>
        <v>1381.86031367339</v>
      </c>
      <c r="AB141" s="157" t="n">
        <f aca="false">AA141*(1+AB28)</f>
        <v>1421.96796151166</v>
      </c>
      <c r="AC141" s="157" t="n">
        <f aca="false">AB141*(1+AC28)</f>
        <v>1465.3779327834</v>
      </c>
    </row>
    <row r="142" customFormat="false" ht="12.75" hidden="false" customHeight="false" outlineLevel="0" collapsed="false">
      <c r="A142" s="16"/>
      <c r="B142" s="16" t="s">
        <v>107</v>
      </c>
      <c r="C142" s="16"/>
      <c r="D142" s="16"/>
      <c r="E142" s="16"/>
      <c r="F142" s="16"/>
      <c r="G142" s="16"/>
      <c r="H142" s="63" t="s">
        <v>99</v>
      </c>
      <c r="I142" s="147" t="n">
        <v>964</v>
      </c>
      <c r="J142" s="157" t="n">
        <f aca="false">+I142*(1+J$28)</f>
        <v>992.945871002941</v>
      </c>
      <c r="K142" s="157" t="n">
        <f aca="false">+J142*(1+K$28)</f>
        <v>1021.76551574025</v>
      </c>
      <c r="L142" s="157" t="n">
        <f aca="false">+K142*(1+L$28)</f>
        <v>1050.90953023529</v>
      </c>
      <c r="M142" s="157" t="n">
        <f aca="false">+L142*(1+M$28)</f>
        <v>1080.3581374486</v>
      </c>
      <c r="N142" s="157" t="n">
        <f aca="false">+M142*(1+N$28)</f>
        <v>1109.7656866629</v>
      </c>
      <c r="O142" s="157" t="n">
        <f aca="false">+N142*(1+O$28)</f>
        <v>1139.41759031877</v>
      </c>
      <c r="P142" s="157" t="n">
        <f aca="false">+O142*(1+P$28)</f>
        <v>1169.29080531647</v>
      </c>
      <c r="Q142" s="157" t="n">
        <f aca="false">+P142*(1+Q$28)</f>
        <v>1199.47850949809</v>
      </c>
      <c r="R142" s="157" t="n">
        <f aca="false">+Q142*(1+R$28)</f>
        <v>1229.96476186493</v>
      </c>
      <c r="S142" s="157" t="n">
        <f aca="false">+R142*(1+S$28)</f>
        <v>1260.97935108719</v>
      </c>
      <c r="T142" s="157" t="n">
        <f aca="false">+S142*(1+T$28)</f>
        <v>1292.5232778329</v>
      </c>
      <c r="U142" s="157" t="n">
        <f aca="false">+T142*(1+U$28)</f>
        <v>1325.24485552121</v>
      </c>
      <c r="V142" s="157" t="n">
        <f aca="false">+U142*(1+V$28)</f>
        <v>1359.3260341237</v>
      </c>
      <c r="W142" s="157" t="n">
        <f aca="false">+V142*(1+W$28)</f>
        <v>1394.82857416958</v>
      </c>
      <c r="X142" s="157" t="n">
        <f aca="false">+W142*(1+X$28)</f>
        <v>1432.09709219531</v>
      </c>
      <c r="Y142" s="157" t="n">
        <f aca="false">+X142*(1+Y$28)</f>
        <v>1470.93550854241</v>
      </c>
      <c r="Z142" s="157" t="n">
        <f aca="false">+Y142*(1+Z$28)</f>
        <v>1511.26950036558</v>
      </c>
      <c r="AA142" s="157" t="n">
        <f aca="false">+Z142*(1+AA$28)</f>
        <v>1553.92128285936</v>
      </c>
      <c r="AB142" s="157" t="n">
        <f aca="false">+AA142*(1+AB$28)</f>
        <v>1599.0228947695</v>
      </c>
      <c r="AC142" s="157" t="n">
        <f aca="false">+AB142*(1+AC$28)</f>
        <v>1647.83801564677</v>
      </c>
    </row>
    <row r="143" customFormat="false" ht="12.75" hidden="false" customHeight="false" outlineLevel="0" collapsed="false">
      <c r="A143" s="16"/>
      <c r="B143" s="16" t="s">
        <v>108</v>
      </c>
      <c r="C143" s="16"/>
      <c r="D143" s="16"/>
      <c r="E143" s="16"/>
      <c r="F143" s="16"/>
      <c r="G143" s="16"/>
      <c r="H143" s="63" t="s">
        <v>99</v>
      </c>
      <c r="I143" s="147" t="n">
        <v>706</v>
      </c>
      <c r="J143" s="157" t="n">
        <f aca="false">+I143*(1+J$28)</f>
        <v>727.198947020826</v>
      </c>
      <c r="K143" s="157" t="n">
        <f aca="false">+J143*(1+K$28)</f>
        <v>748.305450324291</v>
      </c>
      <c r="L143" s="157" t="n">
        <f aca="false">+K143*(1+L$28)</f>
        <v>769.649510732482</v>
      </c>
      <c r="M143" s="157" t="n">
        <f aca="false">+L143*(1+M$28)</f>
        <v>791.216644231031</v>
      </c>
      <c r="N143" s="157" t="n">
        <f aca="false">+M143*(1+N$28)</f>
        <v>812.753708282165</v>
      </c>
      <c r="O143" s="157" t="n">
        <f aca="false">+N143*(1+O$28)</f>
        <v>834.469729009388</v>
      </c>
      <c r="P143" s="157" t="n">
        <f aca="false">+O143*(1+P$28)</f>
        <v>856.347830449616</v>
      </c>
      <c r="Q143" s="157" t="n">
        <f aca="false">+P143*(1+Q$28)</f>
        <v>878.456252806694</v>
      </c>
      <c r="R143" s="157" t="n">
        <f aca="false">+Q143*(1+R$28)</f>
        <v>900.7833214488</v>
      </c>
      <c r="S143" s="157" t="n">
        <f aca="false">+R143*(1+S$28)</f>
        <v>923.497325588749</v>
      </c>
      <c r="T143" s="157" t="n">
        <f aca="false">+S143*(1+T$28)</f>
        <v>946.598998080938</v>
      </c>
      <c r="U143" s="157" t="n">
        <f aca="false">+T143*(1+U$28)</f>
        <v>970.563141076734</v>
      </c>
      <c r="V143" s="157" t="n">
        <f aca="false">+U143*(1+V$28)</f>
        <v>995.5230083935</v>
      </c>
      <c r="W143" s="157" t="n">
        <f aca="false">+V143*(1+W$28)</f>
        <v>1021.52383129017</v>
      </c>
      <c r="X143" s="157" t="n">
        <f aca="false">+W143*(1+X$28)</f>
        <v>1048.81799490652</v>
      </c>
      <c r="Y143" s="157" t="n">
        <f aca="false">+X143*(1+Y$28)</f>
        <v>1077.261897335</v>
      </c>
      <c r="Z143" s="157" t="n">
        <f aca="false">+Y143*(1+Z$28)</f>
        <v>1106.80110711421</v>
      </c>
      <c r="AA143" s="157" t="n">
        <f aca="false">+Z143*(1+AA$28)</f>
        <v>1138.03778599451</v>
      </c>
      <c r="AB143" s="157" t="n">
        <f aca="false">+AA143*(1+AB$28)</f>
        <v>1171.06863455111</v>
      </c>
      <c r="AC143" s="157" t="n">
        <f aca="false">+AB143*(1+AC$28)</f>
        <v>1206.81912764172</v>
      </c>
    </row>
    <row r="144" customFormat="false" ht="12.75" hidden="false" customHeight="false" outlineLevel="0" collapsed="false">
      <c r="A144" s="16"/>
      <c r="B144" s="16" t="s">
        <v>109</v>
      </c>
      <c r="C144" s="16"/>
      <c r="D144" s="16"/>
      <c r="E144" s="16"/>
      <c r="F144" s="16"/>
      <c r="G144" s="16"/>
      <c r="H144" s="63" t="s">
        <v>99</v>
      </c>
      <c r="I144" s="147" t="n">
        <v>3936</v>
      </c>
      <c r="J144" s="157" t="n">
        <f aca="false">+I144*(1+J$28)</f>
        <v>4054.18563098296</v>
      </c>
      <c r="K144" s="157" t="n">
        <f aca="false">+J144*(1+K$28)</f>
        <v>4171.85588169463</v>
      </c>
      <c r="L144" s="157" t="n">
        <f aca="false">+K144*(1+L$28)</f>
        <v>4290.8505300893</v>
      </c>
      <c r="M144" s="157" t="n">
        <f aca="false">+L144*(1+M$28)</f>
        <v>4411.0888267611</v>
      </c>
      <c r="N144" s="157" t="n">
        <f aca="false">+M144*(1+N$28)</f>
        <v>4531.15948413399</v>
      </c>
      <c r="O144" s="157" t="n">
        <f aca="false">+N144*(1+O$28)</f>
        <v>4652.22783765007</v>
      </c>
      <c r="P144" s="157" t="n">
        <f aca="false">+O144*(1+P$28)</f>
        <v>4774.19980261995</v>
      </c>
      <c r="Q144" s="157" t="n">
        <f aca="false">+P144*(1+Q$28)</f>
        <v>4897.45582301296</v>
      </c>
      <c r="R144" s="157" t="n">
        <f aca="false">+Q144*(1+R$28)</f>
        <v>5021.93081192985</v>
      </c>
      <c r="S144" s="157" t="n">
        <f aca="false">+R144*(1+S$28)</f>
        <v>5148.56299365059</v>
      </c>
      <c r="T144" s="157" t="n">
        <f aca="false">+S144*(1+T$28)</f>
        <v>5277.35645389033</v>
      </c>
      <c r="U144" s="157" t="n">
        <f aca="false">+T144*(1+U$28)</f>
        <v>5410.95824826916</v>
      </c>
      <c r="V144" s="157" t="n">
        <f aca="false">+U144*(1+V$28)</f>
        <v>5550.11127625611</v>
      </c>
      <c r="W144" s="157" t="n">
        <f aca="false">+V144*(1+W$28)</f>
        <v>5695.06770532309</v>
      </c>
      <c r="X144" s="157" t="n">
        <f aca="false">+W144*(1+X$28)</f>
        <v>5847.23460049867</v>
      </c>
      <c r="Y144" s="157" t="n">
        <f aca="false">+X144*(1+Y$28)</f>
        <v>6005.81137097815</v>
      </c>
      <c r="Z144" s="157" t="n">
        <f aca="false">+Y144*(1+Z$28)</f>
        <v>6170.49455750926</v>
      </c>
      <c r="AA144" s="157" t="n">
        <f aca="false">+Z144*(1+AA$28)</f>
        <v>6344.64125449632</v>
      </c>
      <c r="AB144" s="157" t="n">
        <f aca="false">+AA144*(1+AB$28)</f>
        <v>6528.79057449456</v>
      </c>
      <c r="AC144" s="157" t="n">
        <f aca="false">+AB144*(1+AC$28)</f>
        <v>6728.10210537936</v>
      </c>
    </row>
    <row r="145" customFormat="false" ht="12.75" hidden="false" customHeight="false" outlineLevel="0" collapsed="false">
      <c r="A145" s="16"/>
      <c r="B145" s="16" t="s">
        <v>110</v>
      </c>
      <c r="C145" s="16"/>
      <c r="D145" s="16"/>
      <c r="E145" s="16"/>
      <c r="F145" s="16"/>
      <c r="G145" s="16"/>
      <c r="H145" s="63" t="s">
        <v>99</v>
      </c>
      <c r="I145" s="147" t="n">
        <v>2201</v>
      </c>
      <c r="J145" s="157" t="n">
        <f aca="false">+I145*(1+J$28)</f>
        <v>2267.0890685451</v>
      </c>
      <c r="K145" s="157" t="n">
        <f aca="false">+J145*(1+K$28)</f>
        <v>2332.88993790901</v>
      </c>
      <c r="L145" s="157" t="n">
        <f aca="false">+K145*(1+L$28)</f>
        <v>2399.43140668866</v>
      </c>
      <c r="M145" s="157" t="n">
        <f aca="false">+L145*(1+M$28)</f>
        <v>2466.66832004603</v>
      </c>
      <c r="N145" s="157" t="n">
        <f aca="false">+M145*(1+N$28)</f>
        <v>2533.81148998448</v>
      </c>
      <c r="O145" s="157" t="n">
        <f aca="false">+N145*(1+O$28)</f>
        <v>2601.51256876723</v>
      </c>
      <c r="P145" s="157" t="n">
        <f aca="false">+O145*(1+P$28)</f>
        <v>2669.71894450369</v>
      </c>
      <c r="Q145" s="157" t="n">
        <f aca="false">+P145*(1+Q$28)</f>
        <v>2738.64336037894</v>
      </c>
      <c r="R145" s="157" t="n">
        <f aca="false">+Q145*(1+R$28)</f>
        <v>2808.24941998415</v>
      </c>
      <c r="S145" s="157" t="n">
        <f aca="false">+R145*(1+S$28)</f>
        <v>2879.06177566691</v>
      </c>
      <c r="T145" s="157" t="n">
        <f aca="false">+S145*(1+T$28)</f>
        <v>2951.08271214751</v>
      </c>
      <c r="U145" s="157" t="n">
        <f aca="false">+T145*(1+U$28)</f>
        <v>3025.79245539645</v>
      </c>
      <c r="V145" s="157" t="n">
        <f aca="false">+U145*(1+V$28)</f>
        <v>3103.60643268285</v>
      </c>
      <c r="W145" s="157" t="n">
        <f aca="false">+V145*(1+W$28)</f>
        <v>3184.66565533946</v>
      </c>
      <c r="X145" s="157" t="n">
        <f aca="false">+W145*(1+X$28)</f>
        <v>3269.75695012642</v>
      </c>
      <c r="Y145" s="157" t="n">
        <f aca="false">+X145*(1+Y$28)</f>
        <v>3358.43262894383</v>
      </c>
      <c r="Z145" s="157" t="n">
        <f aca="false">+Y145*(1+Z$28)</f>
        <v>3450.52299824133</v>
      </c>
      <c r="AA145" s="157" t="n">
        <f aca="false">+Z145*(1+AA$28)</f>
        <v>3547.90533565711</v>
      </c>
      <c r="AB145" s="157" t="n">
        <f aca="false">+AA145*(1+AB$28)</f>
        <v>3650.881111398</v>
      </c>
      <c r="AC145" s="157" t="n">
        <f aca="false">+AB145*(1+AC$28)</f>
        <v>3762.33555232215</v>
      </c>
    </row>
    <row r="146" customFormat="false" ht="12.75" hidden="false" customHeight="false" outlineLevel="0" collapsed="false">
      <c r="A146" s="16"/>
      <c r="B146" s="16" t="s">
        <v>111</v>
      </c>
      <c r="C146" s="16"/>
      <c r="D146" s="16"/>
      <c r="E146" s="16"/>
      <c r="F146" s="16"/>
      <c r="G146" s="16"/>
      <c r="H146" s="63" t="s">
        <v>99</v>
      </c>
      <c r="I146" s="147" t="n">
        <v>489</v>
      </c>
      <c r="J146" s="157" t="n">
        <f aca="false">+I146*(1+J$28)</f>
        <v>503.683123361451</v>
      </c>
      <c r="K146" s="157" t="n">
        <f aca="false">+J146*(1+K$28)</f>
        <v>518.302217009318</v>
      </c>
      <c r="L146" s="157" t="n">
        <f aca="false">+K146*(1+L$28)</f>
        <v>533.085850918107</v>
      </c>
      <c r="M146" s="157" t="n">
        <f aca="false">+L146*(1+M$28)</f>
        <v>548.023992958887</v>
      </c>
      <c r="N146" s="157" t="n">
        <f aca="false">+M146*(1+N$28)</f>
        <v>562.941307861159</v>
      </c>
      <c r="O146" s="157" t="n">
        <f aca="false">+N146*(1+O$28)</f>
        <v>577.982574342197</v>
      </c>
      <c r="P146" s="157" t="n">
        <f aca="false">+O146*(1+P$28)</f>
        <v>593.136103526717</v>
      </c>
      <c r="Q146" s="157" t="n">
        <f aca="false">+P146*(1+Q$28)</f>
        <v>608.449160938348</v>
      </c>
      <c r="R146" s="157" t="n">
        <f aca="false">+Q146*(1+R$28)</f>
        <v>623.913660323603</v>
      </c>
      <c r="S146" s="157" t="n">
        <f aca="false">+R146*(1+S$28)</f>
        <v>639.646164607505</v>
      </c>
      <c r="T146" s="157" t="n">
        <f aca="false">+S146*(1+T$28)</f>
        <v>655.647181390338</v>
      </c>
      <c r="U146" s="157" t="n">
        <f aca="false">+T146*(1+U$28)</f>
        <v>672.245575051732</v>
      </c>
      <c r="V146" s="157" t="n">
        <f aca="false">+U146*(1+V$28)</f>
        <v>689.533641790966</v>
      </c>
      <c r="W146" s="157" t="n">
        <f aca="false">+V146*(1+W$28)</f>
        <v>707.542710341208</v>
      </c>
      <c r="X146" s="157" t="n">
        <f aca="false">+W146*(1+X$28)</f>
        <v>726.44759137293</v>
      </c>
      <c r="Y146" s="157" t="n">
        <f aca="false">+X146*(1+Y$28)</f>
        <v>746.148821241951</v>
      </c>
      <c r="Z146" s="157" t="n">
        <f aca="false">+Y146*(1+Z$28)</f>
        <v>766.608698836898</v>
      </c>
      <c r="AA146" s="157" t="n">
        <f aca="false">+Z146*(1+AA$28)</f>
        <v>788.244302197333</v>
      </c>
      <c r="AB146" s="157" t="n">
        <f aca="false">+AA146*(1+AB$28)</f>
        <v>811.1226094837</v>
      </c>
      <c r="AC146" s="157" t="n">
        <f aca="false">+AB146*(1+AC$28)</f>
        <v>835.88463656771</v>
      </c>
    </row>
    <row r="147" customFormat="false" ht="12.75" hidden="false" customHeight="false" outlineLevel="0" collapsed="false">
      <c r="A147" s="16"/>
      <c r="B147" s="16" t="s">
        <v>112</v>
      </c>
      <c r="C147" s="16"/>
      <c r="D147" s="16"/>
      <c r="E147" s="16"/>
      <c r="F147" s="16"/>
      <c r="G147" s="162" t="s">
        <v>113</v>
      </c>
      <c r="H147" s="63" t="s">
        <v>99</v>
      </c>
      <c r="I147" s="147" t="n">
        <v>-575</v>
      </c>
      <c r="J147" s="147" t="n">
        <v>-753</v>
      </c>
      <c r="K147" s="147" t="n">
        <v>-941</v>
      </c>
      <c r="L147" s="147" t="n">
        <v>-1133</v>
      </c>
      <c r="M147" s="147" t="n">
        <v>-1155</v>
      </c>
      <c r="N147" s="147" t="n">
        <v>-1185</v>
      </c>
      <c r="O147" s="147" t="n">
        <v>-1215</v>
      </c>
      <c r="P147" s="147" t="n">
        <v>-622</v>
      </c>
      <c r="Q147" s="147" t="n">
        <v>-886</v>
      </c>
      <c r="R147" s="147" t="n">
        <v>-1099</v>
      </c>
      <c r="S147" s="147" t="n">
        <v>-1325</v>
      </c>
      <c r="T147" s="147" t="n">
        <v>0</v>
      </c>
      <c r="U147" s="147" t="n">
        <v>0</v>
      </c>
      <c r="V147" s="147" t="n">
        <v>0</v>
      </c>
      <c r="W147" s="147" t="n">
        <v>0</v>
      </c>
      <c r="X147" s="147" t="n">
        <v>0</v>
      </c>
      <c r="Y147" s="147" t="n">
        <v>0</v>
      </c>
      <c r="Z147" s="147" t="n">
        <v>0</v>
      </c>
      <c r="AA147" s="147" t="n">
        <v>0</v>
      </c>
      <c r="AB147" s="147" t="n">
        <v>0</v>
      </c>
      <c r="AC147" s="147" t="n">
        <v>0</v>
      </c>
    </row>
    <row r="148" customFormat="false" ht="12.75" hidden="false" customHeight="false" outlineLevel="0" collapsed="false">
      <c r="A148" s="16"/>
      <c r="B148" s="16" t="s">
        <v>12</v>
      </c>
      <c r="C148" s="16"/>
      <c r="D148" s="16"/>
      <c r="E148" s="16"/>
      <c r="F148" s="16"/>
      <c r="G148" s="16"/>
      <c r="H148" s="63" t="s">
        <v>99</v>
      </c>
      <c r="I148" s="147" t="n">
        <v>1036</v>
      </c>
      <c r="J148" s="157" t="n">
        <v>2190</v>
      </c>
      <c r="K148" s="157" t="n">
        <v>2413</v>
      </c>
      <c r="L148" s="157" t="n">
        <v>2309</v>
      </c>
      <c r="M148" s="157" t="n">
        <v>2352</v>
      </c>
      <c r="N148" s="157" t="n">
        <v>2327</v>
      </c>
      <c r="O148" s="157" t="n">
        <v>2322</v>
      </c>
      <c r="P148" s="157" t="n">
        <v>2145</v>
      </c>
      <c r="Q148" s="157" t="n">
        <v>2381</v>
      </c>
      <c r="R148" s="157" t="n">
        <v>2248</v>
      </c>
      <c r="S148" s="157" t="n">
        <v>2347</v>
      </c>
      <c r="T148" s="157" t="n">
        <f aca="false">S148*(1+T28)</f>
        <v>2405.71118825883</v>
      </c>
      <c r="U148" s="157" t="n">
        <f aca="false">T148*(1+U28)</f>
        <v>2466.61428137312</v>
      </c>
      <c r="V148" s="157" t="n">
        <f aca="false">U148*(1+V28)</f>
        <v>2530.04793404245</v>
      </c>
      <c r="W148" s="157" t="n">
        <f aca="false">V148*(1+W28)</f>
        <v>2596.12709815869</v>
      </c>
      <c r="X148" s="157" t="n">
        <f aca="false">W148*(1+X28)</f>
        <v>2665.49319184687</v>
      </c>
      <c r="Y148" s="157" t="n">
        <f aca="false">X148*(1+Y28)</f>
        <v>2737.78126150326</v>
      </c>
      <c r="Z148" s="157" t="n">
        <f aca="false">Y148*(1+Z28)</f>
        <v>2812.85297360335</v>
      </c>
      <c r="AA148" s="157" t="n">
        <f aca="false">Z148*(1+AA28)</f>
        <v>2892.23867760128</v>
      </c>
      <c r="AB148" s="157" t="n">
        <f aca="false">AA148*(1+AB28)</f>
        <v>2976.18413084112</v>
      </c>
      <c r="AC148" s="157" t="n">
        <f aca="false">AB148*(1+AC28)</f>
        <v>3067.04135907422</v>
      </c>
    </row>
    <row r="149" customFormat="false" ht="12.75" hidden="false" customHeight="false" outlineLevel="0" collapsed="false">
      <c r="A149" s="16"/>
      <c r="B149" s="16" t="s">
        <v>80</v>
      </c>
      <c r="C149" s="16"/>
      <c r="D149" s="16"/>
      <c r="E149" s="16"/>
      <c r="F149" s="16"/>
      <c r="G149" s="16"/>
      <c r="H149" s="63" t="s">
        <v>99</v>
      </c>
      <c r="I149" s="163" t="n">
        <f aca="false">IF(+$G147="Y",SUM(I138:I148),SUM(I138:I148)-I147)-I138+I137</f>
        <v>118091</v>
      </c>
      <c r="J149" s="163" t="n">
        <f aca="false">IF(+$G147="Y",SUM(J138:J148),SUM(J138:J148)-J147)-J138+J137</f>
        <v>111373.102640913</v>
      </c>
      <c r="K149" s="163" t="n">
        <f aca="false">IF(+$G147="Y",SUM(K138:K148),SUM(K138:K148)-K147)-K138+K137</f>
        <v>122718.74753596</v>
      </c>
      <c r="L149" s="163" t="n">
        <f aca="false">IF(+$G147="Y",SUM(L138:L148),SUM(L138:L148)-L147)-L138+L137</f>
        <v>119976.472348512</v>
      </c>
      <c r="M149" s="163" t="n">
        <f aca="false">IF(+$G147="Y",SUM(M138:M148),SUM(M138:M148)-M147)-M138+M137</f>
        <v>124895.089293954</v>
      </c>
      <c r="N149" s="163" t="n">
        <f aca="false">IF(+$G147="Y",SUM(N138:N148),SUM(N138:N148)-N147)-N138+N137</f>
        <v>130112.316390322</v>
      </c>
      <c r="O149" s="163" t="n">
        <f aca="false">IF(+$G147="Y",SUM(O138:O148),SUM(O138:O148)-O147)-O138+O137</f>
        <v>135269.863652192</v>
      </c>
      <c r="P149" s="163" t="n">
        <f aca="false">IF(+$G147="Y",SUM(P138:P148),SUM(P138:P148)-P147)-P138+P137</f>
        <v>129512.512283439</v>
      </c>
      <c r="Q149" s="163" t="n">
        <f aca="false">IF(+$G147="Y",SUM(Q138:Q148),SUM(Q138:Q148)-Q147)-Q138+Q137</f>
        <v>142065.14701533</v>
      </c>
      <c r="R149" s="163" t="n">
        <f aca="false">IF(+$G147="Y",SUM(R138:R148),SUM(R138:R148)-R147)-R138+R137</f>
        <v>137985.616486774</v>
      </c>
      <c r="S149" s="163" t="n">
        <f aca="false">IF(+$G147="Y",SUM(S138:S148),SUM(S138:S148)-S147)-S138+S137</f>
        <v>145688.102560076</v>
      </c>
      <c r="T149" s="163" t="n">
        <f aca="false">IF(+$G147="Y",SUM(T138:T148),SUM(T138:T148)-T147)-T138+T137</f>
        <v>119081.625429909</v>
      </c>
      <c r="U149" s="163" t="n">
        <f aca="false">IF(+$G147="Y",SUM(U138:U148),SUM(U138:U148)-U147)-U138+U137</f>
        <v>124786.827514345</v>
      </c>
      <c r="V149" s="163" t="n">
        <f aca="false">IF(+$G147="Y",SUM(V138:V148),SUM(V138:V148)-V147)-V138+V137</f>
        <v>123614.611982816</v>
      </c>
      <c r="W149" s="163" t="n">
        <f aca="false">IF(+$G147="Y",SUM(W138:W148),SUM(W138:W148)-W147)-W138+W137</f>
        <v>129488.510200365</v>
      </c>
      <c r="X149" s="163" t="n">
        <f aca="false">IF(+$G147="Y",SUM(X138:X148),SUM(X138:X148)-X147)-X138+X137</f>
        <v>105488.796175109</v>
      </c>
      <c r="Y149" s="163" t="n">
        <f aca="false">IF(+$G147="Y",SUM(Y138:Y148),SUM(Y138:Y148)-Y147)-Y138+Y137</f>
        <v>31753.026440644</v>
      </c>
      <c r="Z149" s="163" t="n">
        <f aca="false">IF(+$G147="Y",SUM(Z138:Z148),SUM(Z138:Z148)-Z147)-Z138+Z137</f>
        <v>34181.1981047854</v>
      </c>
      <c r="AA149" s="163" t="n">
        <f aca="false">IF(+$G147="Y",SUM(AA138:AA148),SUM(AA138:AA148)-AA147)-AA138+AA137</f>
        <v>35212.9090467767</v>
      </c>
      <c r="AB149" s="163" t="n">
        <f aca="false">IF(+$G147="Y",SUM(AB138:AB148),SUM(AB138:AB148)-AB147)-AB138+AB137</f>
        <v>35238.7960040803</v>
      </c>
      <c r="AC149" s="163" t="n">
        <f aca="false">IF(+$G147="Y",SUM(AC138:AC148),SUM(AC138:AC148)-AC147)-AC138+AC137</f>
        <v>37252.4433146038</v>
      </c>
    </row>
    <row r="150" customFormat="false" ht="12.75" hidden="false" customHeight="false" outlineLevel="0" collapsed="false">
      <c r="A150" s="16"/>
      <c r="B150" s="16"/>
      <c r="C150" s="16"/>
      <c r="D150" s="16"/>
      <c r="E150" s="16"/>
      <c r="F150" s="16"/>
      <c r="G150" s="16"/>
      <c r="H150" s="63"/>
      <c r="I150" s="164" t="n">
        <v>118091</v>
      </c>
      <c r="J150" s="164" t="n">
        <v>111359</v>
      </c>
      <c r="K150" s="164" t="n">
        <v>122679</v>
      </c>
      <c r="L150" s="164" t="n">
        <v>119907</v>
      </c>
      <c r="M150" s="164" t="n">
        <v>124799</v>
      </c>
      <c r="N150" s="164" t="n">
        <v>129992</v>
      </c>
      <c r="O150" s="164" t="n">
        <v>135124</v>
      </c>
      <c r="P150" s="164" t="n">
        <v>129339</v>
      </c>
      <c r="Q150" s="164" t="n">
        <v>141863</v>
      </c>
      <c r="R150" s="164" t="n">
        <v>137752</v>
      </c>
      <c r="S150" s="164" t="n">
        <v>145434</v>
      </c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</row>
    <row r="151" customFormat="false" ht="13.5" hidden="false" customHeight="false" outlineLevel="0" collapsed="false">
      <c r="A151" s="16"/>
      <c r="B151" s="55" t="s">
        <v>114</v>
      </c>
      <c r="C151" s="16"/>
      <c r="D151" s="16"/>
      <c r="E151" s="16"/>
      <c r="F151" s="16"/>
      <c r="G151" s="16"/>
      <c r="H151" s="63" t="s">
        <v>99</v>
      </c>
      <c r="I151" s="165" t="n">
        <f aca="false">+I134-I149</f>
        <v>49830.8521503477</v>
      </c>
      <c r="J151" s="165" t="n">
        <f aca="false">+J134-J149</f>
        <v>50325.2291250006</v>
      </c>
      <c r="K151" s="165" t="n">
        <f aca="false">+K134-K149</f>
        <v>59289.3610291755</v>
      </c>
      <c r="L151" s="165" t="n">
        <f aca="false">+L134-L149</f>
        <v>63182.0714202777</v>
      </c>
      <c r="M151" s="165" t="n">
        <f aca="false">+M134-M149</f>
        <v>71042.9312501461</v>
      </c>
      <c r="N151" s="165" t="n">
        <f aca="false">+N134-N149</f>
        <v>75136.4570651683</v>
      </c>
      <c r="O151" s="165" t="n">
        <f aca="false">+O134-O149</f>
        <v>77366.8984216356</v>
      </c>
      <c r="P151" s="165" t="n">
        <f aca="false">+P134-P149</f>
        <v>76597.235251715</v>
      </c>
      <c r="Q151" s="165" t="n">
        <f aca="false">+Q134-Q149</f>
        <v>91255.8946008904</v>
      </c>
      <c r="R151" s="165" t="n">
        <f aca="false">+R134-R149</f>
        <v>98257.5739916251</v>
      </c>
      <c r="S151" s="165" t="n">
        <f aca="false">+S134-S149</f>
        <v>72148.1588244058</v>
      </c>
      <c r="T151" s="165" t="n">
        <f aca="false">+T134-T149</f>
        <v>19896.0312319951</v>
      </c>
      <c r="U151" s="165" t="n">
        <f aca="false">+U134-U149</f>
        <v>16881.8893181189</v>
      </c>
      <c r="V151" s="165" t="n">
        <f aca="false">+V134-V149</f>
        <v>12382.4003070042</v>
      </c>
      <c r="W151" s="165" t="n">
        <f aca="false">+W134-W149</f>
        <v>20524.9803790207</v>
      </c>
      <c r="X151" s="165" t="n">
        <f aca="false">+X134-X149</f>
        <v>11881.2807039917</v>
      </c>
      <c r="Y151" s="165" t="n">
        <f aca="false">+Y134-Y149</f>
        <v>-3581.47485628084</v>
      </c>
      <c r="Z151" s="165" t="n">
        <f aca="false">+Z134-Z149</f>
        <v>-5499.52567325829</v>
      </c>
      <c r="AA151" s="165" t="n">
        <f aca="false">+AA134-AA149</f>
        <v>-5995.85844601887</v>
      </c>
      <c r="AB151" s="165" t="n">
        <f aca="false">+AB134-AB149</f>
        <v>-5460.02471364973</v>
      </c>
      <c r="AC151" s="165" t="n">
        <f aca="false">+AC134-AC149</f>
        <v>-9751.92316200981</v>
      </c>
    </row>
    <row r="152" customFormat="false" ht="13.5" hidden="false" customHeight="false" outlineLevel="0" collapsed="false">
      <c r="A152" s="16"/>
      <c r="B152" s="55"/>
      <c r="C152" s="16"/>
      <c r="D152" s="16"/>
      <c r="E152" s="16"/>
      <c r="F152" s="16"/>
      <c r="G152" s="16"/>
      <c r="H152" s="63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</row>
    <row r="153" customFormat="false" ht="12.75" hidden="false" customHeight="false" outlineLevel="0" collapsed="false">
      <c r="A153" s="16"/>
      <c r="B153" s="16" t="s">
        <v>115</v>
      </c>
      <c r="C153" s="16"/>
      <c r="D153" s="16"/>
      <c r="E153" s="16"/>
      <c r="F153" s="16"/>
      <c r="G153" s="16"/>
      <c r="H153" s="63"/>
      <c r="I153" s="166" t="n">
        <v>50125</v>
      </c>
      <c r="J153" s="166" t="n">
        <v>50634</v>
      </c>
      <c r="K153" s="166" t="n">
        <v>60441</v>
      </c>
      <c r="L153" s="166" t="n">
        <v>64302</v>
      </c>
      <c r="M153" s="166" t="n">
        <v>72335</v>
      </c>
      <c r="N153" s="166" t="n">
        <v>76994</v>
      </c>
      <c r="O153" s="166" t="n">
        <v>79325</v>
      </c>
      <c r="P153" s="166" t="n">
        <v>78158</v>
      </c>
      <c r="Q153" s="166" t="n">
        <v>94562</v>
      </c>
      <c r="R153" s="166" t="n">
        <v>101273</v>
      </c>
      <c r="S153" s="166" t="n">
        <v>87533</v>
      </c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</row>
    <row r="154" customFormat="false" ht="12.75" hidden="false" customHeight="false" outlineLevel="0" collapsed="false">
      <c r="A154" s="16"/>
      <c r="B154" s="16" t="s">
        <v>116</v>
      </c>
      <c r="C154" s="16"/>
      <c r="D154" s="16"/>
      <c r="E154" s="16"/>
      <c r="F154" s="16"/>
      <c r="G154" s="16"/>
      <c r="H154" s="63"/>
      <c r="I154" s="166" t="n">
        <f aca="false">56770-17578</f>
        <v>39192</v>
      </c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</row>
    <row r="155" customFormat="false" ht="18" hidden="false" customHeight="false" outlineLevel="0" collapsed="false">
      <c r="A155" s="18" t="s">
        <v>54</v>
      </c>
      <c r="B155" s="16"/>
      <c r="C155" s="16"/>
      <c r="D155" s="16"/>
      <c r="E155" s="16"/>
      <c r="F155" s="16"/>
      <c r="G155" s="16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customFormat="false" ht="12.75" hidden="false" customHeight="false" outlineLevel="0" collapsed="false">
      <c r="A156" s="16"/>
      <c r="B156" s="16"/>
      <c r="C156" s="16"/>
      <c r="D156" s="16"/>
      <c r="E156" s="16"/>
      <c r="F156" s="16"/>
      <c r="G156" s="16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customFormat="false" ht="15" hidden="false" customHeight="false" outlineLevel="0" collapsed="false">
      <c r="A157" s="16"/>
      <c r="B157" s="60" t="s">
        <v>72</v>
      </c>
      <c r="C157" s="60"/>
      <c r="D157" s="60"/>
      <c r="E157" s="60"/>
      <c r="F157" s="60"/>
      <c r="G157" s="60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customFormat="false" ht="12.75" hidden="false" customHeight="false" outlineLevel="0" collapsed="false">
      <c r="A158" s="16"/>
      <c r="B158" s="16"/>
      <c r="C158" s="16"/>
      <c r="D158" s="16"/>
      <c r="E158" s="16"/>
      <c r="F158" s="16"/>
      <c r="G158" s="16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customFormat="false" ht="12.75" hidden="false" customHeight="false" outlineLevel="0" collapsed="false">
      <c r="A159" s="16"/>
      <c r="B159" s="16" t="s">
        <v>73</v>
      </c>
      <c r="C159" s="16"/>
      <c r="D159" s="16"/>
      <c r="E159" s="16"/>
      <c r="F159" s="16"/>
      <c r="G159" s="16"/>
      <c r="H159" s="63" t="s">
        <v>74</v>
      </c>
      <c r="I159" s="147" t="n">
        <v>250</v>
      </c>
      <c r="J159" s="147" t="n">
        <v>250</v>
      </c>
      <c r="K159" s="147" t="n">
        <v>250</v>
      </c>
      <c r="L159" s="147" t="n">
        <v>250</v>
      </c>
      <c r="M159" s="147" t="n">
        <v>250</v>
      </c>
      <c r="N159" s="147" t="n">
        <v>250</v>
      </c>
      <c r="O159" s="147" t="n">
        <v>250</v>
      </c>
      <c r="P159" s="147" t="n">
        <v>250</v>
      </c>
      <c r="Q159" s="147" t="n">
        <v>250</v>
      </c>
      <c r="R159" s="147" t="n">
        <v>250</v>
      </c>
      <c r="S159" s="147" t="n">
        <v>250</v>
      </c>
      <c r="T159" s="56" t="n">
        <v>0</v>
      </c>
      <c r="U159" s="56" t="n">
        <v>0</v>
      </c>
      <c r="V159" s="56" t="n">
        <v>0</v>
      </c>
      <c r="W159" s="56" t="n">
        <v>0</v>
      </c>
      <c r="X159" s="56" t="n">
        <v>0</v>
      </c>
      <c r="Y159" s="56" t="n">
        <v>0</v>
      </c>
      <c r="Z159" s="56" t="n">
        <v>0</v>
      </c>
      <c r="AA159" s="56" t="n">
        <v>0</v>
      </c>
      <c r="AB159" s="56" t="n">
        <v>0</v>
      </c>
      <c r="AC159" s="56" t="n">
        <v>0</v>
      </c>
    </row>
    <row r="160" customFormat="false" ht="12.75" hidden="false" customHeight="false" outlineLevel="0" collapsed="false">
      <c r="A160" s="16"/>
      <c r="B160" s="16"/>
      <c r="C160" s="16"/>
      <c r="D160" s="16"/>
      <c r="E160" s="16"/>
      <c r="F160" s="16"/>
      <c r="G160" s="16"/>
      <c r="H160" s="63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</row>
    <row r="161" customFormat="false" ht="12.75" hidden="false" customHeight="false" outlineLevel="0" collapsed="false">
      <c r="A161" s="16"/>
      <c r="B161" s="16" t="s">
        <v>75</v>
      </c>
      <c r="C161" s="16"/>
      <c r="D161" s="16"/>
      <c r="E161" s="16"/>
      <c r="F161" s="16"/>
      <c r="G161" s="16"/>
      <c r="H161" s="63" t="s">
        <v>76</v>
      </c>
      <c r="I161" s="147" t="n">
        <v>9102</v>
      </c>
      <c r="J161" s="147" t="n">
        <v>9163</v>
      </c>
      <c r="K161" s="147" t="n">
        <v>9224</v>
      </c>
      <c r="L161" s="147" t="n">
        <v>9057</v>
      </c>
      <c r="M161" s="147" t="n">
        <v>9117</v>
      </c>
      <c r="N161" s="147" t="n">
        <v>9178</v>
      </c>
      <c r="O161" s="147" t="n">
        <v>9102</v>
      </c>
      <c r="P161" s="147" t="n">
        <v>9163</v>
      </c>
      <c r="Q161" s="147" t="n">
        <v>9224</v>
      </c>
      <c r="R161" s="147" t="n">
        <v>9057</v>
      </c>
      <c r="S161" s="147" t="n">
        <v>9117</v>
      </c>
      <c r="T161" s="147" t="n">
        <v>9178</v>
      </c>
      <c r="U161" s="147" t="n">
        <v>9102</v>
      </c>
      <c r="V161" s="147" t="n">
        <v>9163</v>
      </c>
      <c r="W161" s="147" t="n">
        <v>9224</v>
      </c>
      <c r="X161" s="147" t="n">
        <v>9057</v>
      </c>
      <c r="Y161" s="147" t="n">
        <v>9117</v>
      </c>
      <c r="Z161" s="147" t="n">
        <v>9178</v>
      </c>
      <c r="AA161" s="147" t="n">
        <v>9102</v>
      </c>
      <c r="AB161" s="147" t="n">
        <v>9163</v>
      </c>
      <c r="AC161" s="147" t="n">
        <v>9224</v>
      </c>
    </row>
    <row r="162" customFormat="false" ht="12.75" hidden="false" customHeight="false" outlineLevel="0" collapsed="false">
      <c r="A162" s="16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customFormat="false" ht="12.75" hidden="false" customHeight="false" outlineLevel="0" collapsed="false">
      <c r="A163" s="16"/>
      <c r="B163" s="16" t="s">
        <v>117</v>
      </c>
      <c r="C163" s="16"/>
      <c r="D163" s="16"/>
      <c r="E163" s="16"/>
      <c r="F163" s="16"/>
      <c r="G163" s="16"/>
      <c r="H163" s="63" t="s">
        <v>79</v>
      </c>
      <c r="I163" s="167" t="n">
        <v>2021000</v>
      </c>
      <c r="J163" s="167" t="n">
        <v>1955000</v>
      </c>
      <c r="K163" s="167" t="n">
        <v>1866000</v>
      </c>
      <c r="L163" s="167" t="n">
        <v>2021000</v>
      </c>
      <c r="M163" s="167" t="n">
        <v>2010000</v>
      </c>
      <c r="N163" s="167" t="n">
        <v>2010000</v>
      </c>
      <c r="O163" s="167" t="n">
        <v>2021000</v>
      </c>
      <c r="P163" s="167" t="n">
        <v>1955000</v>
      </c>
      <c r="Q163" s="167" t="n">
        <v>1866000</v>
      </c>
      <c r="R163" s="167" t="n">
        <v>2021000</v>
      </c>
      <c r="S163" s="167" t="n">
        <v>1279000</v>
      </c>
      <c r="T163" s="167" t="n">
        <v>0</v>
      </c>
      <c r="U163" s="167" t="n">
        <v>0</v>
      </c>
      <c r="V163" s="167" t="n">
        <v>0</v>
      </c>
      <c r="W163" s="167" t="n">
        <v>0</v>
      </c>
      <c r="X163" s="167" t="n">
        <v>0</v>
      </c>
      <c r="Y163" s="167" t="n">
        <v>0</v>
      </c>
      <c r="Z163" s="167" t="n">
        <v>0</v>
      </c>
      <c r="AA163" s="167" t="n">
        <v>0</v>
      </c>
      <c r="AB163" s="167" t="n">
        <v>0</v>
      </c>
      <c r="AC163" s="167" t="n">
        <v>0</v>
      </c>
    </row>
    <row r="164" customFormat="false" ht="12.75" hidden="false" customHeight="false" outlineLevel="0" collapsed="false">
      <c r="A164" s="16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customFormat="false" ht="12.75" hidden="false" customHeight="false" outlineLevel="0" collapsed="false">
      <c r="A165" s="16"/>
      <c r="B165" s="16" t="s">
        <v>118</v>
      </c>
      <c r="C165" s="16"/>
      <c r="D165" s="16"/>
      <c r="E165" s="16"/>
      <c r="F165" s="16"/>
      <c r="G165" s="16"/>
      <c r="H165" s="63" t="s">
        <v>74</v>
      </c>
      <c r="I165" s="148" t="n">
        <v>40</v>
      </c>
      <c r="J165" s="148" t="n">
        <v>40</v>
      </c>
      <c r="K165" s="148" t="n">
        <v>40</v>
      </c>
      <c r="L165" s="148" t="n">
        <v>40</v>
      </c>
      <c r="M165" s="148" t="n">
        <v>40</v>
      </c>
      <c r="N165" s="148" t="n">
        <v>40</v>
      </c>
      <c r="O165" s="148" t="n">
        <v>40</v>
      </c>
      <c r="P165" s="148" t="n">
        <v>40</v>
      </c>
      <c r="Q165" s="148" t="n">
        <v>40</v>
      </c>
      <c r="R165" s="148" t="n">
        <v>40</v>
      </c>
      <c r="S165" s="148" t="n">
        <v>40</v>
      </c>
      <c r="T165" s="148" t="n">
        <v>290</v>
      </c>
      <c r="U165" s="148" t="n">
        <v>290</v>
      </c>
      <c r="V165" s="148" t="n">
        <v>290</v>
      </c>
      <c r="W165" s="148" t="n">
        <v>290</v>
      </c>
      <c r="X165" s="148" t="n">
        <v>290</v>
      </c>
      <c r="Y165" s="148" t="n">
        <v>290</v>
      </c>
      <c r="Z165" s="148" t="n">
        <v>290</v>
      </c>
      <c r="AA165" s="148" t="n">
        <v>290</v>
      </c>
      <c r="AB165" s="148" t="n">
        <v>290</v>
      </c>
      <c r="AC165" s="148" t="n">
        <v>290</v>
      </c>
    </row>
    <row r="166" customFormat="false" ht="12.75" hidden="false" customHeight="false" outlineLevel="0" collapsed="false">
      <c r="A166" s="16"/>
      <c r="B166" s="16" t="s">
        <v>91</v>
      </c>
      <c r="C166" s="16"/>
      <c r="D166" s="16"/>
      <c r="E166" s="16" t="s">
        <v>83</v>
      </c>
      <c r="F166" s="157" t="n">
        <v>0</v>
      </c>
      <c r="G166" s="16"/>
      <c r="H166" s="63" t="s">
        <v>79</v>
      </c>
      <c r="I166" s="56" t="n">
        <f aca="false">IF($F$166=1,I25*I165,0)</f>
        <v>0</v>
      </c>
      <c r="J166" s="56" t="n">
        <f aca="false">IF($F$166=1,J25*J165,0)</f>
        <v>0</v>
      </c>
      <c r="K166" s="56" t="n">
        <f aca="false">IF($F$166=1,K25*K165,0)</f>
        <v>0</v>
      </c>
      <c r="L166" s="56" t="n">
        <f aca="false">IF($F$166=1,L25*L165,0)</f>
        <v>0</v>
      </c>
      <c r="M166" s="56" t="n">
        <f aca="false">IF($F$166=1,M25*M165,0)</f>
        <v>0</v>
      </c>
      <c r="N166" s="56" t="n">
        <f aca="false">IF($F$166=1,N25*N165,0)</f>
        <v>0</v>
      </c>
      <c r="O166" s="56" t="n">
        <f aca="false">IF($F$166=1,O25*O165,0)</f>
        <v>0</v>
      </c>
      <c r="P166" s="56" t="n">
        <f aca="false">IF($F$166=1,P25*P165,0)</f>
        <v>0</v>
      </c>
      <c r="Q166" s="56" t="n">
        <f aca="false">IF($F$166=1,Q25*Q165,0)</f>
        <v>0</v>
      </c>
      <c r="R166" s="56" t="n">
        <f aca="false">IF($F$166=1,R25*R165,0)</f>
        <v>0</v>
      </c>
      <c r="S166" s="56" t="n">
        <f aca="false">IF($F$166=1,S25*S165,0)</f>
        <v>0</v>
      </c>
      <c r="T166" s="56" t="n">
        <f aca="false">IF($F$166=1,T25*T165,0)</f>
        <v>0</v>
      </c>
      <c r="U166" s="56" t="n">
        <f aca="false">IF($F$166=1,U25*U165,0)</f>
        <v>0</v>
      </c>
      <c r="V166" s="56" t="n">
        <f aca="false">IF($F$166=1,V25*V165,0)</f>
        <v>0</v>
      </c>
      <c r="W166" s="56" t="n">
        <f aca="false">IF($F$166=1,W25*W165,0)</f>
        <v>0</v>
      </c>
      <c r="X166" s="56" t="n">
        <f aca="false">IF($F$166=1,X25*X165,0)</f>
        <v>0</v>
      </c>
      <c r="Y166" s="56" t="n">
        <f aca="false">IF($F$166=1,Y25*Y165,0)</f>
        <v>0</v>
      </c>
      <c r="Z166" s="56" t="n">
        <f aca="false">IF($F$166=1,Z25*Z165,0)</f>
        <v>0</v>
      </c>
      <c r="AA166" s="56" t="n">
        <f aca="false">IF($F$166=1,AA25*AA165,0)</f>
        <v>0</v>
      </c>
      <c r="AB166" s="56" t="n">
        <f aca="false">IF($F$166=1,AB25*AB165,0)</f>
        <v>0</v>
      </c>
      <c r="AC166" s="56" t="n">
        <f aca="false">IF($F$166=1,AC25*AC165,0)</f>
        <v>0</v>
      </c>
    </row>
    <row r="167" customFormat="false" ht="12.75" hidden="false" customHeight="false" outlineLevel="0" collapsed="false">
      <c r="A167" s="16"/>
      <c r="B167" s="16" t="s">
        <v>119</v>
      </c>
      <c r="C167" s="16"/>
      <c r="D167" s="16"/>
      <c r="E167" s="17"/>
      <c r="F167" s="16"/>
      <c r="G167" s="16"/>
      <c r="H167" s="63" t="s">
        <v>38</v>
      </c>
      <c r="I167" s="103" t="n">
        <v>35</v>
      </c>
      <c r="J167" s="103" t="n">
        <v>35</v>
      </c>
      <c r="K167" s="103" t="n">
        <v>35</v>
      </c>
      <c r="L167" s="103" t="n">
        <v>35</v>
      </c>
      <c r="M167" s="103" t="n">
        <v>35</v>
      </c>
      <c r="N167" s="103" t="n">
        <v>35</v>
      </c>
      <c r="O167" s="103" t="n">
        <v>35</v>
      </c>
      <c r="P167" s="103" t="n">
        <v>35</v>
      </c>
      <c r="Q167" s="103" t="n">
        <v>35</v>
      </c>
      <c r="R167" s="103" t="n">
        <v>35</v>
      </c>
      <c r="S167" s="103" t="n">
        <v>35</v>
      </c>
      <c r="T167" s="103" t="n">
        <v>35</v>
      </c>
      <c r="U167" s="103" t="n">
        <v>35</v>
      </c>
      <c r="V167" s="103" t="n">
        <v>35</v>
      </c>
      <c r="W167" s="103" t="n">
        <v>35</v>
      </c>
      <c r="X167" s="103" t="n">
        <v>35</v>
      </c>
      <c r="Y167" s="103" t="n">
        <v>35</v>
      </c>
      <c r="Z167" s="103" t="n">
        <v>35</v>
      </c>
      <c r="AA167" s="103" t="n">
        <v>35</v>
      </c>
      <c r="AB167" s="103" t="n">
        <v>35</v>
      </c>
      <c r="AC167" s="103" t="n">
        <v>35</v>
      </c>
    </row>
    <row r="168" customFormat="false" ht="12.75" hidden="false" customHeight="false" outlineLevel="0" collapsed="false">
      <c r="A168" s="16"/>
      <c r="B168" s="16"/>
      <c r="C168" s="16"/>
      <c r="D168" s="16"/>
      <c r="E168" s="16"/>
      <c r="F168" s="16"/>
      <c r="G168" s="16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customFormat="false" ht="12.75" hidden="false" customHeight="false" outlineLevel="0" collapsed="false">
      <c r="A169" s="16"/>
      <c r="B169" s="16" t="s">
        <v>85</v>
      </c>
      <c r="C169" s="16"/>
      <c r="D169" s="16"/>
      <c r="E169" s="16"/>
      <c r="F169" s="16"/>
      <c r="G169" s="16"/>
      <c r="H169" s="63" t="s">
        <v>79</v>
      </c>
      <c r="I169" s="149" t="n">
        <f aca="false">+I163+I166</f>
        <v>2021000</v>
      </c>
      <c r="J169" s="149" t="n">
        <f aca="false">+J163+J166</f>
        <v>1955000</v>
      </c>
      <c r="K169" s="149" t="n">
        <f aca="false">+K163+K166</f>
        <v>1866000</v>
      </c>
      <c r="L169" s="149" t="n">
        <f aca="false">+L163+L166</f>
        <v>2021000</v>
      </c>
      <c r="M169" s="149" t="n">
        <f aca="false">+M163+M166</f>
        <v>2010000</v>
      </c>
      <c r="N169" s="149" t="n">
        <f aca="false">+N163+N166</f>
        <v>2010000</v>
      </c>
      <c r="O169" s="149" t="n">
        <f aca="false">+O163+O166</f>
        <v>2021000</v>
      </c>
      <c r="P169" s="149" t="n">
        <f aca="false">+P163+P166</f>
        <v>1955000</v>
      </c>
      <c r="Q169" s="149" t="n">
        <f aca="false">+Q163+Q166</f>
        <v>1866000</v>
      </c>
      <c r="R169" s="149" t="n">
        <f aca="false">+R163+R166</f>
        <v>2021000</v>
      </c>
      <c r="S169" s="149" t="n">
        <f aca="false">+S163+S166</f>
        <v>1279000</v>
      </c>
      <c r="T169" s="149" t="n">
        <f aca="false">+T163+T166</f>
        <v>0</v>
      </c>
      <c r="U169" s="149" t="n">
        <f aca="false">+U163+U166</f>
        <v>0</v>
      </c>
      <c r="V169" s="149" t="n">
        <f aca="false">+V163+V166</f>
        <v>0</v>
      </c>
      <c r="W169" s="149" t="n">
        <f aca="false">+W163+W166</f>
        <v>0</v>
      </c>
      <c r="X169" s="149" t="n">
        <f aca="false">+X163+X166</f>
        <v>0</v>
      </c>
      <c r="Y169" s="149" t="n">
        <f aca="false">+Y163+Y166</f>
        <v>0</v>
      </c>
      <c r="Z169" s="149" t="n">
        <f aca="false">+Z163+Z166</f>
        <v>0</v>
      </c>
      <c r="AA169" s="149" t="n">
        <f aca="false">+AA163+AA166</f>
        <v>0</v>
      </c>
      <c r="AB169" s="149" t="n">
        <f aca="false">+AB163+AB166</f>
        <v>0</v>
      </c>
      <c r="AC169" s="149" t="n">
        <f aca="false">+AC163+AC166</f>
        <v>0</v>
      </c>
    </row>
    <row r="170" customFormat="false" ht="12.75" hidden="false" customHeight="false" outlineLevel="0" collapsed="false">
      <c r="A170" s="16"/>
      <c r="B170" s="16"/>
      <c r="C170" s="16"/>
      <c r="D170" s="16"/>
      <c r="E170" s="16"/>
      <c r="F170" s="16"/>
      <c r="G170" s="16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customFormat="false" ht="12.75" hidden="false" customHeight="false" outlineLevel="0" collapsed="false">
      <c r="A171" s="16"/>
      <c r="B171" s="16" t="s">
        <v>86</v>
      </c>
      <c r="C171" s="16"/>
      <c r="D171" s="16"/>
      <c r="E171" s="16"/>
      <c r="F171" s="16"/>
      <c r="G171" s="16"/>
      <c r="H171" s="17"/>
      <c r="I171" s="156" t="n">
        <f aca="false">+I169/((+I159+I165)*I25)</f>
        <v>0.795544008817509</v>
      </c>
      <c r="J171" s="156" t="n">
        <f aca="false">+J169/((+J159+J165)*J25)</f>
        <v>0.76956384821288</v>
      </c>
      <c r="K171" s="156" t="n">
        <f aca="false">+K169/((+K159+K165)*K25)</f>
        <v>0.734529995276334</v>
      </c>
      <c r="L171" s="156" t="n">
        <f aca="false">+L169/((+L159+L165)*L25)</f>
        <v>0.793370391307079</v>
      </c>
      <c r="M171" s="156" t="n">
        <f aca="false">+M169/((+M159+M165)*M25)</f>
        <v>0.791213982050071</v>
      </c>
      <c r="N171" s="156" t="n">
        <f aca="false">+N169/((+N159+N165)*N25)</f>
        <v>0.791213982050071</v>
      </c>
      <c r="O171" s="156" t="n">
        <f aca="false">+O169/((+O159+O165)*O25)</f>
        <v>0.795544008817509</v>
      </c>
      <c r="P171" s="156" t="n">
        <f aca="false">+P169/((+P159+P165)*P25)</f>
        <v>0.767461214747817</v>
      </c>
      <c r="Q171" s="156" t="n">
        <f aca="false">+Q169/((+Q159+Q165)*Q25)</f>
        <v>0.734529995276334</v>
      </c>
      <c r="R171" s="156" t="n">
        <f aca="false">+R169/((+R159+R165)*R25)</f>
        <v>0.795544008817509</v>
      </c>
      <c r="S171" s="156" t="n">
        <f aca="false">+S169/((+S159+S165)*S25)</f>
        <v>0.503464021413951</v>
      </c>
      <c r="T171" s="156" t="n">
        <f aca="false">+T169/((+T159+T165)*T25)</f>
        <v>0</v>
      </c>
      <c r="U171" s="156" t="n">
        <f aca="false">+U169/((+U159+U165)*U25)</f>
        <v>0</v>
      </c>
      <c r="V171" s="156" t="n">
        <f aca="false">+V169/((+V159+V165)*V25)</f>
        <v>0</v>
      </c>
      <c r="W171" s="156" t="n">
        <f aca="false">+W169/((+W159+W165)*W25)</f>
        <v>0</v>
      </c>
      <c r="X171" s="156" t="n">
        <f aca="false">+X169/((+X159+X165)*X25)</f>
        <v>0</v>
      </c>
      <c r="Y171" s="156" t="n">
        <f aca="false">+Y169/((+Y159+Y165)*Y25)</f>
        <v>0</v>
      </c>
      <c r="Z171" s="156" t="n">
        <f aca="false">+Z169/((+Z159+Z165)*Z25)</f>
        <v>0</v>
      </c>
      <c r="AA171" s="156" t="n">
        <f aca="false">+AA169/((+AA159+AA165)*AA25)</f>
        <v>0</v>
      </c>
      <c r="AB171" s="156" t="n">
        <f aca="false">+AB169/((+AB159+AB165)*AB25)</f>
        <v>0</v>
      </c>
      <c r="AC171" s="156" t="n">
        <f aca="false">+AC169/((+AC159+AC165)*AC25)</f>
        <v>0</v>
      </c>
    </row>
    <row r="172" customFormat="false" ht="12.75" hidden="false" customHeight="false" outlineLevel="0" collapsed="false">
      <c r="A172" s="16"/>
      <c r="B172" s="16"/>
      <c r="C172" s="16"/>
      <c r="D172" s="16"/>
      <c r="E172" s="16"/>
      <c r="F172" s="16"/>
      <c r="G172" s="16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customFormat="false" ht="12.75" hidden="false" customHeight="false" outlineLevel="0" collapsed="false">
      <c r="A173" s="16"/>
      <c r="B173" s="16" t="s">
        <v>87</v>
      </c>
      <c r="C173" s="16"/>
      <c r="D173" s="16"/>
      <c r="E173" s="16"/>
      <c r="F173" s="16"/>
      <c r="G173" s="16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customFormat="false" ht="12.75" hidden="false" customHeight="false" outlineLevel="0" collapsed="false">
      <c r="A174" s="16"/>
      <c r="B174" s="17"/>
      <c r="C174" s="16" t="s">
        <v>89</v>
      </c>
      <c r="D174" s="16"/>
      <c r="E174" s="16"/>
      <c r="F174" s="16"/>
      <c r="G174" s="16"/>
      <c r="H174" s="63" t="s">
        <v>90</v>
      </c>
      <c r="I174" s="157" t="n">
        <f aca="false">+I163*1000*I161/1000000</f>
        <v>18395142</v>
      </c>
      <c r="J174" s="157" t="n">
        <f aca="false">+J163*1000*J161/1000000</f>
        <v>17913665</v>
      </c>
      <c r="K174" s="157" t="n">
        <f aca="false">+K163*1000*K161/1000000</f>
        <v>17211984</v>
      </c>
      <c r="L174" s="157" t="n">
        <f aca="false">+L163*1000*L161/1000000</f>
        <v>18304197</v>
      </c>
      <c r="M174" s="157" t="n">
        <f aca="false">+M163*1000*M161/1000000</f>
        <v>18325170</v>
      </c>
      <c r="N174" s="157" t="n">
        <f aca="false">+N163*1000*N161/1000000</f>
        <v>18447780</v>
      </c>
      <c r="O174" s="157" t="n">
        <f aca="false">+O163*1000*O161/1000000</f>
        <v>18395142</v>
      </c>
      <c r="P174" s="157" t="n">
        <f aca="false">+P163*1000*P161/1000000</f>
        <v>17913665</v>
      </c>
      <c r="Q174" s="157" t="n">
        <f aca="false">+Q163*1000*Q161/1000000</f>
        <v>17211984</v>
      </c>
      <c r="R174" s="157" t="n">
        <f aca="false">+R163*1000*R161/1000000</f>
        <v>18304197</v>
      </c>
      <c r="S174" s="157" t="n">
        <f aca="false">+S163*1000*S161/1000000</f>
        <v>11660643</v>
      </c>
      <c r="T174" s="157" t="n">
        <f aca="false">+T163*1000*T161/1000000</f>
        <v>0</v>
      </c>
      <c r="U174" s="157" t="n">
        <f aca="false">+U163*1000*U161/1000000</f>
        <v>0</v>
      </c>
      <c r="V174" s="157" t="n">
        <f aca="false">+V163*1000*V161/1000000</f>
        <v>0</v>
      </c>
      <c r="W174" s="157" t="n">
        <f aca="false">+W163*1000*W161/1000000</f>
        <v>0</v>
      </c>
      <c r="X174" s="157" t="n">
        <f aca="false">+X163*1000*X161/1000000</f>
        <v>0</v>
      </c>
      <c r="Y174" s="157" t="n">
        <f aca="false">+Y163*1000*Y161/1000000</f>
        <v>0</v>
      </c>
      <c r="Z174" s="157" t="n">
        <f aca="false">+Z163*1000*Z161/1000000</f>
        <v>0</v>
      </c>
      <c r="AA174" s="157" t="n">
        <f aca="false">+AA163*1000*AA161/1000000</f>
        <v>0</v>
      </c>
      <c r="AB174" s="157" t="n">
        <f aca="false">+AB163*1000*AB161/1000000</f>
        <v>0</v>
      </c>
      <c r="AC174" s="157" t="n">
        <f aca="false">+AC163*1000*AC161/1000000</f>
        <v>0</v>
      </c>
    </row>
    <row r="175" customFormat="false" ht="12.75" hidden="false" customHeight="false" outlineLevel="0" collapsed="false">
      <c r="A175" s="16"/>
      <c r="B175" s="16"/>
      <c r="C175" s="16" t="s">
        <v>91</v>
      </c>
      <c r="D175" s="16"/>
      <c r="E175" s="16"/>
      <c r="F175" s="16"/>
      <c r="G175" s="16"/>
      <c r="H175" s="63" t="s">
        <v>90</v>
      </c>
      <c r="I175" s="158" t="n">
        <f aca="false">+I166*1000*I161/1000000</f>
        <v>0</v>
      </c>
      <c r="J175" s="158" t="n">
        <f aca="false">+J166*1000*J161/1000000</f>
        <v>0</v>
      </c>
      <c r="K175" s="158" t="n">
        <f aca="false">+K166*1000*K161/1000000</f>
        <v>0</v>
      </c>
      <c r="L175" s="158" t="n">
        <f aca="false">+L166*1000*L161/1000000</f>
        <v>0</v>
      </c>
      <c r="M175" s="158" t="n">
        <f aca="false">+M166*1000*M161/1000000</f>
        <v>0</v>
      </c>
      <c r="N175" s="158" t="n">
        <f aca="false">+N166*1000*N161/1000000</f>
        <v>0</v>
      </c>
      <c r="O175" s="158" t="n">
        <f aca="false">+O166*1000*O161/1000000</f>
        <v>0</v>
      </c>
      <c r="P175" s="158" t="n">
        <f aca="false">+P166*1000*P161/1000000</f>
        <v>0</v>
      </c>
      <c r="Q175" s="158" t="n">
        <f aca="false">+Q166*1000*Q161/1000000</f>
        <v>0</v>
      </c>
      <c r="R175" s="158" t="n">
        <f aca="false">+R166*1000*R161/1000000</f>
        <v>0</v>
      </c>
      <c r="S175" s="158" t="n">
        <f aca="false">+S166*1000*S161/1000000</f>
        <v>0</v>
      </c>
      <c r="T175" s="158" t="n">
        <f aca="false">+T166*1000*T161/1000000</f>
        <v>0</v>
      </c>
      <c r="U175" s="158" t="n">
        <f aca="false">+U166*1000*U161/1000000</f>
        <v>0</v>
      </c>
      <c r="V175" s="158" t="n">
        <f aca="false">+V166*1000*V161/1000000</f>
        <v>0</v>
      </c>
      <c r="W175" s="158" t="n">
        <f aca="false">+W166*1000*W161/1000000</f>
        <v>0</v>
      </c>
      <c r="X175" s="158" t="n">
        <f aca="false">+X166*1000*X161/1000000</f>
        <v>0</v>
      </c>
      <c r="Y175" s="158" t="n">
        <f aca="false">+Y166*1000*Y161/1000000</f>
        <v>0</v>
      </c>
      <c r="Z175" s="158" t="n">
        <f aca="false">+Z166*1000*Z161/1000000</f>
        <v>0</v>
      </c>
      <c r="AA175" s="158" t="n">
        <f aca="false">+AA166*1000*AA161/1000000</f>
        <v>0</v>
      </c>
      <c r="AB175" s="158" t="n">
        <f aca="false">+AB166*1000*AB161/1000000</f>
        <v>0</v>
      </c>
      <c r="AC175" s="158" t="n">
        <f aca="false">+AC166*1000*AC161/1000000</f>
        <v>0</v>
      </c>
    </row>
    <row r="176" customFormat="false" ht="12.75" hidden="false" customHeight="false" outlineLevel="0" collapsed="false">
      <c r="A176" s="16"/>
      <c r="B176" s="16"/>
      <c r="C176" s="16" t="s">
        <v>80</v>
      </c>
      <c r="D176" s="16"/>
      <c r="E176" s="16"/>
      <c r="F176" s="16"/>
      <c r="G176" s="16"/>
      <c r="H176" s="63" t="s">
        <v>90</v>
      </c>
      <c r="I176" s="149" t="n">
        <f aca="false">SUM(I174:I175)</f>
        <v>18395142</v>
      </c>
      <c r="J176" s="149" t="n">
        <f aca="false">SUM(J174:J175)</f>
        <v>17913665</v>
      </c>
      <c r="K176" s="149" t="n">
        <f aca="false">SUM(K174:K175)</f>
        <v>17211984</v>
      </c>
      <c r="L176" s="149" t="n">
        <f aca="false">SUM(L174:L175)</f>
        <v>18304197</v>
      </c>
      <c r="M176" s="149" t="n">
        <f aca="false">SUM(M174:M175)</f>
        <v>18325170</v>
      </c>
      <c r="N176" s="149" t="n">
        <f aca="false">SUM(N174:N175)</f>
        <v>18447780</v>
      </c>
      <c r="O176" s="149" t="n">
        <f aca="false">SUM(O174:O175)</f>
        <v>18395142</v>
      </c>
      <c r="P176" s="149" t="n">
        <f aca="false">SUM(P174:P175)</f>
        <v>17913665</v>
      </c>
      <c r="Q176" s="149" t="n">
        <f aca="false">SUM(Q174:Q175)</f>
        <v>17211984</v>
      </c>
      <c r="R176" s="149" t="n">
        <f aca="false">SUM(R174:R175)</f>
        <v>18304197</v>
      </c>
      <c r="S176" s="149" t="n">
        <f aca="false">SUM(S174:S175)</f>
        <v>11660643</v>
      </c>
      <c r="T176" s="149" t="n">
        <f aca="false">SUM(T174:T175)</f>
        <v>0</v>
      </c>
      <c r="U176" s="149" t="n">
        <f aca="false">SUM(U174:U175)</f>
        <v>0</v>
      </c>
      <c r="V176" s="149" t="n">
        <f aca="false">SUM(V174:V175)</f>
        <v>0</v>
      </c>
      <c r="W176" s="149" t="n">
        <f aca="false">SUM(W174:W175)</f>
        <v>0</v>
      </c>
      <c r="X176" s="149" t="n">
        <f aca="false">SUM(X174:X175)</f>
        <v>0</v>
      </c>
      <c r="Y176" s="149" t="n">
        <f aca="false">SUM(Y174:Y175)</f>
        <v>0</v>
      </c>
      <c r="Z176" s="149" t="n">
        <f aca="false">SUM(Z174:Z175)</f>
        <v>0</v>
      </c>
      <c r="AA176" s="149" t="n">
        <f aca="false">SUM(AA174:AA175)</f>
        <v>0</v>
      </c>
      <c r="AB176" s="149" t="n">
        <f aca="false">SUM(AB174:AB175)</f>
        <v>0</v>
      </c>
      <c r="AC176" s="149" t="n">
        <f aca="false">SUM(AC174:AC175)</f>
        <v>0</v>
      </c>
    </row>
    <row r="177" customFormat="false" ht="12.75" hidden="false" customHeight="false" outlineLevel="0" collapsed="false">
      <c r="A177" s="16"/>
      <c r="B177" s="16"/>
      <c r="C177" s="16"/>
      <c r="D177" s="16"/>
      <c r="E177" s="16"/>
      <c r="F177" s="16"/>
      <c r="G177" s="16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customFormat="false" ht="12.75" hidden="false" customHeight="false" outlineLevel="0" collapsed="false">
      <c r="A178" s="16"/>
      <c r="B178" s="16" t="s">
        <v>92</v>
      </c>
      <c r="C178" s="16"/>
      <c r="D178" s="16"/>
      <c r="E178" s="16"/>
      <c r="F178" s="16"/>
      <c r="G178" s="16"/>
      <c r="H178" s="63" t="s">
        <v>93</v>
      </c>
      <c r="I178" s="157" t="n">
        <f aca="false">+I176/(+I$25/24)</f>
        <v>50397.6493150685</v>
      </c>
      <c r="J178" s="157" t="n">
        <f aca="false">+J176/(+J$25/24)</f>
        <v>49078.5342465753</v>
      </c>
      <c r="K178" s="157" t="n">
        <f aca="false">+K176/(+K$25/24)</f>
        <v>47156.1205479452</v>
      </c>
      <c r="L178" s="157" t="n">
        <f aca="false">+L176/(+L$25/24)</f>
        <v>50011.4672131148</v>
      </c>
      <c r="M178" s="157" t="n">
        <f aca="false">+M176/(+M$25/24)</f>
        <v>50205.9452054795</v>
      </c>
      <c r="N178" s="157" t="n">
        <f aca="false">+N176/(+N$25/24)</f>
        <v>50541.8630136986</v>
      </c>
      <c r="O178" s="157" t="n">
        <f aca="false">+O176/(+O$25/24)</f>
        <v>50397.6493150685</v>
      </c>
      <c r="P178" s="157" t="n">
        <f aca="false">+P176/(+P$25/24)</f>
        <v>48944.4398907104</v>
      </c>
      <c r="Q178" s="157" t="n">
        <f aca="false">+Q176/(+Q$25/24)</f>
        <v>47156.1205479452</v>
      </c>
      <c r="R178" s="157" t="n">
        <f aca="false">+R176/(+R$25/24)</f>
        <v>50148.4849315069</v>
      </c>
      <c r="S178" s="157" t="n">
        <f aca="false">+S176/(+S$25/24)</f>
        <v>31946.9671232877</v>
      </c>
      <c r="T178" s="157" t="n">
        <f aca="false">+T176/(+T$25/24)</f>
        <v>0</v>
      </c>
      <c r="U178" s="157" t="n">
        <f aca="false">+U176/(+U$25/24)</f>
        <v>0</v>
      </c>
      <c r="V178" s="157" t="n">
        <f aca="false">+V176/(+V$25/24)</f>
        <v>0</v>
      </c>
      <c r="W178" s="157" t="n">
        <f aca="false">+W176/(+W$25/24)</f>
        <v>0</v>
      </c>
      <c r="X178" s="157" t="n">
        <f aca="false">+X176/(+X$25/24)</f>
        <v>0</v>
      </c>
      <c r="Y178" s="157" t="n">
        <f aca="false">+Y176/(+Y$25/24)</f>
        <v>0</v>
      </c>
      <c r="Z178" s="157" t="n">
        <f aca="false">+Z176/(+Z$25/24)</f>
        <v>0</v>
      </c>
      <c r="AA178" s="157" t="n">
        <f aca="false">+AA176/(+AA$25/24)</f>
        <v>0</v>
      </c>
      <c r="AB178" s="157" t="n">
        <f aca="false">+AB176/(+AB$25/24)</f>
        <v>0</v>
      </c>
      <c r="AC178" s="157" t="n">
        <f aca="false">+AC176/(+AC$25/24)</f>
        <v>0</v>
      </c>
    </row>
    <row r="179" customFormat="false" ht="12.75" hidden="false" customHeight="false" outlineLevel="0" collapsed="false">
      <c r="A179" s="16"/>
      <c r="B179" s="16"/>
      <c r="C179" s="16"/>
      <c r="D179" s="16"/>
      <c r="E179" s="16"/>
      <c r="F179" s="16"/>
      <c r="G179" s="16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customFormat="false" ht="12.75" hidden="false" customHeight="false" outlineLevel="0" collapsed="false">
      <c r="A180" s="16"/>
      <c r="B180" s="16" t="s">
        <v>94</v>
      </c>
      <c r="C180" s="16"/>
      <c r="D180" s="16"/>
      <c r="E180" s="16"/>
      <c r="F180" s="16"/>
      <c r="G180" s="16"/>
      <c r="H180" s="63" t="s">
        <v>38</v>
      </c>
      <c r="I180" s="103" t="n">
        <v>1.08</v>
      </c>
      <c r="J180" s="103" t="n">
        <f aca="false">I180*(1+J28)</f>
        <v>1.11242898411118</v>
      </c>
      <c r="K180" s="103" t="n">
        <f aca="false">J180*(1+K28)</f>
        <v>1.14471655290401</v>
      </c>
      <c r="L180" s="103" t="n">
        <f aca="false">K180*(1+L28)</f>
        <v>1.17736752350011</v>
      </c>
      <c r="M180" s="103" t="n">
        <f aca="false">L180*(1+M28)</f>
        <v>1.2103597390503</v>
      </c>
      <c r="N180" s="103" t="n">
        <f aca="false">M180*(1+N28)</f>
        <v>1.24330595601238</v>
      </c>
      <c r="O180" s="103" t="n">
        <f aca="false">N180*(1+O28)</f>
        <v>1.27652593106252</v>
      </c>
      <c r="P180" s="103" t="n">
        <f aca="false">O180*(1+P28)</f>
        <v>1.30999384827986</v>
      </c>
      <c r="Q180" s="103" t="n">
        <f aca="false">P180*(1+Q28)</f>
        <v>1.34381409777795</v>
      </c>
      <c r="R180" s="103" t="n">
        <f aca="false">Q180*(1+R28)</f>
        <v>1.37796882034661</v>
      </c>
      <c r="S180" s="103" t="n">
        <f aca="false">R180*(1+S28)</f>
        <v>1.41271545557486</v>
      </c>
      <c r="T180" s="103" t="n">
        <f aca="false">S180*(1+T28)</f>
        <v>1.44805512454308</v>
      </c>
      <c r="U180" s="103" t="n">
        <f aca="false">T180*(1+U28)</f>
        <v>1.48471415348849</v>
      </c>
      <c r="V180" s="103" t="n">
        <f aca="false">U180*(1+V28)</f>
        <v>1.52289638677759</v>
      </c>
      <c r="W180" s="103" t="n">
        <f aca="false">V180*(1+W28)</f>
        <v>1.56267101670451</v>
      </c>
      <c r="X180" s="103" t="n">
        <f aca="false">W180*(1+X28)</f>
        <v>1.60442412818561</v>
      </c>
      <c r="Y180" s="103" t="n">
        <f aca="false">X180*(1+Y28)</f>
        <v>1.64793604691474</v>
      </c>
      <c r="Z180" s="103" t="n">
        <f aca="false">Y180*(1+Z28)</f>
        <v>1.69312350663364</v>
      </c>
      <c r="AA180" s="103" t="n">
        <f aca="false">Z180*(1+AA28)</f>
        <v>1.74090766129472</v>
      </c>
      <c r="AB180" s="103" t="n">
        <f aca="false">AA180*(1+AB28)</f>
        <v>1.79143643812351</v>
      </c>
      <c r="AC180" s="103" t="n">
        <f aca="false">AB180*(1+AC28)</f>
        <v>1.84612557769556</v>
      </c>
    </row>
    <row r="181" customFormat="false" ht="12.75" hidden="false" customHeight="false" outlineLevel="0" collapsed="false">
      <c r="A181" s="16"/>
      <c r="B181" s="16"/>
      <c r="C181" s="16"/>
      <c r="D181" s="16"/>
      <c r="E181" s="16"/>
      <c r="F181" s="16"/>
      <c r="G181" s="16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  <c r="EE181" s="63"/>
      <c r="EF181" s="63"/>
      <c r="EG181" s="63"/>
      <c r="EH181" s="63"/>
      <c r="EI181" s="63"/>
      <c r="EJ181" s="63"/>
      <c r="EK181" s="63"/>
      <c r="EL181" s="63"/>
      <c r="EM181" s="63"/>
      <c r="EN181" s="63"/>
      <c r="EO181" s="63"/>
      <c r="EP181" s="63"/>
      <c r="EQ181" s="63"/>
      <c r="ER181" s="63"/>
      <c r="ES181" s="63"/>
      <c r="ET181" s="63"/>
      <c r="EU181" s="63"/>
      <c r="EV181" s="63"/>
      <c r="EW181" s="63"/>
      <c r="EX181" s="63"/>
      <c r="EY181" s="63"/>
      <c r="EZ181" s="63"/>
      <c r="FA181" s="63"/>
      <c r="FB181" s="63"/>
      <c r="FC181" s="63"/>
      <c r="FD181" s="63"/>
      <c r="FE181" s="63"/>
      <c r="FF181" s="63"/>
      <c r="FG181" s="63"/>
      <c r="FH181" s="63"/>
      <c r="FI181" s="63"/>
      <c r="FJ181" s="63"/>
      <c r="FK181" s="63"/>
      <c r="FL181" s="63"/>
      <c r="FM181" s="63"/>
      <c r="FN181" s="63"/>
      <c r="FO181" s="63"/>
      <c r="FP181" s="63"/>
      <c r="FQ181" s="63"/>
      <c r="FR181" s="63"/>
      <c r="FS181" s="63"/>
      <c r="FT181" s="63"/>
      <c r="FU181" s="63"/>
      <c r="FV181" s="63"/>
      <c r="FW181" s="63"/>
      <c r="FX181" s="63"/>
      <c r="FY181" s="63"/>
      <c r="FZ181" s="63"/>
      <c r="GA181" s="63"/>
      <c r="GB181" s="63"/>
      <c r="GC181" s="63"/>
      <c r="GD181" s="63"/>
      <c r="GE181" s="63"/>
      <c r="GF181" s="63"/>
      <c r="GG181" s="63"/>
      <c r="GH181" s="63"/>
      <c r="GI181" s="63"/>
      <c r="GJ181" s="63"/>
      <c r="GK181" s="63"/>
      <c r="GL181" s="63"/>
      <c r="GM181" s="63"/>
      <c r="GN181" s="63"/>
      <c r="GO181" s="63"/>
      <c r="GP181" s="63"/>
      <c r="GQ181" s="63"/>
      <c r="GR181" s="63"/>
      <c r="GS181" s="63"/>
      <c r="GT181" s="63"/>
      <c r="GU181" s="63"/>
      <c r="GV181" s="63"/>
      <c r="GW181" s="63"/>
      <c r="GX181" s="63"/>
      <c r="GY181" s="63"/>
      <c r="GZ181" s="63"/>
      <c r="HA181" s="63"/>
      <c r="HB181" s="63"/>
      <c r="HC181" s="63"/>
      <c r="HD181" s="63"/>
      <c r="HE181" s="63"/>
      <c r="HF181" s="63"/>
      <c r="HG181" s="63"/>
      <c r="HH181" s="63"/>
      <c r="HI181" s="63"/>
      <c r="HJ181" s="63"/>
      <c r="HK181" s="63"/>
      <c r="HL181" s="63"/>
      <c r="HM181" s="63"/>
      <c r="HN181" s="63"/>
      <c r="HO181" s="63"/>
      <c r="HP181" s="63"/>
      <c r="HQ181" s="63"/>
      <c r="HR181" s="63"/>
      <c r="HS181" s="63"/>
      <c r="HT181" s="63"/>
      <c r="HU181" s="63"/>
      <c r="HV181" s="63"/>
      <c r="HW181" s="63"/>
      <c r="HX181" s="63"/>
      <c r="HY181" s="63"/>
      <c r="HZ181" s="63"/>
      <c r="IA181" s="63"/>
      <c r="IB181" s="63"/>
      <c r="IC181" s="63"/>
      <c r="ID181" s="63"/>
      <c r="IE181" s="63"/>
      <c r="IF181" s="63"/>
      <c r="IG181" s="63"/>
      <c r="IH181" s="63"/>
      <c r="II181" s="63"/>
      <c r="IJ181" s="63"/>
      <c r="IK181" s="63"/>
      <c r="IL181" s="63"/>
      <c r="IM181" s="63"/>
      <c r="IN181" s="63"/>
      <c r="IO181" s="63"/>
      <c r="IP181" s="63"/>
      <c r="IQ181" s="63"/>
      <c r="IR181" s="63"/>
      <c r="IS181" s="63"/>
      <c r="IT181" s="63"/>
      <c r="IU181" s="63"/>
      <c r="IV181" s="63"/>
    </row>
    <row r="182" customFormat="false" ht="12.75" hidden="false" customHeight="false" outlineLevel="0" collapsed="false">
      <c r="A182" s="16"/>
      <c r="B182" s="16" t="s">
        <v>95</v>
      </c>
      <c r="C182" s="16"/>
      <c r="D182" s="16"/>
      <c r="E182" s="16"/>
      <c r="F182" s="16"/>
      <c r="G182" s="16"/>
      <c r="H182" s="63" t="s">
        <v>96</v>
      </c>
      <c r="I182" s="147" t="n">
        <v>1013</v>
      </c>
      <c r="J182" s="147" t="n">
        <v>1013</v>
      </c>
      <c r="K182" s="147" t="n">
        <v>1013</v>
      </c>
      <c r="L182" s="147" t="n">
        <v>1013</v>
      </c>
      <c r="M182" s="147" t="n">
        <v>1013</v>
      </c>
      <c r="N182" s="147" t="n">
        <v>1013</v>
      </c>
      <c r="O182" s="147" t="n">
        <v>1013</v>
      </c>
      <c r="P182" s="147" t="n">
        <v>1013</v>
      </c>
      <c r="Q182" s="147" t="n">
        <v>1013</v>
      </c>
      <c r="R182" s="147" t="n">
        <v>1013</v>
      </c>
      <c r="S182" s="147" t="n">
        <v>633</v>
      </c>
      <c r="T182" s="147" t="n">
        <v>0</v>
      </c>
      <c r="U182" s="147" t="n">
        <v>0</v>
      </c>
      <c r="V182" s="147" t="n">
        <v>0</v>
      </c>
      <c r="W182" s="147" t="n">
        <v>0</v>
      </c>
      <c r="X182" s="147" t="n">
        <v>0</v>
      </c>
      <c r="Y182" s="74" t="n">
        <v>0</v>
      </c>
      <c r="Z182" s="74" t="n">
        <v>0</v>
      </c>
      <c r="AA182" s="74" t="n">
        <v>0</v>
      </c>
      <c r="AB182" s="74" t="n">
        <v>0</v>
      </c>
      <c r="AC182" s="74" t="n">
        <v>0</v>
      </c>
    </row>
    <row r="183" customFormat="false" ht="12.75" hidden="false" customHeight="false" outlineLevel="0" collapsed="false">
      <c r="A183" s="16"/>
      <c r="B183" s="16"/>
      <c r="C183" s="16"/>
      <c r="D183" s="16"/>
      <c r="E183" s="16"/>
      <c r="F183" s="16"/>
      <c r="G183" s="16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customFormat="false" ht="15" hidden="false" customHeight="false" outlineLevel="0" collapsed="false">
      <c r="A184" s="16"/>
      <c r="B184" s="60" t="s">
        <v>97</v>
      </c>
      <c r="C184" s="60"/>
      <c r="D184" s="60"/>
      <c r="E184" s="60"/>
      <c r="F184" s="60"/>
      <c r="G184" s="60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customFormat="false" ht="12.75" hidden="false" customHeight="false" outlineLevel="0" collapsed="false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customFormat="false" ht="12.75" hidden="false" customHeight="false" outlineLevel="0" collapsed="false">
      <c r="A186" s="16"/>
      <c r="B186" s="16" t="s">
        <v>98</v>
      </c>
      <c r="C186" s="16"/>
      <c r="D186" s="16"/>
      <c r="E186" s="16"/>
      <c r="F186" s="159" t="s">
        <v>37</v>
      </c>
      <c r="G186" s="159"/>
      <c r="H186" s="63" t="s">
        <v>99</v>
      </c>
      <c r="I186" s="160" t="n">
        <f aca="false">IF(+$F$186="Table 1",I45*I163,IF(+$F$123="Table 2",I46*I163,"Input Error"))/1000</f>
        <v>149149.8</v>
      </c>
      <c r="J186" s="160" t="n">
        <f aca="false">IF(+$F$186="Table 1",J45*J163,IF(+$F$123="Table 2",J46*J163,"Input Error"))/1000</f>
        <v>147798</v>
      </c>
      <c r="K186" s="160" t="n">
        <f aca="false">IF(+$F$186="Table 1",K45*K163,IF(+$F$123="Table 2",K46*K163,"Input Error"))/1000</f>
        <v>145174.8</v>
      </c>
      <c r="L186" s="160" t="n">
        <f aca="false">IF(+$F$186="Table 1",L45*L163,IF(+$F$123="Table 2",L46*L163,"Input Error"))/1000</f>
        <v>158042.2</v>
      </c>
      <c r="M186" s="160" t="n">
        <f aca="false">IF(+$F$186="Table 1",M45*M163,IF(+$F$123="Table 2",M46*M163,"Input Error"))/1000</f>
        <v>159996</v>
      </c>
      <c r="N186" s="160" t="n">
        <f aca="false">IF(+$F$186="Table 1",N45*N163,IF(+$F$123="Table 2",N46*N163,"Input Error"))/1000</f>
        <v>162810</v>
      </c>
      <c r="O186" s="160" t="n">
        <f aca="false">IF(+$F$186="Table 1",O45*O163,IF(+$F$123="Table 2",O46*O163,"Input Error"))/1000</f>
        <v>166732.5</v>
      </c>
      <c r="P186" s="160" t="n">
        <f aca="false">IF(+$F$186="Table 1",P45*P163,IF(+$F$123="Table 2",P46*P163,"Input Error"))/1000</f>
        <v>164611</v>
      </c>
      <c r="Q186" s="160" t="n">
        <f aca="false">IF(+$F$186="Table 1",Q45*Q163,IF(+$F$123="Table 2",Q46*Q163,"Input Error"))/1000</f>
        <v>161035.8</v>
      </c>
      <c r="R186" s="160" t="n">
        <f aca="false">IF(+$F$186="Table 1",R45*R163,IF(+$F$123="Table 2",R46*R163,"Input Error"))/1000</f>
        <v>175624.9</v>
      </c>
      <c r="S186" s="160" t="n">
        <f aca="false">IF(+$F$186="Table 1",S45*S163,IF(+$F$123="Table 2",S46*S163,"Input Error"))/1000</f>
        <v>113575.2</v>
      </c>
      <c r="T186" s="160" t="n">
        <f aca="false">IF(+$F$186="Table 1",T45*T163,IF(+$F$123="Table 2",T46*T163,"Input Error"))/1000</f>
        <v>0</v>
      </c>
      <c r="U186" s="160" t="n">
        <f aca="false">IF(+$F$186="Table 1",U45*U163,IF(+$F$123="Table 2",U46*U163,"Input Error"))/1000</f>
        <v>0</v>
      </c>
      <c r="V186" s="160" t="n">
        <f aca="false">IF(+$F$186="Table 1",V45*V163,IF(+$F$123="Table 2",V46*V163,"Input Error"))/1000</f>
        <v>0</v>
      </c>
      <c r="W186" s="160" t="n">
        <f aca="false">IF(+$F$186="Table 1",W45*W163,IF(+$F$123="Table 2",W46*W163,"Input Error"))/1000</f>
        <v>0</v>
      </c>
      <c r="X186" s="160" t="n">
        <f aca="false">IF(+$F$186="Table 1",X45*X163,IF(+$F$123="Table 2",X46*X163,"Input Error"))/1000</f>
        <v>0</v>
      </c>
      <c r="Y186" s="160" t="n">
        <f aca="false">IF(+$F$186="Table 1",Y45*Y163,IF(+$F$123="Table 2",Y46*Y163,"Input Error"))/1000</f>
        <v>0</v>
      </c>
      <c r="Z186" s="160" t="n">
        <f aca="false">IF(+$F$186="Table 1",Z45*Z163,IF(+$F$123="Table 2",Z46*Z163,"Input Error"))/1000</f>
        <v>0</v>
      </c>
      <c r="AA186" s="160" t="n">
        <f aca="false">IF(+$F$186="Table 1",AA45*AA163,IF(+$F$123="Table 2",AA46*AA163,"Input Error"))/1000</f>
        <v>0</v>
      </c>
      <c r="AB186" s="160" t="n">
        <f aca="false">IF(+$F$186="Table 1",AB45*AB163,IF(+$F$123="Table 2",AB46*AB163,"Input Error"))/1000</f>
        <v>0</v>
      </c>
      <c r="AC186" s="160" t="n">
        <f aca="false">IF(+$F$186="Table 1",AC45*AC163,IF(+$F$123="Table 2",AC46*AC163,"Input Error"))/1000</f>
        <v>0</v>
      </c>
    </row>
    <row r="187" customFormat="false" ht="12.75" hidden="false" customHeight="false" outlineLevel="0" collapsed="false">
      <c r="A187" s="16"/>
      <c r="B187" s="16"/>
      <c r="C187" s="16"/>
      <c r="D187" s="16"/>
      <c r="E187" s="16"/>
      <c r="F187" s="16"/>
      <c r="G187" s="16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</row>
    <row r="188" customFormat="false" ht="12.75" hidden="false" customHeight="false" outlineLevel="0" collapsed="false">
      <c r="A188" s="16"/>
      <c r="B188" s="16" t="s">
        <v>100</v>
      </c>
      <c r="C188" s="17"/>
      <c r="D188" s="16"/>
      <c r="E188" s="16" t="s">
        <v>101</v>
      </c>
      <c r="F188" s="16" t="n">
        <v>1</v>
      </c>
      <c r="G188" s="16"/>
      <c r="H188" s="63" t="s">
        <v>99</v>
      </c>
      <c r="I188" s="160" t="n">
        <f aca="false">IF($F$188=1,Merchant!E44,Merchant!E39)</f>
        <v>2543.44218819648</v>
      </c>
      <c r="J188" s="160" t="n">
        <f aca="false">IF($F$188=1,Merchant!F44,Merchant!F39)</f>
        <v>2427.05258903789</v>
      </c>
      <c r="K188" s="160" t="n">
        <f aca="false">IF($F$188=1,Merchant!G44,Merchant!G39)</f>
        <v>2422.2327241442</v>
      </c>
      <c r="L188" s="160" t="n">
        <f aca="false">IF($F$188=1,Merchant!H44,Merchant!H39)</f>
        <v>2443.11728774872</v>
      </c>
      <c r="M188" s="160" t="n">
        <f aca="false">IF($F$188=1,Merchant!I44,Merchant!I39)</f>
        <v>2527.29657435312</v>
      </c>
      <c r="N188" s="160" t="n">
        <f aca="false">IF($F$188=1,Merchant!J44,Merchant!J39)</f>
        <v>2705.92898641747</v>
      </c>
      <c r="O188" s="160" t="n">
        <f aca="false">IF($F$188=1,Merchant!K44,Merchant!K39)</f>
        <v>2821.71517417739</v>
      </c>
      <c r="P188" s="160" t="n">
        <f aca="false">IF($F$188=1,Merchant!L44,Merchant!L39)</f>
        <v>2872.72701596786</v>
      </c>
      <c r="Q188" s="160" t="n">
        <f aca="false">IF($F$188=1,Merchant!M44,Merchant!M39)</f>
        <v>2964.76346052196</v>
      </c>
      <c r="R188" s="160" t="n">
        <f aca="false">IF($F$188=1,Merchant!N44,Merchant!N39)</f>
        <v>3004.98460994572</v>
      </c>
      <c r="S188" s="160" t="n">
        <f aca="false">IF($F$188=1,Merchant!O44,Merchant!O39)</f>
        <v>3015.31546523305</v>
      </c>
      <c r="T188" s="160" t="n">
        <f aca="false">IF($F$188=1,Merchant!P44,Merchant!P39)</f>
        <v>20278.583448167</v>
      </c>
      <c r="U188" s="160" t="n">
        <f aca="false">IF($F$188=1,Merchant!Q44,Merchant!Q39)</f>
        <v>20231.5944493146</v>
      </c>
      <c r="V188" s="160" t="n">
        <f aca="false">IF($F$188=1,Merchant!R44,Merchant!R39)</f>
        <v>20064.7257297302</v>
      </c>
      <c r="W188" s="160" t="n">
        <f aca="false">IF($F$188=1,Merchant!S44,Merchant!S39)</f>
        <v>20354.9782544864</v>
      </c>
      <c r="X188" s="160" t="n">
        <f aca="false">IF($F$188=1,Merchant!T44,Merchant!T39)</f>
        <v>20133.8054065422</v>
      </c>
      <c r="Y188" s="160" t="n">
        <f aca="false">IF($F$188=1,Merchant!U44,Merchant!U39)</f>
        <v>20111.2420480396</v>
      </c>
      <c r="Z188" s="160" t="n">
        <f aca="false">Y188*(1+Z27)</f>
        <v>20483.3000259283</v>
      </c>
      <c r="AA188" s="160" t="n">
        <f aca="false">Z188*(1+AA27)</f>
        <v>20880.6760464313</v>
      </c>
      <c r="AB188" s="160" t="n">
        <f aca="false">AA188*(1+AB27)</f>
        <v>21304.5537701739</v>
      </c>
      <c r="AC188" s="160" t="n">
        <f aca="false">AB188*(1+AC27)</f>
        <v>21756.2103101015</v>
      </c>
    </row>
    <row r="189" customFormat="false" ht="12.75" hidden="false" customHeight="false" outlineLevel="0" collapsed="false">
      <c r="A189" s="16"/>
      <c r="B189" s="16"/>
      <c r="C189" s="17"/>
      <c r="D189" s="16"/>
      <c r="E189" s="16"/>
      <c r="F189" s="16"/>
      <c r="G189" s="16"/>
      <c r="H189" s="63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</row>
    <row r="190" customFormat="false" ht="12.75" hidden="false" customHeight="false" outlineLevel="0" collapsed="false">
      <c r="A190" s="16"/>
      <c r="B190" s="16" t="s">
        <v>95</v>
      </c>
      <c r="C190" s="17"/>
      <c r="D190" s="16"/>
      <c r="E190" s="16"/>
      <c r="F190" s="16"/>
      <c r="G190" s="16"/>
      <c r="H190" s="63" t="s">
        <v>99</v>
      </c>
      <c r="I190" s="160" t="n">
        <f aca="false">+I182*I57</f>
        <v>2747</v>
      </c>
      <c r="J190" s="160" t="n">
        <f aca="false">+J182*J57</f>
        <v>2785</v>
      </c>
      <c r="K190" s="160" t="n">
        <f aca="false">+K182*K57</f>
        <v>2823</v>
      </c>
      <c r="L190" s="160" t="n">
        <f aca="false">+L182*L57</f>
        <v>2861</v>
      </c>
      <c r="M190" s="160" t="n">
        <f aca="false">+M182*M57</f>
        <v>2900</v>
      </c>
      <c r="N190" s="160" t="n">
        <f aca="false">+N182*N57</f>
        <v>2939</v>
      </c>
      <c r="O190" s="160" t="n">
        <f aca="false">+O182*O57</f>
        <v>2979</v>
      </c>
      <c r="P190" s="160" t="n">
        <f aca="false">+P182*P57</f>
        <v>3019</v>
      </c>
      <c r="Q190" s="160" t="n">
        <f aca="false">+Q182*Q57</f>
        <v>3060</v>
      </c>
      <c r="R190" s="160" t="n">
        <f aca="false">+R182*R57</f>
        <v>3101</v>
      </c>
      <c r="S190" s="160" t="n">
        <f aca="false">+S182*S57</f>
        <v>1965</v>
      </c>
      <c r="T190" s="160" t="n">
        <f aca="false">+T182*T57</f>
        <v>0</v>
      </c>
      <c r="U190" s="160" t="n">
        <f aca="false">+U182*U57</f>
        <v>0</v>
      </c>
      <c r="V190" s="160" t="n">
        <f aca="false">+V182*V57</f>
        <v>0</v>
      </c>
      <c r="W190" s="160" t="n">
        <f aca="false">+W182*W57</f>
        <v>0</v>
      </c>
      <c r="X190" s="160" t="n">
        <f aca="false">+X182*X57</f>
        <v>0</v>
      </c>
      <c r="Y190" s="160" t="n">
        <f aca="false">+Y182*Y57</f>
        <v>0</v>
      </c>
      <c r="Z190" s="160" t="n">
        <f aca="false">+Z182*Z57</f>
        <v>0</v>
      </c>
      <c r="AA190" s="160" t="n">
        <f aca="false">+AA182*AA57</f>
        <v>0</v>
      </c>
      <c r="AB190" s="160" t="n">
        <f aca="false">+AB182*AB57</f>
        <v>0</v>
      </c>
      <c r="AC190" s="160" t="n">
        <f aca="false">+AC182*AC57</f>
        <v>0</v>
      </c>
    </row>
    <row r="191" customFormat="false" ht="12.75" hidden="false" customHeight="false" outlineLevel="0" collapsed="false">
      <c r="A191" s="16"/>
      <c r="B191" s="16"/>
      <c r="C191" s="17"/>
      <c r="D191" s="16"/>
      <c r="E191" s="16"/>
      <c r="F191" s="16"/>
      <c r="G191" s="16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</row>
    <row r="192" customFormat="false" ht="12.75" hidden="false" customHeight="false" outlineLevel="0" collapsed="false">
      <c r="A192" s="16"/>
      <c r="B192" s="16" t="s">
        <v>80</v>
      </c>
      <c r="C192" s="17"/>
      <c r="D192" s="16"/>
      <c r="E192" s="16"/>
      <c r="F192" s="16"/>
      <c r="G192" s="16"/>
      <c r="H192" s="63" t="s">
        <v>99</v>
      </c>
      <c r="I192" s="168" t="n">
        <f aca="false">SUM(I186:I190)</f>
        <v>154440.242188196</v>
      </c>
      <c r="J192" s="168" t="n">
        <f aca="false">SUM(J186:J190)</f>
        <v>153010.052589038</v>
      </c>
      <c r="K192" s="168" t="n">
        <f aca="false">SUM(K186:K190)</f>
        <v>150420.032724144</v>
      </c>
      <c r="L192" s="168" t="n">
        <f aca="false">SUM(L186:L190)</f>
        <v>163346.317287749</v>
      </c>
      <c r="M192" s="168" t="n">
        <f aca="false">SUM(M186:M190)</f>
        <v>165423.296574353</v>
      </c>
      <c r="N192" s="168" t="n">
        <f aca="false">SUM(N186:N190)</f>
        <v>168454.928986417</v>
      </c>
      <c r="O192" s="168" t="n">
        <f aca="false">SUM(O186:O190)</f>
        <v>172533.215174177</v>
      </c>
      <c r="P192" s="168" t="n">
        <f aca="false">SUM(P186:P190)</f>
        <v>170502.727015968</v>
      </c>
      <c r="Q192" s="168" t="n">
        <f aca="false">SUM(Q186:Q190)</f>
        <v>167060.563460522</v>
      </c>
      <c r="R192" s="168" t="n">
        <f aca="false">SUM(R186:R190)</f>
        <v>181730.884609946</v>
      </c>
      <c r="S192" s="168" t="n">
        <f aca="false">SUM(S186:S190)</f>
        <v>118555.515465233</v>
      </c>
      <c r="T192" s="168" t="n">
        <f aca="false">SUM(T186:T190)</f>
        <v>20278.583448167</v>
      </c>
      <c r="U192" s="168" t="n">
        <f aca="false">SUM(U186:U190)</f>
        <v>20231.5944493146</v>
      </c>
      <c r="V192" s="168" t="n">
        <f aca="false">SUM(V186:V190)</f>
        <v>20064.7257297302</v>
      </c>
      <c r="W192" s="168" t="n">
        <f aca="false">SUM(W186:W190)</f>
        <v>20354.9782544864</v>
      </c>
      <c r="X192" s="168" t="n">
        <f aca="false">SUM(X186:X190)</f>
        <v>20133.8054065422</v>
      </c>
      <c r="Y192" s="168" t="n">
        <f aca="false">SUM(Y186:Y190)</f>
        <v>20111.2420480396</v>
      </c>
      <c r="Z192" s="168" t="n">
        <f aca="false">SUM(Z186:Z190)</f>
        <v>20483.3000259283</v>
      </c>
      <c r="AA192" s="168" t="n">
        <f aca="false">SUM(AA186:AA190)</f>
        <v>20880.6760464313</v>
      </c>
      <c r="AB192" s="168" t="n">
        <f aca="false">SUM(AB186:AB190)</f>
        <v>21304.5537701739</v>
      </c>
      <c r="AC192" s="168" t="n">
        <f aca="false">SUM(AC186:AC190)</f>
        <v>21756.2103101015</v>
      </c>
    </row>
    <row r="193" customFormat="false" ht="12.75" hidden="false" customHeight="false" outlineLevel="0" collapsed="false">
      <c r="A193" s="16"/>
      <c r="B193" s="16"/>
      <c r="C193" s="16"/>
      <c r="D193" s="16"/>
      <c r="E193" s="16"/>
      <c r="F193" s="16"/>
      <c r="G193" s="16"/>
      <c r="H193" s="63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customFormat="false" ht="15" hidden="false" customHeight="false" outlineLevel="0" collapsed="false">
      <c r="A194" s="16"/>
      <c r="B194" s="60" t="s">
        <v>103</v>
      </c>
      <c r="C194" s="60"/>
      <c r="D194" s="60"/>
      <c r="E194" s="60"/>
      <c r="F194" s="60"/>
      <c r="G194" s="60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customFormat="false" ht="12.75" hidden="false" customHeight="false" outlineLevel="0" collapsed="false">
      <c r="A195" s="16"/>
      <c r="B195" s="16"/>
      <c r="C195" s="16"/>
      <c r="D195" s="16"/>
      <c r="E195" s="16"/>
      <c r="F195" s="16"/>
      <c r="G195" s="16"/>
      <c r="H195" s="63"/>
      <c r="I195" s="17" t="n">
        <v>68649</v>
      </c>
      <c r="J195" s="157" t="n">
        <v>69522</v>
      </c>
      <c r="K195" s="157" t="n">
        <v>69681</v>
      </c>
      <c r="L195" s="157" t="n">
        <v>75183</v>
      </c>
      <c r="M195" s="157" t="n">
        <v>77719</v>
      </c>
      <c r="N195" s="157" t="n">
        <v>80506</v>
      </c>
      <c r="O195" s="157" t="n">
        <v>82499</v>
      </c>
      <c r="P195" s="157" t="n">
        <v>83102</v>
      </c>
      <c r="Q195" s="157" t="n">
        <v>82708</v>
      </c>
      <c r="R195" s="157" t="n">
        <v>88877</v>
      </c>
      <c r="S195" s="157" t="n">
        <f aca="false">S196</f>
        <v>58303.215</v>
      </c>
      <c r="T195" s="157" t="n">
        <f aca="false">(T175*T77)/1000</f>
        <v>0</v>
      </c>
      <c r="U195" s="157" t="n">
        <f aca="false">(U175*U77)/1000</f>
        <v>0</v>
      </c>
      <c r="V195" s="157" t="n">
        <f aca="false">(V175*V77)/1000</f>
        <v>0</v>
      </c>
      <c r="W195" s="157" t="n">
        <f aca="false">(W175*W77)/1000</f>
        <v>0</v>
      </c>
      <c r="X195" s="157" t="n">
        <f aca="false">(X175*X77)/1000</f>
        <v>0</v>
      </c>
      <c r="Y195" s="157" t="n">
        <f aca="false">(Y175*Y77)/1000</f>
        <v>0</v>
      </c>
      <c r="Z195" s="157" t="n">
        <f aca="false">(Z175*Z77)/1000</f>
        <v>0</v>
      </c>
      <c r="AA195" s="157" t="n">
        <f aca="false">(AA175*AA77)/1000</f>
        <v>0</v>
      </c>
      <c r="AB195" s="157" t="n">
        <f aca="false">(AB175*AB77)/1000</f>
        <v>0</v>
      </c>
      <c r="AC195" s="157" t="n">
        <f aca="false">(AC175*AC77)/1000</f>
        <v>0</v>
      </c>
    </row>
    <row r="196" customFormat="false" ht="12.75" hidden="false" customHeight="false" outlineLevel="0" collapsed="false">
      <c r="A196" s="16"/>
      <c r="B196" s="16" t="s">
        <v>104</v>
      </c>
      <c r="C196" s="16"/>
      <c r="D196" s="16"/>
      <c r="E196" s="16"/>
      <c r="F196" s="16"/>
      <c r="G196" s="16"/>
      <c r="H196" s="63" t="s">
        <v>99</v>
      </c>
      <c r="I196" s="157" t="n">
        <f aca="false">IF(+I64&gt;0,+I64*I176/1000,I77*I176/1000)</f>
        <v>68613.87966</v>
      </c>
      <c r="J196" s="157" t="n">
        <f aca="false">IF(+J64&gt;0,+J64*J176/1000,J77*J176/1000)</f>
        <v>69505.0202</v>
      </c>
      <c r="K196" s="157" t="n">
        <f aca="false">IF(+K64&gt;0,+K64*K176/1000,K77*K176/1000)</f>
        <v>69536.41536</v>
      </c>
      <c r="L196" s="157" t="n">
        <f aca="false">IF(+L64&gt;0,+L64*L176/1000,L77*L176/1000)</f>
        <v>75230.24967</v>
      </c>
      <c r="M196" s="157" t="n">
        <f aca="false">IF(+M64&gt;0,+M64*M176/1000,M77*M176/1000)</f>
        <v>77698.7208</v>
      </c>
      <c r="N196" s="157" t="n">
        <f aca="false">IF(+N64&gt;0,+N64*N176/1000,N77*N176/1000)</f>
        <v>80432.3208</v>
      </c>
      <c r="O196" s="157" t="n">
        <f aca="false">IF(+O64&gt;0,+O64*O176/1000,O77*O176/1000)</f>
        <v>82410.23616</v>
      </c>
      <c r="P196" s="157" t="n">
        <f aca="false">IF(+P64&gt;0,+P64*P176/1000,P77*P176/1000)</f>
        <v>82940.26895</v>
      </c>
      <c r="Q196" s="157" t="n">
        <f aca="false">IF(+Q64&gt;0,+Q64*Q176/1000,Q77*Q176/1000)</f>
        <v>82445.40336</v>
      </c>
      <c r="R196" s="157" t="n">
        <f aca="false">IF(+R64&gt;0,+R64*R176/1000,R77*R176/1000)</f>
        <v>88775.35545</v>
      </c>
      <c r="S196" s="157" t="n">
        <f aca="false">IF(+S64&gt;0,+S64*S176/1000,S77*S176/1000)</f>
        <v>58303.215</v>
      </c>
      <c r="T196" s="157" t="n">
        <f aca="false">IF(+T64&gt;0,+T64*T176/1000,T77*T176/1000)</f>
        <v>0</v>
      </c>
      <c r="U196" s="157" t="n">
        <f aca="false">IF(+U64&gt;0,+U64*U176/1000,U77*U176/1000)</f>
        <v>0</v>
      </c>
      <c r="V196" s="157" t="n">
        <f aca="false">IF(+V64&gt;0,+V64*V176/1000,V77*V176/1000)</f>
        <v>0</v>
      </c>
      <c r="W196" s="157" t="n">
        <f aca="false">IF(+W64&gt;0,+W64*W176/1000,W77*W176/1000)</f>
        <v>0</v>
      </c>
      <c r="X196" s="157" t="n">
        <f aca="false">IF(+X64&gt;0,+X64*X176/1000,X77*X176/1000)</f>
        <v>0</v>
      </c>
      <c r="Y196" s="157" t="n">
        <f aca="false">IF(+Y64&gt;0,+Y64*Y176/1000,Y77*Y176/1000)</f>
        <v>0</v>
      </c>
      <c r="Z196" s="157" t="n">
        <f aca="false">IF(+Z64&gt;0,+Z64*Z176/1000,Z77*Z176/1000)</f>
        <v>0</v>
      </c>
      <c r="AA196" s="157" t="n">
        <f aca="false">IF(+AA64&gt;0,+AA64*AA176/1000,AA77*AA176/1000)</f>
        <v>0</v>
      </c>
      <c r="AB196" s="157" t="n">
        <f aca="false">IF(+AB64&gt;0,+AB64*AB176/1000,AB77*AB176/1000)</f>
        <v>0</v>
      </c>
      <c r="AC196" s="157" t="n">
        <f aca="false">IF(+AC64&gt;0,+AC64*AC176/1000,AC77*AC176/1000)</f>
        <v>0</v>
      </c>
    </row>
    <row r="197" customFormat="false" ht="12.75" hidden="false" customHeight="false" outlineLevel="0" collapsed="false">
      <c r="A197" s="16"/>
      <c r="B197" s="16" t="s">
        <v>94</v>
      </c>
      <c r="C197" s="16"/>
      <c r="D197" s="16"/>
      <c r="E197" s="16"/>
      <c r="F197" s="16"/>
      <c r="G197" s="16"/>
      <c r="H197" s="63" t="s">
        <v>99</v>
      </c>
      <c r="I197" s="157" t="n">
        <f aca="false">+I180*I169/1000</f>
        <v>2182.68</v>
      </c>
      <c r="J197" s="157" t="n">
        <f aca="false">+J180*J169/1000</f>
        <v>2174.79866393736</v>
      </c>
      <c r="K197" s="157" t="n">
        <f aca="false">+K180*K169/1000</f>
        <v>2136.04108771889</v>
      </c>
      <c r="L197" s="157" t="n">
        <f aca="false">+L180*L169/1000</f>
        <v>2379.45976499373</v>
      </c>
      <c r="M197" s="157" t="n">
        <f aca="false">+M180*M169/1000</f>
        <v>2432.82307549111</v>
      </c>
      <c r="N197" s="157" t="n">
        <f aca="false">+N180*N169/1000</f>
        <v>2499.04497158488</v>
      </c>
      <c r="O197" s="157" t="n">
        <f aca="false">+O180*O169/1000</f>
        <v>2579.85890667735</v>
      </c>
      <c r="P197" s="157" t="n">
        <f aca="false">+P180*P169/1000</f>
        <v>2561.03797338714</v>
      </c>
      <c r="Q197" s="157" t="n">
        <f aca="false">+Q180*Q169/1000</f>
        <v>2507.55710645365</v>
      </c>
      <c r="R197" s="157" t="n">
        <f aca="false">+R180*R169/1000</f>
        <v>2784.87498592049</v>
      </c>
      <c r="S197" s="157" t="n">
        <f aca="false">+S180*S169/1000</f>
        <v>1806.86306768024</v>
      </c>
      <c r="T197" s="157" t="n">
        <v>0</v>
      </c>
      <c r="U197" s="157" t="n">
        <f aca="false">T197*1+U28</f>
        <v>0.0253160451726433</v>
      </c>
      <c r="V197" s="157" t="n">
        <f aca="false">U197*1+V28</f>
        <v>0.051032937006261</v>
      </c>
      <c r="W197" s="157" t="n">
        <f aca="false">V197*1+W28</f>
        <v>0.0771506888587539</v>
      </c>
      <c r="X197" s="157" t="n">
        <f aca="false">W197*1+X28</f>
        <v>0.103869755786326</v>
      </c>
      <c r="Y197" s="157" t="n">
        <f aca="false">X197*1+Y28</f>
        <v>0.130989716128938</v>
      </c>
      <c r="Z197" s="157" t="n">
        <f aca="false">Y197*1+Z28</f>
        <v>0.158410355299677</v>
      </c>
      <c r="AA197" s="157" t="n">
        <f aca="false">Z197*1+AA28</f>
        <v>0.186632841417119</v>
      </c>
      <c r="AB197" s="157" t="n">
        <f aca="false">AA197*1+AB28</f>
        <v>0.215657227920885</v>
      </c>
      <c r="AC197" s="157" t="n">
        <f aca="false">AB197*1+AC28</f>
        <v>0.246185321694245</v>
      </c>
    </row>
    <row r="198" customFormat="false" ht="12.75" hidden="false" customHeight="false" outlineLevel="0" collapsed="false">
      <c r="A198" s="16"/>
      <c r="B198" s="16" t="s">
        <v>105</v>
      </c>
      <c r="C198" s="16"/>
      <c r="D198" s="16"/>
      <c r="E198" s="16"/>
      <c r="F198" s="16"/>
      <c r="G198" s="16"/>
      <c r="H198" s="63" t="s">
        <v>99</v>
      </c>
      <c r="I198" s="147" t="n">
        <f aca="false">11539-I197</f>
        <v>9356.32</v>
      </c>
      <c r="J198" s="157" t="n">
        <f aca="false">7377-J197</f>
        <v>5202.20133606265</v>
      </c>
      <c r="K198" s="157" t="n">
        <f aca="false">3412-K197</f>
        <v>1275.95891228111</v>
      </c>
      <c r="L198" s="157" t="n">
        <f aca="false">6780-L197</f>
        <v>4400.54023500627</v>
      </c>
      <c r="M198" s="157" t="n">
        <f aca="false">4759-M197</f>
        <v>2326.17692450889</v>
      </c>
      <c r="N198" s="157" t="n">
        <f aca="false">3385-N197</f>
        <v>885.955028415124</v>
      </c>
      <c r="O198" s="157" t="n">
        <f aca="false">7747-O197</f>
        <v>5167.14109332265</v>
      </c>
      <c r="P198" s="157" t="n">
        <f aca="false">8284-P197</f>
        <v>5722.96202661286</v>
      </c>
      <c r="Q198" s="157" t="n">
        <f aca="false">3658-Q197</f>
        <v>1150.44289354635</v>
      </c>
      <c r="R198" s="157" t="n">
        <f aca="false">3514-R197</f>
        <v>729.125014079509</v>
      </c>
      <c r="S198" s="157" t="n">
        <f aca="false">6869-S197</f>
        <v>5062.13693231976</v>
      </c>
      <c r="T198" s="157" t="n">
        <v>0</v>
      </c>
      <c r="U198" s="157" t="n">
        <v>0</v>
      </c>
      <c r="V198" s="157" t="n">
        <v>0</v>
      </c>
      <c r="W198" s="157" t="n">
        <v>0</v>
      </c>
      <c r="X198" s="157" t="n">
        <v>0</v>
      </c>
      <c r="Y198" s="157" t="n">
        <v>0</v>
      </c>
      <c r="Z198" s="157" t="n">
        <v>0</v>
      </c>
      <c r="AA198" s="157" t="n">
        <v>0</v>
      </c>
      <c r="AB198" s="157" t="n">
        <v>0</v>
      </c>
      <c r="AC198" s="157" t="n">
        <v>0</v>
      </c>
      <c r="AD198" s="17" t="n">
        <v>0</v>
      </c>
    </row>
    <row r="199" customFormat="false" ht="12.75" hidden="false" customHeight="false" outlineLevel="0" collapsed="false">
      <c r="A199" s="16"/>
      <c r="B199" s="16" t="s">
        <v>120</v>
      </c>
      <c r="C199" s="16"/>
      <c r="D199" s="16"/>
      <c r="E199" s="16"/>
      <c r="F199" s="16"/>
      <c r="G199" s="16"/>
      <c r="H199" s="63" t="s">
        <v>99</v>
      </c>
      <c r="I199" s="147" t="n">
        <v>1094</v>
      </c>
      <c r="J199" s="157" t="n">
        <v>1687</v>
      </c>
      <c r="K199" s="157" t="n">
        <f aca="false">+J199*(1+K$28)</f>
        <v>1735.96414003185</v>
      </c>
      <c r="L199" s="157" t="n">
        <f aca="false">+K199*(1+L$28)</f>
        <v>1785.4793793706</v>
      </c>
      <c r="M199" s="157" t="n">
        <f aca="false">+L199*(1+M$28)</f>
        <v>1835.51211712566</v>
      </c>
      <c r="N199" s="157" t="n">
        <f aca="false">+M199*(1+N$28)</f>
        <v>1885.47509796208</v>
      </c>
      <c r="O199" s="157" t="n">
        <f aca="false">+N199*(1+O$28)</f>
        <v>1935.8532332948</v>
      </c>
      <c r="P199" s="157" t="n">
        <f aca="false">+O199*(1+P$28)</f>
        <v>1986.60737324628</v>
      </c>
      <c r="Q199" s="157" t="n">
        <f aca="false">+P199*(1+Q$28)</f>
        <v>2037.89582555934</v>
      </c>
      <c r="R199" s="157" t="n">
        <f aca="false">+Q199*(1+R$28)</f>
        <v>2089.69150671859</v>
      </c>
      <c r="S199" s="157" t="n">
        <f aca="false">+R199*(1+S$28)</f>
        <v>2142.3848241953</v>
      </c>
      <c r="T199" s="157" t="n">
        <v>0</v>
      </c>
      <c r="U199" s="157" t="n">
        <f aca="false">+T199*(1+U$28)</f>
        <v>0</v>
      </c>
      <c r="V199" s="157" t="n">
        <f aca="false">+U199*(1+V$28)</f>
        <v>0</v>
      </c>
      <c r="W199" s="157" t="n">
        <f aca="false">+V199*(1+W$28)</f>
        <v>0</v>
      </c>
      <c r="X199" s="157" t="n">
        <f aca="false">+W199*(1+X$28)</f>
        <v>0</v>
      </c>
      <c r="Y199" s="157" t="n">
        <f aca="false">+X199*(1+Y$28)</f>
        <v>0</v>
      </c>
      <c r="Z199" s="157" t="n">
        <f aca="false">+Y199*(1+Z$28)</f>
        <v>0</v>
      </c>
      <c r="AA199" s="157" t="n">
        <f aca="false">+Z199*(1+AA$28)</f>
        <v>0</v>
      </c>
      <c r="AB199" s="157" t="n">
        <f aca="false">+AA199*(1+AB$28)</f>
        <v>0</v>
      </c>
      <c r="AC199" s="157" t="n">
        <f aca="false">+AB199*(1+AC$28)</f>
        <v>0</v>
      </c>
    </row>
    <row r="200" customFormat="false" ht="12.75" hidden="false" customHeight="false" outlineLevel="0" collapsed="false">
      <c r="A200" s="16"/>
      <c r="B200" s="16" t="s">
        <v>107</v>
      </c>
      <c r="C200" s="16"/>
      <c r="D200" s="16"/>
      <c r="E200" s="16"/>
      <c r="F200" s="16"/>
      <c r="G200" s="16"/>
      <c r="H200" s="63" t="s">
        <v>99</v>
      </c>
      <c r="I200" s="147" t="n">
        <v>812</v>
      </c>
      <c r="J200" s="157" t="n">
        <f aca="false">+I200*(1+J$28)</f>
        <v>836.381791757664</v>
      </c>
      <c r="K200" s="157" t="n">
        <f aca="false">+J200*(1+K$28)</f>
        <v>860.657260146351</v>
      </c>
      <c r="L200" s="157" t="n">
        <f aca="false">+K200*(1+L$28)</f>
        <v>885.205952853789</v>
      </c>
      <c r="M200" s="157" t="n">
        <f aca="false">+L200*(1+M$28)</f>
        <v>910.011211211894</v>
      </c>
      <c r="N200" s="157" t="n">
        <f aca="false">+M200*(1+N$28)</f>
        <v>934.781885446342</v>
      </c>
      <c r="O200" s="157" t="n">
        <f aca="false">+N200*(1+O$28)</f>
        <v>959.758385206265</v>
      </c>
      <c r="P200" s="157" t="n">
        <f aca="false">+O200*(1+P$28)</f>
        <v>984.92130074375</v>
      </c>
      <c r="Q200" s="157" t="n">
        <f aca="false">+P200*(1+Q$28)</f>
        <v>1010.34911795897</v>
      </c>
      <c r="R200" s="157" t="n">
        <f aca="false">+Q200*(1+R$28)</f>
        <v>1036.02840937171</v>
      </c>
      <c r="S200" s="157" t="n">
        <f aca="false">+R200*(1+S$28)</f>
        <v>1062.15273141369</v>
      </c>
      <c r="T200" s="157" t="n">
        <v>0</v>
      </c>
      <c r="U200" s="157" t="n">
        <f aca="false">+T200*(1+U$28)</f>
        <v>0</v>
      </c>
      <c r="V200" s="157" t="n">
        <f aca="false">+U200*(1+V$28)</f>
        <v>0</v>
      </c>
      <c r="W200" s="157" t="n">
        <f aca="false">+V200*(1+W$28)</f>
        <v>0</v>
      </c>
      <c r="X200" s="157" t="n">
        <f aca="false">+W200*(1+X$28)</f>
        <v>0</v>
      </c>
      <c r="Y200" s="157" t="n">
        <f aca="false">+X200*(1+Y$28)</f>
        <v>0</v>
      </c>
      <c r="Z200" s="157" t="n">
        <f aca="false">+Y200*(1+Z$28)</f>
        <v>0</v>
      </c>
      <c r="AA200" s="157" t="n">
        <f aca="false">+Z200*(1+AA$28)</f>
        <v>0</v>
      </c>
      <c r="AB200" s="157" t="n">
        <f aca="false">+AA200*(1+AB$28)</f>
        <v>0</v>
      </c>
      <c r="AC200" s="157" t="n">
        <f aca="false">+AB200*(1+AC$28)</f>
        <v>0</v>
      </c>
    </row>
    <row r="201" customFormat="false" ht="12.75" hidden="false" customHeight="false" outlineLevel="0" collapsed="false">
      <c r="A201" s="16"/>
      <c r="B201" s="16" t="s">
        <v>108</v>
      </c>
      <c r="C201" s="16"/>
      <c r="D201" s="16"/>
      <c r="E201" s="16"/>
      <c r="F201" s="16"/>
      <c r="G201" s="16"/>
      <c r="H201" s="63" t="s">
        <v>99</v>
      </c>
      <c r="I201" s="147" t="n">
        <v>706</v>
      </c>
      <c r="J201" s="157" t="n">
        <f aca="false">+I201*(1+J$28)</f>
        <v>727.198947020826</v>
      </c>
      <c r="K201" s="157" t="n">
        <f aca="false">+J201*(1+K$28)</f>
        <v>748.305450324291</v>
      </c>
      <c r="L201" s="157" t="n">
        <f aca="false">+K201*(1+L$28)</f>
        <v>769.649510732482</v>
      </c>
      <c r="M201" s="157" t="n">
        <f aca="false">+L201*(1+M$28)</f>
        <v>791.216644231031</v>
      </c>
      <c r="N201" s="157" t="n">
        <f aca="false">+M201*(1+N$28)</f>
        <v>812.753708282165</v>
      </c>
      <c r="O201" s="157" t="n">
        <f aca="false">+N201*(1+O$28)</f>
        <v>834.469729009388</v>
      </c>
      <c r="P201" s="157" t="n">
        <f aca="false">+O201*(1+P$28)</f>
        <v>856.347830449616</v>
      </c>
      <c r="Q201" s="157" t="n">
        <f aca="false">+P201*(1+Q$28)</f>
        <v>878.456252806694</v>
      </c>
      <c r="R201" s="157" t="n">
        <f aca="false">+Q201*(1+R$28)</f>
        <v>900.7833214488</v>
      </c>
      <c r="S201" s="157" t="n">
        <f aca="false">+R201*(1+S$28)</f>
        <v>923.497325588749</v>
      </c>
      <c r="T201" s="157" t="n">
        <v>0</v>
      </c>
      <c r="U201" s="157" t="n">
        <f aca="false">+T201*(1+U$28)</f>
        <v>0</v>
      </c>
      <c r="V201" s="157" t="n">
        <f aca="false">+U201*(1+V$28)</f>
        <v>0</v>
      </c>
      <c r="W201" s="157" t="n">
        <f aca="false">+V201*(1+W$28)</f>
        <v>0</v>
      </c>
      <c r="X201" s="157" t="n">
        <f aca="false">+W201*(1+X$28)</f>
        <v>0</v>
      </c>
      <c r="Y201" s="157" t="n">
        <f aca="false">+X201*(1+Y$28)</f>
        <v>0</v>
      </c>
      <c r="Z201" s="157" t="n">
        <f aca="false">+Y201*(1+Z$28)</f>
        <v>0</v>
      </c>
      <c r="AA201" s="157" t="n">
        <f aca="false">+Z201*(1+AA$28)</f>
        <v>0</v>
      </c>
      <c r="AB201" s="157" t="n">
        <f aca="false">+AA201*(1+AB$28)</f>
        <v>0</v>
      </c>
      <c r="AC201" s="157" t="n">
        <f aca="false">+AB201*(1+AC$28)</f>
        <v>0</v>
      </c>
    </row>
    <row r="202" customFormat="false" ht="12.75" hidden="false" customHeight="false" outlineLevel="0" collapsed="false">
      <c r="A202" s="16"/>
      <c r="B202" s="16" t="s">
        <v>109</v>
      </c>
      <c r="C202" s="16"/>
      <c r="D202" s="16"/>
      <c r="E202" s="16"/>
      <c r="F202" s="16"/>
      <c r="G202" s="16"/>
      <c r="H202" s="63" t="s">
        <v>99</v>
      </c>
      <c r="I202" s="147" t="n">
        <v>870</v>
      </c>
      <c r="J202" s="157" t="n">
        <f aca="false">+I202*(1+J$28)</f>
        <v>896.123348311783</v>
      </c>
      <c r="K202" s="157" t="n">
        <f aca="false">+J202*(1+K$28)</f>
        <v>922.132778728234</v>
      </c>
      <c r="L202" s="157" t="n">
        <f aca="false">+K202*(1+L$28)</f>
        <v>948.434949486202</v>
      </c>
      <c r="M202" s="157" t="n">
        <f aca="false">+L202*(1+M$28)</f>
        <v>975.012012012744</v>
      </c>
      <c r="N202" s="157" t="n">
        <f aca="false">+M202*(1+N$28)</f>
        <v>1001.55202012108</v>
      </c>
      <c r="O202" s="157" t="n">
        <f aca="false">+N202*(1+O$28)</f>
        <v>1028.31255557814</v>
      </c>
      <c r="P202" s="157" t="n">
        <f aca="false">+O202*(1+P$28)</f>
        <v>1055.27282222545</v>
      </c>
      <c r="Q202" s="157" t="n">
        <f aca="false">+P202*(1+Q$28)</f>
        <v>1082.5169120989</v>
      </c>
      <c r="R202" s="157" t="n">
        <f aca="false">+Q202*(1+R$28)</f>
        <v>1110.03043861254</v>
      </c>
      <c r="S202" s="157" t="n">
        <f aca="false">+R202*(1+S$28)</f>
        <v>1138.02078365752</v>
      </c>
      <c r="T202" s="157" t="n">
        <v>0</v>
      </c>
      <c r="U202" s="157" t="n">
        <f aca="false">+T202*(1+U$28)</f>
        <v>0</v>
      </c>
      <c r="V202" s="157" t="n">
        <f aca="false">+U202*(1+V$28)</f>
        <v>0</v>
      </c>
      <c r="W202" s="157" t="n">
        <f aca="false">+V202*(1+W$28)</f>
        <v>0</v>
      </c>
      <c r="X202" s="157" t="n">
        <f aca="false">+W202*(1+X$28)</f>
        <v>0</v>
      </c>
      <c r="Y202" s="157" t="n">
        <f aca="false">+X202*(1+Y$28)</f>
        <v>0</v>
      </c>
      <c r="Z202" s="157" t="n">
        <f aca="false">+Y202*(1+Z$28)</f>
        <v>0</v>
      </c>
      <c r="AA202" s="157" t="n">
        <f aca="false">+Z202*(1+AA$28)</f>
        <v>0</v>
      </c>
      <c r="AB202" s="157" t="n">
        <f aca="false">+AA202*(1+AB$28)</f>
        <v>0</v>
      </c>
      <c r="AC202" s="157" t="n">
        <f aca="false">+AB202*(1+AC$28)</f>
        <v>0</v>
      </c>
    </row>
    <row r="203" customFormat="false" ht="12.75" hidden="false" customHeight="false" outlineLevel="0" collapsed="false">
      <c r="A203" s="16"/>
      <c r="B203" s="16" t="s">
        <v>110</v>
      </c>
      <c r="C203" s="16"/>
      <c r="D203" s="16"/>
      <c r="E203" s="16"/>
      <c r="F203" s="16"/>
      <c r="G203" s="16"/>
      <c r="H203" s="63" t="s">
        <v>99</v>
      </c>
      <c r="I203" s="147" t="n">
        <v>2201</v>
      </c>
      <c r="J203" s="157" t="n">
        <f aca="false">+I203*(1+J$28)</f>
        <v>2267.0890685451</v>
      </c>
      <c r="K203" s="157" t="n">
        <f aca="false">+J203*(1+K$28)</f>
        <v>2332.88993790901</v>
      </c>
      <c r="L203" s="157" t="n">
        <f aca="false">+K203*(1+L$28)</f>
        <v>2399.43140668866</v>
      </c>
      <c r="M203" s="157" t="n">
        <f aca="false">+L203*(1+M$28)</f>
        <v>2466.66832004603</v>
      </c>
      <c r="N203" s="157" t="n">
        <f aca="false">+M203*(1+N$28)</f>
        <v>2533.81148998448</v>
      </c>
      <c r="O203" s="157" t="n">
        <f aca="false">+N203*(1+O$28)</f>
        <v>2601.51256876723</v>
      </c>
      <c r="P203" s="157" t="n">
        <f aca="false">+O203*(1+P$28)</f>
        <v>2669.71894450369</v>
      </c>
      <c r="Q203" s="157" t="n">
        <f aca="false">+P203*(1+Q$28)</f>
        <v>2738.64336037894</v>
      </c>
      <c r="R203" s="157" t="n">
        <f aca="false">+Q203*(1+R$28)</f>
        <v>2808.24941998415</v>
      </c>
      <c r="S203" s="157" t="n">
        <f aca="false">+R203*(1+S$28)</f>
        <v>2879.06177566691</v>
      </c>
      <c r="T203" s="157" t="n">
        <v>0</v>
      </c>
      <c r="U203" s="157" t="n">
        <f aca="false">+T203*(1+U$28)</f>
        <v>0</v>
      </c>
      <c r="V203" s="157" t="n">
        <f aca="false">+U203*(1+V$28)</f>
        <v>0</v>
      </c>
      <c r="W203" s="157" t="n">
        <f aca="false">+V203*(1+W$28)</f>
        <v>0</v>
      </c>
      <c r="X203" s="157" t="n">
        <f aca="false">+W203*(1+X$28)</f>
        <v>0</v>
      </c>
      <c r="Y203" s="157" t="n">
        <f aca="false">+X203*(1+Y$28)</f>
        <v>0</v>
      </c>
      <c r="Z203" s="157" t="n">
        <f aca="false">+Y203*(1+Z$28)</f>
        <v>0</v>
      </c>
      <c r="AA203" s="157" t="n">
        <f aca="false">+Z203*(1+AA$28)</f>
        <v>0</v>
      </c>
      <c r="AB203" s="157" t="n">
        <f aca="false">+AA203*(1+AB$28)</f>
        <v>0</v>
      </c>
      <c r="AC203" s="157" t="n">
        <f aca="false">+AB203*(1+AC$28)</f>
        <v>0</v>
      </c>
    </row>
    <row r="204" customFormat="false" ht="12.75" hidden="false" customHeight="false" outlineLevel="0" collapsed="false">
      <c r="A204" s="16"/>
      <c r="B204" s="16" t="s">
        <v>111</v>
      </c>
      <c r="C204" s="16"/>
      <c r="D204" s="16"/>
      <c r="E204" s="16"/>
      <c r="F204" s="16"/>
      <c r="G204" s="16"/>
      <c r="H204" s="63" t="s">
        <v>99</v>
      </c>
      <c r="I204" s="147" t="n">
        <v>489</v>
      </c>
      <c r="J204" s="157" t="n">
        <f aca="false">+I204*(1+J$28)</f>
        <v>503.683123361451</v>
      </c>
      <c r="K204" s="157" t="n">
        <f aca="false">+J204*(1+K$28)</f>
        <v>518.302217009318</v>
      </c>
      <c r="L204" s="157" t="n">
        <f aca="false">+K204*(1+L$28)</f>
        <v>533.085850918107</v>
      </c>
      <c r="M204" s="157" t="n">
        <f aca="false">+L204*(1+M$28)</f>
        <v>548.023992958887</v>
      </c>
      <c r="N204" s="157" t="n">
        <f aca="false">+M204*(1+N$28)</f>
        <v>562.941307861159</v>
      </c>
      <c r="O204" s="157" t="n">
        <f aca="false">+N204*(1+O$28)</f>
        <v>577.982574342197</v>
      </c>
      <c r="P204" s="157" t="n">
        <f aca="false">+O204*(1+P$28)</f>
        <v>593.136103526717</v>
      </c>
      <c r="Q204" s="157" t="n">
        <f aca="false">+P204*(1+Q$28)</f>
        <v>608.449160938348</v>
      </c>
      <c r="R204" s="157" t="n">
        <f aca="false">+Q204*(1+R$28)</f>
        <v>623.913660323603</v>
      </c>
      <c r="S204" s="157" t="n">
        <f aca="false">+R204*(1+S$28)</f>
        <v>639.646164607505</v>
      </c>
      <c r="T204" s="157" t="n">
        <v>0</v>
      </c>
      <c r="U204" s="157" t="n">
        <f aca="false">+T204*(1+U$28)</f>
        <v>0</v>
      </c>
      <c r="V204" s="157" t="n">
        <f aca="false">+U204*(1+V$28)</f>
        <v>0</v>
      </c>
      <c r="W204" s="157" t="n">
        <f aca="false">+V204*(1+W$28)</f>
        <v>0</v>
      </c>
      <c r="X204" s="157" t="n">
        <f aca="false">+W204*(1+X$28)</f>
        <v>0</v>
      </c>
      <c r="Y204" s="157" t="n">
        <f aca="false">+X204*(1+Y$28)</f>
        <v>0</v>
      </c>
      <c r="Z204" s="157" t="n">
        <f aca="false">+Y204*(1+Z$28)</f>
        <v>0</v>
      </c>
      <c r="AA204" s="157" t="n">
        <f aca="false">+Z204*(1+AA$28)</f>
        <v>0</v>
      </c>
      <c r="AB204" s="157" t="n">
        <f aca="false">+AA204*(1+AB$28)</f>
        <v>0</v>
      </c>
      <c r="AC204" s="157" t="n">
        <f aca="false">+AB204*(1+AC$28)</f>
        <v>0</v>
      </c>
    </row>
    <row r="205" customFormat="false" ht="12.75" hidden="false" customHeight="false" outlineLevel="0" collapsed="false">
      <c r="A205" s="16"/>
      <c r="B205" s="16" t="s">
        <v>112</v>
      </c>
      <c r="C205" s="16"/>
      <c r="D205" s="16"/>
      <c r="E205" s="16"/>
      <c r="F205" s="16"/>
      <c r="G205" s="169" t="str">
        <f aca="false">+G147</f>
        <v>Y</v>
      </c>
      <c r="H205" s="63" t="s">
        <v>99</v>
      </c>
      <c r="I205" s="147" t="n">
        <v>0</v>
      </c>
      <c r="J205" s="147" t="n">
        <v>0</v>
      </c>
      <c r="K205" s="147" t="n">
        <v>0</v>
      </c>
      <c r="L205" s="147" t="n">
        <v>0</v>
      </c>
      <c r="M205" s="147" t="n">
        <v>0</v>
      </c>
      <c r="N205" s="147" t="n">
        <v>0</v>
      </c>
      <c r="O205" s="147" t="n">
        <v>0</v>
      </c>
      <c r="P205" s="147" t="n">
        <v>0</v>
      </c>
      <c r="Q205" s="147" t="n">
        <v>0</v>
      </c>
      <c r="R205" s="147" t="n">
        <v>0</v>
      </c>
      <c r="S205" s="147" t="n">
        <v>0</v>
      </c>
      <c r="T205" s="147" t="n">
        <v>0</v>
      </c>
      <c r="U205" s="147" t="n">
        <v>0</v>
      </c>
      <c r="V205" s="147" t="n">
        <v>0</v>
      </c>
      <c r="W205" s="147" t="n">
        <v>0</v>
      </c>
      <c r="X205" s="147" t="n">
        <v>0</v>
      </c>
      <c r="Y205" s="147" t="n">
        <v>0</v>
      </c>
      <c r="Z205" s="147" t="n">
        <v>0</v>
      </c>
      <c r="AA205" s="147" t="n">
        <v>0</v>
      </c>
      <c r="AB205" s="147" t="n">
        <v>0</v>
      </c>
      <c r="AC205" s="147" t="n">
        <v>0</v>
      </c>
    </row>
    <row r="206" customFormat="false" ht="12.75" hidden="false" customHeight="false" outlineLevel="0" collapsed="false">
      <c r="A206" s="16"/>
      <c r="B206" s="16" t="s">
        <v>12</v>
      </c>
      <c r="C206" s="16"/>
      <c r="D206" s="16"/>
      <c r="E206" s="16"/>
      <c r="F206" s="16"/>
      <c r="G206" s="16"/>
      <c r="H206" s="63" t="s">
        <v>99</v>
      </c>
      <c r="I206" s="147" t="n">
        <v>463</v>
      </c>
      <c r="J206" s="157" t="n">
        <v>512</v>
      </c>
      <c r="K206" s="157" t="n">
        <f aca="false">+J206*(1+K$28)</f>
        <v>526.860485889928</v>
      </c>
      <c r="L206" s="157" t="n">
        <f aca="false">+K206*(1+L$28)</f>
        <v>541.888228949464</v>
      </c>
      <c r="M206" s="157" t="n">
        <f aca="false">+L206*(1+M$28)</f>
        <v>557.073031397949</v>
      </c>
      <c r="N206" s="157" t="n">
        <f aca="false">+M206*(1+N$28)</f>
        <v>572.236662807696</v>
      </c>
      <c r="O206" s="157" t="n">
        <f aca="false">+N206*(1+O$28)</f>
        <v>587.526292499665</v>
      </c>
      <c r="P206" s="157" t="n">
        <f aca="false">+O206*(1+P$28)</f>
        <v>602.930038590452</v>
      </c>
      <c r="Q206" s="157" t="n">
        <f aca="false">+P206*(1+Q$28)</f>
        <v>618.495947057726</v>
      </c>
      <c r="R206" s="157" t="n">
        <f aca="false">+Q206*(1+R$28)</f>
        <v>634.215798126805</v>
      </c>
      <c r="S206" s="157" t="n">
        <f aca="false">+R206*(1+S$28)</f>
        <v>650.208079423825</v>
      </c>
      <c r="T206" s="157" t="n">
        <f aca="false">IF(+$F$166=1,+S206*(1+T$28),0)</f>
        <v>0</v>
      </c>
      <c r="U206" s="157" t="n">
        <f aca="false">+T206*(1+U$28)</f>
        <v>0</v>
      </c>
      <c r="V206" s="157" t="n">
        <f aca="false">+U206*(1+V$28)</f>
        <v>0</v>
      </c>
      <c r="W206" s="157" t="n">
        <f aca="false">+V206*(1+W$28)</f>
        <v>0</v>
      </c>
      <c r="X206" s="157" t="n">
        <f aca="false">+W206*(1+X$28)</f>
        <v>0</v>
      </c>
      <c r="Y206" s="157" t="n">
        <f aca="false">+X206*(1+Y$28)</f>
        <v>0</v>
      </c>
      <c r="Z206" s="157" t="n">
        <f aca="false">+Y206*(1+Z$28)</f>
        <v>0</v>
      </c>
      <c r="AA206" s="157" t="n">
        <f aca="false">+Z206*(1+AA$28)</f>
        <v>0</v>
      </c>
      <c r="AB206" s="157" t="n">
        <f aca="false">+AA206*(1+AB$28)</f>
        <v>0</v>
      </c>
      <c r="AC206" s="157" t="n">
        <f aca="false">+AB206*(1+AC$28)</f>
        <v>0</v>
      </c>
    </row>
    <row r="207" customFormat="false" ht="12.75" hidden="false" customHeight="false" outlineLevel="0" collapsed="false">
      <c r="A207" s="16"/>
      <c r="B207" s="16" t="s">
        <v>80</v>
      </c>
      <c r="C207" s="16"/>
      <c r="D207" s="16"/>
      <c r="E207" s="16"/>
      <c r="F207" s="16"/>
      <c r="G207" s="16"/>
      <c r="H207" s="63" t="s">
        <v>99</v>
      </c>
      <c r="I207" s="163" t="n">
        <f aca="false">IF(+$G205="Y",SUM(I196:I206),SUM(I196:I206)-I205)</f>
        <v>86787.87966</v>
      </c>
      <c r="J207" s="163" t="n">
        <f aca="false">IF(+$G205="Y",SUM(J196:J206),SUM(J196:J206)-J205)</f>
        <v>84311.4964789968</v>
      </c>
      <c r="K207" s="163" t="n">
        <f aca="false">IF(+$G205="Y",SUM(K196:K206),SUM(K196:K206)-K205)</f>
        <v>80593.527630039</v>
      </c>
      <c r="L207" s="163" t="n">
        <f aca="false">IF(+$G205="Y",SUM(L196:L206),SUM(L196:L206)-L205)</f>
        <v>89873.4249489993</v>
      </c>
      <c r="M207" s="163" t="n">
        <f aca="false">IF(+$G205="Y",SUM(M196:M206),SUM(M196:M206)-M205)</f>
        <v>90541.2381289842</v>
      </c>
      <c r="N207" s="163" t="n">
        <f aca="false">IF(+$G205="Y",SUM(N196:N206),SUM(N196:N206)-N205)</f>
        <v>92120.872972465</v>
      </c>
      <c r="O207" s="163" t="n">
        <f aca="false">IF(+$G205="Y",SUM(O196:O206),SUM(O196:O206)-O205)</f>
        <v>98682.6514986977</v>
      </c>
      <c r="P207" s="163" t="n">
        <f aca="false">IF(+$G205="Y",SUM(P196:P206),SUM(P196:P206)-P205)</f>
        <v>99973.2033632859</v>
      </c>
      <c r="Q207" s="163" t="n">
        <f aca="false">IF(+$G205="Y",SUM(Q196:Q206),SUM(Q196:Q206)-Q205)</f>
        <v>95078.2099367989</v>
      </c>
      <c r="R207" s="163" t="n">
        <f aca="false">IF(+$G205="Y",SUM(R196:R206),SUM(R196:R206)-R205)</f>
        <v>101492.268004586</v>
      </c>
      <c r="S207" s="163" t="n">
        <f aca="false">IF(+$G205="Y",SUM(S196:S206),SUM(S196:S206)-S205)</f>
        <v>74607.1866845535</v>
      </c>
      <c r="T207" s="163" t="n">
        <f aca="false">IF(+$G205="Y",SUM(T196:T206),SUM(T196:T206)-T205)</f>
        <v>0</v>
      </c>
      <c r="U207" s="163" t="n">
        <f aca="false">IF(+$G205="Y",SUM(U196:U206),SUM(U196:U206)-U205)</f>
        <v>0.0253160451726433</v>
      </c>
      <c r="V207" s="163" t="n">
        <f aca="false">IF(+$G205="Y",SUM(V196:V206),SUM(V196:V206)-V205)</f>
        <v>0.051032937006261</v>
      </c>
      <c r="W207" s="163" t="n">
        <f aca="false">IF(+$G205="Y",SUM(W196:W206),SUM(W196:W206)-W205)</f>
        <v>0.0771506888587539</v>
      </c>
      <c r="X207" s="163" t="n">
        <f aca="false">IF(+$G205="Y",SUM(X196:X206),SUM(X196:X206)-X205)</f>
        <v>0.103869755786326</v>
      </c>
      <c r="Y207" s="163" t="n">
        <f aca="false">IF(+$G205="Y",SUM(Y196:Y206),SUM(Y196:Y206)-Y205)</f>
        <v>0.130989716128938</v>
      </c>
      <c r="Z207" s="163" t="n">
        <f aca="false">IF(+$G205="Y",SUM(Z196:Z206),SUM(Z196:Z206)-Z205)</f>
        <v>0.158410355299677</v>
      </c>
      <c r="AA207" s="163" t="n">
        <f aca="false">IF(+$G205="Y",SUM(AA196:AA206),SUM(AA196:AA206)-AA205)</f>
        <v>0.186632841417119</v>
      </c>
      <c r="AB207" s="163" t="n">
        <f aca="false">IF(+$G205="Y",SUM(AB196:AB206),SUM(AB196:AB206)-AB205)</f>
        <v>0.215657227920885</v>
      </c>
      <c r="AC207" s="163" t="n">
        <f aca="false">IF(+$G205="Y",SUM(AC196:AC206),SUM(AC196:AC206)-AC205)</f>
        <v>0.246185321694245</v>
      </c>
    </row>
    <row r="208" customFormat="false" ht="12.75" hidden="false" customHeight="false" outlineLevel="0" collapsed="false">
      <c r="A208" s="16"/>
      <c r="B208" s="16"/>
      <c r="C208" s="16"/>
      <c r="D208" s="16"/>
      <c r="E208" s="16"/>
      <c r="F208" s="16"/>
      <c r="G208" s="16"/>
      <c r="H208" s="63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customFormat="false" ht="13.5" hidden="false" customHeight="false" outlineLevel="0" collapsed="false">
      <c r="A209" s="16"/>
      <c r="B209" s="55" t="s">
        <v>114</v>
      </c>
      <c r="C209" s="16"/>
      <c r="D209" s="16"/>
      <c r="E209" s="16"/>
      <c r="F209" s="16"/>
      <c r="G209" s="16"/>
      <c r="H209" s="63" t="s">
        <v>99</v>
      </c>
      <c r="I209" s="165" t="n">
        <f aca="false">+I192-I207</f>
        <v>67652.3625281965</v>
      </c>
      <c r="J209" s="165" t="n">
        <f aca="false">+J192-J207</f>
        <v>68698.5561100411</v>
      </c>
      <c r="K209" s="165" t="n">
        <f aca="false">+K192-K207</f>
        <v>69826.5050941052</v>
      </c>
      <c r="L209" s="165" t="n">
        <f aca="false">+L192-L207</f>
        <v>73472.8923387494</v>
      </c>
      <c r="M209" s="165" t="n">
        <f aca="false">+M192-M207</f>
        <v>74882.0584453689</v>
      </c>
      <c r="N209" s="165" t="n">
        <f aca="false">+N192-N207</f>
        <v>76334.0560139525</v>
      </c>
      <c r="O209" s="165" t="n">
        <f aca="false">+O192-O207</f>
        <v>73850.5636754797</v>
      </c>
      <c r="P209" s="165" t="n">
        <f aca="false">+P192-P207</f>
        <v>70529.5236526819</v>
      </c>
      <c r="Q209" s="165" t="n">
        <f aca="false">+Q192-Q207</f>
        <v>71982.353523723</v>
      </c>
      <c r="R209" s="165" t="n">
        <f aca="false">+R192-R207</f>
        <v>80238.6166053595</v>
      </c>
      <c r="S209" s="165" t="n">
        <f aca="false">+S192-S207</f>
        <v>43948.3287806796</v>
      </c>
      <c r="T209" s="165" t="n">
        <f aca="false">+T192-T207</f>
        <v>20278.583448167</v>
      </c>
      <c r="U209" s="165" t="n">
        <f aca="false">+U192-U207</f>
        <v>20231.5691332694</v>
      </c>
      <c r="V209" s="165" t="n">
        <f aca="false">+V192-V207</f>
        <v>20064.6746967932</v>
      </c>
      <c r="W209" s="165" t="n">
        <f aca="false">+W192-W207</f>
        <v>20354.9011037975</v>
      </c>
      <c r="X209" s="165" t="n">
        <f aca="false">+X192-X207</f>
        <v>20133.7015367864</v>
      </c>
      <c r="Y209" s="165" t="n">
        <f aca="false">+Y192-Y207</f>
        <v>20111.1110583234</v>
      </c>
      <c r="Z209" s="165" t="n">
        <f aca="false">+Z192-Z207</f>
        <v>20483.141615573</v>
      </c>
      <c r="AA209" s="165" t="n">
        <f aca="false">+AA192-AA207</f>
        <v>20880.4894135899</v>
      </c>
      <c r="AB209" s="165" t="n">
        <f aca="false">+AB192-AB207</f>
        <v>21304.3381129459</v>
      </c>
      <c r="AC209" s="165" t="n">
        <f aca="false">+AC192-AC207</f>
        <v>21755.9641247798</v>
      </c>
    </row>
    <row r="210" customFormat="false" ht="13.5" hidden="false" customHeight="false" outlineLevel="0" collapsed="false">
      <c r="A210" s="16"/>
      <c r="B210" s="16"/>
      <c r="C210" s="16"/>
      <c r="D210" s="16"/>
      <c r="E210" s="16"/>
      <c r="F210" s="16"/>
      <c r="G210" s="16"/>
      <c r="H210" s="63"/>
      <c r="I210" s="17" t="n">
        <v>68649</v>
      </c>
      <c r="J210" s="17" t="n">
        <v>69522</v>
      </c>
      <c r="K210" s="17" t="n">
        <v>69681</v>
      </c>
      <c r="L210" s="17" t="n">
        <v>75183</v>
      </c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</row>
    <row r="211" customFormat="false" ht="12.75" hidden="false" customHeight="false" outlineLevel="0" collapsed="false">
      <c r="A211" s="16"/>
      <c r="B211" s="16"/>
      <c r="C211" s="16"/>
      <c r="D211" s="16"/>
      <c r="E211" s="16"/>
      <c r="F211" s="16"/>
      <c r="G211" s="16"/>
      <c r="H211" s="63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</row>
    <row r="212" customFormat="false" ht="18" hidden="false" customHeight="false" outlineLevel="0" collapsed="false">
      <c r="A212" s="18" t="s">
        <v>121</v>
      </c>
      <c r="B212" s="16"/>
      <c r="C212" s="16"/>
      <c r="D212" s="16"/>
      <c r="E212" s="16"/>
      <c r="F212" s="16"/>
      <c r="G212" s="16"/>
      <c r="H212" s="63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</row>
    <row r="213" customFormat="false" ht="12.75" hidden="false" customHeight="false" outlineLevel="0" collapsed="false">
      <c r="A213" s="16"/>
      <c r="B213" s="16"/>
      <c r="C213" s="16"/>
      <c r="D213" s="16"/>
      <c r="E213" s="16"/>
      <c r="F213" s="16"/>
      <c r="G213" s="16"/>
      <c r="H213" s="63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</row>
    <row r="214" customFormat="false" ht="12.75" hidden="false" customHeight="false" outlineLevel="0" collapsed="false">
      <c r="A214" s="16"/>
      <c r="B214" s="55" t="s">
        <v>122</v>
      </c>
      <c r="C214" s="16"/>
      <c r="D214" s="16"/>
      <c r="E214" s="16"/>
      <c r="F214" s="16"/>
      <c r="G214" s="16"/>
      <c r="H214" s="63"/>
      <c r="I214" s="170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</row>
    <row r="215" customFormat="false" ht="12.75" hidden="false" customHeight="false" outlineLevel="0" collapsed="false">
      <c r="A215" s="16"/>
      <c r="B215" s="16" t="s">
        <v>52</v>
      </c>
      <c r="C215" s="17"/>
      <c r="D215" s="16"/>
      <c r="E215" s="16"/>
      <c r="F215" s="16"/>
      <c r="G215" s="16"/>
      <c r="H215" s="47" t="s">
        <v>99</v>
      </c>
      <c r="I215" s="149" t="n">
        <f aca="false">+I151</f>
        <v>49830.8521503477</v>
      </c>
      <c r="J215" s="149" t="n">
        <f aca="false">+J151</f>
        <v>50325.2291250006</v>
      </c>
      <c r="K215" s="149" t="n">
        <f aca="false">+K151</f>
        <v>59289.3610291755</v>
      </c>
      <c r="L215" s="149" t="n">
        <f aca="false">+L151</f>
        <v>63182.0714202777</v>
      </c>
      <c r="M215" s="149" t="n">
        <f aca="false">+M151</f>
        <v>71042.9312501461</v>
      </c>
      <c r="N215" s="149" t="n">
        <f aca="false">+N151</f>
        <v>75136.4570651683</v>
      </c>
      <c r="O215" s="149" t="n">
        <f aca="false">+O151</f>
        <v>77366.8984216356</v>
      </c>
      <c r="P215" s="149" t="n">
        <f aca="false">+P151</f>
        <v>76597.235251715</v>
      </c>
      <c r="Q215" s="149" t="n">
        <f aca="false">+Q151</f>
        <v>91255.8946008904</v>
      </c>
      <c r="R215" s="149" t="n">
        <f aca="false">+R151</f>
        <v>98257.5739916251</v>
      </c>
      <c r="S215" s="149" t="n">
        <f aca="false">+S151</f>
        <v>72148.1588244058</v>
      </c>
      <c r="T215" s="149" t="n">
        <f aca="false">+T151</f>
        <v>19896.0312319951</v>
      </c>
      <c r="U215" s="149" t="n">
        <f aca="false">+U151</f>
        <v>16881.8893181189</v>
      </c>
      <c r="V215" s="149" t="n">
        <f aca="false">+V151</f>
        <v>12382.4003070042</v>
      </c>
      <c r="W215" s="149" t="n">
        <f aca="false">+W151</f>
        <v>20524.9803790207</v>
      </c>
      <c r="X215" s="149" t="n">
        <f aca="false">+X151</f>
        <v>11881.2807039917</v>
      </c>
      <c r="Y215" s="149" t="n">
        <f aca="false">+Y151</f>
        <v>-3581.47485628084</v>
      </c>
      <c r="Z215" s="149" t="n">
        <f aca="false">+Z151</f>
        <v>-5499.52567325829</v>
      </c>
      <c r="AA215" s="149" t="n">
        <f aca="false">+AA151</f>
        <v>-5995.85844601887</v>
      </c>
      <c r="AB215" s="149" t="n">
        <f aca="false">+AB151</f>
        <v>-5460.02471364973</v>
      </c>
      <c r="AC215" s="149" t="n">
        <f aca="false">+AC151</f>
        <v>-9751.92316200981</v>
      </c>
    </row>
    <row r="216" customFormat="false" ht="12.75" hidden="false" customHeight="false" outlineLevel="0" collapsed="false">
      <c r="A216" s="16"/>
      <c r="B216" s="16" t="s">
        <v>54</v>
      </c>
      <c r="C216" s="17"/>
      <c r="D216" s="16"/>
      <c r="E216" s="16"/>
      <c r="F216" s="16"/>
      <c r="G216" s="16"/>
      <c r="H216" s="47" t="s">
        <v>99</v>
      </c>
      <c r="I216" s="149" t="n">
        <f aca="false">+I209</f>
        <v>67652.3625281965</v>
      </c>
      <c r="J216" s="149" t="n">
        <f aca="false">+J209</f>
        <v>68698.5561100411</v>
      </c>
      <c r="K216" s="149" t="n">
        <f aca="false">+K209</f>
        <v>69826.5050941052</v>
      </c>
      <c r="L216" s="149" t="n">
        <f aca="false">+L209</f>
        <v>73472.8923387494</v>
      </c>
      <c r="M216" s="149" t="n">
        <f aca="false">+M209</f>
        <v>74882.0584453689</v>
      </c>
      <c r="N216" s="149" t="n">
        <f aca="false">+N209</f>
        <v>76334.0560139525</v>
      </c>
      <c r="O216" s="149" t="n">
        <f aca="false">+O209</f>
        <v>73850.5636754797</v>
      </c>
      <c r="P216" s="149" t="n">
        <f aca="false">+P209</f>
        <v>70529.5236526819</v>
      </c>
      <c r="Q216" s="149" t="n">
        <f aca="false">+Q209</f>
        <v>71982.353523723</v>
      </c>
      <c r="R216" s="149" t="n">
        <f aca="false">+R209</f>
        <v>80238.6166053595</v>
      </c>
      <c r="S216" s="149" t="n">
        <f aca="false">+S209</f>
        <v>43948.3287806796</v>
      </c>
      <c r="T216" s="149" t="n">
        <f aca="false">+T209</f>
        <v>20278.583448167</v>
      </c>
      <c r="U216" s="149" t="n">
        <f aca="false">+U209</f>
        <v>20231.5691332694</v>
      </c>
      <c r="V216" s="149" t="n">
        <f aca="false">+V209</f>
        <v>20064.6746967932</v>
      </c>
      <c r="W216" s="149" t="n">
        <f aca="false">+W209</f>
        <v>20354.9011037975</v>
      </c>
      <c r="X216" s="149" t="n">
        <f aca="false">+X209</f>
        <v>20133.7015367864</v>
      </c>
      <c r="Y216" s="149" t="n">
        <f aca="false">+Y209</f>
        <v>20111.1110583234</v>
      </c>
      <c r="Z216" s="149" t="n">
        <f aca="false">+Z209</f>
        <v>20483.141615573</v>
      </c>
      <c r="AA216" s="149" t="n">
        <f aca="false">+AA209</f>
        <v>20880.4894135899</v>
      </c>
      <c r="AB216" s="149" t="n">
        <f aca="false">+AB209</f>
        <v>21304.3381129459</v>
      </c>
      <c r="AC216" s="149" t="n">
        <f aca="false">+AC209</f>
        <v>21755.9641247798</v>
      </c>
    </row>
    <row r="217" customFormat="false" ht="12.75" hidden="false" customHeight="false" outlineLevel="0" collapsed="false">
      <c r="A217" s="16"/>
      <c r="B217" s="16" t="s">
        <v>80</v>
      </c>
      <c r="C217" s="17"/>
      <c r="D217" s="16"/>
      <c r="E217" s="16"/>
      <c r="F217" s="16"/>
      <c r="G217" s="16"/>
      <c r="H217" s="47" t="s">
        <v>99</v>
      </c>
      <c r="I217" s="171" t="n">
        <f aca="false">SUM(I215:I216)</f>
        <v>117483.214678544</v>
      </c>
      <c r="J217" s="171" t="n">
        <f aca="false">SUM(J215:J216)</f>
        <v>119023.785235042</v>
      </c>
      <c r="K217" s="171" t="n">
        <f aca="false">SUM(K215:K216)</f>
        <v>129115.866123281</v>
      </c>
      <c r="L217" s="171" t="n">
        <f aca="false">SUM(L215:L216)</f>
        <v>136654.963759027</v>
      </c>
      <c r="M217" s="171" t="n">
        <f aca="false">SUM(M215:M216)</f>
        <v>145924.989695515</v>
      </c>
      <c r="N217" s="171" t="n">
        <f aca="false">SUM(N215:N216)</f>
        <v>151470.513079121</v>
      </c>
      <c r="O217" s="171" t="n">
        <f aca="false">SUM(O215:O216)</f>
        <v>151217.462097115</v>
      </c>
      <c r="P217" s="171" t="n">
        <f aca="false">SUM(P215:P216)</f>
        <v>147126.758904397</v>
      </c>
      <c r="Q217" s="171" t="n">
        <f aca="false">SUM(Q215:Q216)</f>
        <v>163238.248124613</v>
      </c>
      <c r="R217" s="171" t="n">
        <f aca="false">SUM(R215:R216)</f>
        <v>178496.190596985</v>
      </c>
      <c r="S217" s="171" t="n">
        <f aca="false">SUM(S215:S216)</f>
        <v>116096.487605085</v>
      </c>
      <c r="T217" s="171" t="n">
        <f aca="false">SUM(T215:T216)</f>
        <v>40174.6146801622</v>
      </c>
      <c r="U217" s="171" t="n">
        <f aca="false">SUM(U215:U216)</f>
        <v>37113.4584513883</v>
      </c>
      <c r="V217" s="171" t="n">
        <f aca="false">SUM(V215:V216)</f>
        <v>32447.0750037975</v>
      </c>
      <c r="W217" s="171" t="n">
        <f aca="false">SUM(W215:W216)</f>
        <v>40879.8814828182</v>
      </c>
      <c r="X217" s="171" t="n">
        <f aca="false">SUM(X215:X216)</f>
        <v>32014.9822407781</v>
      </c>
      <c r="Y217" s="171" t="n">
        <f aca="false">SUM(Y215:Y216)</f>
        <v>16529.6362020426</v>
      </c>
      <c r="Z217" s="171" t="n">
        <f aca="false">SUM(Z215:Z216)</f>
        <v>14983.6159423147</v>
      </c>
      <c r="AA217" s="171" t="n">
        <f aca="false">SUM(AA215:AA216)</f>
        <v>14884.630967571</v>
      </c>
      <c r="AB217" s="171" t="n">
        <f aca="false">SUM(AB215:AB216)</f>
        <v>15844.3133992962</v>
      </c>
      <c r="AC217" s="171" t="n">
        <f aca="false">SUM(AC215:AC216)</f>
        <v>12004.04096277</v>
      </c>
    </row>
    <row r="218" customFormat="false" ht="12.75" hidden="false" customHeight="false" outlineLevel="0" collapsed="false">
      <c r="A218" s="16"/>
      <c r="B218" s="16"/>
      <c r="C218" s="16"/>
      <c r="D218" s="16"/>
      <c r="E218" s="16"/>
      <c r="F218" s="16"/>
      <c r="G218" s="16"/>
      <c r="H218" s="63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</row>
    <row r="219" customFormat="false" ht="12.75" hidden="false" customHeight="false" outlineLevel="0" collapsed="false">
      <c r="A219" s="16"/>
      <c r="B219" s="55" t="s">
        <v>123</v>
      </c>
      <c r="C219" s="16"/>
      <c r="D219" s="16"/>
      <c r="E219" s="16"/>
      <c r="F219" s="16"/>
      <c r="G219" s="16"/>
      <c r="H219" s="47" t="s">
        <v>99</v>
      </c>
      <c r="I219" s="172" t="n">
        <f aca="false">+I253</f>
        <v>59460</v>
      </c>
      <c r="J219" s="172" t="n">
        <f aca="false">+J253</f>
        <v>60084</v>
      </c>
      <c r="K219" s="172" t="n">
        <f aca="false">+K253</f>
        <v>59082</v>
      </c>
      <c r="L219" s="172" t="n">
        <f aca="false">+L253</f>
        <v>61497</v>
      </c>
      <c r="M219" s="172" t="n">
        <f aca="false">+M253</f>
        <v>75229</v>
      </c>
      <c r="N219" s="172" t="n">
        <f aca="false">+N253</f>
        <v>78125</v>
      </c>
      <c r="O219" s="172" t="n">
        <f aca="false">+O253</f>
        <v>74566</v>
      </c>
      <c r="P219" s="172" t="n">
        <f aca="false">+P253</f>
        <v>67305</v>
      </c>
      <c r="Q219" s="172" t="n">
        <f aca="false">+Q253</f>
        <v>64990</v>
      </c>
      <c r="R219" s="172" t="n">
        <f aca="false">+R253</f>
        <v>70001</v>
      </c>
      <c r="S219" s="172" t="n">
        <f aca="false">+S253</f>
        <v>0</v>
      </c>
      <c r="T219" s="172" t="n">
        <f aca="false">+T253</f>
        <v>0</v>
      </c>
      <c r="U219" s="172" t="n">
        <f aca="false">+U253</f>
        <v>0</v>
      </c>
      <c r="V219" s="172" t="n">
        <f aca="false">+V253</f>
        <v>0</v>
      </c>
      <c r="W219" s="172" t="n">
        <f aca="false">+W253</f>
        <v>0</v>
      </c>
      <c r="X219" s="172" t="n">
        <f aca="false">+X253</f>
        <v>0</v>
      </c>
      <c r="Y219" s="172" t="n">
        <f aca="false">+Y253</f>
        <v>0</v>
      </c>
      <c r="Z219" s="172" t="n">
        <f aca="false">+Z253</f>
        <v>0</v>
      </c>
      <c r="AA219" s="172" t="n">
        <f aca="false">+AA253</f>
        <v>0</v>
      </c>
      <c r="AB219" s="172" t="n">
        <f aca="false">+AB253</f>
        <v>0</v>
      </c>
      <c r="AC219" s="172" t="n">
        <f aca="false">+AC253</f>
        <v>0</v>
      </c>
    </row>
    <row r="220" customFormat="false" ht="12.75" hidden="false" customHeight="false" outlineLevel="0" collapsed="false">
      <c r="A220" s="16"/>
      <c r="B220" s="55"/>
      <c r="C220" s="16"/>
      <c r="D220" s="16"/>
      <c r="E220" s="16"/>
      <c r="F220" s="16"/>
      <c r="G220" s="16"/>
      <c r="H220" s="63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  <c r="AA220" s="172"/>
      <c r="AB220" s="172"/>
      <c r="AC220" s="172"/>
    </row>
    <row r="221" customFormat="false" ht="12.75" hidden="false" customHeight="false" outlineLevel="0" collapsed="false">
      <c r="A221" s="16"/>
      <c r="B221" s="55" t="s">
        <v>124</v>
      </c>
      <c r="C221" s="16"/>
      <c r="D221" s="16"/>
      <c r="E221" s="16"/>
      <c r="F221" s="16"/>
      <c r="G221" s="16"/>
      <c r="H221" s="47" t="s">
        <v>99</v>
      </c>
      <c r="I221" s="173" t="n">
        <v>1791</v>
      </c>
      <c r="J221" s="173" t="n">
        <v>1841</v>
      </c>
      <c r="K221" s="173" t="n">
        <v>1891</v>
      </c>
      <c r="L221" s="173" t="n">
        <v>1942</v>
      </c>
      <c r="M221" s="173" t="n">
        <v>1994</v>
      </c>
      <c r="N221" s="173" t="n">
        <v>2048</v>
      </c>
      <c r="O221" s="173" t="n">
        <v>2103</v>
      </c>
      <c r="P221" s="173" t="n">
        <v>2160</v>
      </c>
      <c r="Q221" s="173" t="n">
        <v>2219</v>
      </c>
      <c r="R221" s="173" t="n">
        <v>2278</v>
      </c>
      <c r="S221" s="173" t="n">
        <v>2342</v>
      </c>
      <c r="T221" s="173" t="n">
        <v>0</v>
      </c>
      <c r="U221" s="173" t="n">
        <v>0</v>
      </c>
      <c r="V221" s="173" t="n">
        <v>0</v>
      </c>
      <c r="W221" s="173" t="n">
        <v>0</v>
      </c>
      <c r="X221" s="173" t="n">
        <v>0</v>
      </c>
      <c r="Y221" s="173" t="n">
        <v>0</v>
      </c>
      <c r="Z221" s="173" t="n">
        <v>0</v>
      </c>
      <c r="AA221" s="173" t="n">
        <v>0</v>
      </c>
      <c r="AB221" s="173" t="n">
        <v>0</v>
      </c>
      <c r="AC221" s="173" t="n">
        <v>0</v>
      </c>
    </row>
    <row r="222" customFormat="false" ht="12.75" hidden="false" customHeight="false" outlineLevel="0" collapsed="false">
      <c r="A222" s="16"/>
      <c r="B222" s="55"/>
      <c r="C222" s="16"/>
      <c r="D222" s="16"/>
      <c r="E222" s="16"/>
      <c r="F222" s="16"/>
      <c r="G222" s="16"/>
      <c r="H222" s="63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</row>
    <row r="223" customFormat="false" ht="12.75" hidden="false" customHeight="false" outlineLevel="0" collapsed="false">
      <c r="A223" s="16"/>
      <c r="B223" s="55" t="s">
        <v>125</v>
      </c>
      <c r="C223" s="16"/>
      <c r="D223" s="16"/>
      <c r="E223" s="16"/>
      <c r="F223" s="16"/>
      <c r="G223" s="16"/>
      <c r="H223" s="47" t="s">
        <v>99</v>
      </c>
      <c r="I223" s="171" t="n">
        <f aca="false">+I217-I219-I221</f>
        <v>56232.2146785441</v>
      </c>
      <c r="J223" s="171" t="n">
        <f aca="false">+J217-J219-J221</f>
        <v>57098.7852350416</v>
      </c>
      <c r="K223" s="171" t="n">
        <f aca="false">+K217-K219-K221</f>
        <v>68142.8661232807</v>
      </c>
      <c r="L223" s="171" t="n">
        <f aca="false">+L217-L219-L221</f>
        <v>73215.9637590271</v>
      </c>
      <c r="M223" s="171" t="n">
        <f aca="false">+M217-M219-M221</f>
        <v>68701.989695515</v>
      </c>
      <c r="N223" s="171" t="n">
        <f aca="false">+N217-N219-N221</f>
        <v>71297.5130791207</v>
      </c>
      <c r="O223" s="171" t="n">
        <f aca="false">+O217-O219-O221</f>
        <v>74548.4620971153</v>
      </c>
      <c r="P223" s="171" t="n">
        <f aca="false">+P217-P219-P221</f>
        <v>77661.758904397</v>
      </c>
      <c r="Q223" s="171" t="n">
        <f aca="false">+Q217-Q219-Q221</f>
        <v>96029.2481246134</v>
      </c>
      <c r="R223" s="171" t="n">
        <f aca="false">+R217-R219-R221</f>
        <v>106217.190596985</v>
      </c>
      <c r="S223" s="171" t="n">
        <f aca="false">+S217-S219-S221</f>
        <v>113754.487605085</v>
      </c>
      <c r="T223" s="171" t="n">
        <f aca="false">+T217-T219-T221</f>
        <v>40174.6146801622</v>
      </c>
      <c r="U223" s="171" t="n">
        <f aca="false">+U217-U219-U221</f>
        <v>37113.4584513883</v>
      </c>
      <c r="V223" s="171" t="n">
        <f aca="false">+V217-V219-V221</f>
        <v>32447.0750037975</v>
      </c>
      <c r="W223" s="171" t="n">
        <f aca="false">+W217-W219-W221</f>
        <v>40879.8814828182</v>
      </c>
      <c r="X223" s="171" t="n">
        <f aca="false">+X217-X219-X221</f>
        <v>32014.9822407781</v>
      </c>
      <c r="Y223" s="171" t="n">
        <f aca="false">+Y217-Y219-Y221</f>
        <v>16529.6362020426</v>
      </c>
      <c r="Z223" s="171" t="n">
        <f aca="false">+Z217-Z219-Z221</f>
        <v>14983.6159423147</v>
      </c>
      <c r="AA223" s="171" t="n">
        <f aca="false">+AA217-AA219-AA221</f>
        <v>14884.630967571</v>
      </c>
      <c r="AB223" s="171" t="n">
        <f aca="false">+AB217-AB219-AB221</f>
        <v>15844.3133992962</v>
      </c>
      <c r="AC223" s="171" t="n">
        <f aca="false">+AC217-AC219-AC221</f>
        <v>12004.04096277</v>
      </c>
    </row>
    <row r="224" customFormat="false" ht="12.75" hidden="false" customHeight="false" outlineLevel="0" collapsed="false">
      <c r="A224" s="16"/>
      <c r="B224" s="55"/>
      <c r="C224" s="16"/>
      <c r="D224" s="16"/>
      <c r="E224" s="16"/>
      <c r="F224" s="16"/>
      <c r="G224" s="16"/>
      <c r="H224" s="63"/>
      <c r="I224" s="172"/>
      <c r="J224" s="172"/>
      <c r="K224" s="172"/>
      <c r="L224" s="172"/>
      <c r="M224" s="172"/>
      <c r="N224" s="172"/>
      <c r="O224" s="172"/>
      <c r="P224" s="172"/>
      <c r="Q224" s="172"/>
      <c r="R224" s="172"/>
      <c r="S224" s="172"/>
      <c r="T224" s="172"/>
      <c r="U224" s="172"/>
      <c r="V224" s="172"/>
      <c r="W224" s="172"/>
      <c r="X224" s="172"/>
      <c r="Y224" s="172"/>
      <c r="Z224" s="172"/>
      <c r="AA224" s="172"/>
      <c r="AB224" s="172"/>
      <c r="AC224" s="172"/>
    </row>
    <row r="225" customFormat="false" ht="12.75" hidden="false" customHeight="false" outlineLevel="0" collapsed="false">
      <c r="A225" s="16"/>
      <c r="B225" s="55" t="s">
        <v>126</v>
      </c>
      <c r="C225" s="17"/>
      <c r="D225" s="17"/>
      <c r="E225" s="16"/>
      <c r="F225" s="16"/>
      <c r="G225" s="16"/>
      <c r="H225" s="47" t="s">
        <v>99</v>
      </c>
      <c r="I225" s="164" t="n">
        <f aca="false">+I268</f>
        <v>17578</v>
      </c>
      <c r="J225" s="164" t="n">
        <f aca="false">+J268</f>
        <v>26202.22</v>
      </c>
      <c r="K225" s="164" t="n">
        <f aca="false">+K268</f>
        <v>25499.1</v>
      </c>
      <c r="L225" s="164" t="n">
        <f aca="false">+L268</f>
        <v>24795.98</v>
      </c>
      <c r="M225" s="164" t="n">
        <f aca="false">+M268</f>
        <v>24092.86</v>
      </c>
      <c r="N225" s="164" t="n">
        <f aca="false">+N268</f>
        <v>27701.85</v>
      </c>
      <c r="O225" s="164" t="n">
        <f aca="false">+O268</f>
        <v>35271.39</v>
      </c>
      <c r="P225" s="164" t="n">
        <f aca="false">+P268</f>
        <v>33513.59</v>
      </c>
      <c r="Q225" s="164" t="n">
        <f aca="false">+Q268</f>
        <v>36067.9</v>
      </c>
      <c r="R225" s="164" t="n">
        <f aca="false">+R268</f>
        <v>42582.76</v>
      </c>
      <c r="S225" s="164" t="n">
        <f aca="false">+S268</f>
        <v>69955.05</v>
      </c>
      <c r="T225" s="164" t="n">
        <f aca="false">+T268</f>
        <v>0</v>
      </c>
      <c r="U225" s="164" t="n">
        <f aca="false">+U268</f>
        <v>0</v>
      </c>
      <c r="V225" s="164" t="n">
        <f aca="false">+V268</f>
        <v>0</v>
      </c>
      <c r="W225" s="164" t="n">
        <f aca="false">+W268</f>
        <v>0</v>
      </c>
      <c r="X225" s="164" t="n">
        <f aca="false">+X268</f>
        <v>0</v>
      </c>
      <c r="Y225" s="164" t="n">
        <f aca="false">+Y268</f>
        <v>0</v>
      </c>
      <c r="Z225" s="164" t="n">
        <f aca="false">+Z268</f>
        <v>0</v>
      </c>
      <c r="AA225" s="164" t="n">
        <f aca="false">+AA268</f>
        <v>0</v>
      </c>
      <c r="AB225" s="164" t="n">
        <f aca="false">+AB268</f>
        <v>0</v>
      </c>
      <c r="AC225" s="164" t="n">
        <f aca="false">+AC268</f>
        <v>0</v>
      </c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7"/>
      <c r="DC225" s="47"/>
      <c r="DD225" s="47"/>
      <c r="DE225" s="47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7"/>
      <c r="DQ225" s="47"/>
      <c r="DR225" s="47"/>
      <c r="DS225" s="47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7"/>
      <c r="EE225" s="47"/>
      <c r="EF225" s="47"/>
      <c r="EG225" s="47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7"/>
      <c r="ES225" s="47"/>
      <c r="ET225" s="47"/>
      <c r="EU225" s="47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7"/>
      <c r="FG225" s="47"/>
      <c r="FH225" s="47"/>
      <c r="FI225" s="47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7"/>
      <c r="FU225" s="47"/>
      <c r="FV225" s="47"/>
      <c r="FW225" s="47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7"/>
      <c r="GI225" s="47"/>
      <c r="GJ225" s="47"/>
      <c r="GK225" s="47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7"/>
      <c r="GW225" s="47"/>
      <c r="GX225" s="47"/>
      <c r="GY225" s="47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7"/>
      <c r="HK225" s="47"/>
      <c r="HL225" s="47"/>
      <c r="HM225" s="47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7"/>
      <c r="HY225" s="47"/>
      <c r="HZ225" s="47"/>
      <c r="IA225" s="47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7"/>
      <c r="IM225" s="47"/>
      <c r="IN225" s="47"/>
      <c r="IO225" s="47"/>
      <c r="IP225" s="47"/>
      <c r="IQ225" s="47"/>
      <c r="IR225" s="47"/>
      <c r="IS225" s="47"/>
      <c r="IT225" s="47"/>
      <c r="IU225" s="47"/>
      <c r="IV225" s="47"/>
    </row>
    <row r="226" customFormat="false" ht="12.75" hidden="false" customHeight="false" outlineLevel="0" collapsed="false">
      <c r="A226" s="16"/>
      <c r="B226" s="16"/>
      <c r="C226" s="16"/>
      <c r="D226" s="17"/>
      <c r="E226" s="16"/>
      <c r="F226" s="16"/>
      <c r="G226" s="16"/>
      <c r="H226" s="47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  <c r="AA226" s="164"/>
      <c r="AB226" s="164"/>
      <c r="AC226" s="164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7"/>
      <c r="CO226" s="47"/>
      <c r="CP226" s="47"/>
      <c r="CQ226" s="47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7"/>
      <c r="DC226" s="47"/>
      <c r="DD226" s="47"/>
      <c r="DE226" s="47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7"/>
      <c r="DQ226" s="47"/>
      <c r="DR226" s="47"/>
      <c r="DS226" s="47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7"/>
      <c r="EE226" s="47"/>
      <c r="EF226" s="47"/>
      <c r="EG226" s="47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7"/>
      <c r="ES226" s="47"/>
      <c r="ET226" s="47"/>
      <c r="EU226" s="47"/>
      <c r="EV226" s="47"/>
      <c r="EW226" s="47"/>
      <c r="EX226" s="47"/>
      <c r="EY226" s="47"/>
      <c r="EZ226" s="47"/>
      <c r="FA226" s="47"/>
      <c r="FB226" s="47"/>
      <c r="FC226" s="47"/>
      <c r="FD226" s="47"/>
      <c r="FE226" s="47"/>
      <c r="FF226" s="47"/>
      <c r="FG226" s="47"/>
      <c r="FH226" s="47"/>
      <c r="FI226" s="47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7"/>
      <c r="FU226" s="47"/>
      <c r="FV226" s="47"/>
      <c r="FW226" s="47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7"/>
      <c r="GI226" s="47"/>
      <c r="GJ226" s="47"/>
      <c r="GK226" s="47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7"/>
      <c r="GW226" s="47"/>
      <c r="GX226" s="47"/>
      <c r="GY226" s="47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  <c r="HJ226" s="47"/>
      <c r="HK226" s="47"/>
      <c r="HL226" s="47"/>
      <c r="HM226" s="47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  <c r="HX226" s="47"/>
      <c r="HY226" s="47"/>
      <c r="HZ226" s="47"/>
      <c r="IA226" s="47"/>
      <c r="IB226" s="47"/>
      <c r="IC226" s="47"/>
      <c r="ID226" s="47"/>
      <c r="IE226" s="47"/>
      <c r="IF226" s="47"/>
      <c r="IG226" s="47"/>
      <c r="IH226" s="47"/>
      <c r="II226" s="47"/>
      <c r="IJ226" s="47"/>
      <c r="IK226" s="47"/>
      <c r="IL226" s="47"/>
      <c r="IM226" s="47"/>
      <c r="IN226" s="47"/>
      <c r="IO226" s="47"/>
      <c r="IP226" s="47"/>
      <c r="IQ226" s="47"/>
      <c r="IR226" s="47"/>
      <c r="IS226" s="47"/>
      <c r="IT226" s="47"/>
      <c r="IU226" s="47"/>
      <c r="IV226" s="47"/>
    </row>
    <row r="227" customFormat="false" ht="12.75" hidden="false" customHeight="false" outlineLevel="0" collapsed="false">
      <c r="A227" s="16"/>
      <c r="B227" s="55" t="s">
        <v>127</v>
      </c>
      <c r="C227" s="17"/>
      <c r="D227" s="17"/>
      <c r="E227" s="16"/>
      <c r="F227" s="16"/>
      <c r="G227" s="16"/>
      <c r="H227" s="47" t="s">
        <v>99</v>
      </c>
      <c r="I227" s="164" t="n">
        <f aca="false">+I223-I225</f>
        <v>38654.2146785441</v>
      </c>
      <c r="J227" s="164" t="n">
        <f aca="false">+J223-J225</f>
        <v>30896.5652350416</v>
      </c>
      <c r="K227" s="164" t="n">
        <f aca="false">+K223-K225</f>
        <v>42643.7661232807</v>
      </c>
      <c r="L227" s="164" t="n">
        <f aca="false">+L223-L225</f>
        <v>48419.9837590271</v>
      </c>
      <c r="M227" s="164" t="n">
        <f aca="false">+M223-M225</f>
        <v>44609.129695515</v>
      </c>
      <c r="N227" s="164" t="n">
        <f aca="false">+N223-N225</f>
        <v>43595.6630791207</v>
      </c>
      <c r="O227" s="164" t="n">
        <f aca="false">+O223-O225</f>
        <v>39277.0720971153</v>
      </c>
      <c r="P227" s="164" t="n">
        <f aca="false">+P223-P225</f>
        <v>44148.168904397</v>
      </c>
      <c r="Q227" s="164" t="n">
        <f aca="false">+Q223-Q225</f>
        <v>59961.3481246134</v>
      </c>
      <c r="R227" s="164" t="n">
        <f aca="false">+R223-R225</f>
        <v>63634.4305969846</v>
      </c>
      <c r="S227" s="164" t="n">
        <f aca="false">+S223-S225</f>
        <v>43799.4376050853</v>
      </c>
      <c r="T227" s="164" t="n">
        <f aca="false">+T223-T225</f>
        <v>40174.6146801622</v>
      </c>
      <c r="U227" s="164" t="n">
        <f aca="false">+U223-U225</f>
        <v>37113.4584513883</v>
      </c>
      <c r="V227" s="164" t="n">
        <f aca="false">+V223-V225</f>
        <v>32447.0750037975</v>
      </c>
      <c r="W227" s="164" t="n">
        <f aca="false">+W223-W225</f>
        <v>40879.8814828182</v>
      </c>
      <c r="X227" s="164" t="n">
        <f aca="false">+X223-X225</f>
        <v>32014.9822407781</v>
      </c>
      <c r="Y227" s="164" t="n">
        <f aca="false">+Y223-Y225</f>
        <v>16529.6362020426</v>
      </c>
      <c r="Z227" s="164" t="n">
        <f aca="false">+Z223-Z225</f>
        <v>14983.6159423147</v>
      </c>
      <c r="AA227" s="164" t="n">
        <f aca="false">+AA223-AA225</f>
        <v>14884.630967571</v>
      </c>
      <c r="AB227" s="164" t="n">
        <f aca="false">+AB223-AB225</f>
        <v>15844.3133992962</v>
      </c>
      <c r="AC227" s="164" t="n">
        <f aca="false">+AC223-AC225</f>
        <v>12004.04096277</v>
      </c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7"/>
      <c r="CO227" s="47"/>
      <c r="CP227" s="47"/>
      <c r="CQ227" s="47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7"/>
      <c r="DC227" s="47"/>
      <c r="DD227" s="47"/>
      <c r="DE227" s="47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7"/>
      <c r="DQ227" s="47"/>
      <c r="DR227" s="47"/>
      <c r="DS227" s="47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7"/>
      <c r="EE227" s="47"/>
      <c r="EF227" s="47"/>
      <c r="EG227" s="47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7"/>
      <c r="ES227" s="47"/>
      <c r="ET227" s="47"/>
      <c r="EU227" s="47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7"/>
      <c r="FG227" s="47"/>
      <c r="FH227" s="47"/>
      <c r="FI227" s="47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7"/>
      <c r="FU227" s="47"/>
      <c r="FV227" s="47"/>
      <c r="FW227" s="47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7"/>
      <c r="GI227" s="47"/>
      <c r="GJ227" s="47"/>
      <c r="GK227" s="47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7"/>
      <c r="GW227" s="47"/>
      <c r="GX227" s="47"/>
      <c r="GY227" s="47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  <c r="HJ227" s="47"/>
      <c r="HK227" s="47"/>
      <c r="HL227" s="47"/>
      <c r="HM227" s="47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  <c r="HX227" s="47"/>
      <c r="HY227" s="47"/>
      <c r="HZ227" s="47"/>
      <c r="IA227" s="47"/>
      <c r="IB227" s="47"/>
      <c r="IC227" s="47"/>
      <c r="ID227" s="47"/>
      <c r="IE227" s="47"/>
      <c r="IF227" s="47"/>
      <c r="IG227" s="47"/>
      <c r="IH227" s="47"/>
      <c r="II227" s="47"/>
      <c r="IJ227" s="47"/>
      <c r="IK227" s="47"/>
      <c r="IL227" s="47"/>
      <c r="IM227" s="47"/>
      <c r="IN227" s="47"/>
      <c r="IO227" s="47"/>
      <c r="IP227" s="47"/>
      <c r="IQ227" s="47"/>
      <c r="IR227" s="47"/>
      <c r="IS227" s="47"/>
      <c r="IT227" s="47"/>
      <c r="IU227" s="47"/>
      <c r="IV227" s="47"/>
    </row>
    <row r="228" customFormat="false" ht="12.75" hidden="false" customHeight="false" outlineLevel="0" collapsed="false">
      <c r="A228" s="16"/>
      <c r="B228" s="55"/>
      <c r="C228" s="17"/>
      <c r="D228" s="17"/>
      <c r="E228" s="16"/>
      <c r="F228" s="16"/>
      <c r="G228" s="16"/>
      <c r="H228" s="47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7"/>
      <c r="CO228" s="47"/>
      <c r="CP228" s="47"/>
      <c r="CQ228" s="47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7"/>
      <c r="DC228" s="47"/>
      <c r="DD228" s="47"/>
      <c r="DE228" s="47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7"/>
      <c r="DQ228" s="47"/>
      <c r="DR228" s="47"/>
      <c r="DS228" s="47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7"/>
      <c r="EE228" s="47"/>
      <c r="EF228" s="47"/>
      <c r="EG228" s="47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7"/>
      <c r="ES228" s="47"/>
      <c r="ET228" s="47"/>
      <c r="EU228" s="47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7"/>
      <c r="FG228" s="47"/>
      <c r="FH228" s="47"/>
      <c r="FI228" s="47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7"/>
      <c r="FU228" s="47"/>
      <c r="FV228" s="47"/>
      <c r="FW228" s="47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7"/>
      <c r="GI228" s="47"/>
      <c r="GJ228" s="47"/>
      <c r="GK228" s="47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7"/>
      <c r="GW228" s="47"/>
      <c r="GX228" s="47"/>
      <c r="GY228" s="47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7"/>
      <c r="HK228" s="47"/>
      <c r="HL228" s="47"/>
      <c r="HM228" s="47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7"/>
      <c r="HY228" s="47"/>
      <c r="HZ228" s="47"/>
      <c r="IA228" s="47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7"/>
      <c r="IM228" s="47"/>
      <c r="IN228" s="47"/>
      <c r="IO228" s="47"/>
      <c r="IP228" s="47"/>
      <c r="IQ228" s="47"/>
      <c r="IR228" s="47"/>
      <c r="IS228" s="47"/>
      <c r="IT228" s="47"/>
      <c r="IU228" s="47"/>
      <c r="IV228" s="47"/>
    </row>
    <row r="229" customFormat="false" ht="13.5" hidden="false" customHeight="false" outlineLevel="0" collapsed="false">
      <c r="A229" s="16"/>
      <c r="B229" s="55" t="s">
        <v>128</v>
      </c>
      <c r="C229" s="16"/>
      <c r="D229" s="16"/>
      <c r="E229" s="16"/>
      <c r="F229" s="174" t="n">
        <f aca="false">+$K$9</f>
        <v>0.5</v>
      </c>
      <c r="G229" s="174"/>
      <c r="H229" s="47" t="s">
        <v>99</v>
      </c>
      <c r="I229" s="175" t="n">
        <f aca="false">+I227*$F229</f>
        <v>19327.1073392721</v>
      </c>
      <c r="J229" s="175" t="n">
        <f aca="false">+J227*$F229</f>
        <v>15448.2826175208</v>
      </c>
      <c r="K229" s="175" t="n">
        <f aca="false">+K227*$F229</f>
        <v>21321.8830616404</v>
      </c>
      <c r="L229" s="175" t="n">
        <f aca="false">+L227*$F229</f>
        <v>24209.9918795136</v>
      </c>
      <c r="M229" s="175" t="n">
        <f aca="false">+M227*$F229</f>
        <v>22304.5648477575</v>
      </c>
      <c r="N229" s="175" t="n">
        <f aca="false">+N227*$F229</f>
        <v>21797.8315395604</v>
      </c>
      <c r="O229" s="175" t="n">
        <f aca="false">+O227*$F229</f>
        <v>19638.5360485577</v>
      </c>
      <c r="P229" s="175" t="n">
        <f aca="false">+P227*$F229</f>
        <v>22074.0844521985</v>
      </c>
      <c r="Q229" s="175" t="n">
        <f aca="false">+Q227*$F229</f>
        <v>29980.6740623067</v>
      </c>
      <c r="R229" s="175" t="n">
        <f aca="false">+R227*$F229</f>
        <v>31817.2152984923</v>
      </c>
      <c r="S229" s="175" t="n">
        <f aca="false">+S227*$F229</f>
        <v>21899.7188025427</v>
      </c>
      <c r="T229" s="175" t="n">
        <f aca="false">+T227*$F229</f>
        <v>20087.3073400811</v>
      </c>
      <c r="U229" s="175" t="n">
        <f aca="false">+U227*$F229</f>
        <v>18556.7292256942</v>
      </c>
      <c r="V229" s="175" t="n">
        <f aca="false">+V227*$F229</f>
        <v>16223.5375018987</v>
      </c>
      <c r="W229" s="175" t="n">
        <f aca="false">+W227*$F229</f>
        <v>20439.9407414091</v>
      </c>
      <c r="X229" s="175" t="n">
        <f aca="false">+X227*$F229</f>
        <v>16007.4911203891</v>
      </c>
      <c r="Y229" s="175" t="n">
        <f aca="false">+Y227*$F229</f>
        <v>8264.81810102129</v>
      </c>
      <c r="Z229" s="175" t="n">
        <f aca="false">+Z227*$F229</f>
        <v>7491.80797115735</v>
      </c>
      <c r="AA229" s="175" t="n">
        <f aca="false">+AA227*$F229</f>
        <v>7442.3154837855</v>
      </c>
      <c r="AB229" s="175" t="n">
        <f aca="false">+AB227*$F229</f>
        <v>7922.1566996481</v>
      </c>
      <c r="AC229" s="175" t="n">
        <f aca="false">+AC227*$F229</f>
        <v>6002.02048138502</v>
      </c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  <c r="CB229" s="47"/>
      <c r="CC229" s="47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7"/>
      <c r="CO229" s="47"/>
      <c r="CP229" s="47"/>
      <c r="CQ229" s="47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7"/>
      <c r="DC229" s="47"/>
      <c r="DD229" s="47"/>
      <c r="DE229" s="47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7"/>
      <c r="DQ229" s="47"/>
      <c r="DR229" s="47"/>
      <c r="DS229" s="47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7"/>
      <c r="EE229" s="47"/>
      <c r="EF229" s="47"/>
      <c r="EG229" s="47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7"/>
      <c r="ES229" s="47"/>
      <c r="ET229" s="47"/>
      <c r="EU229" s="47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7"/>
      <c r="FG229" s="47"/>
      <c r="FH229" s="47"/>
      <c r="FI229" s="47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7"/>
      <c r="FU229" s="47"/>
      <c r="FV229" s="47"/>
      <c r="FW229" s="47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7"/>
      <c r="GI229" s="47"/>
      <c r="GJ229" s="47"/>
      <c r="GK229" s="47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7"/>
      <c r="GW229" s="47"/>
      <c r="GX229" s="47"/>
      <c r="GY229" s="47"/>
      <c r="GZ229" s="47"/>
      <c r="HA229" s="47"/>
      <c r="HB229" s="47"/>
      <c r="HC229" s="47"/>
      <c r="HD229" s="47"/>
      <c r="HE229" s="47"/>
      <c r="HF229" s="47"/>
      <c r="HG229" s="47"/>
      <c r="HH229" s="47"/>
      <c r="HI229" s="47"/>
      <c r="HJ229" s="47"/>
      <c r="HK229" s="47"/>
      <c r="HL229" s="47"/>
      <c r="HM229" s="47"/>
      <c r="HN229" s="47"/>
      <c r="HO229" s="47"/>
      <c r="HP229" s="47"/>
      <c r="HQ229" s="47"/>
      <c r="HR229" s="47"/>
      <c r="HS229" s="47"/>
      <c r="HT229" s="47"/>
      <c r="HU229" s="47"/>
      <c r="HV229" s="47"/>
      <c r="HW229" s="47"/>
      <c r="HX229" s="47"/>
      <c r="HY229" s="47"/>
      <c r="HZ229" s="47"/>
      <c r="IA229" s="47"/>
      <c r="IB229" s="47"/>
      <c r="IC229" s="47"/>
      <c r="ID229" s="47"/>
      <c r="IE229" s="47"/>
      <c r="IF229" s="47"/>
      <c r="IG229" s="47"/>
      <c r="IH229" s="47"/>
      <c r="II229" s="47"/>
      <c r="IJ229" s="47"/>
      <c r="IK229" s="47"/>
      <c r="IL229" s="47"/>
      <c r="IM229" s="47"/>
      <c r="IN229" s="47"/>
      <c r="IO229" s="47"/>
      <c r="IP229" s="47"/>
      <c r="IQ229" s="47"/>
      <c r="IR229" s="47"/>
      <c r="IS229" s="47"/>
      <c r="IT229" s="47"/>
      <c r="IU229" s="47"/>
      <c r="IV229" s="47"/>
    </row>
    <row r="230" customFormat="false" ht="13.5" hidden="false" customHeight="false" outlineLevel="0" collapsed="false">
      <c r="A230" s="16"/>
      <c r="B230" s="55"/>
      <c r="C230" s="16"/>
      <c r="D230" s="16"/>
      <c r="E230" s="16"/>
      <c r="F230" s="176"/>
      <c r="G230" s="176"/>
      <c r="H230" s="47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  <c r="CB230" s="47"/>
      <c r="CC230" s="47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7"/>
      <c r="CO230" s="47"/>
      <c r="CP230" s="47"/>
      <c r="CQ230" s="47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7"/>
      <c r="DC230" s="47"/>
      <c r="DD230" s="47"/>
      <c r="DE230" s="47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7"/>
      <c r="DQ230" s="47"/>
      <c r="DR230" s="47"/>
      <c r="DS230" s="47"/>
      <c r="DT230" s="47"/>
      <c r="DU230" s="47"/>
      <c r="DV230" s="47"/>
      <c r="DW230" s="47"/>
      <c r="DX230" s="47"/>
      <c r="DY230" s="47"/>
      <c r="DZ230" s="47"/>
      <c r="EA230" s="47"/>
      <c r="EB230" s="47"/>
      <c r="EC230" s="47"/>
      <c r="ED230" s="47"/>
      <c r="EE230" s="47"/>
      <c r="EF230" s="47"/>
      <c r="EG230" s="47"/>
      <c r="EH230" s="47"/>
      <c r="EI230" s="47"/>
      <c r="EJ230" s="47"/>
      <c r="EK230" s="47"/>
      <c r="EL230" s="47"/>
      <c r="EM230" s="47"/>
      <c r="EN230" s="47"/>
      <c r="EO230" s="47"/>
      <c r="EP230" s="47"/>
      <c r="EQ230" s="47"/>
      <c r="ER230" s="47"/>
      <c r="ES230" s="47"/>
      <c r="ET230" s="47"/>
      <c r="EU230" s="47"/>
      <c r="EV230" s="47"/>
      <c r="EW230" s="47"/>
      <c r="EX230" s="47"/>
      <c r="EY230" s="47"/>
      <c r="EZ230" s="47"/>
      <c r="FA230" s="47"/>
      <c r="FB230" s="47"/>
      <c r="FC230" s="47"/>
      <c r="FD230" s="47"/>
      <c r="FE230" s="47"/>
      <c r="FF230" s="47"/>
      <c r="FG230" s="47"/>
      <c r="FH230" s="47"/>
      <c r="FI230" s="47"/>
      <c r="FJ230" s="47"/>
      <c r="FK230" s="47"/>
      <c r="FL230" s="47"/>
      <c r="FM230" s="47"/>
      <c r="FN230" s="47"/>
      <c r="FO230" s="47"/>
      <c r="FP230" s="47"/>
      <c r="FQ230" s="47"/>
      <c r="FR230" s="47"/>
      <c r="FS230" s="47"/>
      <c r="FT230" s="47"/>
      <c r="FU230" s="47"/>
      <c r="FV230" s="47"/>
      <c r="FW230" s="47"/>
      <c r="FX230" s="47"/>
      <c r="FY230" s="47"/>
      <c r="FZ230" s="47"/>
      <c r="GA230" s="47"/>
      <c r="GB230" s="47"/>
      <c r="GC230" s="47"/>
      <c r="GD230" s="47"/>
      <c r="GE230" s="47"/>
      <c r="GF230" s="47"/>
      <c r="GG230" s="47"/>
      <c r="GH230" s="47"/>
      <c r="GI230" s="47"/>
      <c r="GJ230" s="47"/>
      <c r="GK230" s="47"/>
      <c r="GL230" s="47"/>
      <c r="GM230" s="47"/>
      <c r="GN230" s="47"/>
      <c r="GO230" s="47"/>
      <c r="GP230" s="47"/>
      <c r="GQ230" s="47"/>
      <c r="GR230" s="47"/>
      <c r="GS230" s="47"/>
      <c r="GT230" s="47"/>
      <c r="GU230" s="47"/>
      <c r="GV230" s="47"/>
      <c r="GW230" s="47"/>
      <c r="GX230" s="47"/>
      <c r="GY230" s="47"/>
      <c r="GZ230" s="47"/>
      <c r="HA230" s="47"/>
      <c r="HB230" s="47"/>
      <c r="HC230" s="47"/>
      <c r="HD230" s="47"/>
      <c r="HE230" s="47"/>
      <c r="HF230" s="47"/>
      <c r="HG230" s="47"/>
      <c r="HH230" s="47"/>
      <c r="HI230" s="47"/>
      <c r="HJ230" s="47"/>
      <c r="HK230" s="47"/>
      <c r="HL230" s="47"/>
      <c r="HM230" s="47"/>
      <c r="HN230" s="47"/>
      <c r="HO230" s="47"/>
      <c r="HP230" s="47"/>
      <c r="HQ230" s="47"/>
      <c r="HR230" s="47"/>
      <c r="HS230" s="47"/>
      <c r="HT230" s="47"/>
      <c r="HU230" s="47"/>
      <c r="HV230" s="47"/>
      <c r="HW230" s="47"/>
      <c r="HX230" s="47"/>
      <c r="HY230" s="47"/>
      <c r="HZ230" s="47"/>
      <c r="IA230" s="47"/>
      <c r="IB230" s="47"/>
      <c r="IC230" s="47"/>
      <c r="ID230" s="47"/>
      <c r="IE230" s="47"/>
      <c r="IF230" s="47"/>
      <c r="IG230" s="47"/>
      <c r="IH230" s="47"/>
      <c r="II230" s="47"/>
      <c r="IJ230" s="47"/>
      <c r="IK230" s="47"/>
      <c r="IL230" s="47"/>
      <c r="IM230" s="47"/>
      <c r="IN230" s="47"/>
      <c r="IO230" s="47"/>
      <c r="IP230" s="47"/>
      <c r="IQ230" s="47"/>
      <c r="IR230" s="47"/>
      <c r="IS230" s="47"/>
      <c r="IT230" s="47"/>
      <c r="IU230" s="47"/>
      <c r="IV230" s="47"/>
    </row>
    <row r="231" customFormat="false" ht="12.75" hidden="false" customHeight="false" outlineLevel="0" collapsed="false">
      <c r="A231" s="16"/>
      <c r="B231" s="16"/>
      <c r="C231" s="16"/>
      <c r="D231" s="16"/>
      <c r="E231" s="16"/>
      <c r="F231" s="16"/>
      <c r="G231" s="16"/>
      <c r="H231" s="177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66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7"/>
      <c r="DC231" s="47"/>
      <c r="DD231" s="47"/>
      <c r="DE231" s="47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7"/>
      <c r="DQ231" s="47"/>
      <c r="DR231" s="47"/>
      <c r="DS231" s="47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7"/>
      <c r="EE231" s="47"/>
      <c r="EF231" s="47"/>
      <c r="EG231" s="47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7"/>
      <c r="ES231" s="47"/>
      <c r="ET231" s="47"/>
      <c r="EU231" s="47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7"/>
      <c r="FG231" s="47"/>
      <c r="FH231" s="47"/>
      <c r="FI231" s="47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7"/>
      <c r="FU231" s="47"/>
      <c r="FV231" s="47"/>
      <c r="FW231" s="47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7"/>
      <c r="GI231" s="47"/>
      <c r="GJ231" s="47"/>
      <c r="GK231" s="47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  <c r="GV231" s="47"/>
      <c r="GW231" s="47"/>
      <c r="GX231" s="47"/>
      <c r="GY231" s="47"/>
      <c r="GZ231" s="47"/>
      <c r="HA231" s="47"/>
      <c r="HB231" s="47"/>
      <c r="HC231" s="47"/>
      <c r="HD231" s="47"/>
      <c r="HE231" s="47"/>
      <c r="HF231" s="47"/>
      <c r="HG231" s="47"/>
      <c r="HH231" s="47"/>
      <c r="HI231" s="47"/>
      <c r="HJ231" s="47"/>
      <c r="HK231" s="47"/>
      <c r="HL231" s="47"/>
      <c r="HM231" s="47"/>
      <c r="HN231" s="47"/>
      <c r="HO231" s="47"/>
      <c r="HP231" s="47"/>
      <c r="HQ231" s="47"/>
      <c r="HR231" s="47"/>
      <c r="HS231" s="47"/>
      <c r="HT231" s="47"/>
      <c r="HU231" s="47"/>
      <c r="HV231" s="47"/>
      <c r="HW231" s="47"/>
      <c r="HX231" s="47"/>
      <c r="HY231" s="47"/>
      <c r="HZ231" s="47"/>
      <c r="IA231" s="47"/>
      <c r="IB231" s="47"/>
      <c r="IC231" s="47"/>
      <c r="ID231" s="47"/>
      <c r="IE231" s="47"/>
      <c r="IF231" s="47"/>
      <c r="IG231" s="47"/>
      <c r="IH231" s="47"/>
      <c r="II231" s="47"/>
      <c r="IJ231" s="47"/>
      <c r="IK231" s="47"/>
      <c r="IL231" s="47"/>
      <c r="IM231" s="47"/>
      <c r="IN231" s="47"/>
      <c r="IO231" s="47"/>
      <c r="IP231" s="47"/>
      <c r="IQ231" s="47"/>
      <c r="IR231" s="47"/>
      <c r="IS231" s="47"/>
      <c r="IT231" s="47"/>
      <c r="IU231" s="47"/>
      <c r="IV231" s="47"/>
    </row>
    <row r="232" customFormat="false" ht="12.75" hidden="false" customHeight="false" outlineLevel="0" collapsed="false">
      <c r="A232" s="16"/>
      <c r="B232" s="55" t="s">
        <v>129</v>
      </c>
      <c r="C232" s="16"/>
      <c r="D232" s="16"/>
      <c r="E232" s="16"/>
      <c r="F232" s="17"/>
      <c r="G232" s="17"/>
      <c r="H232" s="17"/>
      <c r="I232" s="179" t="n">
        <f aca="false">+$I$5-365</f>
        <v>36891</v>
      </c>
      <c r="J232" s="180" t="s">
        <v>22</v>
      </c>
      <c r="K232" s="181" t="s">
        <v>130</v>
      </c>
      <c r="L232" s="182" t="s">
        <v>131</v>
      </c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  <c r="AA232" s="157"/>
      <c r="AB232" s="157"/>
      <c r="AC232" s="166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7"/>
      <c r="CO232" s="47"/>
      <c r="CP232" s="47"/>
      <c r="CQ232" s="47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7"/>
      <c r="DC232" s="47"/>
      <c r="DD232" s="47"/>
      <c r="DE232" s="47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7"/>
      <c r="DQ232" s="47"/>
      <c r="DR232" s="47"/>
      <c r="DS232" s="47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7"/>
      <c r="EE232" s="47"/>
      <c r="EF232" s="47"/>
      <c r="EG232" s="47"/>
      <c r="EH232" s="47"/>
      <c r="EI232" s="47"/>
      <c r="EJ232" s="47"/>
      <c r="EK232" s="47"/>
      <c r="EL232" s="47"/>
      <c r="EM232" s="47"/>
      <c r="EN232" s="47"/>
      <c r="EO232" s="47"/>
      <c r="EP232" s="47"/>
      <c r="EQ232" s="47"/>
      <c r="ER232" s="47"/>
      <c r="ES232" s="47"/>
      <c r="ET232" s="47"/>
      <c r="EU232" s="47"/>
      <c r="EV232" s="47"/>
      <c r="EW232" s="47"/>
      <c r="EX232" s="47"/>
      <c r="EY232" s="47"/>
      <c r="EZ232" s="47"/>
      <c r="FA232" s="47"/>
      <c r="FB232" s="47"/>
      <c r="FC232" s="47"/>
      <c r="FD232" s="47"/>
      <c r="FE232" s="47"/>
      <c r="FF232" s="47"/>
      <c r="FG232" s="47"/>
      <c r="FH232" s="47"/>
      <c r="FI232" s="47"/>
      <c r="FJ232" s="47"/>
      <c r="FK232" s="47"/>
      <c r="FL232" s="47"/>
      <c r="FM232" s="47"/>
      <c r="FN232" s="47"/>
      <c r="FO232" s="47"/>
      <c r="FP232" s="47"/>
      <c r="FQ232" s="47"/>
      <c r="FR232" s="47"/>
      <c r="FS232" s="47"/>
      <c r="FT232" s="47"/>
      <c r="FU232" s="47"/>
      <c r="FV232" s="47"/>
      <c r="FW232" s="47"/>
      <c r="FX232" s="47"/>
      <c r="FY232" s="47"/>
      <c r="FZ232" s="47"/>
      <c r="GA232" s="47"/>
      <c r="GB232" s="47"/>
      <c r="GC232" s="47"/>
      <c r="GD232" s="47"/>
      <c r="GE232" s="47"/>
      <c r="GF232" s="47"/>
      <c r="GG232" s="47"/>
      <c r="GH232" s="47"/>
      <c r="GI232" s="47"/>
      <c r="GJ232" s="47"/>
      <c r="GK232" s="47"/>
      <c r="GL232" s="47"/>
      <c r="GM232" s="47"/>
      <c r="GN232" s="47"/>
      <c r="GO232" s="47"/>
      <c r="GP232" s="47"/>
      <c r="GQ232" s="47"/>
      <c r="GR232" s="47"/>
      <c r="GS232" s="47"/>
      <c r="GT232" s="47"/>
      <c r="GU232" s="47"/>
      <c r="GV232" s="47"/>
      <c r="GW232" s="47"/>
      <c r="GX232" s="47"/>
      <c r="GY232" s="47"/>
      <c r="GZ232" s="47"/>
      <c r="HA232" s="47"/>
      <c r="HB232" s="47"/>
      <c r="HC232" s="47"/>
      <c r="HD232" s="47"/>
      <c r="HE232" s="47"/>
      <c r="HF232" s="47"/>
      <c r="HG232" s="47"/>
      <c r="HH232" s="47"/>
      <c r="HI232" s="47"/>
      <c r="HJ232" s="47"/>
      <c r="HK232" s="47"/>
      <c r="HL232" s="47"/>
      <c r="HM232" s="47"/>
      <c r="HN232" s="47"/>
      <c r="HO232" s="47"/>
      <c r="HP232" s="47"/>
      <c r="HQ232" s="47"/>
      <c r="HR232" s="47"/>
      <c r="HS232" s="47"/>
      <c r="HT232" s="47"/>
      <c r="HU232" s="47"/>
      <c r="HV232" s="47"/>
      <c r="HW232" s="47"/>
      <c r="HX232" s="47"/>
      <c r="HY232" s="47"/>
      <c r="HZ232" s="47"/>
      <c r="IA232" s="47"/>
      <c r="IB232" s="47"/>
      <c r="IC232" s="47"/>
      <c r="ID232" s="47"/>
      <c r="IE232" s="47"/>
      <c r="IF232" s="47"/>
      <c r="IG232" s="47"/>
      <c r="IH232" s="47"/>
      <c r="II232" s="47"/>
      <c r="IJ232" s="47"/>
      <c r="IK232" s="47"/>
      <c r="IL232" s="47"/>
      <c r="IM232" s="47"/>
      <c r="IN232" s="47"/>
      <c r="IO232" s="47"/>
      <c r="IP232" s="47"/>
      <c r="IQ232" s="47"/>
      <c r="IR232" s="47"/>
      <c r="IS232" s="47"/>
      <c r="IT232" s="47"/>
      <c r="IU232" s="47"/>
      <c r="IV232" s="47"/>
    </row>
    <row r="233" customFormat="false" ht="12.75" hidden="false" customHeight="false" outlineLevel="0" collapsed="false">
      <c r="A233" s="16"/>
      <c r="B233" s="17"/>
      <c r="C233" s="16"/>
      <c r="D233" s="16"/>
      <c r="E233" s="16"/>
      <c r="F233" s="17"/>
      <c r="G233" s="17"/>
      <c r="H233" s="17"/>
      <c r="I233" s="181" t="n">
        <v>0.12</v>
      </c>
      <c r="J233" s="183" t="n">
        <f aca="false">NPV(I233,I$229:AC$229)</f>
        <v>152476.401238051</v>
      </c>
      <c r="K233" s="184" t="n">
        <f aca="false">+$N$315*$F$229</f>
        <v>319440</v>
      </c>
      <c r="L233" s="185" t="n">
        <f aca="false">+J233+K233</f>
        <v>471916.401238051</v>
      </c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  <c r="AA233" s="157"/>
      <c r="AB233" s="157"/>
      <c r="AC233" s="166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7"/>
      <c r="CO233" s="47"/>
      <c r="CP233" s="47"/>
      <c r="CQ233" s="47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7"/>
      <c r="DC233" s="47"/>
      <c r="DD233" s="47"/>
      <c r="DE233" s="47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7"/>
      <c r="DQ233" s="47"/>
      <c r="DR233" s="47"/>
      <c r="DS233" s="47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7"/>
      <c r="EE233" s="47"/>
      <c r="EF233" s="47"/>
      <c r="EG233" s="47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7"/>
      <c r="ES233" s="47"/>
      <c r="ET233" s="47"/>
      <c r="EU233" s="47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7"/>
      <c r="FG233" s="47"/>
      <c r="FH233" s="47"/>
      <c r="FI233" s="47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7"/>
      <c r="FU233" s="47"/>
      <c r="FV233" s="47"/>
      <c r="FW233" s="47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7"/>
      <c r="GI233" s="47"/>
      <c r="GJ233" s="47"/>
      <c r="GK233" s="47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7"/>
      <c r="GW233" s="47"/>
      <c r="GX233" s="47"/>
      <c r="GY233" s="47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7"/>
      <c r="HK233" s="47"/>
      <c r="HL233" s="47"/>
      <c r="HM233" s="47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7"/>
      <c r="HY233" s="47"/>
      <c r="HZ233" s="47"/>
      <c r="IA233" s="47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7"/>
      <c r="IM233" s="47"/>
      <c r="IN233" s="47"/>
      <c r="IO233" s="47"/>
      <c r="IP233" s="47"/>
      <c r="IQ233" s="47"/>
      <c r="IR233" s="47"/>
      <c r="IS233" s="47"/>
      <c r="IT233" s="47"/>
      <c r="IU233" s="47"/>
      <c r="IV233" s="47"/>
    </row>
    <row r="234" customFormat="false" ht="12.75" hidden="false" customHeight="false" outlineLevel="0" collapsed="false">
      <c r="A234" s="16"/>
      <c r="B234" s="55"/>
      <c r="C234" s="16"/>
      <c r="D234" s="16"/>
      <c r="E234" s="17"/>
      <c r="F234" s="17"/>
      <c r="G234" s="17"/>
      <c r="H234" s="17"/>
      <c r="I234" s="181" t="n">
        <f aca="false">+I233-0.01</f>
        <v>0.11</v>
      </c>
      <c r="J234" s="183" t="n">
        <f aca="false">NPV(I234,I$229:AC$229)</f>
        <v>162085.770083557</v>
      </c>
      <c r="K234" s="184" t="n">
        <f aca="false">+$N$315*$F$229</f>
        <v>319440</v>
      </c>
      <c r="L234" s="185" t="n">
        <f aca="false">+J234+K234</f>
        <v>481525.770083557</v>
      </c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66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7"/>
      <c r="CO234" s="47"/>
      <c r="CP234" s="47"/>
      <c r="CQ234" s="47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7"/>
      <c r="DC234" s="47"/>
      <c r="DD234" s="47"/>
      <c r="DE234" s="47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7"/>
      <c r="DQ234" s="47"/>
      <c r="DR234" s="47"/>
      <c r="DS234" s="47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7"/>
      <c r="EE234" s="47"/>
      <c r="EF234" s="47"/>
      <c r="EG234" s="47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7"/>
      <c r="ES234" s="47"/>
      <c r="ET234" s="47"/>
      <c r="EU234" s="47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7"/>
      <c r="FG234" s="47"/>
      <c r="FH234" s="47"/>
      <c r="FI234" s="47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7"/>
      <c r="FU234" s="47"/>
      <c r="FV234" s="47"/>
      <c r="FW234" s="47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7"/>
      <c r="GI234" s="47"/>
      <c r="GJ234" s="47"/>
      <c r="GK234" s="47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7"/>
      <c r="GW234" s="47"/>
      <c r="GX234" s="47"/>
      <c r="GY234" s="47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7"/>
      <c r="HK234" s="47"/>
      <c r="HL234" s="47"/>
      <c r="HM234" s="47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7"/>
      <c r="HY234" s="47"/>
      <c r="HZ234" s="47"/>
      <c r="IA234" s="47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7"/>
      <c r="IM234" s="47"/>
      <c r="IN234" s="47"/>
      <c r="IO234" s="47"/>
      <c r="IP234" s="47"/>
      <c r="IQ234" s="47"/>
      <c r="IR234" s="47"/>
      <c r="IS234" s="47"/>
      <c r="IT234" s="47"/>
      <c r="IU234" s="47"/>
      <c r="IV234" s="47"/>
    </row>
    <row r="235" customFormat="false" ht="12.75" hidden="false" customHeight="false" outlineLevel="0" collapsed="false">
      <c r="A235" s="16"/>
      <c r="B235" s="55"/>
      <c r="C235" s="16"/>
      <c r="D235" s="16"/>
      <c r="E235" s="17"/>
      <c r="F235" s="17"/>
      <c r="G235" s="17"/>
      <c r="H235" s="17"/>
      <c r="I235" s="181" t="n">
        <f aca="false">+I234-0.01</f>
        <v>0.1</v>
      </c>
      <c r="J235" s="183" t="n">
        <f aca="false">NPV(I235,I$229:AC$229)</f>
        <v>172691.728253261</v>
      </c>
      <c r="K235" s="184" t="n">
        <f aca="false">+$N$315*$F$229</f>
        <v>319440</v>
      </c>
      <c r="L235" s="185" t="n">
        <f aca="false">+J235+K235</f>
        <v>492131.728253261</v>
      </c>
      <c r="M235" s="157"/>
      <c r="N235" s="149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  <c r="AA235" s="157"/>
      <c r="AB235" s="157"/>
      <c r="AC235" s="166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7"/>
      <c r="CO235" s="47"/>
      <c r="CP235" s="47"/>
      <c r="CQ235" s="47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  <c r="DB235" s="47"/>
      <c r="DC235" s="47"/>
      <c r="DD235" s="47"/>
      <c r="DE235" s="47"/>
      <c r="DF235" s="47"/>
      <c r="DG235" s="47"/>
      <c r="DH235" s="47"/>
      <c r="DI235" s="47"/>
      <c r="DJ235" s="47"/>
      <c r="DK235" s="47"/>
      <c r="DL235" s="47"/>
      <c r="DM235" s="47"/>
      <c r="DN235" s="47"/>
      <c r="DO235" s="47"/>
      <c r="DP235" s="47"/>
      <c r="DQ235" s="47"/>
      <c r="DR235" s="47"/>
      <c r="DS235" s="47"/>
      <c r="DT235" s="47"/>
      <c r="DU235" s="47"/>
      <c r="DV235" s="47"/>
      <c r="DW235" s="47"/>
      <c r="DX235" s="47"/>
      <c r="DY235" s="47"/>
      <c r="DZ235" s="47"/>
      <c r="EA235" s="47"/>
      <c r="EB235" s="47"/>
      <c r="EC235" s="47"/>
      <c r="ED235" s="47"/>
      <c r="EE235" s="47"/>
      <c r="EF235" s="47"/>
      <c r="EG235" s="47"/>
      <c r="EH235" s="47"/>
      <c r="EI235" s="47"/>
      <c r="EJ235" s="47"/>
      <c r="EK235" s="47"/>
      <c r="EL235" s="47"/>
      <c r="EM235" s="47"/>
      <c r="EN235" s="47"/>
      <c r="EO235" s="47"/>
      <c r="EP235" s="47"/>
      <c r="EQ235" s="47"/>
      <c r="ER235" s="47"/>
      <c r="ES235" s="47"/>
      <c r="ET235" s="47"/>
      <c r="EU235" s="47"/>
      <c r="EV235" s="47"/>
      <c r="EW235" s="47"/>
      <c r="EX235" s="47"/>
      <c r="EY235" s="47"/>
      <c r="EZ235" s="47"/>
      <c r="FA235" s="47"/>
      <c r="FB235" s="47"/>
      <c r="FC235" s="47"/>
      <c r="FD235" s="47"/>
      <c r="FE235" s="47"/>
      <c r="FF235" s="47"/>
      <c r="FG235" s="47"/>
      <c r="FH235" s="47"/>
      <c r="FI235" s="47"/>
      <c r="FJ235" s="47"/>
      <c r="FK235" s="47"/>
      <c r="FL235" s="47"/>
      <c r="FM235" s="47"/>
      <c r="FN235" s="47"/>
      <c r="FO235" s="47"/>
      <c r="FP235" s="47"/>
      <c r="FQ235" s="47"/>
      <c r="FR235" s="47"/>
      <c r="FS235" s="47"/>
      <c r="FT235" s="47"/>
      <c r="FU235" s="47"/>
      <c r="FV235" s="47"/>
      <c r="FW235" s="47"/>
      <c r="FX235" s="47"/>
      <c r="FY235" s="47"/>
      <c r="FZ235" s="47"/>
      <c r="GA235" s="47"/>
      <c r="GB235" s="47"/>
      <c r="GC235" s="47"/>
      <c r="GD235" s="47"/>
      <c r="GE235" s="47"/>
      <c r="GF235" s="47"/>
      <c r="GG235" s="47"/>
      <c r="GH235" s="47"/>
      <c r="GI235" s="47"/>
      <c r="GJ235" s="47"/>
      <c r="GK235" s="47"/>
      <c r="GL235" s="47"/>
      <c r="GM235" s="47"/>
      <c r="GN235" s="47"/>
      <c r="GO235" s="47"/>
      <c r="GP235" s="47"/>
      <c r="GQ235" s="47"/>
      <c r="GR235" s="47"/>
      <c r="GS235" s="47"/>
      <c r="GT235" s="47"/>
      <c r="GU235" s="47"/>
      <c r="GV235" s="47"/>
      <c r="GW235" s="47"/>
      <c r="GX235" s="47"/>
      <c r="GY235" s="47"/>
      <c r="GZ235" s="47"/>
      <c r="HA235" s="47"/>
      <c r="HB235" s="47"/>
      <c r="HC235" s="47"/>
      <c r="HD235" s="47"/>
      <c r="HE235" s="47"/>
      <c r="HF235" s="47"/>
      <c r="HG235" s="47"/>
      <c r="HH235" s="47"/>
      <c r="HI235" s="47"/>
      <c r="HJ235" s="47"/>
      <c r="HK235" s="47"/>
      <c r="HL235" s="47"/>
      <c r="HM235" s="47"/>
      <c r="HN235" s="47"/>
      <c r="HO235" s="47"/>
      <c r="HP235" s="47"/>
      <c r="HQ235" s="47"/>
      <c r="HR235" s="47"/>
      <c r="HS235" s="47"/>
      <c r="HT235" s="47"/>
      <c r="HU235" s="47"/>
      <c r="HV235" s="47"/>
      <c r="HW235" s="47"/>
      <c r="HX235" s="47"/>
      <c r="HY235" s="47"/>
      <c r="HZ235" s="47"/>
      <c r="IA235" s="47"/>
      <c r="IB235" s="47"/>
      <c r="IC235" s="47"/>
      <c r="ID235" s="47"/>
      <c r="IE235" s="47"/>
      <c r="IF235" s="47"/>
      <c r="IG235" s="47"/>
      <c r="IH235" s="47"/>
      <c r="II235" s="47"/>
      <c r="IJ235" s="47"/>
      <c r="IK235" s="47"/>
      <c r="IL235" s="47"/>
      <c r="IM235" s="47"/>
      <c r="IN235" s="47"/>
      <c r="IO235" s="47"/>
      <c r="IP235" s="47"/>
      <c r="IQ235" s="47"/>
      <c r="IR235" s="47"/>
      <c r="IS235" s="47"/>
      <c r="IT235" s="47"/>
      <c r="IU235" s="47"/>
      <c r="IV235" s="47"/>
    </row>
    <row r="236" customFormat="false" ht="12.75" hidden="false" customHeight="false" outlineLevel="0" collapsed="false">
      <c r="A236" s="16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</row>
    <row r="237" customFormat="false" ht="12.75" hidden="false" customHeight="false" outlineLevel="0" collapsed="false">
      <c r="A237" s="16"/>
      <c r="B237" s="55" t="s">
        <v>132</v>
      </c>
      <c r="C237" s="17"/>
      <c r="D237" s="17"/>
      <c r="E237" s="16"/>
      <c r="F237" s="16"/>
      <c r="G237" s="16"/>
      <c r="H237" s="47" t="s">
        <v>99</v>
      </c>
      <c r="I237" s="172" t="n">
        <f aca="false">+I301</f>
        <v>0</v>
      </c>
      <c r="J237" s="172" t="n">
        <f aca="false">+J301</f>
        <v>0</v>
      </c>
      <c r="K237" s="172" t="n">
        <f aca="false">+K301</f>
        <v>0</v>
      </c>
      <c r="L237" s="172" t="n">
        <f aca="false">+L301</f>
        <v>0</v>
      </c>
      <c r="M237" s="172" t="n">
        <f aca="false">+M301</f>
        <v>0</v>
      </c>
      <c r="N237" s="172" t="n">
        <f aca="false">+N301</f>
        <v>0</v>
      </c>
      <c r="O237" s="172" t="n">
        <f aca="false">+O301</f>
        <v>0</v>
      </c>
      <c r="P237" s="172" t="n">
        <f aca="false">+P301</f>
        <v>0</v>
      </c>
      <c r="Q237" s="172" t="n">
        <f aca="false">+Q301</f>
        <v>0</v>
      </c>
      <c r="R237" s="172" t="n">
        <f aca="false">+R301</f>
        <v>0</v>
      </c>
      <c r="S237" s="172" t="n">
        <f aca="false">+S301</f>
        <v>0</v>
      </c>
      <c r="T237" s="172" t="n">
        <f aca="false">+T301</f>
        <v>0</v>
      </c>
      <c r="U237" s="172" t="n">
        <f aca="false">+U301</f>
        <v>0</v>
      </c>
      <c r="V237" s="172" t="n">
        <f aca="false">+V301</f>
        <v>0</v>
      </c>
      <c r="W237" s="172" t="n">
        <f aca="false">+W301</f>
        <v>0</v>
      </c>
      <c r="X237" s="172" t="n">
        <f aca="false">+X301</f>
        <v>0</v>
      </c>
      <c r="Y237" s="172" t="n">
        <f aca="false">+Y301</f>
        <v>0</v>
      </c>
      <c r="Z237" s="172" t="n">
        <f aca="false">+Z301</f>
        <v>0</v>
      </c>
      <c r="AA237" s="172" t="n">
        <f aca="false">+AA301</f>
        <v>0</v>
      </c>
      <c r="AB237" s="172" t="n">
        <f aca="false">+AB301</f>
        <v>0</v>
      </c>
      <c r="AC237" s="172" t="n">
        <f aca="false">+AC301</f>
        <v>0</v>
      </c>
    </row>
    <row r="238" customFormat="false" ht="12.75" hidden="false" customHeight="false" outlineLevel="0" collapsed="false">
      <c r="A238" s="16"/>
      <c r="B238" s="55"/>
      <c r="C238" s="16"/>
      <c r="D238" s="16"/>
      <c r="E238" s="16"/>
      <c r="F238" s="16"/>
      <c r="G238" s="16"/>
      <c r="H238" s="47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</row>
    <row r="239" customFormat="false" ht="13.5" hidden="false" customHeight="false" outlineLevel="0" collapsed="false">
      <c r="A239" s="16"/>
      <c r="B239" s="55" t="s">
        <v>133</v>
      </c>
      <c r="C239" s="16"/>
      <c r="D239" s="16"/>
      <c r="E239" s="16"/>
      <c r="F239" s="186"/>
      <c r="G239" s="16"/>
      <c r="H239" s="47" t="s">
        <v>99</v>
      </c>
      <c r="I239" s="175" t="n">
        <f aca="false">+I229-I237</f>
        <v>19327.1073392721</v>
      </c>
      <c r="J239" s="175" t="n">
        <f aca="false">+J229-J237</f>
        <v>15448.2826175208</v>
      </c>
      <c r="K239" s="175" t="n">
        <f aca="false">+K229-K237</f>
        <v>21321.8830616404</v>
      </c>
      <c r="L239" s="175" t="n">
        <f aca="false">+L229-L237</f>
        <v>24209.9918795136</v>
      </c>
      <c r="M239" s="175" t="n">
        <f aca="false">+M229-M237</f>
        <v>22304.5648477575</v>
      </c>
      <c r="N239" s="175" t="n">
        <f aca="false">+N229-N237</f>
        <v>21797.8315395604</v>
      </c>
      <c r="O239" s="175" t="n">
        <f aca="false">+O229-O237</f>
        <v>19638.5360485577</v>
      </c>
      <c r="P239" s="175" t="n">
        <f aca="false">+P229-P237</f>
        <v>22074.0844521985</v>
      </c>
      <c r="Q239" s="175" t="n">
        <f aca="false">+Q229-Q237</f>
        <v>29980.6740623067</v>
      </c>
      <c r="R239" s="175" t="n">
        <f aca="false">+R229-R237</f>
        <v>31817.2152984923</v>
      </c>
      <c r="S239" s="175" t="n">
        <f aca="false">+S229-S237</f>
        <v>21899.7188025427</v>
      </c>
      <c r="T239" s="175" t="n">
        <f aca="false">+T229-T237</f>
        <v>20087.3073400811</v>
      </c>
      <c r="U239" s="175" t="n">
        <f aca="false">+U229-U237</f>
        <v>18556.7292256942</v>
      </c>
      <c r="V239" s="175" t="n">
        <f aca="false">+V229-V237</f>
        <v>16223.5375018987</v>
      </c>
      <c r="W239" s="175" t="n">
        <f aca="false">+W229-W237</f>
        <v>20439.9407414091</v>
      </c>
      <c r="X239" s="175" t="n">
        <f aca="false">+X229-X237</f>
        <v>16007.4911203891</v>
      </c>
      <c r="Y239" s="175" t="n">
        <f aca="false">+Y229-Y237</f>
        <v>8264.81810102129</v>
      </c>
      <c r="Z239" s="175" t="n">
        <f aca="false">+Z229-Z237</f>
        <v>7491.80797115735</v>
      </c>
      <c r="AA239" s="175" t="n">
        <f aca="false">+AA229-AA237</f>
        <v>7442.3154837855</v>
      </c>
      <c r="AB239" s="175" t="n">
        <f aca="false">+AB229-AB237</f>
        <v>7922.1566996481</v>
      </c>
      <c r="AC239" s="175" t="n">
        <f aca="false">+AC229-AC237</f>
        <v>6002.02048138502</v>
      </c>
    </row>
    <row r="240" customFormat="false" ht="13.5" hidden="false" customHeight="false" outlineLevel="0" collapsed="false">
      <c r="A240" s="16"/>
      <c r="B240" s="16"/>
      <c r="C240" s="16"/>
      <c r="D240" s="16"/>
      <c r="E240" s="16"/>
      <c r="F240" s="16"/>
      <c r="G240" s="16"/>
      <c r="H240" s="177"/>
      <c r="I240" s="17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66"/>
    </row>
    <row r="241" customFormat="false" ht="12.75" hidden="false" customHeight="false" outlineLevel="0" collapsed="false">
      <c r="A241" s="16"/>
      <c r="B241" s="55" t="s">
        <v>134</v>
      </c>
      <c r="C241" s="16"/>
      <c r="D241" s="16"/>
      <c r="E241" s="16"/>
      <c r="F241" s="17"/>
      <c r="G241" s="17"/>
      <c r="H241" s="17"/>
      <c r="I241" s="179" t="n">
        <f aca="false">+$I$5-365</f>
        <v>36891</v>
      </c>
      <c r="J241" s="180" t="s">
        <v>22</v>
      </c>
      <c r="K241" s="181" t="s">
        <v>130</v>
      </c>
      <c r="L241" s="182" t="s">
        <v>135</v>
      </c>
      <c r="M241" s="182" t="s">
        <v>131</v>
      </c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66"/>
    </row>
    <row r="242" customFormat="false" ht="12.75" hidden="false" customHeight="false" outlineLevel="0" collapsed="false">
      <c r="A242" s="16"/>
      <c r="B242" s="17"/>
      <c r="C242" s="17"/>
      <c r="D242" s="17"/>
      <c r="E242" s="17"/>
      <c r="F242" s="17"/>
      <c r="G242" s="17"/>
      <c r="H242" s="17"/>
      <c r="I242" s="181" t="n">
        <f aca="false">+I233</f>
        <v>0.12</v>
      </c>
      <c r="J242" s="183" t="n">
        <f aca="false">NPV(I242,I$239:AC$239)</f>
        <v>152476.401238051</v>
      </c>
      <c r="K242" s="184" t="n">
        <f aca="false">+$N$315*$F$229</f>
        <v>319440</v>
      </c>
      <c r="L242" s="187" t="n">
        <f aca="false">+$I$278</f>
        <v>0</v>
      </c>
      <c r="M242" s="187" t="n">
        <f aca="false">+J242+K242+L242</f>
        <v>471916.401238051</v>
      </c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  <c r="AA242" s="157"/>
      <c r="AB242" s="157"/>
      <c r="AC242" s="166"/>
    </row>
    <row r="243" customFormat="false" ht="12.75" hidden="false" customHeight="false" outlineLevel="0" collapsed="false">
      <c r="A243" s="16"/>
      <c r="B243" s="55"/>
      <c r="C243" s="16"/>
      <c r="D243" s="16"/>
      <c r="E243" s="16"/>
      <c r="F243" s="17"/>
      <c r="G243" s="17"/>
      <c r="H243" s="17"/>
      <c r="I243" s="181" t="n">
        <f aca="false">+I234</f>
        <v>0.11</v>
      </c>
      <c r="J243" s="183" t="n">
        <f aca="false">NPV(I243,I$239:AC$239)</f>
        <v>162085.770083557</v>
      </c>
      <c r="K243" s="184" t="n">
        <f aca="false">+$N$315*$F$229</f>
        <v>319440</v>
      </c>
      <c r="L243" s="187" t="n">
        <f aca="false">+$I$278</f>
        <v>0</v>
      </c>
      <c r="M243" s="187" t="n">
        <f aca="false">+J243+K243+L243</f>
        <v>481525.770083557</v>
      </c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7"/>
      <c r="AC243" s="166"/>
    </row>
    <row r="244" customFormat="false" ht="12.75" hidden="false" customHeight="false" outlineLevel="0" collapsed="false">
      <c r="A244" s="16"/>
      <c r="B244" s="55"/>
      <c r="C244" s="16"/>
      <c r="D244" s="16"/>
      <c r="E244" s="16"/>
      <c r="F244" s="17"/>
      <c r="G244" s="17"/>
      <c r="H244" s="17"/>
      <c r="I244" s="181" t="n">
        <f aca="false">+I235</f>
        <v>0.1</v>
      </c>
      <c r="J244" s="183" t="n">
        <f aca="false">NPV(I244,I$239:AC$239)</f>
        <v>172691.728253261</v>
      </c>
      <c r="K244" s="184" t="n">
        <f aca="false">+$N$315*$F$229</f>
        <v>319440</v>
      </c>
      <c r="L244" s="185" t="n">
        <f aca="false">+$I$278</f>
        <v>0</v>
      </c>
      <c r="M244" s="185" t="n">
        <f aca="false">+J244+K244+L244</f>
        <v>492131.728253261</v>
      </c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  <c r="AA244" s="157"/>
      <c r="AB244" s="157"/>
      <c r="AC244" s="166"/>
    </row>
    <row r="245" customFormat="false" ht="12.75" hidden="false" customHeight="false" outlineLevel="0" collapsed="false">
      <c r="A245" s="16"/>
      <c r="B245" s="55"/>
      <c r="C245" s="16"/>
      <c r="D245" s="16"/>
      <c r="E245" s="16"/>
      <c r="F245" s="16"/>
      <c r="G245" s="16"/>
      <c r="H245" s="47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</row>
    <row r="246" customFormat="false" ht="12.75" hidden="false" customHeight="false" outlineLevel="0" collapsed="false">
      <c r="A246" s="16"/>
      <c r="B246" s="55"/>
      <c r="C246" s="16"/>
      <c r="D246" s="16"/>
      <c r="E246" s="16"/>
      <c r="F246" s="16"/>
      <c r="G246" s="16"/>
      <c r="H246" s="47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</row>
    <row r="247" customFormat="false" ht="12.75" hidden="false" customHeight="false" outlineLevel="0" collapsed="false">
      <c r="A247" s="16"/>
      <c r="B247" s="55"/>
      <c r="C247" s="16"/>
      <c r="D247" s="16"/>
      <c r="E247" s="16"/>
      <c r="F247" s="16"/>
      <c r="G247" s="16"/>
      <c r="H247" s="47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</row>
    <row r="248" customFormat="false" ht="18" hidden="false" customHeight="false" outlineLevel="0" collapsed="false">
      <c r="A248" s="18" t="s">
        <v>20</v>
      </c>
      <c r="B248" s="188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13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</row>
    <row r="249" customFormat="false" ht="12.75" hidden="false" customHeight="false" outlineLevel="0" collapsed="false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</row>
    <row r="250" customFormat="false" ht="12.75" hidden="false" customHeight="false" outlineLevel="0" collapsed="false">
      <c r="A250" s="17"/>
      <c r="B250" s="189" t="s">
        <v>136</v>
      </c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</row>
    <row r="251" customFormat="false" ht="12.75" hidden="false" customHeight="false" outlineLevel="0" collapsed="false">
      <c r="A251" s="17"/>
      <c r="B251" s="16" t="s">
        <v>137</v>
      </c>
      <c r="C251" s="17"/>
      <c r="D251" s="17"/>
      <c r="E251" s="16"/>
      <c r="F251" s="16"/>
      <c r="G251" s="16"/>
      <c r="H251" s="47" t="s">
        <v>99</v>
      </c>
      <c r="I251" s="173" t="n">
        <v>39300</v>
      </c>
      <c r="J251" s="173" t="n">
        <v>37396</v>
      </c>
      <c r="K251" s="173" t="n">
        <v>35264</v>
      </c>
      <c r="L251" s="173" t="n">
        <v>32933</v>
      </c>
      <c r="M251" s="173" t="n">
        <v>29880</v>
      </c>
      <c r="N251" s="173" t="n">
        <v>25484</v>
      </c>
      <c r="O251" s="173" t="n">
        <v>20545</v>
      </c>
      <c r="P251" s="173" t="n">
        <v>15504</v>
      </c>
      <c r="Q251" s="173" t="n">
        <v>10374</v>
      </c>
      <c r="R251" s="173" t="n">
        <v>4779</v>
      </c>
      <c r="S251" s="173" t="n">
        <v>0</v>
      </c>
      <c r="T251" s="173" t="n">
        <v>0</v>
      </c>
      <c r="U251" s="173" t="n">
        <v>0</v>
      </c>
      <c r="V251" s="173" t="n">
        <v>0</v>
      </c>
      <c r="W251" s="173" t="n">
        <v>0</v>
      </c>
      <c r="X251" s="173" t="n">
        <v>0</v>
      </c>
      <c r="Y251" s="173" t="n">
        <v>0</v>
      </c>
      <c r="Z251" s="173" t="n">
        <v>0</v>
      </c>
      <c r="AA251" s="173" t="n">
        <v>0</v>
      </c>
      <c r="AB251" s="173" t="n">
        <v>0</v>
      </c>
      <c r="AC251" s="173" t="n">
        <v>0</v>
      </c>
    </row>
    <row r="252" customFormat="false" ht="12.75" hidden="false" customHeight="false" outlineLevel="0" collapsed="false">
      <c r="A252" s="17"/>
      <c r="B252" s="16" t="s">
        <v>138</v>
      </c>
      <c r="C252" s="17"/>
      <c r="D252" s="17"/>
      <c r="E252" s="16"/>
      <c r="F252" s="16"/>
      <c r="G252" s="16"/>
      <c r="H252" s="47" t="s">
        <v>99</v>
      </c>
      <c r="I252" s="153" t="n">
        <v>20160</v>
      </c>
      <c r="J252" s="153" t="n">
        <v>22688</v>
      </c>
      <c r="K252" s="153" t="n">
        <v>23818</v>
      </c>
      <c r="L252" s="153" t="n">
        <v>28564</v>
      </c>
      <c r="M252" s="153" t="n">
        <v>45349</v>
      </c>
      <c r="N252" s="153" t="n">
        <v>52641</v>
      </c>
      <c r="O252" s="153" t="n">
        <v>54021</v>
      </c>
      <c r="P252" s="153" t="n">
        <v>51801</v>
      </c>
      <c r="Q252" s="153" t="n">
        <v>54616</v>
      </c>
      <c r="R252" s="153" t="n">
        <v>65222</v>
      </c>
      <c r="S252" s="153" t="n">
        <v>0</v>
      </c>
      <c r="T252" s="190" t="n">
        <v>0</v>
      </c>
      <c r="U252" s="190" t="n">
        <v>0</v>
      </c>
      <c r="V252" s="190" t="n">
        <v>0</v>
      </c>
      <c r="W252" s="190" t="n">
        <v>0</v>
      </c>
      <c r="X252" s="190" t="n">
        <v>0</v>
      </c>
      <c r="Y252" s="190" t="n">
        <v>0</v>
      </c>
      <c r="Z252" s="190" t="n">
        <v>0</v>
      </c>
      <c r="AA252" s="190" t="n">
        <v>0</v>
      </c>
      <c r="AB252" s="190" t="n">
        <v>0</v>
      </c>
      <c r="AC252" s="190" t="n">
        <v>0</v>
      </c>
    </row>
    <row r="253" customFormat="false" ht="12.75" hidden="false" customHeight="false" outlineLevel="0" collapsed="false">
      <c r="A253" s="17"/>
      <c r="B253" s="16" t="s">
        <v>139</v>
      </c>
      <c r="C253" s="17"/>
      <c r="D253" s="17"/>
      <c r="E253" s="17"/>
      <c r="F253" s="17"/>
      <c r="G253" s="17"/>
      <c r="H253" s="16"/>
      <c r="I253" s="157" t="n">
        <f aca="false">SUM(I251:I252)</f>
        <v>59460</v>
      </c>
      <c r="J253" s="157" t="n">
        <f aca="false">SUM(J251:J252)</f>
        <v>60084</v>
      </c>
      <c r="K253" s="157" t="n">
        <f aca="false">SUM(K251:K252)</f>
        <v>59082</v>
      </c>
      <c r="L253" s="157" t="n">
        <f aca="false">SUM(L251:L252)</f>
        <v>61497</v>
      </c>
      <c r="M253" s="157" t="n">
        <f aca="false">SUM(M251:M252)</f>
        <v>75229</v>
      </c>
      <c r="N253" s="157" t="n">
        <f aca="false">SUM(N251:N252)</f>
        <v>78125</v>
      </c>
      <c r="O253" s="157" t="n">
        <f aca="false">SUM(O251:O252)</f>
        <v>74566</v>
      </c>
      <c r="P253" s="157" t="n">
        <f aca="false">SUM(P251:P252)</f>
        <v>67305</v>
      </c>
      <c r="Q253" s="157" t="n">
        <f aca="false">SUM(Q251:Q252)</f>
        <v>64990</v>
      </c>
      <c r="R253" s="157" t="n">
        <f aca="false">SUM(R251:R252)</f>
        <v>70001</v>
      </c>
      <c r="S253" s="157" t="n">
        <f aca="false">SUM(S251:S252)</f>
        <v>0</v>
      </c>
      <c r="T253" s="157" t="n">
        <f aca="false">SUM(T251:T252)</f>
        <v>0</v>
      </c>
      <c r="U253" s="157" t="n">
        <f aca="false">SUM(U251:U252)</f>
        <v>0</v>
      </c>
      <c r="V253" s="157" t="n">
        <f aca="false">SUM(V251:V252)</f>
        <v>0</v>
      </c>
      <c r="W253" s="157" t="n">
        <f aca="false">SUM(W251:W252)</f>
        <v>0</v>
      </c>
      <c r="X253" s="157" t="n">
        <f aca="false">SUM(X251:X252)</f>
        <v>0</v>
      </c>
      <c r="Y253" s="157" t="n">
        <f aca="false">SUM(Y251:Y252)</f>
        <v>0</v>
      </c>
      <c r="Z253" s="157" t="n">
        <f aca="false">SUM(Z251:Z252)</f>
        <v>0</v>
      </c>
      <c r="AA253" s="157" t="n">
        <f aca="false">SUM(AA251:AA252)</f>
        <v>0</v>
      </c>
      <c r="AB253" s="157" t="n">
        <f aca="false">SUM(AB251:AB252)</f>
        <v>0</v>
      </c>
      <c r="AC253" s="157" t="n">
        <f aca="false">SUM(AC251:AC252)</f>
        <v>0</v>
      </c>
    </row>
    <row r="254" customFormat="false" ht="12.75" hidden="false" customHeight="false" outlineLevel="0" collapsed="false">
      <c r="A254" s="17"/>
      <c r="B254" s="17"/>
      <c r="C254" s="17"/>
      <c r="D254" s="17"/>
      <c r="E254" s="17"/>
      <c r="F254" s="17"/>
      <c r="G254" s="17"/>
      <c r="H254" s="16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  <c r="AA254" s="157"/>
      <c r="AB254" s="157"/>
      <c r="AC254" s="157"/>
    </row>
    <row r="255" customFormat="false" ht="12.75" hidden="false" customHeight="false" outlineLevel="0" collapsed="false">
      <c r="A255" s="17"/>
      <c r="B255" s="189" t="s">
        <v>140</v>
      </c>
      <c r="C255" s="17"/>
      <c r="D255" s="17"/>
      <c r="E255" s="17"/>
      <c r="F255" s="17"/>
      <c r="G255" s="17"/>
      <c r="H255" s="17"/>
      <c r="I255" s="17"/>
      <c r="J255" s="17"/>
      <c r="K255" s="149"/>
      <c r="L255" s="113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</row>
    <row r="256" customFormat="false" ht="12.75" hidden="false" customHeight="false" outlineLevel="0" collapsed="false">
      <c r="A256" s="17"/>
      <c r="B256" s="191"/>
      <c r="C256" s="66"/>
      <c r="D256" s="17"/>
      <c r="E256" s="17"/>
      <c r="F256" s="17"/>
      <c r="G256" s="17"/>
      <c r="H256" s="17"/>
      <c r="I256" s="17"/>
      <c r="J256" s="17"/>
      <c r="K256" s="149"/>
      <c r="L256" s="113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</row>
    <row r="257" customFormat="false" ht="12.75" hidden="false" customHeight="false" outlineLevel="0" collapsed="false">
      <c r="A257" s="17"/>
      <c r="B257" s="17"/>
      <c r="C257" s="192" t="s">
        <v>9</v>
      </c>
      <c r="D257" s="7"/>
      <c r="E257" s="87"/>
      <c r="F257" s="87"/>
      <c r="G257" s="87"/>
      <c r="H257" s="69"/>
      <c r="I257" s="193" t="n">
        <v>0.0799</v>
      </c>
      <c r="J257" s="193" t="n">
        <v>0.0799</v>
      </c>
      <c r="K257" s="193" t="n">
        <v>0.0799</v>
      </c>
      <c r="L257" s="193" t="n">
        <v>0.0799</v>
      </c>
      <c r="M257" s="193" t="n">
        <v>0.0799</v>
      </c>
      <c r="N257" s="193" t="n">
        <v>0.0799</v>
      </c>
      <c r="O257" s="193" t="n">
        <v>0.0799</v>
      </c>
      <c r="P257" s="193" t="n">
        <v>0.0799</v>
      </c>
      <c r="Q257" s="193" t="n">
        <v>0.0799</v>
      </c>
      <c r="R257" s="193" t="n">
        <v>0.0799</v>
      </c>
      <c r="S257" s="193" t="n">
        <v>0.0799</v>
      </c>
      <c r="T257" s="194"/>
      <c r="U257" s="195"/>
      <c r="V257" s="195"/>
      <c r="W257" s="195"/>
      <c r="X257" s="195"/>
      <c r="Y257" s="195"/>
      <c r="Z257" s="195"/>
      <c r="AA257" s="195"/>
      <c r="AB257" s="195"/>
      <c r="AC257" s="196"/>
      <c r="AD257" s="47"/>
      <c r="AE257" s="47"/>
      <c r="AF257" s="47"/>
      <c r="AG257" s="47"/>
      <c r="AH257" s="47"/>
      <c r="AI257" s="47"/>
      <c r="AJ257" s="47"/>
      <c r="AK257" s="197"/>
      <c r="AL257" s="197"/>
    </row>
    <row r="258" customFormat="false" ht="12.75" hidden="false" customHeight="false" outlineLevel="0" collapsed="false">
      <c r="A258" s="17"/>
      <c r="B258" s="17"/>
      <c r="C258" s="198" t="s">
        <v>141</v>
      </c>
      <c r="D258" s="66"/>
      <c r="E258" s="16"/>
      <c r="F258" s="199"/>
      <c r="G258" s="199"/>
      <c r="H258" s="47" t="s">
        <v>99</v>
      </c>
      <c r="I258" s="164" t="n">
        <f aca="false">+I257/2*I$260</f>
        <v>8789</v>
      </c>
      <c r="J258" s="164" t="n">
        <f aca="false">+J257/2*J$260</f>
        <v>8789</v>
      </c>
      <c r="K258" s="164" t="n">
        <f aca="false">+K257/2*K$260</f>
        <v>8437.44</v>
      </c>
      <c r="L258" s="164" t="n">
        <f aca="false">+L257/2*L$260</f>
        <v>8085.88</v>
      </c>
      <c r="M258" s="164" t="n">
        <f aca="false">+M257/2*M$260</f>
        <v>7734.32</v>
      </c>
      <c r="N258" s="164" t="n">
        <f aca="false">+N257/2*N$260</f>
        <v>7382.76</v>
      </c>
      <c r="O258" s="164" t="n">
        <f aca="false">+O257/2*O$260</f>
        <v>6855.42</v>
      </c>
      <c r="P258" s="164" t="n">
        <f aca="false">+P257/2*P$260</f>
        <v>5976.52</v>
      </c>
      <c r="Q258" s="164" t="n">
        <f aca="false">+Q257/2*Q$260</f>
        <v>5097.62</v>
      </c>
      <c r="R258" s="164" t="n">
        <f aca="false">+R257/2*R$260</f>
        <v>4042.94</v>
      </c>
      <c r="S258" s="164" t="n">
        <f aca="false">+S257/2*S$260</f>
        <v>2636.7</v>
      </c>
      <c r="T258" s="164" t="n">
        <f aca="false">+T257/2*T$260</f>
        <v>0</v>
      </c>
      <c r="U258" s="164" t="n">
        <f aca="false">+U257/2*U$260</f>
        <v>0</v>
      </c>
      <c r="V258" s="164" t="n">
        <f aca="false">+V257/2*V$260</f>
        <v>0</v>
      </c>
      <c r="W258" s="164" t="n">
        <f aca="false">+W257/2*W$260</f>
        <v>0</v>
      </c>
      <c r="X258" s="164" t="n">
        <f aca="false">+X257/2*X$260</f>
        <v>0</v>
      </c>
      <c r="Y258" s="164" t="n">
        <f aca="false">+Y257/2*Y$260</f>
        <v>0</v>
      </c>
      <c r="Z258" s="164" t="n">
        <f aca="false">+Z257/2*Z$260</f>
        <v>0</v>
      </c>
      <c r="AA258" s="164" t="n">
        <f aca="false">+AA257/2*AA$260</f>
        <v>0</v>
      </c>
      <c r="AB258" s="164" t="n">
        <f aca="false">+AB257/2*AB$260</f>
        <v>0</v>
      </c>
      <c r="AC258" s="200" t="n">
        <f aca="false">+AC257/2*AC$260</f>
        <v>0</v>
      </c>
      <c r="AD258" s="47"/>
      <c r="AE258" s="47"/>
      <c r="AF258" s="47"/>
      <c r="AG258" s="47"/>
      <c r="AH258" s="47"/>
      <c r="AI258" s="47"/>
      <c r="AJ258" s="47"/>
      <c r="AK258" s="197"/>
      <c r="AL258" s="197"/>
    </row>
    <row r="259" customFormat="false" ht="12.75" hidden="false" customHeight="false" outlineLevel="0" collapsed="false">
      <c r="A259" s="17"/>
      <c r="B259" s="17"/>
      <c r="C259" s="198" t="s">
        <v>142</v>
      </c>
      <c r="D259" s="66"/>
      <c r="E259" s="16"/>
      <c r="F259" s="199"/>
      <c r="G259" s="199"/>
      <c r="H259" s="47" t="s">
        <v>99</v>
      </c>
      <c r="I259" s="164" t="n">
        <f aca="false">+I257/2*I$262</f>
        <v>8789</v>
      </c>
      <c r="J259" s="164" t="n">
        <f aca="false">+J257/2*J$262</f>
        <v>8613.22</v>
      </c>
      <c r="K259" s="164" t="n">
        <f aca="false">+K257/2*K$262</f>
        <v>8261.66</v>
      </c>
      <c r="L259" s="164" t="n">
        <f aca="false">+L257/2*L$262</f>
        <v>7910.1</v>
      </c>
      <c r="M259" s="164" t="n">
        <f aca="false">+M257/2*M$262</f>
        <v>7558.54</v>
      </c>
      <c r="N259" s="164" t="n">
        <f aca="false">+N257/2*N$262</f>
        <v>7119.09</v>
      </c>
      <c r="O259" s="164" t="n">
        <f aca="false">+O257/2*O$262</f>
        <v>6415.97</v>
      </c>
      <c r="P259" s="164" t="n">
        <f aca="false">+P257/2*P$262</f>
        <v>5537.07</v>
      </c>
      <c r="Q259" s="164" t="n">
        <f aca="false">+Q257/2*Q$262</f>
        <v>4570.28</v>
      </c>
      <c r="R259" s="164" t="n">
        <f aca="false">+R257/2*R$262</f>
        <v>3339.82</v>
      </c>
      <c r="S259" s="164" t="n">
        <f aca="false">+S257/2*S$262</f>
        <v>1318.35</v>
      </c>
      <c r="T259" s="164" t="n">
        <f aca="false">+T257/2*T$262</f>
        <v>0</v>
      </c>
      <c r="U259" s="164" t="n">
        <f aca="false">+U257/2*U$262</f>
        <v>0</v>
      </c>
      <c r="V259" s="164" t="n">
        <f aca="false">+V257/2*V$262</f>
        <v>0</v>
      </c>
      <c r="W259" s="164" t="n">
        <f aca="false">+W257/2*W$262</f>
        <v>0</v>
      </c>
      <c r="X259" s="164" t="n">
        <f aca="false">+X257/2*X$262</f>
        <v>0</v>
      </c>
      <c r="Y259" s="164" t="n">
        <f aca="false">+Y257/2*Y$262</f>
        <v>0</v>
      </c>
      <c r="Z259" s="164" t="n">
        <f aca="false">+Z257/2*Z$262</f>
        <v>0</v>
      </c>
      <c r="AA259" s="164" t="n">
        <f aca="false">+AA257/2*AA$262</f>
        <v>0</v>
      </c>
      <c r="AB259" s="164" t="n">
        <f aca="false">+AB257/2*AB$262</f>
        <v>0</v>
      </c>
      <c r="AC259" s="200" t="n">
        <f aca="false">+AC257/2*AC$262</f>
        <v>0</v>
      </c>
      <c r="AD259" s="47"/>
      <c r="AE259" s="47"/>
      <c r="AF259" s="47"/>
      <c r="AG259" s="47"/>
      <c r="AH259" s="47"/>
      <c r="AI259" s="47"/>
      <c r="AJ259" s="47"/>
    </row>
    <row r="260" customFormat="false" ht="12.75" hidden="false" customHeight="false" outlineLevel="0" collapsed="false">
      <c r="A260" s="17"/>
      <c r="B260" s="17"/>
      <c r="C260" s="198" t="s">
        <v>143</v>
      </c>
      <c r="D260" s="66"/>
      <c r="E260" s="16"/>
      <c r="F260" s="201"/>
      <c r="G260" s="201"/>
      <c r="H260" s="47" t="s">
        <v>99</v>
      </c>
      <c r="I260" s="164" t="n">
        <f aca="false">+N314</f>
        <v>220000</v>
      </c>
      <c r="J260" s="164" t="n">
        <f aca="false">+I264</f>
        <v>220000</v>
      </c>
      <c r="K260" s="164" t="n">
        <f aca="false">+J264</f>
        <v>211200</v>
      </c>
      <c r="L260" s="164" t="n">
        <f aca="false">+K264</f>
        <v>202400</v>
      </c>
      <c r="M260" s="164" t="n">
        <f aca="false">+L264</f>
        <v>193600</v>
      </c>
      <c r="N260" s="164" t="n">
        <f aca="false">+M264</f>
        <v>184800</v>
      </c>
      <c r="O260" s="164" t="n">
        <f aca="false">+N264</f>
        <v>171600</v>
      </c>
      <c r="P260" s="164" t="n">
        <f aca="false">+O264</f>
        <v>149600</v>
      </c>
      <c r="Q260" s="164" t="n">
        <f aca="false">+P264</f>
        <v>127600</v>
      </c>
      <c r="R260" s="164" t="n">
        <f aca="false">+Q264</f>
        <v>101200</v>
      </c>
      <c r="S260" s="164" t="n">
        <f aca="false">+R264</f>
        <v>66000</v>
      </c>
      <c r="T260" s="164" t="n">
        <f aca="false">+S264</f>
        <v>0</v>
      </c>
      <c r="U260" s="164" t="n">
        <f aca="false">+T264</f>
        <v>0</v>
      </c>
      <c r="V260" s="164" t="n">
        <f aca="false">+U264</f>
        <v>0</v>
      </c>
      <c r="W260" s="164" t="n">
        <f aca="false">+V264</f>
        <v>0</v>
      </c>
      <c r="X260" s="164" t="n">
        <f aca="false">+W264</f>
        <v>0</v>
      </c>
      <c r="Y260" s="164" t="n">
        <f aca="false">+X264</f>
        <v>0</v>
      </c>
      <c r="Z260" s="164" t="n">
        <f aca="false">+Y264</f>
        <v>0</v>
      </c>
      <c r="AA260" s="164" t="n">
        <f aca="false">+Z264</f>
        <v>0</v>
      </c>
      <c r="AB260" s="164" t="n">
        <f aca="false">+AA264</f>
        <v>0</v>
      </c>
      <c r="AC260" s="200" t="n">
        <f aca="false">+AB264</f>
        <v>0</v>
      </c>
      <c r="AD260" s="47"/>
      <c r="AE260" s="47"/>
      <c r="AF260" s="47"/>
      <c r="AG260" s="47"/>
      <c r="AH260" s="47"/>
      <c r="AI260" s="47"/>
      <c r="AJ260" s="47"/>
    </row>
    <row r="261" customFormat="false" ht="12.75" hidden="false" customHeight="false" outlineLevel="0" collapsed="false">
      <c r="A261" s="17"/>
      <c r="B261" s="17"/>
      <c r="C261" s="198" t="s">
        <v>144</v>
      </c>
      <c r="D261" s="66"/>
      <c r="E261" s="16"/>
      <c r="F261" s="199"/>
      <c r="G261" s="199"/>
      <c r="H261" s="47" t="s">
        <v>99</v>
      </c>
      <c r="I261" s="190" t="n">
        <v>0</v>
      </c>
      <c r="J261" s="190" t="n">
        <v>4400</v>
      </c>
      <c r="K261" s="190" t="n">
        <v>4400</v>
      </c>
      <c r="L261" s="190" t="n">
        <v>4400</v>
      </c>
      <c r="M261" s="190" t="n">
        <v>4400</v>
      </c>
      <c r="N261" s="190" t="n">
        <v>6600</v>
      </c>
      <c r="O261" s="190" t="n">
        <v>11000</v>
      </c>
      <c r="P261" s="190" t="n">
        <v>11000</v>
      </c>
      <c r="Q261" s="190" t="n">
        <v>13200</v>
      </c>
      <c r="R261" s="190" t="n">
        <v>17600</v>
      </c>
      <c r="S261" s="190" t="n">
        <v>33000</v>
      </c>
      <c r="T261" s="190" t="n">
        <v>0</v>
      </c>
      <c r="U261" s="190" t="n">
        <v>0</v>
      </c>
      <c r="V261" s="190" t="n">
        <v>0</v>
      </c>
      <c r="W261" s="190" t="n">
        <v>0</v>
      </c>
      <c r="X261" s="190" t="n">
        <v>0</v>
      </c>
      <c r="Y261" s="190" t="n">
        <v>0</v>
      </c>
      <c r="Z261" s="190" t="n">
        <v>0</v>
      </c>
      <c r="AA261" s="190" t="n">
        <v>0</v>
      </c>
      <c r="AB261" s="190" t="n">
        <v>0</v>
      </c>
      <c r="AC261" s="202" t="n">
        <v>0</v>
      </c>
      <c r="AD261" s="47"/>
      <c r="AE261" s="47"/>
      <c r="AF261" s="47"/>
      <c r="AG261" s="47"/>
      <c r="AH261" s="47"/>
      <c r="AI261" s="47"/>
      <c r="AJ261" s="47"/>
    </row>
    <row r="262" customFormat="false" ht="12.75" hidden="false" customHeight="false" outlineLevel="0" collapsed="false">
      <c r="A262" s="17"/>
      <c r="B262" s="17"/>
      <c r="C262" s="198" t="s">
        <v>145</v>
      </c>
      <c r="D262" s="66"/>
      <c r="E262" s="16"/>
      <c r="F262" s="66"/>
      <c r="G262" s="66"/>
      <c r="H262" s="47" t="s">
        <v>99</v>
      </c>
      <c r="I262" s="164" t="n">
        <f aca="false">+I260-I261</f>
        <v>220000</v>
      </c>
      <c r="J262" s="164" t="n">
        <f aca="false">+J260-J261</f>
        <v>215600</v>
      </c>
      <c r="K262" s="164" t="n">
        <f aca="false">+K260-K261</f>
        <v>206800</v>
      </c>
      <c r="L262" s="164" t="n">
        <f aca="false">+L260-L261</f>
        <v>198000</v>
      </c>
      <c r="M262" s="164" t="n">
        <f aca="false">+M260-M261</f>
        <v>189200</v>
      </c>
      <c r="N262" s="164" t="n">
        <f aca="false">+N260-N261</f>
        <v>178200</v>
      </c>
      <c r="O262" s="164" t="n">
        <f aca="false">+O260-O261</f>
        <v>160600</v>
      </c>
      <c r="P262" s="164" t="n">
        <f aca="false">+P260-P261</f>
        <v>138600</v>
      </c>
      <c r="Q262" s="164" t="n">
        <f aca="false">+Q260-Q261</f>
        <v>114400</v>
      </c>
      <c r="R262" s="164" t="n">
        <f aca="false">+R260-R261</f>
        <v>83600</v>
      </c>
      <c r="S262" s="164" t="n">
        <f aca="false">+S260-S261</f>
        <v>33000</v>
      </c>
      <c r="T262" s="164" t="n">
        <f aca="false">+T260-T261</f>
        <v>0</v>
      </c>
      <c r="U262" s="164" t="n">
        <f aca="false">+U260-U261</f>
        <v>0</v>
      </c>
      <c r="V262" s="164" t="n">
        <f aca="false">+V260-V261</f>
        <v>0</v>
      </c>
      <c r="W262" s="164" t="n">
        <f aca="false">+W260-W261</f>
        <v>0</v>
      </c>
      <c r="X262" s="164" t="n">
        <f aca="false">+X260-X261</f>
        <v>0</v>
      </c>
      <c r="Y262" s="164" t="n">
        <f aca="false">+Y260-Y261</f>
        <v>0</v>
      </c>
      <c r="Z262" s="164" t="n">
        <f aca="false">+Z260-Z261</f>
        <v>0</v>
      </c>
      <c r="AA262" s="164" t="n">
        <f aca="false">+AA260-AA261</f>
        <v>0</v>
      </c>
      <c r="AB262" s="164" t="n">
        <f aca="false">+AB260-AB261</f>
        <v>0</v>
      </c>
      <c r="AC262" s="200" t="n">
        <f aca="false">+AC260-AC261</f>
        <v>0</v>
      </c>
      <c r="AD262" s="47"/>
      <c r="AE262" s="47"/>
      <c r="AF262" s="47"/>
      <c r="AG262" s="47"/>
      <c r="AH262" s="47"/>
      <c r="AI262" s="47"/>
      <c r="AJ262" s="47"/>
    </row>
    <row r="263" customFormat="false" ht="12.75" hidden="false" customHeight="false" outlineLevel="0" collapsed="false">
      <c r="A263" s="17"/>
      <c r="B263" s="17"/>
      <c r="C263" s="198" t="s">
        <v>146</v>
      </c>
      <c r="D263" s="66"/>
      <c r="E263" s="16"/>
      <c r="F263" s="66"/>
      <c r="G263" s="66"/>
      <c r="H263" s="47" t="s">
        <v>99</v>
      </c>
      <c r="I263" s="190" t="n">
        <v>0</v>
      </c>
      <c r="J263" s="190" t="n">
        <v>4400</v>
      </c>
      <c r="K263" s="190" t="n">
        <v>4400</v>
      </c>
      <c r="L263" s="190" t="n">
        <v>4400</v>
      </c>
      <c r="M263" s="190" t="n">
        <v>4400</v>
      </c>
      <c r="N263" s="190" t="n">
        <v>6600</v>
      </c>
      <c r="O263" s="190" t="n">
        <v>11000</v>
      </c>
      <c r="P263" s="190" t="n">
        <v>11000</v>
      </c>
      <c r="Q263" s="190" t="n">
        <v>13200</v>
      </c>
      <c r="R263" s="190" t="n">
        <v>17600</v>
      </c>
      <c r="S263" s="190" t="n">
        <v>33000</v>
      </c>
      <c r="T263" s="190" t="n">
        <v>0</v>
      </c>
      <c r="U263" s="190" t="n">
        <v>0</v>
      </c>
      <c r="V263" s="190" t="n">
        <v>0</v>
      </c>
      <c r="W263" s="190" t="n">
        <v>0</v>
      </c>
      <c r="X263" s="190" t="n">
        <v>0</v>
      </c>
      <c r="Y263" s="190" t="n">
        <v>0</v>
      </c>
      <c r="Z263" s="190" t="n">
        <v>0</v>
      </c>
      <c r="AA263" s="190" t="n">
        <v>0</v>
      </c>
      <c r="AB263" s="190" t="n">
        <v>0</v>
      </c>
      <c r="AC263" s="202" t="n">
        <v>0</v>
      </c>
      <c r="AD263" s="47"/>
      <c r="AE263" s="47"/>
      <c r="AF263" s="47"/>
      <c r="AG263" s="47"/>
      <c r="AH263" s="47"/>
      <c r="AI263" s="47"/>
      <c r="AJ263" s="47"/>
    </row>
    <row r="264" customFormat="false" ht="12.75" hidden="false" customHeight="false" outlineLevel="0" collapsed="false">
      <c r="A264" s="17"/>
      <c r="B264" s="17"/>
      <c r="C264" s="203" t="s">
        <v>147</v>
      </c>
      <c r="D264" s="11"/>
      <c r="E264" s="12"/>
      <c r="F264" s="11"/>
      <c r="G264" s="11"/>
      <c r="H264" s="81" t="s">
        <v>99</v>
      </c>
      <c r="I264" s="204" t="n">
        <f aca="false">+I262-I263</f>
        <v>220000</v>
      </c>
      <c r="J264" s="204" t="n">
        <f aca="false">+J262-J263</f>
        <v>211200</v>
      </c>
      <c r="K264" s="204" t="n">
        <f aca="false">+K262-K263</f>
        <v>202400</v>
      </c>
      <c r="L264" s="204" t="n">
        <f aca="false">+L262-L263</f>
        <v>193600</v>
      </c>
      <c r="M264" s="204" t="n">
        <f aca="false">+M262-M263</f>
        <v>184800</v>
      </c>
      <c r="N264" s="204" t="n">
        <f aca="false">+N262-N263</f>
        <v>171600</v>
      </c>
      <c r="O264" s="204" t="n">
        <f aca="false">+O262-O263</f>
        <v>149600</v>
      </c>
      <c r="P264" s="204" t="n">
        <f aca="false">+P262-P263</f>
        <v>127600</v>
      </c>
      <c r="Q264" s="204" t="n">
        <f aca="false">+Q262-Q263</f>
        <v>101200</v>
      </c>
      <c r="R264" s="204" t="n">
        <f aca="false">+R262-R263</f>
        <v>66000</v>
      </c>
      <c r="S264" s="204" t="n">
        <f aca="false">+S262-S263</f>
        <v>0</v>
      </c>
      <c r="T264" s="204" t="n">
        <f aca="false">+T262-T263</f>
        <v>0</v>
      </c>
      <c r="U264" s="204" t="n">
        <f aca="false">+U262-U263</f>
        <v>0</v>
      </c>
      <c r="V264" s="204" t="n">
        <f aca="false">+V262-V263</f>
        <v>0</v>
      </c>
      <c r="W264" s="204" t="n">
        <f aca="false">+W262-W263</f>
        <v>0</v>
      </c>
      <c r="X264" s="204" t="n">
        <f aca="false">+X262-X263</f>
        <v>0</v>
      </c>
      <c r="Y264" s="204" t="n">
        <f aca="false">+Y262-Y263</f>
        <v>0</v>
      </c>
      <c r="Z264" s="204" t="n">
        <f aca="false">+Z262-Z263</f>
        <v>0</v>
      </c>
      <c r="AA264" s="204" t="n">
        <f aca="false">+AA262-AA263</f>
        <v>0</v>
      </c>
      <c r="AB264" s="204" t="n">
        <f aca="false">+AB262-AB263</f>
        <v>0</v>
      </c>
      <c r="AC264" s="205" t="n">
        <f aca="false">+AC262-AC263</f>
        <v>0</v>
      </c>
      <c r="AD264" s="47"/>
      <c r="AE264" s="47"/>
      <c r="AF264" s="47"/>
      <c r="AG264" s="47"/>
      <c r="AH264" s="47"/>
      <c r="AI264" s="47"/>
      <c r="AJ264" s="47"/>
    </row>
    <row r="265" customFormat="false" ht="12.75" hidden="false" customHeight="false" outlineLevel="0" collapsed="false">
      <c r="A265" s="17"/>
      <c r="B265" s="16"/>
      <c r="C265" s="16"/>
      <c r="D265" s="17"/>
      <c r="E265" s="16"/>
      <c r="F265" s="17"/>
      <c r="G265" s="17"/>
      <c r="H265" s="47"/>
      <c r="I265" s="164"/>
      <c r="J265" s="164"/>
      <c r="K265" s="164"/>
      <c r="L265" s="164"/>
      <c r="M265" s="164"/>
      <c r="N265" s="164"/>
      <c r="O265" s="164"/>
      <c r="P265" s="164"/>
      <c r="Q265" s="164"/>
      <c r="R265" s="164"/>
      <c r="S265" s="164"/>
      <c r="T265" s="164"/>
      <c r="U265" s="164"/>
      <c r="V265" s="164"/>
      <c r="W265" s="164"/>
      <c r="X265" s="164"/>
      <c r="Y265" s="164"/>
      <c r="Z265" s="164"/>
      <c r="AA265" s="164"/>
      <c r="AB265" s="164"/>
      <c r="AC265" s="164"/>
      <c r="AD265" s="47"/>
      <c r="AE265" s="47"/>
      <c r="AF265" s="47"/>
      <c r="AG265" s="47"/>
      <c r="AH265" s="47"/>
      <c r="AI265" s="47"/>
      <c r="AJ265" s="47"/>
    </row>
    <row r="266" customFormat="false" ht="12.75" hidden="false" customHeight="false" outlineLevel="0" collapsed="false">
      <c r="A266" s="17"/>
      <c r="B266" s="16" t="s">
        <v>137</v>
      </c>
      <c r="C266" s="16"/>
      <c r="D266" s="17"/>
      <c r="E266" s="16"/>
      <c r="F266" s="17"/>
      <c r="G266" s="17"/>
      <c r="H266" s="47" t="s">
        <v>99</v>
      </c>
      <c r="I266" s="164" t="n">
        <f aca="false">+I258+I259</f>
        <v>17578</v>
      </c>
      <c r="J266" s="164" t="n">
        <f aca="false">+J258+J259</f>
        <v>17402.22</v>
      </c>
      <c r="K266" s="164" t="n">
        <f aca="false">+K258+K259</f>
        <v>16699.1</v>
      </c>
      <c r="L266" s="164" t="n">
        <f aca="false">+L258+L259</f>
        <v>15995.98</v>
      </c>
      <c r="M266" s="164" t="n">
        <f aca="false">+M258+M259</f>
        <v>15292.86</v>
      </c>
      <c r="N266" s="164" t="n">
        <f aca="false">+N258+N259</f>
        <v>14501.85</v>
      </c>
      <c r="O266" s="164" t="n">
        <f aca="false">+O258+O259</f>
        <v>13271.39</v>
      </c>
      <c r="P266" s="164" t="n">
        <f aca="false">+P258+P259</f>
        <v>11513.59</v>
      </c>
      <c r="Q266" s="164" t="n">
        <f aca="false">+Q258+Q259</f>
        <v>9667.9</v>
      </c>
      <c r="R266" s="164" t="n">
        <f aca="false">+R258+R259</f>
        <v>7382.76</v>
      </c>
      <c r="S266" s="164" t="n">
        <f aca="false">+S258+S259</f>
        <v>3955.05</v>
      </c>
      <c r="T266" s="164" t="n">
        <f aca="false">+T258+T259</f>
        <v>0</v>
      </c>
      <c r="U266" s="164" t="n">
        <f aca="false">+U258+U259</f>
        <v>0</v>
      </c>
      <c r="V266" s="164" t="n">
        <f aca="false">+V258+V259</f>
        <v>0</v>
      </c>
      <c r="W266" s="164" t="n">
        <f aca="false">+W258+W259</f>
        <v>0</v>
      </c>
      <c r="X266" s="164" t="n">
        <f aca="false">+X258+X259</f>
        <v>0</v>
      </c>
      <c r="Y266" s="164" t="n">
        <f aca="false">+Y258+Y259</f>
        <v>0</v>
      </c>
      <c r="Z266" s="164" t="n">
        <f aca="false">+Z258+Z259</f>
        <v>0</v>
      </c>
      <c r="AA266" s="164" t="n">
        <f aca="false">+AA258+AA259</f>
        <v>0</v>
      </c>
      <c r="AB266" s="164" t="n">
        <f aca="false">+AB258+AB259</f>
        <v>0</v>
      </c>
      <c r="AC266" s="164" t="n">
        <f aca="false">+AC258+AC259</f>
        <v>0</v>
      </c>
      <c r="AD266" s="47"/>
      <c r="AE266" s="47"/>
      <c r="AF266" s="47"/>
      <c r="AG266" s="47"/>
      <c r="AH266" s="47"/>
      <c r="AI266" s="47"/>
      <c r="AJ266" s="47"/>
    </row>
    <row r="267" customFormat="false" ht="12.75" hidden="false" customHeight="false" outlineLevel="0" collapsed="false">
      <c r="A267" s="17"/>
      <c r="B267" s="16" t="s">
        <v>138</v>
      </c>
      <c r="C267" s="16"/>
      <c r="D267" s="17"/>
      <c r="E267" s="16"/>
      <c r="F267" s="17"/>
      <c r="G267" s="17"/>
      <c r="H267" s="47" t="s">
        <v>99</v>
      </c>
      <c r="I267" s="204" t="n">
        <f aca="false">+I261+I263</f>
        <v>0</v>
      </c>
      <c r="J267" s="204" t="n">
        <f aca="false">+J261+J263</f>
        <v>8800</v>
      </c>
      <c r="K267" s="204" t="n">
        <f aca="false">+K261+K263</f>
        <v>8800</v>
      </c>
      <c r="L267" s="204" t="n">
        <f aca="false">+L261+L263</f>
        <v>8800</v>
      </c>
      <c r="M267" s="204" t="n">
        <f aca="false">+M261+M263</f>
        <v>8800</v>
      </c>
      <c r="N267" s="204" t="n">
        <f aca="false">+N261+N263</f>
        <v>13200</v>
      </c>
      <c r="O267" s="204" t="n">
        <f aca="false">+O261+O263</f>
        <v>22000</v>
      </c>
      <c r="P267" s="204" t="n">
        <f aca="false">+P261+P263</f>
        <v>22000</v>
      </c>
      <c r="Q267" s="204" t="n">
        <f aca="false">+Q261+Q263</f>
        <v>26400</v>
      </c>
      <c r="R267" s="204" t="n">
        <f aca="false">+R261+R263</f>
        <v>35200</v>
      </c>
      <c r="S267" s="204" t="n">
        <f aca="false">+S261+S263</f>
        <v>66000</v>
      </c>
      <c r="T267" s="204" t="n">
        <f aca="false">+T261+T263</f>
        <v>0</v>
      </c>
      <c r="U267" s="204" t="n">
        <f aca="false">+U261+U263</f>
        <v>0</v>
      </c>
      <c r="V267" s="204" t="n">
        <f aca="false">+V261+V263</f>
        <v>0</v>
      </c>
      <c r="W267" s="204" t="n">
        <f aca="false">+W261+W263</f>
        <v>0</v>
      </c>
      <c r="X267" s="204" t="n">
        <f aca="false">+X261+X263</f>
        <v>0</v>
      </c>
      <c r="Y267" s="204" t="n">
        <f aca="false">+Y261+Y263</f>
        <v>0</v>
      </c>
      <c r="Z267" s="204" t="n">
        <f aca="false">+Z261+Z263</f>
        <v>0</v>
      </c>
      <c r="AA267" s="204" t="n">
        <f aca="false">+AA261+AA263</f>
        <v>0</v>
      </c>
      <c r="AB267" s="204" t="n">
        <f aca="false">+AB261+AB263</f>
        <v>0</v>
      </c>
      <c r="AC267" s="204" t="n">
        <f aca="false">+AC261+AC263</f>
        <v>0</v>
      </c>
      <c r="AD267" s="47"/>
      <c r="AE267" s="47"/>
      <c r="AF267" s="47"/>
      <c r="AG267" s="47"/>
      <c r="AH267" s="47"/>
      <c r="AI267" s="47"/>
      <c r="AJ267" s="47"/>
    </row>
    <row r="268" customFormat="false" ht="12.75" hidden="false" customHeight="false" outlineLevel="0" collapsed="false">
      <c r="A268" s="17"/>
      <c r="B268" s="16" t="s">
        <v>139</v>
      </c>
      <c r="C268" s="17"/>
      <c r="D268" s="17"/>
      <c r="E268" s="17"/>
      <c r="F268" s="17"/>
      <c r="G268" s="17"/>
      <c r="H268" s="47" t="s">
        <v>99</v>
      </c>
      <c r="I268" s="149" t="n">
        <f aca="false">SUM(I266:I267)</f>
        <v>17578</v>
      </c>
      <c r="J268" s="149" t="n">
        <f aca="false">SUM(J266:J267)</f>
        <v>26202.22</v>
      </c>
      <c r="K268" s="149" t="n">
        <f aca="false">SUM(K266:K267)</f>
        <v>25499.1</v>
      </c>
      <c r="L268" s="149" t="n">
        <f aca="false">SUM(L266:L267)</f>
        <v>24795.98</v>
      </c>
      <c r="M268" s="149" t="n">
        <f aca="false">SUM(M266:M267)</f>
        <v>24092.86</v>
      </c>
      <c r="N268" s="149" t="n">
        <f aca="false">SUM(N266:N267)</f>
        <v>27701.85</v>
      </c>
      <c r="O268" s="149" t="n">
        <f aca="false">SUM(O266:O267)</f>
        <v>35271.39</v>
      </c>
      <c r="P268" s="149" t="n">
        <f aca="false">SUM(P266:P267)</f>
        <v>33513.59</v>
      </c>
      <c r="Q268" s="149" t="n">
        <f aca="false">SUM(Q266:Q267)</f>
        <v>36067.9</v>
      </c>
      <c r="R268" s="149" t="n">
        <f aca="false">SUM(R266:R267)</f>
        <v>42582.76</v>
      </c>
      <c r="S268" s="149" t="n">
        <f aca="false">SUM(S266:S267)</f>
        <v>69955.05</v>
      </c>
      <c r="T268" s="149" t="n">
        <f aca="false">SUM(T266:T267)</f>
        <v>0</v>
      </c>
      <c r="U268" s="149" t="n">
        <f aca="false">SUM(U266:U267)</f>
        <v>0</v>
      </c>
      <c r="V268" s="149" t="n">
        <f aca="false">SUM(V266:V267)</f>
        <v>0</v>
      </c>
      <c r="W268" s="149" t="n">
        <f aca="false">SUM(W266:W267)</f>
        <v>0</v>
      </c>
      <c r="X268" s="149" t="n">
        <f aca="false">SUM(X266:X267)</f>
        <v>0</v>
      </c>
      <c r="Y268" s="149" t="n">
        <f aca="false">SUM(Y266:Y267)</f>
        <v>0</v>
      </c>
      <c r="Z268" s="149" t="n">
        <f aca="false">SUM(Z266:Z267)</f>
        <v>0</v>
      </c>
      <c r="AA268" s="149" t="n">
        <f aca="false">SUM(AA266:AA267)</f>
        <v>0</v>
      </c>
      <c r="AB268" s="149" t="n">
        <f aca="false">SUM(AB266:AB267)</f>
        <v>0</v>
      </c>
      <c r="AC268" s="149" t="n">
        <f aca="false">SUM(AC266:AC267)</f>
        <v>0</v>
      </c>
    </row>
    <row r="269" customFormat="false" ht="12.75" hidden="false" customHeight="false" outlineLevel="0" collapsed="false">
      <c r="A269" s="17"/>
      <c r="B269" s="17"/>
      <c r="C269" s="17"/>
      <c r="D269" s="17"/>
      <c r="E269" s="17"/>
      <c r="F269" s="17"/>
      <c r="G269" s="17"/>
      <c r="H269" s="16"/>
      <c r="I269" s="157" t="s">
        <v>3</v>
      </c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  <c r="Z269" s="157"/>
      <c r="AA269" s="157"/>
      <c r="AB269" s="157"/>
      <c r="AC269" s="157"/>
    </row>
    <row r="270" customFormat="false" ht="12.75" hidden="false" customHeight="false" outlineLevel="0" collapsed="false">
      <c r="A270" s="17"/>
      <c r="B270" s="189" t="s">
        <v>148</v>
      </c>
      <c r="C270" s="17"/>
      <c r="D270" s="17"/>
      <c r="E270" s="17"/>
      <c r="F270" s="17"/>
      <c r="G270" s="17"/>
      <c r="H270" s="16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  <c r="Z270" s="157"/>
      <c r="AA270" s="157"/>
      <c r="AB270" s="157"/>
      <c r="AC270" s="157"/>
    </row>
    <row r="271" customFormat="false" ht="12.75" hidden="false" customHeight="false" outlineLevel="0" collapsed="false">
      <c r="A271" s="17"/>
      <c r="B271" s="17"/>
      <c r="C271" s="17"/>
      <c r="D271" s="17"/>
      <c r="E271" s="17"/>
      <c r="F271" s="17"/>
      <c r="G271" s="17"/>
      <c r="H271" s="16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  <c r="Z271" s="157"/>
      <c r="AA271" s="157"/>
      <c r="AB271" s="157"/>
      <c r="AC271" s="157"/>
    </row>
    <row r="272" customFormat="false" ht="12.75" hidden="false" customHeight="false" outlineLevel="0" collapsed="false">
      <c r="A272" s="17"/>
      <c r="B272" s="16"/>
      <c r="C272" s="206"/>
      <c r="D272" s="87"/>
      <c r="E272" s="87"/>
      <c r="F272" s="87"/>
      <c r="G272" s="87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207"/>
    </row>
    <row r="273" customFormat="false" ht="15" hidden="false" customHeight="false" outlineLevel="0" collapsed="false">
      <c r="A273" s="17"/>
      <c r="B273" s="16"/>
      <c r="C273" s="208"/>
      <c r="D273" s="60" t="s">
        <v>149</v>
      </c>
      <c r="E273" s="60"/>
      <c r="F273" s="16"/>
      <c r="G273" s="16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209"/>
    </row>
    <row r="274" customFormat="false" ht="12.75" hidden="false" customHeight="false" outlineLevel="0" collapsed="false">
      <c r="A274" s="17"/>
      <c r="B274" s="16"/>
      <c r="C274" s="208"/>
      <c r="D274" s="16" t="s">
        <v>9</v>
      </c>
      <c r="E274" s="16"/>
      <c r="F274" s="16"/>
      <c r="G274" s="16"/>
      <c r="H274" s="47"/>
      <c r="I274" s="210" t="n">
        <v>0.085</v>
      </c>
      <c r="J274" s="210" t="n">
        <v>0.085</v>
      </c>
      <c r="K274" s="210" t="n">
        <v>0.085</v>
      </c>
      <c r="L274" s="211" t="n">
        <f aca="false">+I274+0.0025</f>
        <v>0.0875</v>
      </c>
      <c r="M274" s="211" t="n">
        <f aca="false">+J274+0.0025</f>
        <v>0.0875</v>
      </c>
      <c r="N274" s="211" t="n">
        <f aca="false">+K274+0.0025</f>
        <v>0.0875</v>
      </c>
      <c r="O274" s="211" t="n">
        <f aca="false">+L274+0.0025</f>
        <v>0.09</v>
      </c>
      <c r="P274" s="211" t="n">
        <f aca="false">+M274+0.0025</f>
        <v>0.09</v>
      </c>
      <c r="Q274" s="211" t="n">
        <f aca="false">+N274+0.0025</f>
        <v>0.09</v>
      </c>
      <c r="R274" s="211" t="n">
        <f aca="false">+O274+0.0025</f>
        <v>0.0925</v>
      </c>
      <c r="S274" s="211" t="n">
        <f aca="false">+P274+0.0025</f>
        <v>0.0925</v>
      </c>
      <c r="T274" s="211" t="n">
        <f aca="false">+Q274+0.0025</f>
        <v>0.0925</v>
      </c>
      <c r="U274" s="212"/>
      <c r="V274" s="212"/>
      <c r="W274" s="212"/>
      <c r="X274" s="212"/>
      <c r="Y274" s="212"/>
      <c r="Z274" s="212"/>
      <c r="AA274" s="212"/>
      <c r="AB274" s="212"/>
      <c r="AC274" s="213"/>
    </row>
    <row r="275" customFormat="false" ht="12.75" hidden="false" customHeight="false" outlineLevel="0" collapsed="false">
      <c r="A275" s="17"/>
      <c r="B275" s="16"/>
      <c r="C275" s="208"/>
      <c r="D275" s="16" t="s">
        <v>141</v>
      </c>
      <c r="E275" s="16"/>
      <c r="F275" s="199"/>
      <c r="G275" s="199"/>
      <c r="H275" s="47"/>
      <c r="I275" s="164" t="n">
        <f aca="false">+I$274/2*I$278</f>
        <v>0</v>
      </c>
      <c r="J275" s="164" t="n">
        <f aca="false">+J$274/2*J$278</f>
        <v>0</v>
      </c>
      <c r="K275" s="164" t="n">
        <f aca="false">+K$274/2*K$278</f>
        <v>0</v>
      </c>
      <c r="L275" s="164" t="n">
        <f aca="false">+L$274/2*L$278</f>
        <v>0</v>
      </c>
      <c r="M275" s="164" t="n">
        <f aca="false">+M$274/2*M$278</f>
        <v>0</v>
      </c>
      <c r="N275" s="164" t="n">
        <f aca="false">+N$274/2*N$278</f>
        <v>0</v>
      </c>
      <c r="O275" s="164" t="n">
        <f aca="false">+O$274/2*O$278</f>
        <v>0</v>
      </c>
      <c r="P275" s="164" t="n">
        <f aca="false">+P$274/2*P$278</f>
        <v>0</v>
      </c>
      <c r="Q275" s="164" t="n">
        <f aca="false">+Q$274/2*Q$278</f>
        <v>0</v>
      </c>
      <c r="R275" s="164" t="n">
        <f aca="false">+R$274/2*R$278</f>
        <v>0</v>
      </c>
      <c r="S275" s="164" t="n">
        <f aca="false">+S$274/2*S$278</f>
        <v>0</v>
      </c>
      <c r="T275" s="164" t="n">
        <f aca="false">+T$274/2*T$278</f>
        <v>0</v>
      </c>
      <c r="U275" s="164" t="n">
        <f aca="false">+U$274/2*U$278</f>
        <v>0</v>
      </c>
      <c r="V275" s="164" t="n">
        <f aca="false">+V$274/2*V$278</f>
        <v>0</v>
      </c>
      <c r="W275" s="164" t="n">
        <f aca="false">+W$274/2*W$278</f>
        <v>0</v>
      </c>
      <c r="X275" s="164" t="n">
        <f aca="false">+X$274/2*X$278</f>
        <v>0</v>
      </c>
      <c r="Y275" s="164" t="n">
        <f aca="false">+Y$274/2*Y$278</f>
        <v>0</v>
      </c>
      <c r="Z275" s="164" t="n">
        <f aca="false">+Z$274/2*Z$278</f>
        <v>0</v>
      </c>
      <c r="AA275" s="164" t="n">
        <f aca="false">+AA$274/2*AA$278</f>
        <v>0</v>
      </c>
      <c r="AB275" s="164" t="n">
        <f aca="false">+AB$274/2*AB$278</f>
        <v>0</v>
      </c>
      <c r="AC275" s="200" t="n">
        <f aca="false">+AC$274/2*AC$278</f>
        <v>0</v>
      </c>
    </row>
    <row r="276" customFormat="false" ht="12.75" hidden="false" customHeight="false" outlineLevel="0" collapsed="false">
      <c r="A276" s="17"/>
      <c r="B276" s="16"/>
      <c r="C276" s="208"/>
      <c r="D276" s="16" t="s">
        <v>142</v>
      </c>
      <c r="E276" s="16"/>
      <c r="F276" s="199"/>
      <c r="G276" s="199"/>
      <c r="H276" s="47"/>
      <c r="I276" s="164" t="n">
        <f aca="false">+I$274/2*I$280</f>
        <v>0</v>
      </c>
      <c r="J276" s="164" t="n">
        <f aca="false">+J$274/2*J$280</f>
        <v>0</v>
      </c>
      <c r="K276" s="164" t="n">
        <f aca="false">+K$274/2*K$280</f>
        <v>0</v>
      </c>
      <c r="L276" s="164" t="n">
        <f aca="false">+L$274/2*L$280</f>
        <v>0</v>
      </c>
      <c r="M276" s="164" t="n">
        <f aca="false">+M$274/2*M$280</f>
        <v>0</v>
      </c>
      <c r="N276" s="164" t="n">
        <f aca="false">+N$274/2*N$280</f>
        <v>0</v>
      </c>
      <c r="O276" s="164" t="n">
        <f aca="false">+O$274/2*O$280</f>
        <v>0</v>
      </c>
      <c r="P276" s="164" t="n">
        <f aca="false">+P$274/2*P$280</f>
        <v>0</v>
      </c>
      <c r="Q276" s="164" t="n">
        <f aca="false">+Q$274/2*Q$280</f>
        <v>0</v>
      </c>
      <c r="R276" s="164" t="n">
        <f aca="false">+R$274/2*R$280</f>
        <v>0</v>
      </c>
      <c r="S276" s="164" t="n">
        <f aca="false">+S$274/2*S$280</f>
        <v>0</v>
      </c>
      <c r="T276" s="164" t="n">
        <f aca="false">+T$274/2*T$280</f>
        <v>0</v>
      </c>
      <c r="U276" s="164" t="n">
        <f aca="false">+U$274/2*U$280</f>
        <v>0</v>
      </c>
      <c r="V276" s="164" t="n">
        <f aca="false">+V$274/2*V$280</f>
        <v>0</v>
      </c>
      <c r="W276" s="164" t="n">
        <f aca="false">+W$274/2*W$280</f>
        <v>0</v>
      </c>
      <c r="X276" s="164" t="n">
        <f aca="false">+X$274/2*X$280</f>
        <v>0</v>
      </c>
      <c r="Y276" s="164" t="n">
        <f aca="false">+Y$274/2*Y$280</f>
        <v>0</v>
      </c>
      <c r="Z276" s="164" t="n">
        <f aca="false">+Z$274/2*Z$280</f>
        <v>0</v>
      </c>
      <c r="AA276" s="164" t="n">
        <f aca="false">+AA$274/2*AA$280</f>
        <v>0</v>
      </c>
      <c r="AB276" s="164" t="n">
        <f aca="false">+AB$274/2*AB$280</f>
        <v>0</v>
      </c>
      <c r="AC276" s="200" t="n">
        <f aca="false">+AC$274/2*AC$280</f>
        <v>0</v>
      </c>
    </row>
    <row r="277" customFormat="false" ht="12.75" hidden="false" customHeight="false" outlineLevel="0" collapsed="false">
      <c r="A277" s="17"/>
      <c r="B277" s="16"/>
      <c r="C277" s="208"/>
      <c r="D277" s="16" t="s">
        <v>150</v>
      </c>
      <c r="E277" s="16"/>
      <c r="F277" s="214"/>
      <c r="G277" s="215" t="s">
        <v>151</v>
      </c>
      <c r="H277" s="216" t="n">
        <f aca="false">SUM(I277:T277)</f>
        <v>1</v>
      </c>
      <c r="I277" s="210" t="n">
        <v>0.01</v>
      </c>
      <c r="J277" s="210" t="n">
        <v>0.02</v>
      </c>
      <c r="K277" s="210" t="n">
        <v>0.04</v>
      </c>
      <c r="L277" s="210" t="n">
        <v>0.07</v>
      </c>
      <c r="M277" s="210" t="n">
        <v>0.07</v>
      </c>
      <c r="N277" s="210" t="n">
        <v>0.07</v>
      </c>
      <c r="O277" s="210" t="n">
        <v>0.08</v>
      </c>
      <c r="P277" s="210" t="n">
        <v>0.09</v>
      </c>
      <c r="Q277" s="210" t="n">
        <v>0.13</v>
      </c>
      <c r="R277" s="210" t="n">
        <v>0.14</v>
      </c>
      <c r="S277" s="210" t="n">
        <v>0.2</v>
      </c>
      <c r="T277" s="210" t="n">
        <v>0.08</v>
      </c>
      <c r="U277" s="212"/>
      <c r="V277" s="212"/>
      <c r="W277" s="212"/>
      <c r="X277" s="212"/>
      <c r="Y277" s="212"/>
      <c r="Z277" s="212"/>
      <c r="AA277" s="212"/>
      <c r="AB277" s="212"/>
      <c r="AC277" s="213"/>
    </row>
    <row r="278" customFormat="false" ht="12.75" hidden="false" customHeight="false" outlineLevel="0" collapsed="false">
      <c r="A278" s="17"/>
      <c r="B278" s="16"/>
      <c r="C278" s="208"/>
      <c r="D278" s="16" t="s">
        <v>143</v>
      </c>
      <c r="E278" s="16"/>
      <c r="F278" s="217" t="n">
        <v>950000</v>
      </c>
      <c r="G278" s="201"/>
      <c r="H278" s="47" t="s">
        <v>99</v>
      </c>
      <c r="I278" s="218" t="n">
        <v>0</v>
      </c>
      <c r="J278" s="164" t="n">
        <f aca="false">+I282</f>
        <v>0</v>
      </c>
      <c r="K278" s="164" t="n">
        <f aca="false">+J282</f>
        <v>0</v>
      </c>
      <c r="L278" s="164" t="n">
        <f aca="false">+K282</f>
        <v>0</v>
      </c>
      <c r="M278" s="164" t="n">
        <f aca="false">+L282</f>
        <v>0</v>
      </c>
      <c r="N278" s="164" t="n">
        <f aca="false">+M282</f>
        <v>0</v>
      </c>
      <c r="O278" s="164" t="n">
        <f aca="false">+N282</f>
        <v>0</v>
      </c>
      <c r="P278" s="164" t="n">
        <f aca="false">+O282</f>
        <v>0</v>
      </c>
      <c r="Q278" s="164" t="n">
        <f aca="false">+P282</f>
        <v>0</v>
      </c>
      <c r="R278" s="164" t="n">
        <f aca="false">+Q282</f>
        <v>0</v>
      </c>
      <c r="S278" s="164" t="n">
        <f aca="false">+R282</f>
        <v>0</v>
      </c>
      <c r="T278" s="164" t="n">
        <f aca="false">+S282</f>
        <v>0</v>
      </c>
      <c r="U278" s="164" t="n">
        <f aca="false">+T282</f>
        <v>0</v>
      </c>
      <c r="V278" s="164" t="n">
        <f aca="false">+U282</f>
        <v>0</v>
      </c>
      <c r="W278" s="164" t="n">
        <f aca="false">+V282</f>
        <v>0</v>
      </c>
      <c r="X278" s="164" t="n">
        <f aca="false">+W282</f>
        <v>0</v>
      </c>
      <c r="Y278" s="164" t="n">
        <f aca="false">+X282</f>
        <v>0</v>
      </c>
      <c r="Z278" s="164" t="n">
        <f aca="false">+Y282</f>
        <v>0</v>
      </c>
      <c r="AA278" s="164" t="n">
        <f aca="false">+Z282</f>
        <v>0</v>
      </c>
      <c r="AB278" s="164" t="n">
        <f aca="false">+AA282</f>
        <v>0</v>
      </c>
      <c r="AC278" s="200" t="n">
        <f aca="false">+AB282</f>
        <v>0</v>
      </c>
    </row>
    <row r="279" customFormat="false" ht="12.75" hidden="false" customHeight="false" outlineLevel="0" collapsed="false">
      <c r="A279" s="17"/>
      <c r="B279" s="16"/>
      <c r="C279" s="208"/>
      <c r="D279" s="16" t="s">
        <v>144</v>
      </c>
      <c r="E279" s="16"/>
      <c r="F279" s="199"/>
      <c r="G279" s="199"/>
      <c r="H279" s="47" t="s">
        <v>99</v>
      </c>
      <c r="I279" s="164" t="n">
        <f aca="false">+I277*$I$278/2</f>
        <v>0</v>
      </c>
      <c r="J279" s="164" t="n">
        <f aca="false">+J277*$I$278/2</f>
        <v>0</v>
      </c>
      <c r="K279" s="164" t="n">
        <f aca="false">+K277*$I$278/2</f>
        <v>0</v>
      </c>
      <c r="L279" s="164" t="n">
        <f aca="false">+L277*$I$278/2</f>
        <v>0</v>
      </c>
      <c r="M279" s="164" t="n">
        <f aca="false">+M277*$I$278/2</f>
        <v>0</v>
      </c>
      <c r="N279" s="164" t="n">
        <f aca="false">+N277*$I$278/2</f>
        <v>0</v>
      </c>
      <c r="O279" s="164" t="n">
        <f aca="false">+O277*$I$278/2</f>
        <v>0</v>
      </c>
      <c r="P279" s="164" t="n">
        <f aca="false">+P277*$I$278/2</f>
        <v>0</v>
      </c>
      <c r="Q279" s="164" t="n">
        <f aca="false">+Q277*$I$278/2</f>
        <v>0</v>
      </c>
      <c r="R279" s="164" t="n">
        <f aca="false">+R277*$I$278/2</f>
        <v>0</v>
      </c>
      <c r="S279" s="164" t="n">
        <f aca="false">+S277*$I$278/2</f>
        <v>0</v>
      </c>
      <c r="T279" s="164" t="n">
        <f aca="false">+T277*$I$278/2</f>
        <v>0</v>
      </c>
      <c r="U279" s="164" t="n">
        <f aca="false">+U277*$I$278/2</f>
        <v>0</v>
      </c>
      <c r="V279" s="164" t="n">
        <f aca="false">+V277*$I$278/2</f>
        <v>0</v>
      </c>
      <c r="W279" s="164" t="n">
        <f aca="false">+W277*$I$278/2</f>
        <v>0</v>
      </c>
      <c r="X279" s="164" t="n">
        <f aca="false">+X277*$I$278/2</f>
        <v>0</v>
      </c>
      <c r="Y279" s="164" t="n">
        <f aca="false">+Y277*$I$278/2</f>
        <v>0</v>
      </c>
      <c r="Z279" s="164" t="n">
        <f aca="false">+Z277*$I$278/2</f>
        <v>0</v>
      </c>
      <c r="AA279" s="164" t="n">
        <f aca="false">+AA277*$I$278/2</f>
        <v>0</v>
      </c>
      <c r="AB279" s="164" t="n">
        <f aca="false">+AB277*$I$278/2</f>
        <v>0</v>
      </c>
      <c r="AC279" s="200" t="n">
        <f aca="false">+AC277*$I$278/2</f>
        <v>0</v>
      </c>
    </row>
    <row r="280" customFormat="false" ht="12.75" hidden="false" customHeight="false" outlineLevel="0" collapsed="false">
      <c r="A280" s="17"/>
      <c r="B280" s="16"/>
      <c r="C280" s="208"/>
      <c r="D280" s="16" t="s">
        <v>145</v>
      </c>
      <c r="E280" s="16"/>
      <c r="F280" s="17"/>
      <c r="G280" s="17"/>
      <c r="H280" s="47" t="s">
        <v>99</v>
      </c>
      <c r="I280" s="164" t="n">
        <f aca="false">+I278-I279</f>
        <v>0</v>
      </c>
      <c r="J280" s="164" t="n">
        <f aca="false">+J278-J279</f>
        <v>0</v>
      </c>
      <c r="K280" s="164" t="n">
        <f aca="false">+K278-K279</f>
        <v>0</v>
      </c>
      <c r="L280" s="164" t="n">
        <f aca="false">+L278-L279</f>
        <v>0</v>
      </c>
      <c r="M280" s="164" t="n">
        <f aca="false">+M278-M279</f>
        <v>0</v>
      </c>
      <c r="N280" s="164" t="n">
        <f aca="false">+N278-N279</f>
        <v>0</v>
      </c>
      <c r="O280" s="164" t="n">
        <f aca="false">+O278-O279</f>
        <v>0</v>
      </c>
      <c r="P280" s="164" t="n">
        <f aca="false">+P278-P279</f>
        <v>0</v>
      </c>
      <c r="Q280" s="164" t="n">
        <f aca="false">+Q278-Q279</f>
        <v>0</v>
      </c>
      <c r="R280" s="164" t="n">
        <f aca="false">+R278-R279</f>
        <v>0</v>
      </c>
      <c r="S280" s="164" t="n">
        <f aca="false">+S278-S279</f>
        <v>0</v>
      </c>
      <c r="T280" s="164" t="n">
        <f aca="false">+T278-T279</f>
        <v>0</v>
      </c>
      <c r="U280" s="164" t="n">
        <f aca="false">+U278-U279</f>
        <v>0</v>
      </c>
      <c r="V280" s="164" t="n">
        <f aca="false">+V278-V279</f>
        <v>0</v>
      </c>
      <c r="W280" s="164" t="n">
        <f aca="false">+W278-W279</f>
        <v>0</v>
      </c>
      <c r="X280" s="164" t="n">
        <f aca="false">+X278-X279</f>
        <v>0</v>
      </c>
      <c r="Y280" s="164" t="n">
        <f aca="false">+Y278-Y279</f>
        <v>0</v>
      </c>
      <c r="Z280" s="164" t="n">
        <f aca="false">+Z278-Z279</f>
        <v>0</v>
      </c>
      <c r="AA280" s="164" t="n">
        <f aca="false">+AA278-AA279</f>
        <v>0</v>
      </c>
      <c r="AB280" s="164" t="n">
        <f aca="false">+AB278-AB279</f>
        <v>0</v>
      </c>
      <c r="AC280" s="200" t="n">
        <f aca="false">+AC278-AC279</f>
        <v>0</v>
      </c>
    </row>
    <row r="281" customFormat="false" ht="12.75" hidden="false" customHeight="false" outlineLevel="0" collapsed="false">
      <c r="A281" s="17"/>
      <c r="B281" s="16"/>
      <c r="C281" s="208"/>
      <c r="D281" s="16" t="s">
        <v>146</v>
      </c>
      <c r="E281" s="16"/>
      <c r="F281" s="17"/>
      <c r="G281" s="17"/>
      <c r="H281" s="47" t="s">
        <v>99</v>
      </c>
      <c r="I281" s="164" t="n">
        <f aca="false">+I279</f>
        <v>0</v>
      </c>
      <c r="J281" s="164" t="n">
        <f aca="false">+J279</f>
        <v>0</v>
      </c>
      <c r="K281" s="164" t="n">
        <f aca="false">+K279</f>
        <v>0</v>
      </c>
      <c r="L281" s="164" t="n">
        <f aca="false">+L279</f>
        <v>0</v>
      </c>
      <c r="M281" s="164" t="n">
        <f aca="false">+M279</f>
        <v>0</v>
      </c>
      <c r="N281" s="164" t="n">
        <f aca="false">+N279</f>
        <v>0</v>
      </c>
      <c r="O281" s="164" t="n">
        <f aca="false">+O279</f>
        <v>0</v>
      </c>
      <c r="P281" s="164" t="n">
        <f aca="false">+P279</f>
        <v>0</v>
      </c>
      <c r="Q281" s="164" t="n">
        <f aca="false">+Q279</f>
        <v>0</v>
      </c>
      <c r="R281" s="164" t="n">
        <f aca="false">+R279</f>
        <v>0</v>
      </c>
      <c r="S281" s="164" t="n">
        <f aca="false">+S279</f>
        <v>0</v>
      </c>
      <c r="T281" s="164" t="n">
        <f aca="false">+T279</f>
        <v>0</v>
      </c>
      <c r="U281" s="164" t="n">
        <f aca="false">+U279</f>
        <v>0</v>
      </c>
      <c r="V281" s="164" t="n">
        <f aca="false">+V279</f>
        <v>0</v>
      </c>
      <c r="W281" s="164" t="n">
        <f aca="false">+W279</f>
        <v>0</v>
      </c>
      <c r="X281" s="164" t="n">
        <f aca="false">+X279</f>
        <v>0</v>
      </c>
      <c r="Y281" s="164" t="n">
        <f aca="false">+Y279</f>
        <v>0</v>
      </c>
      <c r="Z281" s="164" t="n">
        <f aca="false">+Z279</f>
        <v>0</v>
      </c>
      <c r="AA281" s="164" t="n">
        <f aca="false">+AA279</f>
        <v>0</v>
      </c>
      <c r="AB281" s="164" t="n">
        <f aca="false">+AB279</f>
        <v>0</v>
      </c>
      <c r="AC281" s="200" t="n">
        <f aca="false">+AC279</f>
        <v>0</v>
      </c>
    </row>
    <row r="282" customFormat="false" ht="12.75" hidden="false" customHeight="false" outlineLevel="0" collapsed="false">
      <c r="A282" s="17"/>
      <c r="B282" s="16"/>
      <c r="C282" s="208"/>
      <c r="D282" s="16" t="s">
        <v>147</v>
      </c>
      <c r="E282" s="16"/>
      <c r="F282" s="17"/>
      <c r="G282" s="17"/>
      <c r="H282" s="47" t="s">
        <v>99</v>
      </c>
      <c r="I282" s="164" t="n">
        <f aca="false">+I280-I281</f>
        <v>0</v>
      </c>
      <c r="J282" s="164" t="n">
        <f aca="false">+J280-J281</f>
        <v>0</v>
      </c>
      <c r="K282" s="164" t="n">
        <f aca="false">+K280-K281</f>
        <v>0</v>
      </c>
      <c r="L282" s="164" t="n">
        <f aca="false">+L280-L281</f>
        <v>0</v>
      </c>
      <c r="M282" s="164" t="n">
        <f aca="false">+M280-M281</f>
        <v>0</v>
      </c>
      <c r="N282" s="164" t="n">
        <f aca="false">+N280-N281</f>
        <v>0</v>
      </c>
      <c r="O282" s="164" t="n">
        <f aca="false">+O280-O281</f>
        <v>0</v>
      </c>
      <c r="P282" s="164" t="n">
        <f aca="false">+P280-P281</f>
        <v>0</v>
      </c>
      <c r="Q282" s="164" t="n">
        <f aca="false">+Q280-Q281</f>
        <v>0</v>
      </c>
      <c r="R282" s="164" t="n">
        <f aca="false">+R280-R281</f>
        <v>0</v>
      </c>
      <c r="S282" s="164" t="n">
        <f aca="false">+S280-S281</f>
        <v>0</v>
      </c>
      <c r="T282" s="164" t="n">
        <f aca="false">+T280-T281</f>
        <v>0</v>
      </c>
      <c r="U282" s="164" t="n">
        <f aca="false">+U280-U281</f>
        <v>0</v>
      </c>
      <c r="V282" s="164" t="n">
        <f aca="false">+V280-V281</f>
        <v>0</v>
      </c>
      <c r="W282" s="164" t="n">
        <f aca="false">+W280-W281</f>
        <v>0</v>
      </c>
      <c r="X282" s="164" t="n">
        <f aca="false">+X280-X281</f>
        <v>0</v>
      </c>
      <c r="Y282" s="164" t="n">
        <f aca="false">+Y280-Y281</f>
        <v>0</v>
      </c>
      <c r="Z282" s="164" t="n">
        <f aca="false">+Z280-Z281</f>
        <v>0</v>
      </c>
      <c r="AA282" s="164" t="n">
        <f aca="false">+AA280-AA281</f>
        <v>0</v>
      </c>
      <c r="AB282" s="164" t="n">
        <f aca="false">+AB280-AB281</f>
        <v>0</v>
      </c>
      <c r="AC282" s="200" t="n">
        <f aca="false">+AC280-AC281</f>
        <v>0</v>
      </c>
    </row>
    <row r="283" customFormat="false" ht="12.75" hidden="false" customHeight="false" outlineLevel="0" collapsed="false">
      <c r="A283" s="17"/>
      <c r="B283" s="16"/>
      <c r="C283" s="208"/>
      <c r="D283" s="16"/>
      <c r="E283" s="16"/>
      <c r="F283" s="17"/>
      <c r="G283" s="17"/>
      <c r="H283" s="47"/>
      <c r="I283" s="164"/>
      <c r="J283" s="164"/>
      <c r="K283" s="164"/>
      <c r="L283" s="164"/>
      <c r="M283" s="164"/>
      <c r="N283" s="164"/>
      <c r="O283" s="164"/>
      <c r="P283" s="164"/>
      <c r="Q283" s="164"/>
      <c r="R283" s="164"/>
      <c r="S283" s="164"/>
      <c r="T283" s="164"/>
      <c r="U283" s="164"/>
      <c r="V283" s="164"/>
      <c r="W283" s="164"/>
      <c r="X283" s="164"/>
      <c r="Y283" s="164"/>
      <c r="Z283" s="164"/>
      <c r="AA283" s="164"/>
      <c r="AB283" s="164"/>
      <c r="AC283" s="200"/>
    </row>
    <row r="284" customFormat="false" ht="12.75" hidden="false" customHeight="false" outlineLevel="0" collapsed="false">
      <c r="A284" s="17"/>
      <c r="B284" s="16"/>
      <c r="C284" s="208"/>
      <c r="D284" s="16" t="s">
        <v>152</v>
      </c>
      <c r="E284" s="16"/>
      <c r="F284" s="17"/>
      <c r="G284" s="17"/>
      <c r="H284" s="47" t="s">
        <v>99</v>
      </c>
      <c r="I284" s="164" t="n">
        <f aca="false">+I229</f>
        <v>19327.1073392721</v>
      </c>
      <c r="J284" s="164" t="n">
        <f aca="false">+J229</f>
        <v>15448.2826175208</v>
      </c>
      <c r="K284" s="164" t="n">
        <f aca="false">+K229</f>
        <v>21321.8830616404</v>
      </c>
      <c r="L284" s="164" t="n">
        <f aca="false">+L229</f>
        <v>24209.9918795136</v>
      </c>
      <c r="M284" s="164" t="n">
        <f aca="false">+M229</f>
        <v>22304.5648477575</v>
      </c>
      <c r="N284" s="164" t="n">
        <f aca="false">+N229</f>
        <v>21797.8315395604</v>
      </c>
      <c r="O284" s="164" t="n">
        <f aca="false">+O229</f>
        <v>19638.5360485577</v>
      </c>
      <c r="P284" s="164" t="n">
        <f aca="false">+P229</f>
        <v>22074.0844521985</v>
      </c>
      <c r="Q284" s="164" t="n">
        <f aca="false">+Q229</f>
        <v>29980.6740623067</v>
      </c>
      <c r="R284" s="164" t="n">
        <f aca="false">+R229</f>
        <v>31817.2152984923</v>
      </c>
      <c r="S284" s="164" t="n">
        <f aca="false">+S229</f>
        <v>21899.7188025427</v>
      </c>
      <c r="T284" s="164" t="n">
        <f aca="false">+T229</f>
        <v>20087.3073400811</v>
      </c>
      <c r="U284" s="164" t="n">
        <f aca="false">+U229</f>
        <v>18556.7292256942</v>
      </c>
      <c r="V284" s="164" t="n">
        <f aca="false">+V229</f>
        <v>16223.5375018987</v>
      </c>
      <c r="W284" s="164" t="n">
        <f aca="false">+W229</f>
        <v>20439.9407414091</v>
      </c>
      <c r="X284" s="164" t="n">
        <f aca="false">+X229</f>
        <v>16007.4911203891</v>
      </c>
      <c r="Y284" s="164" t="n">
        <f aca="false">+Y229</f>
        <v>8264.81810102129</v>
      </c>
      <c r="Z284" s="164" t="n">
        <f aca="false">+Z229</f>
        <v>7491.80797115735</v>
      </c>
      <c r="AA284" s="164" t="n">
        <f aca="false">+AA229</f>
        <v>7442.3154837855</v>
      </c>
      <c r="AB284" s="164" t="n">
        <f aca="false">+AB229</f>
        <v>7922.1566996481</v>
      </c>
      <c r="AC284" s="164" t="n">
        <f aca="false">+AC229</f>
        <v>6002.02048138502</v>
      </c>
    </row>
    <row r="285" customFormat="false" ht="12.75" hidden="false" customHeight="false" outlineLevel="0" collapsed="false">
      <c r="A285" s="17"/>
      <c r="B285" s="16"/>
      <c r="C285" s="208"/>
      <c r="D285" s="16" t="s">
        <v>153</v>
      </c>
      <c r="E285" s="16"/>
      <c r="F285" s="17"/>
      <c r="G285" s="17"/>
      <c r="H285" s="47" t="s">
        <v>99</v>
      </c>
      <c r="I285" s="164" t="n">
        <f aca="false">-I102*I103/1000</f>
        <v>-0</v>
      </c>
      <c r="J285" s="164" t="n">
        <f aca="false">-J102*J103/1000</f>
        <v>-0</v>
      </c>
      <c r="K285" s="164" t="n">
        <f aca="false">-K102*K103/1000</f>
        <v>-0</v>
      </c>
      <c r="L285" s="164" t="n">
        <f aca="false">-L102*L103/1000</f>
        <v>-0</v>
      </c>
      <c r="M285" s="164" t="n">
        <f aca="false">-M102*M103/1000</f>
        <v>-0</v>
      </c>
      <c r="N285" s="164" t="n">
        <f aca="false">-N102*N103/1000</f>
        <v>-0</v>
      </c>
      <c r="O285" s="164" t="n">
        <f aca="false">-O102*O103/1000</f>
        <v>-0</v>
      </c>
      <c r="P285" s="164" t="n">
        <f aca="false">-P102*P103/1000</f>
        <v>-0</v>
      </c>
      <c r="Q285" s="164" t="n">
        <f aca="false">-Q102*Q103/1000</f>
        <v>-0</v>
      </c>
      <c r="R285" s="164" t="n">
        <f aca="false">-R102*R103/1000</f>
        <v>-0</v>
      </c>
      <c r="S285" s="164" t="n">
        <f aca="false">-S102*S103/1000</f>
        <v>-0</v>
      </c>
      <c r="T285" s="164" t="n">
        <f aca="false">-T102*T103/1000</f>
        <v>-0</v>
      </c>
      <c r="U285" s="164" t="n">
        <f aca="false">-U102*U103/1000</f>
        <v>-0</v>
      </c>
      <c r="V285" s="164" t="n">
        <f aca="false">-V102*V103/1000</f>
        <v>-0</v>
      </c>
      <c r="W285" s="164" t="n">
        <f aca="false">-W102*W103/1000</f>
        <v>-0</v>
      </c>
      <c r="X285" s="164" t="n">
        <f aca="false">-X102*X103/1000</f>
        <v>-0</v>
      </c>
      <c r="Y285" s="164" t="n">
        <f aca="false">-Y102*Y103/1000</f>
        <v>-0</v>
      </c>
      <c r="Z285" s="164" t="n">
        <f aca="false">-Z102*Z103/1000</f>
        <v>-0</v>
      </c>
      <c r="AA285" s="164" t="n">
        <f aca="false">-AA102*AA103/1000</f>
        <v>-0</v>
      </c>
      <c r="AB285" s="164" t="n">
        <f aca="false">-AB102*AB103/1000</f>
        <v>-0</v>
      </c>
      <c r="AC285" s="164" t="n">
        <f aca="false">-AC102*AC103/1000</f>
        <v>-0</v>
      </c>
    </row>
    <row r="286" customFormat="false" ht="12.75" hidden="false" customHeight="false" outlineLevel="0" collapsed="false">
      <c r="A286" s="17"/>
      <c r="B286" s="16"/>
      <c r="C286" s="208"/>
      <c r="D286" s="16" t="s">
        <v>154</v>
      </c>
      <c r="E286" s="16"/>
      <c r="F286" s="17"/>
      <c r="G286" s="17"/>
      <c r="H286" s="47" t="s">
        <v>99</v>
      </c>
      <c r="I286" s="164" t="n">
        <f aca="false">-I166*I167/1000</f>
        <v>-0</v>
      </c>
      <c r="J286" s="164" t="n">
        <f aca="false">-J166*J167/1000</f>
        <v>-0</v>
      </c>
      <c r="K286" s="164" t="n">
        <f aca="false">-K166*K167/1000</f>
        <v>-0</v>
      </c>
      <c r="L286" s="164" t="n">
        <f aca="false">-L166*L167/1000</f>
        <v>-0</v>
      </c>
      <c r="M286" s="164" t="n">
        <f aca="false">-M166*M167/1000</f>
        <v>-0</v>
      </c>
      <c r="N286" s="164" t="n">
        <f aca="false">-N166*N167/1000</f>
        <v>-0</v>
      </c>
      <c r="O286" s="164" t="n">
        <f aca="false">-O166*O167/1000</f>
        <v>-0</v>
      </c>
      <c r="P286" s="164" t="n">
        <f aca="false">-P166*P167/1000</f>
        <v>-0</v>
      </c>
      <c r="Q286" s="164" t="n">
        <f aca="false">-Q166*Q167/1000</f>
        <v>-0</v>
      </c>
      <c r="R286" s="164" t="n">
        <f aca="false">-R166*R167/1000</f>
        <v>-0</v>
      </c>
      <c r="S286" s="164" t="n">
        <f aca="false">-S166*S167/1000</f>
        <v>-0</v>
      </c>
      <c r="T286" s="164" t="n">
        <f aca="false">-T166*T167/1000</f>
        <v>-0</v>
      </c>
      <c r="U286" s="164" t="n">
        <f aca="false">-U166*U167/1000</f>
        <v>-0</v>
      </c>
      <c r="V286" s="164" t="n">
        <f aca="false">-V166*V167/1000</f>
        <v>-0</v>
      </c>
      <c r="W286" s="164" t="n">
        <f aca="false">-W166*W167/1000</f>
        <v>-0</v>
      </c>
      <c r="X286" s="164" t="n">
        <f aca="false">-X166*X167/1000</f>
        <v>-0</v>
      </c>
      <c r="Y286" s="164" t="n">
        <f aca="false">-Y166*Y167/1000</f>
        <v>-0</v>
      </c>
      <c r="Z286" s="164" t="n">
        <f aca="false">-Z166*Z167/1000</f>
        <v>-0</v>
      </c>
      <c r="AA286" s="164" t="n">
        <f aca="false">-AA166*AA167/1000</f>
        <v>-0</v>
      </c>
      <c r="AB286" s="164" t="n">
        <f aca="false">-AB166*AB167/1000</f>
        <v>-0</v>
      </c>
      <c r="AC286" s="164" t="n">
        <f aca="false">-AC166*AC167/1000</f>
        <v>-0</v>
      </c>
    </row>
    <row r="287" customFormat="false" ht="12.75" hidden="false" customHeight="false" outlineLevel="0" collapsed="false">
      <c r="A287" s="17"/>
      <c r="B287" s="16"/>
      <c r="C287" s="208"/>
      <c r="D287" s="16" t="s">
        <v>155</v>
      </c>
      <c r="E287" s="16"/>
      <c r="F287" s="17"/>
      <c r="G287" s="17"/>
      <c r="H287" s="47" t="s">
        <v>99</v>
      </c>
      <c r="I287" s="164" t="n">
        <f aca="false">+I102*1000*I89/1000000*IF(+I63&gt;0,I63,+I72)/1000</f>
        <v>0</v>
      </c>
      <c r="J287" s="164" t="n">
        <f aca="false">+J102*1000*J89/1000000*IF(+J63&gt;0,J63,+J72)/1000</f>
        <v>0</v>
      </c>
      <c r="K287" s="164" t="n">
        <f aca="false">+K102*1000*K89/1000000*IF(+K63&gt;0,K63,+K72)/1000</f>
        <v>0</v>
      </c>
      <c r="L287" s="164" t="n">
        <f aca="false">+L102*1000*L89/1000000*IF(+L63&gt;0,L63,+L72)/1000</f>
        <v>0</v>
      </c>
      <c r="M287" s="164" t="n">
        <f aca="false">+M102*1000*M89/1000000*IF(+M63&gt;0,M63,+M72)/1000</f>
        <v>0</v>
      </c>
      <c r="N287" s="164" t="n">
        <f aca="false">+N102*1000*N89/1000000*IF(+N63&gt;0,N63,+N72)/1000</f>
        <v>0</v>
      </c>
      <c r="O287" s="164" t="n">
        <f aca="false">+O102*1000*O89/1000000*IF(+O63&gt;0,O63,+O72)/1000</f>
        <v>0</v>
      </c>
      <c r="P287" s="164" t="n">
        <f aca="false">+P102*1000*P89/1000000*IF(+P63&gt;0,P63,+P72)/1000</f>
        <v>0</v>
      </c>
      <c r="Q287" s="164" t="n">
        <f aca="false">+Q102*1000*Q89/1000000*IF(+Q63&gt;0,Q63,+Q72)/1000</f>
        <v>0</v>
      </c>
      <c r="R287" s="164" t="n">
        <f aca="false">+R102*1000*R89/1000000*IF(+R63&gt;0,R63,+R72)/1000</f>
        <v>0</v>
      </c>
      <c r="S287" s="164" t="n">
        <f aca="false">+S102*1000*S89/1000000*IF(+S63&gt;0,S63,+S72)/1000</f>
        <v>0</v>
      </c>
      <c r="T287" s="164" t="n">
        <f aca="false">+T102*1000*T89/1000000*IF(+T63&gt;0,T63,+T72)/1000</f>
        <v>0</v>
      </c>
      <c r="U287" s="164" t="n">
        <f aca="false">+U102*1000*U89/1000000*IF(+U63&gt;0,U63,+U72)/1000</f>
        <v>0</v>
      </c>
      <c r="V287" s="164" t="n">
        <f aca="false">+V102*1000*V89/1000000*IF(+V63&gt;0,V63,+V72)/1000</f>
        <v>0</v>
      </c>
      <c r="W287" s="164" t="n">
        <f aca="false">+W102*1000*W89/1000000*IF(+W63&gt;0,W63,+W72)/1000</f>
        <v>0</v>
      </c>
      <c r="X287" s="164" t="n">
        <f aca="false">+X102*1000*X89/1000000*IF(+X63&gt;0,X63,+X72)/1000</f>
        <v>0</v>
      </c>
      <c r="Y287" s="164" t="n">
        <f aca="false">+Y102*1000*Y89/1000000*IF(+Y63&gt;0,Y63,+Y72)/1000</f>
        <v>0</v>
      </c>
      <c r="Z287" s="164" t="n">
        <f aca="false">+Z102*1000*Z89/1000000*IF(+Z63&gt;0,Z63,+Z72)/1000</f>
        <v>0</v>
      </c>
      <c r="AA287" s="164" t="n">
        <f aca="false">+AA102*1000*AA89/1000000*IF(+AA63&gt;0,AA63,+AA72)/1000</f>
        <v>0</v>
      </c>
      <c r="AB287" s="164" t="n">
        <f aca="false">+AB102*1000*AB89/1000000*IF(+AB63&gt;0,AB63,+AB72)/1000</f>
        <v>0</v>
      </c>
      <c r="AC287" s="164" t="n">
        <f aca="false">+AC102*1000*AC89/1000000*IF(+AC63&gt;0,AC63,+AC72)/1000</f>
        <v>0</v>
      </c>
    </row>
    <row r="288" customFormat="false" ht="12.75" hidden="false" customHeight="false" outlineLevel="0" collapsed="false">
      <c r="A288" s="17"/>
      <c r="B288" s="16"/>
      <c r="C288" s="208"/>
      <c r="D288" s="16" t="s">
        <v>156</v>
      </c>
      <c r="E288" s="16"/>
      <c r="F288" s="17"/>
      <c r="G288" s="17"/>
      <c r="H288" s="47" t="s">
        <v>99</v>
      </c>
      <c r="I288" s="204" t="n">
        <f aca="false">I166*1000*I161/1000000*IF(+I64&gt;0,I64,+I77)/1000</f>
        <v>0</v>
      </c>
      <c r="J288" s="204" t="n">
        <f aca="false">J166*1000*J161/1000000*IF(+J64&gt;0,J64,+J77)/1000</f>
        <v>0</v>
      </c>
      <c r="K288" s="204" t="n">
        <f aca="false">K166*1000*K161/1000000*IF(+K64&gt;0,K64,+K77)/1000</f>
        <v>0</v>
      </c>
      <c r="L288" s="204" t="n">
        <f aca="false">L166*1000*L161/1000000*IF(+L64&gt;0,L64,+L77)/1000</f>
        <v>0</v>
      </c>
      <c r="M288" s="204" t="n">
        <f aca="false">M166*1000*M161/1000000*IF(+M64&gt;0,M64,+M77)/1000</f>
        <v>0</v>
      </c>
      <c r="N288" s="204" t="n">
        <f aca="false">N166*1000*N161/1000000*IF(+N64&gt;0,N64,+N77)/1000</f>
        <v>0</v>
      </c>
      <c r="O288" s="204" t="n">
        <f aca="false">O166*1000*O161/1000000*IF(+O64&gt;0,O64,+O77)/1000</f>
        <v>0</v>
      </c>
      <c r="P288" s="204" t="n">
        <f aca="false">P166*1000*P161/1000000*IF(+P64&gt;0,P64,+P77)/1000</f>
        <v>0</v>
      </c>
      <c r="Q288" s="204" t="n">
        <f aca="false">Q166*1000*Q161/1000000*IF(+Q64&gt;0,Q64,+Q77)/1000</f>
        <v>0</v>
      </c>
      <c r="R288" s="204" t="n">
        <f aca="false">R166*1000*R161/1000000*IF(+R64&gt;0,R64,+R77)/1000</f>
        <v>0</v>
      </c>
      <c r="S288" s="204" t="n">
        <f aca="false">S166*1000*S161/1000000*IF(+S64&gt;0,S64,+S77)/1000</f>
        <v>0</v>
      </c>
      <c r="T288" s="204" t="n">
        <f aca="false">T166*1000*T161/1000000*IF(+T64&gt;0,T64,+T77)/1000</f>
        <v>0</v>
      </c>
      <c r="U288" s="204" t="n">
        <f aca="false">U166*1000*U161/1000000*IF(+U64&gt;0,U64,+U77)/1000</f>
        <v>0</v>
      </c>
      <c r="V288" s="204" t="n">
        <f aca="false">V166*1000*V161/1000000*IF(+V64&gt;0,V64,+V77)/1000</f>
        <v>0</v>
      </c>
      <c r="W288" s="204" t="n">
        <f aca="false">W166*1000*W161/1000000*IF(+W64&gt;0,W64,+W77)/1000</f>
        <v>0</v>
      </c>
      <c r="X288" s="204" t="n">
        <f aca="false">X166*1000*X161/1000000*IF(+X64&gt;0,X64,+X77)/1000</f>
        <v>0</v>
      </c>
      <c r="Y288" s="204" t="n">
        <f aca="false">Y166*1000*Y161/1000000*IF(+Y64&gt;0,Y64,+Y77)/1000</f>
        <v>0</v>
      </c>
      <c r="Z288" s="204" t="n">
        <f aca="false">Z166*1000*Z161/1000000*IF(+Z64&gt;0,Z64,+Z77)/1000</f>
        <v>0</v>
      </c>
      <c r="AA288" s="204" t="n">
        <f aca="false">AA166*1000*AA161/1000000*IF(+AA64&gt;0,AA64,+AA77)/1000</f>
        <v>0</v>
      </c>
      <c r="AB288" s="204" t="n">
        <f aca="false">AB166*1000*AB161/1000000*IF(+AB64&gt;0,AB64,+AB77)/1000</f>
        <v>0</v>
      </c>
      <c r="AC288" s="204" t="n">
        <f aca="false">AC166*1000*AC161/1000000*IF(+AC64&gt;0,AC64,+AC77)/1000</f>
        <v>0</v>
      </c>
    </row>
    <row r="289" customFormat="false" ht="12.75" hidden="false" customHeight="false" outlineLevel="0" collapsed="false">
      <c r="A289" s="17"/>
      <c r="B289" s="16"/>
      <c r="C289" s="208"/>
      <c r="D289" s="16" t="s">
        <v>157</v>
      </c>
      <c r="E289" s="16"/>
      <c r="F289" s="17"/>
      <c r="G289" s="17"/>
      <c r="H289" s="47" t="s">
        <v>99</v>
      </c>
      <c r="I289" s="219" t="n">
        <f aca="false">SUM(I284:I288)</f>
        <v>19327.1073392721</v>
      </c>
      <c r="J289" s="219" t="n">
        <f aca="false">SUM(J284:J288)</f>
        <v>15448.2826175208</v>
      </c>
      <c r="K289" s="219" t="n">
        <f aca="false">SUM(K284:K288)</f>
        <v>21321.8830616404</v>
      </c>
      <c r="L289" s="219" t="n">
        <f aca="false">SUM(L284:L288)</f>
        <v>24209.9918795136</v>
      </c>
      <c r="M289" s="219" t="n">
        <f aca="false">SUM(M284:M288)</f>
        <v>22304.5648477575</v>
      </c>
      <c r="N289" s="219" t="n">
        <f aca="false">SUM(N284:N288)</f>
        <v>21797.8315395604</v>
      </c>
      <c r="O289" s="219" t="n">
        <f aca="false">SUM(O284:O288)</f>
        <v>19638.5360485577</v>
      </c>
      <c r="P289" s="219" t="n">
        <f aca="false">SUM(P284:P288)</f>
        <v>22074.0844521985</v>
      </c>
      <c r="Q289" s="219" t="n">
        <f aca="false">SUM(Q284:Q288)</f>
        <v>29980.6740623067</v>
      </c>
      <c r="R289" s="219" t="n">
        <f aca="false">SUM(R284:R288)</f>
        <v>31817.2152984923</v>
      </c>
      <c r="S289" s="219" t="n">
        <f aca="false">SUM(S284:S288)</f>
        <v>21899.7188025427</v>
      </c>
      <c r="T289" s="219" t="n">
        <f aca="false">SUM(T284:T288)</f>
        <v>20087.3073400811</v>
      </c>
      <c r="U289" s="219" t="n">
        <f aca="false">SUM(U284:U288)</f>
        <v>18556.7292256942</v>
      </c>
      <c r="V289" s="219" t="n">
        <f aca="false">SUM(V284:V288)</f>
        <v>16223.5375018987</v>
      </c>
      <c r="W289" s="219" t="n">
        <f aca="false">SUM(W284:W288)</f>
        <v>20439.9407414091</v>
      </c>
      <c r="X289" s="219" t="n">
        <f aca="false">SUM(X284:X288)</f>
        <v>16007.4911203891</v>
      </c>
      <c r="Y289" s="219" t="n">
        <f aca="false">SUM(Y284:Y288)</f>
        <v>8264.81810102129</v>
      </c>
      <c r="Z289" s="219" t="n">
        <f aca="false">SUM(Z284:Z288)</f>
        <v>7491.80797115735</v>
      </c>
      <c r="AA289" s="219" t="n">
        <f aca="false">SUM(AA284:AA288)</f>
        <v>7442.3154837855</v>
      </c>
      <c r="AB289" s="219" t="n">
        <f aca="false">SUM(AB284:AB288)</f>
        <v>7922.1566996481</v>
      </c>
      <c r="AC289" s="219" t="n">
        <f aca="false">SUM(AC284:AC288)</f>
        <v>6002.02048138502</v>
      </c>
    </row>
    <row r="290" customFormat="false" ht="12.75" hidden="false" customHeight="false" outlineLevel="0" collapsed="false">
      <c r="A290" s="17"/>
      <c r="B290" s="16"/>
      <c r="C290" s="208"/>
      <c r="D290" s="16"/>
      <c r="E290" s="16"/>
      <c r="F290" s="17"/>
      <c r="G290" s="17"/>
      <c r="H290" s="47"/>
      <c r="I290" s="164"/>
      <c r="J290" s="164"/>
      <c r="K290" s="164"/>
      <c r="L290" s="164"/>
      <c r="M290" s="164"/>
      <c r="N290" s="164"/>
      <c r="O290" s="164"/>
      <c r="P290" s="164"/>
      <c r="Q290" s="164"/>
      <c r="R290" s="164"/>
      <c r="S290" s="164"/>
      <c r="T290" s="164"/>
      <c r="U290" s="164"/>
      <c r="V290" s="164"/>
      <c r="W290" s="164"/>
      <c r="X290" s="164"/>
      <c r="Y290" s="164"/>
      <c r="Z290" s="164"/>
      <c r="AA290" s="164"/>
      <c r="AB290" s="164"/>
      <c r="AC290" s="164"/>
    </row>
    <row r="291" customFormat="false" ht="12.75" hidden="false" customHeight="false" outlineLevel="0" collapsed="false">
      <c r="A291" s="17"/>
      <c r="B291" s="16"/>
      <c r="C291" s="208"/>
      <c r="D291" s="16" t="s">
        <v>158</v>
      </c>
      <c r="E291" s="16"/>
      <c r="F291" s="17"/>
      <c r="G291" s="17"/>
      <c r="H291" s="47" t="s">
        <v>99</v>
      </c>
      <c r="I291" s="164" t="n">
        <f aca="false">+I275+I276+I279+I281</f>
        <v>0</v>
      </c>
      <c r="J291" s="164" t="n">
        <f aca="false">+J275+J276+J279+J281</f>
        <v>0</v>
      </c>
      <c r="K291" s="164" t="n">
        <f aca="false">+K275+K276+K279+K281</f>
        <v>0</v>
      </c>
      <c r="L291" s="164" t="n">
        <f aca="false">+L275+L276+L279+L281</f>
        <v>0</v>
      </c>
      <c r="M291" s="164" t="n">
        <f aca="false">+M275+M276+M279+M281</f>
        <v>0</v>
      </c>
      <c r="N291" s="164" t="n">
        <f aca="false">+N275+N276+N279+N281</f>
        <v>0</v>
      </c>
      <c r="O291" s="164" t="n">
        <f aca="false">+O275+O276+O279+O281</f>
        <v>0</v>
      </c>
      <c r="P291" s="164" t="n">
        <f aca="false">+P275+P276+P279+P281</f>
        <v>0</v>
      </c>
      <c r="Q291" s="164" t="n">
        <f aca="false">+Q275+Q276+Q279+Q281</f>
        <v>0</v>
      </c>
      <c r="R291" s="164" t="n">
        <f aca="false">+R275+R276+R279+R281</f>
        <v>0</v>
      </c>
      <c r="S291" s="164" t="n">
        <f aca="false">+S275+S276+S279+S281</f>
        <v>0</v>
      </c>
      <c r="T291" s="164" t="n">
        <f aca="false">+T275+T276+T279+T281</f>
        <v>0</v>
      </c>
      <c r="U291" s="164" t="n">
        <f aca="false">+U275+U276+U279+U281</f>
        <v>0</v>
      </c>
      <c r="V291" s="164" t="n">
        <f aca="false">+V275+V276+V279+V281</f>
        <v>0</v>
      </c>
      <c r="W291" s="164" t="n">
        <f aca="false">+W275+W276+W279+W281</f>
        <v>0</v>
      </c>
      <c r="X291" s="164" t="n">
        <f aca="false">+X275+X276+X279+X281</f>
        <v>0</v>
      </c>
      <c r="Y291" s="164" t="n">
        <f aca="false">+Y275+Y276+Y279+Y281</f>
        <v>0</v>
      </c>
      <c r="Z291" s="164" t="n">
        <f aca="false">+Z275+Z276+Z279+Z281</f>
        <v>0</v>
      </c>
      <c r="AA291" s="164" t="n">
        <f aca="false">+AA275+AA276+AA279+AA281</f>
        <v>0</v>
      </c>
      <c r="AB291" s="164" t="n">
        <f aca="false">+AB275+AB276+AB279+AB281</f>
        <v>0</v>
      </c>
      <c r="AC291" s="164" t="n">
        <f aca="false">+AC275+AC276+AC279+AC281</f>
        <v>0</v>
      </c>
    </row>
    <row r="292" customFormat="false" ht="12.75" hidden="false" customHeight="false" outlineLevel="0" collapsed="false">
      <c r="A292" s="17"/>
      <c r="B292" s="16"/>
      <c r="C292" s="208"/>
      <c r="D292" s="16"/>
      <c r="E292" s="16"/>
      <c r="F292" s="17"/>
      <c r="G292" s="17"/>
      <c r="H292" s="47"/>
      <c r="I292" s="164"/>
      <c r="J292" s="164"/>
      <c r="K292" s="164"/>
      <c r="L292" s="164"/>
      <c r="M292" s="164"/>
      <c r="N292" s="164"/>
      <c r="O292" s="164"/>
      <c r="P292" s="164"/>
      <c r="Q292" s="164"/>
      <c r="R292" s="164"/>
      <c r="S292" s="164"/>
      <c r="T292" s="164"/>
      <c r="U292" s="164"/>
      <c r="V292" s="164"/>
      <c r="W292" s="164"/>
      <c r="X292" s="164"/>
      <c r="Y292" s="164"/>
      <c r="Z292" s="164"/>
      <c r="AA292" s="164"/>
      <c r="AB292" s="164"/>
      <c r="AC292" s="200"/>
    </row>
    <row r="293" customFormat="false" ht="12.75" hidden="false" customHeight="false" outlineLevel="0" collapsed="false">
      <c r="A293" s="17"/>
      <c r="B293" s="16"/>
      <c r="C293" s="208"/>
      <c r="D293" s="16"/>
      <c r="E293" s="16"/>
      <c r="F293" s="220" t="s">
        <v>159</v>
      </c>
      <c r="G293" s="220"/>
      <c r="H293" s="221" t="s">
        <v>160</v>
      </c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209"/>
    </row>
    <row r="294" customFormat="false" ht="12.75" hidden="false" customHeight="false" outlineLevel="0" collapsed="false">
      <c r="A294" s="17"/>
      <c r="B294" s="16"/>
      <c r="C294" s="208"/>
      <c r="D294" s="16" t="s">
        <v>161</v>
      </c>
      <c r="E294" s="16"/>
      <c r="F294" s="222" t="n">
        <f aca="false">MIN(I294:AC294)</f>
        <v>0</v>
      </c>
      <c r="G294" s="222"/>
      <c r="H294" s="223" t="e">
        <f aca="false">AVERAGE(I294:T294)</f>
        <v>#DIV/0!</v>
      </c>
      <c r="I294" s="224" t="str">
        <f aca="false">IF(+I291=0,"NA",IF((+I289-I298)&gt;0,(+I289-I298)/I291,"NA"))</f>
        <v>NA</v>
      </c>
      <c r="J294" s="224" t="str">
        <f aca="false">IF(+J291=0,"NA",IF((+J289-J298)&gt;0,(+J289-J298)/J291,"NA"))</f>
        <v>NA</v>
      </c>
      <c r="K294" s="224" t="str">
        <f aca="false">IF(+K291=0,"NA",IF((+K289-K298)&gt;0,(+K289-K298)/K291,"NA"))</f>
        <v>NA</v>
      </c>
      <c r="L294" s="224" t="str">
        <f aca="false">IF(+L291=0,"NA",IF((+L289-L298)&gt;0,(+L289-L298)/L291,"NA"))</f>
        <v>NA</v>
      </c>
      <c r="M294" s="224" t="str">
        <f aca="false">IF(+M291=0,"NA",IF((+M289-M298)&gt;0,(+M289-M298)/M291,"NA"))</f>
        <v>NA</v>
      </c>
      <c r="N294" s="224" t="str">
        <f aca="false">IF(+N291=0,"NA",IF((+N289-N298)&gt;0,(+N289-N298)/N291,"NA"))</f>
        <v>NA</v>
      </c>
      <c r="O294" s="224" t="str">
        <f aca="false">IF(+O291=0,"NA",IF((+O289-O298)&gt;0,(+O289-O298)/O291,"NA"))</f>
        <v>NA</v>
      </c>
      <c r="P294" s="224" t="str">
        <f aca="false">IF(+P291=0,"NA",IF((+P289-P298)&gt;0,(+P289-P298)/P291,"NA"))</f>
        <v>NA</v>
      </c>
      <c r="Q294" s="224" t="str">
        <f aca="false">IF(+Q291=0,"NA",IF((+Q289-Q298)&gt;0,(+Q289-Q298)/Q291,"NA"))</f>
        <v>NA</v>
      </c>
      <c r="R294" s="224" t="str">
        <f aca="false">IF(+R291=0,"NA",IF((+R289-R298)&gt;0,(+R289-R298)/R291,"NA"))</f>
        <v>NA</v>
      </c>
      <c r="S294" s="224" t="str">
        <f aca="false">IF(+S291=0,"NA",IF((+S289-S298)&gt;0,(+S289-S298)/S291,"NA"))</f>
        <v>NA</v>
      </c>
      <c r="T294" s="224" t="str">
        <f aca="false">IF(+T291=0,"NA",IF((+T289-T298)&gt;0,(+T289-T298)/T291,"NA"))</f>
        <v>NA</v>
      </c>
      <c r="U294" s="225"/>
      <c r="V294" s="225"/>
      <c r="W294" s="225"/>
      <c r="X294" s="225"/>
      <c r="Y294" s="225"/>
      <c r="Z294" s="225"/>
      <c r="AA294" s="225"/>
      <c r="AB294" s="225"/>
      <c r="AC294" s="226"/>
    </row>
    <row r="295" customFormat="false" ht="12.75" hidden="false" customHeight="false" outlineLevel="0" collapsed="false">
      <c r="A295" s="17"/>
      <c r="B295" s="16"/>
      <c r="C295" s="208"/>
      <c r="D295" s="16" t="s">
        <v>162</v>
      </c>
      <c r="E295" s="16"/>
      <c r="F295" s="227" t="n">
        <v>1.3</v>
      </c>
      <c r="G295" s="227"/>
      <c r="H295" s="228" t="n">
        <v>1.55</v>
      </c>
      <c r="I295" s="229" t="n">
        <v>1.3</v>
      </c>
      <c r="J295" s="229" t="n">
        <v>1.3</v>
      </c>
      <c r="K295" s="229" t="n">
        <v>1.4</v>
      </c>
      <c r="L295" s="229" t="n">
        <v>1.45</v>
      </c>
      <c r="M295" s="229" t="n">
        <v>1.5</v>
      </c>
      <c r="N295" s="229" t="n">
        <v>1.6</v>
      </c>
      <c r="O295" s="229" t="n">
        <v>1.65</v>
      </c>
      <c r="P295" s="229" t="n">
        <v>1.7</v>
      </c>
      <c r="Q295" s="229" t="s">
        <v>163</v>
      </c>
      <c r="R295" s="229" t="s">
        <v>164</v>
      </c>
      <c r="S295" s="229" t="s">
        <v>165</v>
      </c>
      <c r="T295" s="229" t="s">
        <v>166</v>
      </c>
      <c r="U295" s="47"/>
      <c r="V295" s="47"/>
      <c r="W295" s="47"/>
      <c r="X295" s="47"/>
      <c r="Y295" s="47"/>
      <c r="Z295" s="47"/>
      <c r="AA295" s="47"/>
      <c r="AB295" s="47"/>
      <c r="AC295" s="209"/>
    </row>
    <row r="296" customFormat="false" ht="12.75" hidden="false" customHeight="false" outlineLevel="0" collapsed="false">
      <c r="A296" s="17"/>
      <c r="B296" s="16"/>
      <c r="C296" s="230"/>
      <c r="D296" s="12"/>
      <c r="E296" s="12"/>
      <c r="F296" s="231"/>
      <c r="G296" s="231"/>
      <c r="H296" s="232"/>
      <c r="I296" s="233"/>
      <c r="J296" s="233"/>
      <c r="K296" s="233"/>
      <c r="L296" s="233"/>
      <c r="M296" s="233"/>
      <c r="N296" s="233"/>
      <c r="O296" s="233"/>
      <c r="P296" s="233"/>
      <c r="Q296" s="233"/>
      <c r="R296" s="233"/>
      <c r="S296" s="233"/>
      <c r="T296" s="233"/>
      <c r="U296" s="81"/>
      <c r="V296" s="81"/>
      <c r="W296" s="81"/>
      <c r="X296" s="81"/>
      <c r="Y296" s="81"/>
      <c r="Z296" s="81"/>
      <c r="AA296" s="81"/>
      <c r="AB296" s="81"/>
      <c r="AC296" s="234"/>
    </row>
    <row r="297" customFormat="false" ht="12.75" hidden="false" customHeight="false" outlineLevel="0" collapsed="false">
      <c r="A297" s="17"/>
      <c r="B297" s="16"/>
      <c r="C297" s="17"/>
      <c r="D297" s="16"/>
      <c r="E297" s="16"/>
      <c r="F297" s="16"/>
      <c r="G297" s="16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</row>
    <row r="298" customFormat="false" ht="12.75" hidden="false" customHeight="false" outlineLevel="0" collapsed="false">
      <c r="A298" s="17"/>
      <c r="B298" s="16" t="s">
        <v>167</v>
      </c>
      <c r="C298" s="17"/>
      <c r="D298" s="17"/>
      <c r="E298" s="16"/>
      <c r="F298" s="16"/>
      <c r="G298" s="16"/>
      <c r="H298" s="47" t="s">
        <v>99</v>
      </c>
      <c r="I298" s="217" t="n">
        <f aca="false">IF(+I278&gt;0,400+(+I278*0.0125),0)</f>
        <v>0</v>
      </c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</row>
    <row r="299" customFormat="false" ht="12.75" hidden="false" customHeight="false" outlineLevel="0" collapsed="false">
      <c r="A299" s="17"/>
      <c r="B299" s="16" t="s">
        <v>137</v>
      </c>
      <c r="C299" s="17"/>
      <c r="D299" s="17"/>
      <c r="E299" s="16"/>
      <c r="F299" s="16"/>
      <c r="G299" s="16"/>
      <c r="H299" s="47" t="s">
        <v>99</v>
      </c>
      <c r="I299" s="235" t="n">
        <f aca="false">SUM(I275:I276)</f>
        <v>0</v>
      </c>
      <c r="J299" s="235" t="n">
        <f aca="false">SUM(J275:J276)</f>
        <v>0</v>
      </c>
      <c r="K299" s="235" t="n">
        <f aca="false">SUM(K275:K276)</f>
        <v>0</v>
      </c>
      <c r="L299" s="235" t="n">
        <f aca="false">SUM(L275:L276)</f>
        <v>0</v>
      </c>
      <c r="M299" s="235" t="n">
        <f aca="false">SUM(M275:M276)</f>
        <v>0</v>
      </c>
      <c r="N299" s="235" t="n">
        <f aca="false">SUM(N275:N276)</f>
        <v>0</v>
      </c>
      <c r="O299" s="235" t="n">
        <f aca="false">SUM(O275:O276)</f>
        <v>0</v>
      </c>
      <c r="P299" s="235" t="n">
        <f aca="false">SUM(P275:P276)</f>
        <v>0</v>
      </c>
      <c r="Q299" s="235" t="n">
        <f aca="false">SUM(Q275:Q276)</f>
        <v>0</v>
      </c>
      <c r="R299" s="235" t="n">
        <f aca="false">SUM(R275:R276)</f>
        <v>0</v>
      </c>
      <c r="S299" s="235" t="n">
        <f aca="false">SUM(S275:S276)</f>
        <v>0</v>
      </c>
      <c r="T299" s="235" t="n">
        <f aca="false">SUM(T275:T276)</f>
        <v>0</v>
      </c>
      <c r="U299" s="235" t="n">
        <f aca="false">SUM(U275:U276)</f>
        <v>0</v>
      </c>
      <c r="V299" s="235" t="n">
        <f aca="false">SUM(V275:V276)</f>
        <v>0</v>
      </c>
      <c r="W299" s="235" t="n">
        <f aca="false">SUM(W275:W276)</f>
        <v>0</v>
      </c>
      <c r="X299" s="235" t="n">
        <f aca="false">SUM(X275:X276)</f>
        <v>0</v>
      </c>
      <c r="Y299" s="235" t="n">
        <f aca="false">SUM(Y275:Y276)</f>
        <v>0</v>
      </c>
      <c r="Z299" s="235" t="n">
        <f aca="false">SUM(Z275:Z276)</f>
        <v>0</v>
      </c>
      <c r="AA299" s="235" t="n">
        <f aca="false">SUM(AA275:AA276)</f>
        <v>0</v>
      </c>
      <c r="AB299" s="235" t="n">
        <f aca="false">SUM(AB275:AB276)</f>
        <v>0</v>
      </c>
      <c r="AC299" s="235" t="n">
        <f aca="false">SUM(AC275:AC276)</f>
        <v>0</v>
      </c>
    </row>
    <row r="300" customFormat="false" ht="12.75" hidden="false" customHeight="false" outlineLevel="0" collapsed="false">
      <c r="A300" s="17"/>
      <c r="B300" s="16" t="s">
        <v>138</v>
      </c>
      <c r="C300" s="17"/>
      <c r="D300" s="17"/>
      <c r="E300" s="16"/>
      <c r="F300" s="16"/>
      <c r="G300" s="16"/>
      <c r="H300" s="47" t="s">
        <v>99</v>
      </c>
      <c r="I300" s="236" t="n">
        <f aca="false">I279+I281</f>
        <v>0</v>
      </c>
      <c r="J300" s="236" t="n">
        <f aca="false">J279+J281</f>
        <v>0</v>
      </c>
      <c r="K300" s="236" t="n">
        <f aca="false">K279+K281</f>
        <v>0</v>
      </c>
      <c r="L300" s="236" t="n">
        <f aca="false">L279+L281</f>
        <v>0</v>
      </c>
      <c r="M300" s="236" t="n">
        <f aca="false">M279+M281</f>
        <v>0</v>
      </c>
      <c r="N300" s="236" t="n">
        <f aca="false">N279+N281</f>
        <v>0</v>
      </c>
      <c r="O300" s="236" t="n">
        <f aca="false">O279+O281</f>
        <v>0</v>
      </c>
      <c r="P300" s="236" t="n">
        <f aca="false">P279+P281</f>
        <v>0</v>
      </c>
      <c r="Q300" s="236" t="n">
        <f aca="false">Q279+Q281</f>
        <v>0</v>
      </c>
      <c r="R300" s="236" t="n">
        <f aca="false">R279+R281</f>
        <v>0</v>
      </c>
      <c r="S300" s="236" t="n">
        <f aca="false">S279+S281</f>
        <v>0</v>
      </c>
      <c r="T300" s="236" t="n">
        <f aca="false">T279+T281</f>
        <v>0</v>
      </c>
      <c r="U300" s="236" t="n">
        <f aca="false">U279+U281</f>
        <v>0</v>
      </c>
      <c r="V300" s="236" t="n">
        <f aca="false">V279+V281</f>
        <v>0</v>
      </c>
      <c r="W300" s="236" t="n">
        <f aca="false">W279+W281</f>
        <v>0</v>
      </c>
      <c r="X300" s="236" t="n">
        <f aca="false">X279+X281</f>
        <v>0</v>
      </c>
      <c r="Y300" s="236" t="n">
        <f aca="false">Y279+Y281</f>
        <v>0</v>
      </c>
      <c r="Z300" s="236" t="n">
        <f aca="false">Z279+Z281</f>
        <v>0</v>
      </c>
      <c r="AA300" s="236" t="n">
        <f aca="false">AA279+AA281</f>
        <v>0</v>
      </c>
      <c r="AB300" s="236" t="n">
        <f aca="false">AB279+AB281</f>
        <v>0</v>
      </c>
      <c r="AC300" s="236" t="n">
        <f aca="false">AC279+AC281</f>
        <v>0</v>
      </c>
    </row>
    <row r="301" customFormat="false" ht="12.75" hidden="false" customHeight="false" outlineLevel="0" collapsed="false">
      <c r="A301" s="17"/>
      <c r="B301" s="16" t="s">
        <v>139</v>
      </c>
      <c r="C301" s="17"/>
      <c r="D301" s="17"/>
      <c r="E301" s="17"/>
      <c r="F301" s="17"/>
      <c r="G301" s="17"/>
      <c r="H301" s="16"/>
      <c r="I301" s="157" t="n">
        <f aca="false">SUM(I298:I300)</f>
        <v>0</v>
      </c>
      <c r="J301" s="157" t="n">
        <f aca="false">SUM(J298:J300)</f>
        <v>0</v>
      </c>
      <c r="K301" s="157" t="n">
        <f aca="false">SUM(K298:K300)</f>
        <v>0</v>
      </c>
      <c r="L301" s="157" t="n">
        <f aca="false">SUM(L298:L300)</f>
        <v>0</v>
      </c>
      <c r="M301" s="157" t="n">
        <f aca="false">SUM(M298:M300)</f>
        <v>0</v>
      </c>
      <c r="N301" s="157" t="n">
        <f aca="false">SUM(N298:N300)</f>
        <v>0</v>
      </c>
      <c r="O301" s="157" t="n">
        <f aca="false">SUM(O298:O300)</f>
        <v>0</v>
      </c>
      <c r="P301" s="157" t="n">
        <f aca="false">SUM(P298:P300)</f>
        <v>0</v>
      </c>
      <c r="Q301" s="157" t="n">
        <f aca="false">SUM(Q298:Q300)</f>
        <v>0</v>
      </c>
      <c r="R301" s="157" t="n">
        <f aca="false">SUM(R298:R300)</f>
        <v>0</v>
      </c>
      <c r="S301" s="157" t="n">
        <f aca="false">SUM(S298:S300)</f>
        <v>0</v>
      </c>
      <c r="T301" s="157" t="n">
        <f aca="false">SUM(T298:T300)</f>
        <v>0</v>
      </c>
      <c r="U301" s="157" t="n">
        <f aca="false">SUM(U298:U300)</f>
        <v>0</v>
      </c>
      <c r="V301" s="157" t="n">
        <f aca="false">SUM(V298:V300)</f>
        <v>0</v>
      </c>
      <c r="W301" s="157" t="n">
        <f aca="false">SUM(W298:W300)</f>
        <v>0</v>
      </c>
      <c r="X301" s="157" t="n">
        <f aca="false">SUM(X298:X300)</f>
        <v>0</v>
      </c>
      <c r="Y301" s="157" t="n">
        <f aca="false">SUM(Y298:Y300)</f>
        <v>0</v>
      </c>
      <c r="Z301" s="157" t="n">
        <f aca="false">SUM(Z298:Z300)</f>
        <v>0</v>
      </c>
      <c r="AA301" s="157" t="n">
        <f aca="false">SUM(AA298:AA300)</f>
        <v>0</v>
      </c>
      <c r="AB301" s="157" t="n">
        <f aca="false">SUM(AB298:AB300)</f>
        <v>0</v>
      </c>
      <c r="AC301" s="157" t="n">
        <f aca="false">SUM(AC298:AC300)</f>
        <v>0</v>
      </c>
    </row>
    <row r="302" customFormat="false" ht="12.75" hidden="false" customHeight="false" outlineLevel="0" collapsed="false">
      <c r="A302" s="17"/>
      <c r="B302" s="16"/>
      <c r="C302" s="17"/>
      <c r="D302" s="17"/>
      <c r="E302" s="17"/>
      <c r="F302" s="17"/>
      <c r="G302" s="17"/>
      <c r="H302" s="16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7"/>
      <c r="AC302" s="157"/>
    </row>
    <row r="303" customFormat="false" ht="12.75" hidden="false" customHeight="false" outlineLevel="0" collapsed="false">
      <c r="A303" s="55" t="s">
        <v>168</v>
      </c>
      <c r="B303" s="16"/>
      <c r="C303" s="16"/>
      <c r="D303" s="16"/>
      <c r="E303" s="16"/>
      <c r="F303" s="16"/>
      <c r="G303" s="16"/>
      <c r="H303" s="63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</row>
    <row r="304" customFormat="false" ht="12.75" hidden="false" customHeight="false" outlineLevel="0" collapsed="false">
      <c r="A304" s="55"/>
      <c r="B304" s="16"/>
      <c r="C304" s="16"/>
      <c r="D304" s="16"/>
      <c r="E304" s="16"/>
      <c r="F304" s="237" t="s">
        <v>169</v>
      </c>
      <c r="G304" s="237"/>
      <c r="H304" s="63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</row>
    <row r="305" customFormat="false" ht="12.75" hidden="false" customHeight="false" outlineLevel="0" collapsed="false">
      <c r="A305" s="16"/>
      <c r="B305" s="16" t="str">
        <f aca="false">+B250</f>
        <v>Project Debt</v>
      </c>
      <c r="C305" s="16"/>
      <c r="D305" s="16"/>
      <c r="E305" s="16"/>
      <c r="F305" s="174" t="n">
        <f aca="false">+$K$9</f>
        <v>0.5</v>
      </c>
      <c r="G305" s="174"/>
      <c r="H305" s="47" t="s">
        <v>99</v>
      </c>
      <c r="I305" s="149" t="n">
        <f aca="false">+N313-I252</f>
        <v>398720</v>
      </c>
      <c r="J305" s="149" t="n">
        <f aca="false">+I305-J252</f>
        <v>376032</v>
      </c>
      <c r="K305" s="149" t="n">
        <f aca="false">+J305-K252</f>
        <v>352214</v>
      </c>
      <c r="L305" s="149" t="n">
        <f aca="false">+K305-L252</f>
        <v>323650</v>
      </c>
      <c r="M305" s="149" t="n">
        <f aca="false">+L305-M252</f>
        <v>278301</v>
      </c>
      <c r="N305" s="149" t="n">
        <f aca="false">+M305-N252</f>
        <v>225660</v>
      </c>
      <c r="O305" s="149" t="n">
        <f aca="false">+N305-O252</f>
        <v>171639</v>
      </c>
      <c r="P305" s="149" t="n">
        <f aca="false">+O305-P252</f>
        <v>119838</v>
      </c>
      <c r="Q305" s="149" t="n">
        <f aca="false">+P305-Q252</f>
        <v>65222</v>
      </c>
      <c r="R305" s="149" t="n">
        <f aca="false">+Q305-R252</f>
        <v>0</v>
      </c>
      <c r="S305" s="149" t="n">
        <f aca="false">+R305-S252</f>
        <v>0</v>
      </c>
      <c r="T305" s="149" t="n">
        <f aca="false">+S305-T252</f>
        <v>0</v>
      </c>
      <c r="U305" s="149" t="n">
        <f aca="false">+T305-U252</f>
        <v>0</v>
      </c>
      <c r="V305" s="149" t="n">
        <f aca="false">+U305-V252</f>
        <v>0</v>
      </c>
      <c r="W305" s="149" t="n">
        <f aca="false">+V305-W252</f>
        <v>0</v>
      </c>
      <c r="X305" s="149" t="n">
        <f aca="false">+W305-X252</f>
        <v>0</v>
      </c>
      <c r="Y305" s="149" t="n">
        <f aca="false">+X305-Y252</f>
        <v>0</v>
      </c>
      <c r="Z305" s="149" t="n">
        <f aca="false">+Y305-Z252</f>
        <v>0</v>
      </c>
      <c r="AA305" s="149" t="n">
        <f aca="false">+Z305-AA252</f>
        <v>0</v>
      </c>
      <c r="AB305" s="149" t="n">
        <f aca="false">+AA305-AB252</f>
        <v>0</v>
      </c>
      <c r="AC305" s="149" t="n">
        <f aca="false">+AB305-AC252</f>
        <v>0</v>
      </c>
    </row>
    <row r="306" customFormat="false" ht="12.75" hidden="false" customHeight="false" outlineLevel="0" collapsed="false">
      <c r="A306" s="16"/>
      <c r="B306" s="16" t="str">
        <f aca="false">+B255</f>
        <v>NEEALP Debt (Existing Corporate)</v>
      </c>
      <c r="C306" s="16"/>
      <c r="D306" s="16"/>
      <c r="E306" s="16"/>
      <c r="F306" s="174" t="n">
        <f aca="false">+$K$9</f>
        <v>0.5</v>
      </c>
      <c r="G306" s="174"/>
      <c r="H306" s="47" t="s">
        <v>99</v>
      </c>
      <c r="I306" s="172" t="n">
        <f aca="false">+N314-I267</f>
        <v>220000</v>
      </c>
      <c r="J306" s="172" t="n">
        <f aca="false">+I306-J267</f>
        <v>211200</v>
      </c>
      <c r="K306" s="172" t="n">
        <f aca="false">+J306-K267</f>
        <v>202400</v>
      </c>
      <c r="L306" s="172" t="n">
        <f aca="false">+K306-L267</f>
        <v>193600</v>
      </c>
      <c r="M306" s="172" t="n">
        <f aca="false">+L306-M267</f>
        <v>184800</v>
      </c>
      <c r="N306" s="172" t="n">
        <f aca="false">+M306-N267</f>
        <v>171600</v>
      </c>
      <c r="O306" s="172" t="n">
        <f aca="false">+N306-O267</f>
        <v>149600</v>
      </c>
      <c r="P306" s="172" t="n">
        <f aca="false">+O306-P267</f>
        <v>127600</v>
      </c>
      <c r="Q306" s="172" t="n">
        <f aca="false">+P306-Q267</f>
        <v>101200</v>
      </c>
      <c r="R306" s="172" t="n">
        <f aca="false">+Q306-R267</f>
        <v>66000</v>
      </c>
      <c r="S306" s="172" t="n">
        <f aca="false">+R306-S267</f>
        <v>0</v>
      </c>
      <c r="T306" s="172" t="n">
        <f aca="false">+S306-T267</f>
        <v>0</v>
      </c>
      <c r="U306" s="172" t="n">
        <f aca="false">+T306-U267</f>
        <v>0</v>
      </c>
      <c r="V306" s="172" t="n">
        <f aca="false">+U306-V267</f>
        <v>0</v>
      </c>
      <c r="W306" s="172" t="n">
        <f aca="false">+V306-W267</f>
        <v>0</v>
      </c>
      <c r="X306" s="172" t="n">
        <f aca="false">+W306-X267</f>
        <v>0</v>
      </c>
      <c r="Y306" s="172" t="n">
        <f aca="false">+X306-Y267</f>
        <v>0</v>
      </c>
      <c r="Z306" s="172" t="n">
        <f aca="false">+Y306-Z267</f>
        <v>0</v>
      </c>
      <c r="AA306" s="172" t="n">
        <f aca="false">+Z306-AA267</f>
        <v>0</v>
      </c>
      <c r="AB306" s="172" t="n">
        <f aca="false">+AA306-AB267</f>
        <v>0</v>
      </c>
      <c r="AC306" s="172" t="n">
        <f aca="false">+AB306-AC267</f>
        <v>0</v>
      </c>
    </row>
    <row r="307" customFormat="false" ht="12.75" hidden="false" customHeight="false" outlineLevel="0" collapsed="false">
      <c r="A307" s="16"/>
      <c r="B307" s="16" t="str">
        <f aca="false">+B270</f>
        <v>Acquiring Co. Debt (New)</v>
      </c>
      <c r="C307" s="16"/>
      <c r="D307" s="16"/>
      <c r="E307" s="16"/>
      <c r="F307" s="174" t="n">
        <v>1</v>
      </c>
      <c r="G307" s="174"/>
      <c r="H307" s="47" t="s">
        <v>99</v>
      </c>
      <c r="I307" s="238" t="n">
        <f aca="false">+I282</f>
        <v>0</v>
      </c>
      <c r="J307" s="238" t="n">
        <f aca="false">+J282</f>
        <v>0</v>
      </c>
      <c r="K307" s="238" t="n">
        <f aca="false">+K282</f>
        <v>0</v>
      </c>
      <c r="L307" s="238" t="n">
        <f aca="false">+L282</f>
        <v>0</v>
      </c>
      <c r="M307" s="238" t="n">
        <f aca="false">+M282</f>
        <v>0</v>
      </c>
      <c r="N307" s="238" t="n">
        <f aca="false">+N282</f>
        <v>0</v>
      </c>
      <c r="O307" s="238" t="n">
        <f aca="false">+O282</f>
        <v>0</v>
      </c>
      <c r="P307" s="238" t="n">
        <f aca="false">+P282</f>
        <v>0</v>
      </c>
      <c r="Q307" s="238" t="n">
        <f aca="false">+Q282</f>
        <v>0</v>
      </c>
      <c r="R307" s="238" t="n">
        <f aca="false">+R282</f>
        <v>0</v>
      </c>
      <c r="S307" s="238" t="n">
        <f aca="false">+S282</f>
        <v>0</v>
      </c>
      <c r="T307" s="238" t="n">
        <f aca="false">+T282</f>
        <v>0</v>
      </c>
      <c r="U307" s="238" t="n">
        <f aca="false">+U282</f>
        <v>0</v>
      </c>
      <c r="V307" s="238" t="n">
        <f aca="false">+V282</f>
        <v>0</v>
      </c>
      <c r="W307" s="238" t="n">
        <f aca="false">+W282</f>
        <v>0</v>
      </c>
      <c r="X307" s="238" t="n">
        <f aca="false">+X282</f>
        <v>0</v>
      </c>
      <c r="Y307" s="238" t="n">
        <f aca="false">+Y282</f>
        <v>0</v>
      </c>
      <c r="Z307" s="238" t="n">
        <f aca="false">+Z282</f>
        <v>0</v>
      </c>
      <c r="AA307" s="238" t="n">
        <f aca="false">+AA282</f>
        <v>0</v>
      </c>
      <c r="AB307" s="238" t="n">
        <f aca="false">+AB282</f>
        <v>0</v>
      </c>
      <c r="AC307" s="238" t="n">
        <f aca="false">+AC282</f>
        <v>0</v>
      </c>
    </row>
    <row r="308" customFormat="false" ht="12.75" hidden="false" customHeight="false" outlineLevel="0" collapsed="false">
      <c r="A308" s="16"/>
      <c r="B308" s="16" t="s">
        <v>80</v>
      </c>
      <c r="C308" s="16"/>
      <c r="D308" s="16"/>
      <c r="E308" s="16"/>
      <c r="F308" s="16"/>
      <c r="G308" s="16"/>
      <c r="H308" s="47" t="s">
        <v>99</v>
      </c>
      <c r="I308" s="172" t="n">
        <f aca="false">SUM(I305:I307)</f>
        <v>618720</v>
      </c>
      <c r="J308" s="172" t="n">
        <f aca="false">SUM(J305:J307)</f>
        <v>587232</v>
      </c>
      <c r="K308" s="172" t="n">
        <f aca="false">SUM(K305:K307)</f>
        <v>554614</v>
      </c>
      <c r="L308" s="172" t="n">
        <f aca="false">SUM(L305:L307)</f>
        <v>517250</v>
      </c>
      <c r="M308" s="172" t="n">
        <f aca="false">SUM(M305:M307)</f>
        <v>463101</v>
      </c>
      <c r="N308" s="172" t="n">
        <f aca="false">SUM(N305:N307)</f>
        <v>397260</v>
      </c>
      <c r="O308" s="172" t="n">
        <f aca="false">SUM(O305:O307)</f>
        <v>321239</v>
      </c>
      <c r="P308" s="172" t="n">
        <f aca="false">SUM(P305:P307)</f>
        <v>247438</v>
      </c>
      <c r="Q308" s="172" t="n">
        <f aca="false">SUM(Q305:Q307)</f>
        <v>166422</v>
      </c>
      <c r="R308" s="172" t="n">
        <f aca="false">SUM(R305:R307)</f>
        <v>66000</v>
      </c>
      <c r="S308" s="172" t="n">
        <f aca="false">SUM(S305:S307)</f>
        <v>0</v>
      </c>
      <c r="T308" s="172" t="n">
        <f aca="false">SUM(T305:T307)</f>
        <v>0</v>
      </c>
      <c r="U308" s="172" t="n">
        <f aca="false">SUM(U305:U307)</f>
        <v>0</v>
      </c>
      <c r="V308" s="172" t="n">
        <f aca="false">SUM(V305:V307)</f>
        <v>0</v>
      </c>
      <c r="W308" s="172" t="n">
        <f aca="false">SUM(W305:W307)</f>
        <v>0</v>
      </c>
      <c r="X308" s="172" t="n">
        <f aca="false">SUM(X305:X307)</f>
        <v>0</v>
      </c>
      <c r="Y308" s="172" t="n">
        <f aca="false">SUM(Y305:Y307)</f>
        <v>0</v>
      </c>
      <c r="Z308" s="172" t="n">
        <f aca="false">SUM(Z305:Z307)</f>
        <v>0</v>
      </c>
      <c r="AA308" s="172" t="n">
        <f aca="false">SUM(AA305:AA307)</f>
        <v>0</v>
      </c>
      <c r="AB308" s="172" t="n">
        <f aca="false">SUM(AB305:AB307)</f>
        <v>0</v>
      </c>
      <c r="AC308" s="172" t="n">
        <f aca="false">SUM(AC305:AC307)</f>
        <v>0</v>
      </c>
    </row>
    <row r="309" customFormat="false" ht="12.75" hidden="false" customHeight="false" outlineLevel="0" collapsed="false">
      <c r="A309" s="16"/>
      <c r="B309" s="16"/>
      <c r="C309" s="16"/>
      <c r="D309" s="16"/>
      <c r="E309" s="16"/>
      <c r="F309" s="16"/>
      <c r="G309" s="16"/>
      <c r="H309" s="47"/>
      <c r="I309" s="172"/>
      <c r="J309" s="172"/>
      <c r="K309" s="172"/>
      <c r="L309" s="172"/>
      <c r="M309" s="172"/>
      <c r="N309" s="172"/>
      <c r="O309" s="172"/>
      <c r="P309" s="172"/>
      <c r="Q309" s="172"/>
      <c r="R309" s="172"/>
      <c r="S309" s="172"/>
      <c r="T309" s="172"/>
      <c r="U309" s="172"/>
      <c r="V309" s="172"/>
      <c r="W309" s="172"/>
      <c r="X309" s="172"/>
      <c r="Y309" s="172"/>
      <c r="Z309" s="172"/>
      <c r="AA309" s="172"/>
      <c r="AB309" s="172"/>
      <c r="AC309" s="172"/>
    </row>
    <row r="310" customFormat="false" ht="12.75" hidden="false" customHeight="false" outlineLevel="0" collapsed="false">
      <c r="A310" s="16"/>
      <c r="B310" s="16" t="s">
        <v>170</v>
      </c>
      <c r="C310" s="17"/>
      <c r="D310" s="16"/>
      <c r="E310" s="16"/>
      <c r="F310" s="174" t="n">
        <f aca="false">SUM(I310:AC310)/SUM(I308:AC308)</f>
        <v>0.5</v>
      </c>
      <c r="G310" s="174"/>
      <c r="H310" s="47" t="s">
        <v>99</v>
      </c>
      <c r="I310" s="155" t="n">
        <f aca="false">(I305*$F$305)+(I306*$F$306)+(I307*$F$307)</f>
        <v>309360</v>
      </c>
      <c r="J310" s="155" t="n">
        <f aca="false">(J305*$F$305)+(J306*$F$306)+(J307*$F$307)</f>
        <v>293616</v>
      </c>
      <c r="K310" s="155" t="n">
        <f aca="false">(K305*$F$305)+(K306*$F$306)+(K307*$F$307)</f>
        <v>277307</v>
      </c>
      <c r="L310" s="155" t="n">
        <f aca="false">(L305*$F$305)+(L306*$F$306)+(L307*$F$307)</f>
        <v>258625</v>
      </c>
      <c r="M310" s="155" t="n">
        <f aca="false">(M305*$F$305)+(M306*$F$306)+(M307*$F$307)</f>
        <v>231550.5</v>
      </c>
      <c r="N310" s="155" t="n">
        <f aca="false">(N305*$F$305)+(N306*$F$306)+(N307*$F$307)</f>
        <v>198630</v>
      </c>
      <c r="O310" s="155" t="n">
        <f aca="false">(O305*$F$305)+(O306*$F$306)+(O307*$F$307)</f>
        <v>160619.5</v>
      </c>
      <c r="P310" s="155" t="n">
        <f aca="false">(P305*$F$305)+(P306*$F$306)+(P307*$F$307)</f>
        <v>123719</v>
      </c>
      <c r="Q310" s="155" t="n">
        <f aca="false">(Q305*$F$305)+(Q306*$F$306)+(Q307*$F$307)</f>
        <v>83211</v>
      </c>
      <c r="R310" s="155" t="n">
        <f aca="false">(R305*$F$305)+(R306*$F$306)+(R307*$F$307)</f>
        <v>33000</v>
      </c>
      <c r="S310" s="155" t="n">
        <f aca="false">(S305*$F$305)+(S306*$F$306)+(S307*$F$307)</f>
        <v>0</v>
      </c>
      <c r="T310" s="155" t="n">
        <f aca="false">(T305*$F$305)+(T306*$F$306)+(T307*$F$307)</f>
        <v>0</v>
      </c>
      <c r="U310" s="155" t="n">
        <f aca="false">(U305*$F$305)+(U306*$F$306)+(U307*$F$307)</f>
        <v>0</v>
      </c>
      <c r="V310" s="155" t="n">
        <f aca="false">(V305*$F$305)+(V306*$F$306)+(V307*$F$307)</f>
        <v>0</v>
      </c>
      <c r="W310" s="155" t="n">
        <f aca="false">(W305*$F$305)+(W306*$F$306)+(W307*$F$307)</f>
        <v>0</v>
      </c>
      <c r="X310" s="155" t="n">
        <f aca="false">(X305*$F$305)+(X306*$F$306)+(X307*$F$307)</f>
        <v>0</v>
      </c>
      <c r="Y310" s="155" t="n">
        <f aca="false">(Y305*$F$305)+(Y306*$F$306)+(Y307*$F$307)</f>
        <v>0</v>
      </c>
      <c r="Z310" s="155" t="n">
        <f aca="false">(Z305*$F$305)+(Z306*$F$306)+(Z307*$F$307)</f>
        <v>0</v>
      </c>
      <c r="AA310" s="155" t="n">
        <f aca="false">(AA305*$F$305)+(AA306*$F$306)+(AA307*$F$307)</f>
        <v>0</v>
      </c>
      <c r="AB310" s="155" t="n">
        <f aca="false">(AB305*$F$305)+(AB306*$F$306)+(AB307*$F$307)</f>
        <v>0</v>
      </c>
      <c r="AC310" s="155" t="n">
        <f aca="false">(AC305*$F$305)+(AC306*$F$306)+(AC307*$F$307)</f>
        <v>0</v>
      </c>
    </row>
    <row r="311" customFormat="false" ht="12.75" hidden="false" customHeight="false" outlineLevel="0" collapsed="false">
      <c r="A311" s="16"/>
      <c r="B311" s="16"/>
      <c r="C311" s="16"/>
      <c r="D311" s="16"/>
      <c r="E311" s="16"/>
      <c r="F311" s="16"/>
      <c r="G311" s="16"/>
      <c r="H311" s="63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</row>
    <row r="312" customFormat="false" ht="12.75" hidden="false" customHeight="false" outlineLevel="0" collapsed="false">
      <c r="A312" s="17"/>
      <c r="B312" s="17"/>
      <c r="C312" s="17"/>
      <c r="D312" s="17"/>
      <c r="E312" s="17"/>
      <c r="F312" s="17"/>
      <c r="G312" s="17"/>
      <c r="H312" s="17"/>
      <c r="I312" s="6" t="s">
        <v>171</v>
      </c>
      <c r="J312" s="239"/>
      <c r="K312" s="240"/>
      <c r="L312" s="241" t="n">
        <v>36525</v>
      </c>
      <c r="M312" s="242" t="s">
        <v>172</v>
      </c>
      <c r="N312" s="243" t="n">
        <f aca="false">+L312+366</f>
        <v>36891</v>
      </c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</row>
    <row r="313" customFormat="false" ht="12.75" hidden="false" customHeight="false" outlineLevel="0" collapsed="false">
      <c r="A313" s="17"/>
      <c r="B313" s="17"/>
      <c r="C313" s="17"/>
      <c r="D313" s="17"/>
      <c r="E313" s="17"/>
      <c r="F313" s="17"/>
      <c r="G313" s="17"/>
      <c r="H313" s="17"/>
      <c r="I313" s="198" t="s">
        <v>173</v>
      </c>
      <c r="J313" s="16"/>
      <c r="K313" s="47" t="s">
        <v>99</v>
      </c>
      <c r="L313" s="173" t="n">
        <v>418880</v>
      </c>
      <c r="M313" s="173" t="n">
        <v>0</v>
      </c>
      <c r="N313" s="244" t="n">
        <f aca="false">+L313-M313</f>
        <v>418880</v>
      </c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</row>
    <row r="314" customFormat="false" ht="12.75" hidden="false" customHeight="false" outlineLevel="0" collapsed="false">
      <c r="A314" s="17"/>
      <c r="B314" s="17"/>
      <c r="C314" s="17"/>
      <c r="D314" s="17"/>
      <c r="E314" s="17"/>
      <c r="F314" s="17"/>
      <c r="G314" s="17"/>
      <c r="H314" s="17"/>
      <c r="I314" s="198" t="s">
        <v>174</v>
      </c>
      <c r="J314" s="16"/>
      <c r="K314" s="47" t="s">
        <v>99</v>
      </c>
      <c r="L314" s="190" t="n">
        <v>220000</v>
      </c>
      <c r="M314" s="190" t="n">
        <v>0</v>
      </c>
      <c r="N314" s="245" t="n">
        <f aca="false">+L314-M314</f>
        <v>220000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</row>
    <row r="315" customFormat="false" ht="12.75" hidden="false" customHeight="false" outlineLevel="0" collapsed="false">
      <c r="A315" s="17"/>
      <c r="B315" s="17"/>
      <c r="C315" s="17"/>
      <c r="D315" s="17"/>
      <c r="E315" s="17"/>
      <c r="F315" s="17"/>
      <c r="G315" s="17"/>
      <c r="H315" s="17"/>
      <c r="I315" s="203" t="s">
        <v>80</v>
      </c>
      <c r="J315" s="12"/>
      <c r="K315" s="81" t="s">
        <v>99</v>
      </c>
      <c r="L315" s="158" t="n">
        <f aca="false">SUM(L313:L314)</f>
        <v>638880</v>
      </c>
      <c r="M315" s="158"/>
      <c r="N315" s="245" t="n">
        <f aca="false">SUM(N313:N314)</f>
        <v>638880</v>
      </c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</row>
    <row r="316" customFormat="false" ht="12.75" hidden="false" customHeight="false" outlineLevel="0" collapsed="false">
      <c r="A316" s="16"/>
      <c r="B316" s="55"/>
      <c r="C316" s="16"/>
      <c r="D316" s="16"/>
      <c r="E316" s="16"/>
      <c r="F316" s="16"/>
      <c r="G316" s="16"/>
      <c r="H316" s="47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</row>
    <row r="317" customFormat="false" ht="18" hidden="false" customHeight="false" outlineLevel="0" collapsed="false">
      <c r="A317" s="18" t="s">
        <v>175</v>
      </c>
      <c r="B317" s="16"/>
      <c r="C317" s="16"/>
      <c r="D317" s="16"/>
      <c r="E317" s="16"/>
      <c r="F317" s="16"/>
      <c r="G317" s="16"/>
      <c r="H317" s="63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</row>
    <row r="318" customFormat="false" ht="12.75" hidden="false" customHeight="false" outlineLevel="0" collapsed="false">
      <c r="A318" s="16"/>
      <c r="B318" s="16"/>
      <c r="C318" s="16"/>
      <c r="D318" s="16"/>
      <c r="E318" s="16"/>
      <c r="F318" s="16"/>
      <c r="G318" s="16"/>
      <c r="H318" s="63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</row>
    <row r="319" customFormat="false" ht="12.75" hidden="false" customHeight="false" outlineLevel="0" collapsed="false">
      <c r="A319" s="55" t="s">
        <v>176</v>
      </c>
      <c r="B319" s="16"/>
      <c r="C319" s="16"/>
      <c r="D319" s="16"/>
      <c r="E319" s="16"/>
      <c r="F319" s="16"/>
      <c r="G319" s="16"/>
      <c r="H319" s="63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</row>
    <row r="320" customFormat="false" ht="12.75" hidden="false" customHeight="false" outlineLevel="0" collapsed="false">
      <c r="A320" s="16"/>
      <c r="B320" s="16"/>
      <c r="C320" s="16"/>
      <c r="D320" s="16"/>
      <c r="E320" s="16"/>
      <c r="F320" s="16"/>
      <c r="G320" s="16"/>
      <c r="H320" s="63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</row>
    <row r="321" customFormat="false" ht="12.75" hidden="false" customHeight="false" outlineLevel="0" collapsed="false">
      <c r="A321" s="16"/>
      <c r="B321" s="55" t="s">
        <v>177</v>
      </c>
      <c r="C321" s="16"/>
      <c r="D321" s="16"/>
      <c r="E321" s="16"/>
      <c r="F321" s="16"/>
      <c r="G321" s="16"/>
      <c r="H321" s="63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</row>
    <row r="322" customFormat="false" ht="12.75" hidden="false" customHeight="false" outlineLevel="0" collapsed="false">
      <c r="A322" s="16"/>
      <c r="B322" s="16" t="s">
        <v>52</v>
      </c>
      <c r="C322" s="16"/>
      <c r="D322" s="17"/>
      <c r="E322" s="16"/>
      <c r="F322" s="16"/>
      <c r="G322" s="16"/>
      <c r="H322" s="63" t="s">
        <v>99</v>
      </c>
      <c r="I322" s="149" t="n">
        <f aca="false">+I134-I132</f>
        <v>166870.852150348</v>
      </c>
      <c r="J322" s="149" t="n">
        <f aca="false">+J134-J132</f>
        <v>160969.331765914</v>
      </c>
      <c r="K322" s="149" t="n">
        <f aca="false">+K134-K132</f>
        <v>180871.108565136</v>
      </c>
      <c r="L322" s="149" t="n">
        <f aca="false">+L134-L132</f>
        <v>182161.54376879</v>
      </c>
      <c r="M322" s="149" t="n">
        <f aca="false">+M134-M132</f>
        <v>194768.0205441</v>
      </c>
      <c r="N322" s="149" t="n">
        <f aca="false">+N134-N132</f>
        <v>204016.77345549</v>
      </c>
      <c r="O322" s="149" t="n">
        <f aca="false">+O134-O132</f>
        <v>211402.762073827</v>
      </c>
      <c r="P322" s="149" t="n">
        <f aca="false">+P134-P132</f>
        <v>205254.747535154</v>
      </c>
      <c r="Q322" s="149" t="n">
        <f aca="false">+Q134-Q132</f>
        <v>231987.041616221</v>
      </c>
      <c r="R322" s="149" t="n">
        <f aca="false">+R134-R132</f>
        <v>235073.190478399</v>
      </c>
      <c r="S322" s="149" t="n">
        <f aca="false">+S134-S132</f>
        <v>216462.261384482</v>
      </c>
      <c r="T322" s="149" t="n">
        <f aca="false">+T134-T132</f>
        <v>137364.087431135</v>
      </c>
      <c r="U322" s="149" t="n">
        <f aca="false">+U134-U132</f>
        <v>139773.80732556</v>
      </c>
      <c r="V322" s="149" t="n">
        <f aca="false">+V134-V132</f>
        <v>133771.70830479</v>
      </c>
      <c r="W322" s="149" t="n">
        <f aca="false">+W134-W132</f>
        <v>147400.184873889</v>
      </c>
      <c r="X322" s="149" t="n">
        <f aca="false">+X134-X132</f>
        <v>114301.117871107</v>
      </c>
      <c r="Y322" s="149" t="n">
        <f aca="false">+Y134-Y132</f>
        <v>28171.5515843632</v>
      </c>
      <c r="Z322" s="149" t="n">
        <f aca="false">+Z134-Z132</f>
        <v>28681.6724315271</v>
      </c>
      <c r="AA322" s="149" t="n">
        <f aca="false">+AA134-AA132</f>
        <v>29217.0506007578</v>
      </c>
      <c r="AB322" s="149" t="n">
        <f aca="false">+AB134-AB132</f>
        <v>29778.7712904306</v>
      </c>
      <c r="AC322" s="149" t="n">
        <f aca="false">+AC134-AC132</f>
        <v>27500.520152594</v>
      </c>
    </row>
    <row r="323" customFormat="false" ht="12.75" hidden="false" customHeight="false" outlineLevel="0" collapsed="false">
      <c r="A323" s="16"/>
      <c r="B323" s="16" t="s">
        <v>54</v>
      </c>
      <c r="C323" s="16"/>
      <c r="D323" s="17"/>
      <c r="E323" s="16"/>
      <c r="F323" s="16"/>
      <c r="G323" s="16"/>
      <c r="H323" s="63" t="s">
        <v>99</v>
      </c>
      <c r="I323" s="149" t="n">
        <f aca="false">+I186</f>
        <v>149149.8</v>
      </c>
      <c r="J323" s="149" t="n">
        <f aca="false">+J186</f>
        <v>147798</v>
      </c>
      <c r="K323" s="149" t="n">
        <f aca="false">+K186</f>
        <v>145174.8</v>
      </c>
      <c r="L323" s="149" t="n">
        <f aca="false">+L186</f>
        <v>158042.2</v>
      </c>
      <c r="M323" s="149" t="n">
        <f aca="false">+M186</f>
        <v>159996</v>
      </c>
      <c r="N323" s="149" t="n">
        <f aca="false">+N186</f>
        <v>162810</v>
      </c>
      <c r="O323" s="149" t="n">
        <f aca="false">+O186</f>
        <v>166732.5</v>
      </c>
      <c r="P323" s="149" t="n">
        <f aca="false">+P186</f>
        <v>164611</v>
      </c>
      <c r="Q323" s="149" t="n">
        <f aca="false">+Q186</f>
        <v>161035.8</v>
      </c>
      <c r="R323" s="149" t="n">
        <f aca="false">+R186</f>
        <v>175624.9</v>
      </c>
      <c r="S323" s="149" t="n">
        <f aca="false">+S186</f>
        <v>113575.2</v>
      </c>
      <c r="T323" s="149" t="n">
        <f aca="false">+T186</f>
        <v>0</v>
      </c>
      <c r="U323" s="149" t="n">
        <f aca="false">+U186</f>
        <v>0</v>
      </c>
      <c r="V323" s="149" t="n">
        <f aca="false">+V186</f>
        <v>0</v>
      </c>
      <c r="W323" s="149" t="n">
        <f aca="false">+W186</f>
        <v>0</v>
      </c>
      <c r="X323" s="149" t="n">
        <f aca="false">+X186</f>
        <v>0</v>
      </c>
      <c r="Y323" s="149" t="n">
        <f aca="false">+Y186</f>
        <v>0</v>
      </c>
      <c r="Z323" s="149" t="n">
        <f aca="false">+Z186</f>
        <v>0</v>
      </c>
      <c r="AA323" s="149" t="n">
        <f aca="false">+AA186</f>
        <v>0</v>
      </c>
      <c r="AB323" s="149" t="n">
        <f aca="false">+AB186</f>
        <v>0</v>
      </c>
      <c r="AC323" s="149" t="n">
        <f aca="false">+AC186</f>
        <v>0</v>
      </c>
    </row>
    <row r="324" customFormat="false" ht="12.75" hidden="false" customHeight="false" outlineLevel="0" collapsed="false">
      <c r="A324" s="16"/>
      <c r="B324" s="16" t="s">
        <v>80</v>
      </c>
      <c r="C324" s="16"/>
      <c r="D324" s="17"/>
      <c r="E324" s="16"/>
      <c r="F324" s="16"/>
      <c r="G324" s="16"/>
      <c r="H324" s="63" t="s">
        <v>99</v>
      </c>
      <c r="I324" s="171" t="n">
        <f aca="false">SUM(I322:I323)</f>
        <v>316020.652150348</v>
      </c>
      <c r="J324" s="171" t="n">
        <f aca="false">SUM(J322:J323)</f>
        <v>308767.331765914</v>
      </c>
      <c r="K324" s="171" t="n">
        <f aca="false">SUM(K322:K323)</f>
        <v>326045.908565136</v>
      </c>
      <c r="L324" s="171" t="n">
        <f aca="false">SUM(L322:L323)</f>
        <v>340203.74376879</v>
      </c>
      <c r="M324" s="171" t="n">
        <f aca="false">SUM(M322:M323)</f>
        <v>354764.0205441</v>
      </c>
      <c r="N324" s="171" t="n">
        <f aca="false">SUM(N322:N323)</f>
        <v>366826.77345549</v>
      </c>
      <c r="O324" s="171" t="n">
        <f aca="false">SUM(O322:O323)</f>
        <v>378135.262073827</v>
      </c>
      <c r="P324" s="171" t="n">
        <f aca="false">SUM(P322:P323)</f>
        <v>369865.747535154</v>
      </c>
      <c r="Q324" s="171" t="n">
        <f aca="false">SUM(Q322:Q323)</f>
        <v>393022.841616221</v>
      </c>
      <c r="R324" s="171" t="n">
        <f aca="false">SUM(R322:R323)</f>
        <v>410698.090478399</v>
      </c>
      <c r="S324" s="171" t="n">
        <f aca="false">SUM(S322:S323)</f>
        <v>330037.461384482</v>
      </c>
      <c r="T324" s="171" t="n">
        <f aca="false">SUM(T322:T323)</f>
        <v>137364.087431135</v>
      </c>
      <c r="U324" s="171" t="n">
        <f aca="false">SUM(U322:U323)</f>
        <v>139773.80732556</v>
      </c>
      <c r="V324" s="171" t="n">
        <f aca="false">SUM(V322:V323)</f>
        <v>133771.70830479</v>
      </c>
      <c r="W324" s="171" t="n">
        <f aca="false">SUM(W322:W323)</f>
        <v>147400.184873889</v>
      </c>
      <c r="X324" s="171" t="n">
        <f aca="false">SUM(X322:X323)</f>
        <v>114301.117871107</v>
      </c>
      <c r="Y324" s="171" t="n">
        <f aca="false">SUM(Y322:Y323)</f>
        <v>28171.5515843632</v>
      </c>
      <c r="Z324" s="171" t="n">
        <f aca="false">SUM(Z322:Z323)</f>
        <v>28681.6724315271</v>
      </c>
      <c r="AA324" s="171" t="n">
        <f aca="false">SUM(AA322:AA323)</f>
        <v>29217.0506007578</v>
      </c>
      <c r="AB324" s="171" t="n">
        <f aca="false">SUM(AB322:AB323)</f>
        <v>29778.7712904306</v>
      </c>
      <c r="AC324" s="171" t="n">
        <f aca="false">SUM(AC322:AC323)</f>
        <v>27500.520152594</v>
      </c>
    </row>
    <row r="325" customFormat="false" ht="12.75" hidden="false" customHeight="false" outlineLevel="0" collapsed="false">
      <c r="A325" s="16"/>
      <c r="B325" s="16"/>
      <c r="C325" s="16"/>
      <c r="D325" s="16"/>
      <c r="E325" s="16"/>
      <c r="F325" s="16"/>
      <c r="G325" s="16"/>
      <c r="H325" s="63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</row>
    <row r="326" customFormat="false" ht="12.75" hidden="false" customHeight="false" outlineLevel="0" collapsed="false">
      <c r="A326" s="16"/>
      <c r="B326" s="55" t="s">
        <v>178</v>
      </c>
      <c r="C326" s="16"/>
      <c r="D326" s="16"/>
      <c r="E326" s="16"/>
      <c r="F326" s="20" t="s">
        <v>179</v>
      </c>
      <c r="G326" s="20"/>
      <c r="H326" s="63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</row>
    <row r="327" customFormat="false" ht="12.75" hidden="false" customHeight="false" outlineLevel="0" collapsed="false">
      <c r="A327" s="16"/>
      <c r="B327" s="16" t="s">
        <v>52</v>
      </c>
      <c r="C327" s="17"/>
      <c r="D327" s="16"/>
      <c r="E327" s="16"/>
      <c r="F327" s="16"/>
      <c r="G327" s="16"/>
      <c r="H327" s="63" t="s">
        <v>99</v>
      </c>
      <c r="I327" s="246" t="n">
        <f aca="false">IF(+$F$326="Mid",+I99*I49/1000,IF(+$F$326="Offer",+I99*I50/1000,"Input Error"))</f>
        <v>91870.290617593</v>
      </c>
      <c r="J327" s="246" t="n">
        <f aca="false">IF(+$F$326="Mid",+J99*J49/1000,IF(+$F$326="Offer",+J99*J50/1000,"Input Error"))</f>
        <v>80169.1959400316</v>
      </c>
      <c r="K327" s="246" t="n">
        <f aca="false">IF(+$F$326="Mid",+K99*K49/1000,IF(+$F$326="Offer",+K99*K50/1000,"Input Error"))</f>
        <v>83246.2127660068</v>
      </c>
      <c r="L327" s="246" t="n">
        <f aca="false">IF(+$F$326="Mid",+L99*L49/1000,IF(+$F$326="Offer",+L99*L50/1000,"Input Error"))</f>
        <v>78843.3569926862</v>
      </c>
      <c r="M327" s="246" t="n">
        <f aca="false">IF(+$F$326="Mid",+M99*M49/1000,IF(+$F$326="Offer",+M99*M50/1000,"Input Error"))</f>
        <v>80991.5759756887</v>
      </c>
      <c r="N327" s="246" t="n">
        <f aca="false">IF(+$F$326="Mid",+N99*N49/1000,IF(+$F$326="Offer",+N99*N50/1000,"Input Error"))</f>
        <v>81674.8756231312</v>
      </c>
      <c r="O327" s="246" t="n">
        <f aca="false">IF(+$F$326="Mid",+O99*O49/1000,IF(+$F$326="Offer",+O99*O50/1000,"Input Error"))</f>
        <v>81797.0044338173</v>
      </c>
      <c r="P327" s="246" t="n">
        <f aca="false">IF(+$F$326="Mid",+P99*P49/1000,IF(+$F$326="Offer",+P99*P50/1000,"Input Error"))</f>
        <v>76752.5422999991</v>
      </c>
      <c r="Q327" s="246" t="n">
        <f aca="false">IF(+$F$326="Mid",+Q99*Q49/1000,IF(+$F$326="Offer",+Q99*Q50/1000,"Input Error"))</f>
        <v>83777.1447011103</v>
      </c>
      <c r="R327" s="246" t="n">
        <f aca="false">IF(+$F$326="Mid",+R99*R49/1000,IF(+$F$326="Offer",+R99*R50/1000,"Input Error"))</f>
        <v>81990.5698345999</v>
      </c>
      <c r="S327" s="246" t="n">
        <f aca="false">IF(+$F$326="Mid",+S99*S49/1000,IF(+$F$326="Offer",+S99*S50/1000,"Input Error"))</f>
        <v>77921.7789652464</v>
      </c>
      <c r="T327" s="246" t="n">
        <f aca="false">IF(+$F$326="Mid",+T99*T49/1000,IF(+$F$326="Offer",+T99*T50/1000,"Input Error"))</f>
        <v>61455.5465783302</v>
      </c>
      <c r="U327" s="246" t="n">
        <f aca="false">IF(+$F$326="Mid",+U99*U49/1000,IF(+$F$326="Offer",+U99*U50/1000,"Input Error"))</f>
        <v>61865.1191557086</v>
      </c>
      <c r="V327" s="246" t="n">
        <f aca="false">IF(+$F$326="Mid",+V99*V49/1000,IF(+$F$326="Offer",+V99*V50/1000,"Input Error"))</f>
        <v>58305.2238332554</v>
      </c>
      <c r="W327" s="246" t="n">
        <f aca="false">IF(+$F$326="Mid",+W99*W49/1000,IF(+$F$326="Offer",+W99*W50/1000,"Input Error"))</f>
        <v>63786.8451883929</v>
      </c>
      <c r="X327" s="246" t="n">
        <f aca="false">IF(+$F$326="Mid",+X99*X49/1000,IF(+$F$326="Offer",+X99*X50/1000,"Input Error"))</f>
        <v>48614.6470491419</v>
      </c>
      <c r="Y327" s="246" t="n">
        <f aca="false">IF(+$F$326="Mid",+Y99*Y49/1000,IF(+$F$326="Offer",+Y99*Y50/1000,"Input Error"))</f>
        <v>7800.16576202484</v>
      </c>
      <c r="Z327" s="246" t="n">
        <f aca="false">IF(+$F$326="Mid",+Z99*Z49/1000,IF(+$F$326="Offer",+Z99*Z50/1000,"Input Error"))</f>
        <v>7887.04402382375</v>
      </c>
      <c r="AA327" s="246" t="n">
        <f aca="false">IF(+$F$326="Mid",+AA99*AA49/1000,IF(+$F$326="Offer",+AA99*AA50/1000,"Input Error"))</f>
        <v>7974.88993587567</v>
      </c>
      <c r="AB327" s="246" t="n">
        <f aca="false">IF(+$F$326="Mid",+AB99*AB49/1000,IF(+$F$326="Offer",+AB99*AB50/1000,"Input Error"))</f>
        <v>8063.71427587106</v>
      </c>
      <c r="AC327" s="246" t="n">
        <f aca="false">IF(+$F$326="Mid",+AC99*AC49/1000,IF(+$F$326="Offer",+AC99*AC50/1000,"Input Error"))</f>
        <v>6115.14595615672</v>
      </c>
    </row>
    <row r="328" customFormat="false" ht="12.75" hidden="false" customHeight="false" outlineLevel="0" collapsed="false">
      <c r="A328" s="16"/>
      <c r="B328" s="16" t="s">
        <v>54</v>
      </c>
      <c r="C328" s="17"/>
      <c r="D328" s="16"/>
      <c r="E328" s="16"/>
      <c r="F328" s="16"/>
      <c r="G328" s="16"/>
      <c r="H328" s="63" t="s">
        <v>99</v>
      </c>
      <c r="I328" s="247" t="n">
        <f aca="false">IF(+$F$326="Mid",+I163*I51/1000,IF(+$F$326="Offer",+I163*I52/1000,"Input Error"))</f>
        <v>63951.3995552887</v>
      </c>
      <c r="J328" s="247" t="n">
        <f aca="false">IF(+$F$326="Mid",+J163*J51/1000,IF(+$F$326="Offer",+J163*J52/1000,"Input Error"))</f>
        <v>61320.5529467855</v>
      </c>
      <c r="K328" s="247" t="n">
        <f aca="false">IF(+$F$326="Mid",+K163*K51/1000,IF(+$F$326="Offer",+K163*K52/1000,"Input Error"))</f>
        <v>58014.4860881679</v>
      </c>
      <c r="L328" s="247" t="n">
        <f aca="false">IF(+$F$326="Mid",+L163*L51/1000,IF(+$F$326="Offer",+L163*L52/1000,"Input Error"))</f>
        <v>63075.3188126052</v>
      </c>
      <c r="M328" s="247" t="n">
        <f aca="false">IF(+$F$326="Mid",+M163*M51/1000,IF(+$F$326="Offer",+M163*M52/1000,"Input Error"))</f>
        <v>63561.5231777801</v>
      </c>
      <c r="N328" s="247" t="n">
        <f aca="false">IF(+$F$326="Mid",+N163*N51/1000,IF(+$F$326="Offer",+N163*N52/1000,"Input Error"))</f>
        <v>64608.1478666653</v>
      </c>
      <c r="O328" s="247" t="n">
        <f aca="false">IF(+$F$326="Mid",+O163*O51/1000,IF(+$F$326="Offer",+O163*O52/1000,"Input Error"))</f>
        <v>66241.0821804162</v>
      </c>
      <c r="P328" s="247" t="n">
        <f aca="false">IF(+$F$326="Mid",+P163*P51/1000,IF(+$F$326="Offer",+P163*P52/1000,"Input Error"))</f>
        <v>65189.6433861637</v>
      </c>
      <c r="Q328" s="247" t="n">
        <f aca="false">IF(+$F$326="Mid",+Q163*Q51/1000,IF(+$F$326="Offer",+Q163*Q52/1000,"Input Error"))</f>
        <v>63612.6086290742</v>
      </c>
      <c r="R328" s="247" t="n">
        <f aca="false">IF(+$F$326="Mid",+R163*R51/1000,IF(+$F$326="Offer",+R163*R52/1000,"Input Error"))</f>
        <v>69944.1932848771</v>
      </c>
      <c r="S328" s="247" t="n">
        <f aca="false">IF(+$F$326="Mid",+S163*S51/1000,IF(+$F$326="Offer",+S163*S52/1000,"Input Error"))</f>
        <v>44625.7812135599</v>
      </c>
      <c r="T328" s="247" t="n">
        <f aca="false">IF(+$F$326="Mid",+T163*T51/1000,IF(+$F$326="Offer",+T163*T52/1000,"Input Error"))</f>
        <v>0</v>
      </c>
      <c r="U328" s="247" t="n">
        <f aca="false">IF(+$F$326="Mid",+U163*U51/1000,IF(+$F$326="Offer",+U163*U52/1000,"Input Error"))</f>
        <v>0</v>
      </c>
      <c r="V328" s="247" t="n">
        <f aca="false">IF(+$F$326="Mid",+V163*V51/1000,IF(+$F$326="Offer",+V163*V52/1000,"Input Error"))</f>
        <v>0</v>
      </c>
      <c r="W328" s="247" t="n">
        <f aca="false">IF(+$F$326="Mid",+W163*W51/1000,IF(+$F$326="Offer",+W163*W52/1000,"Input Error"))</f>
        <v>0</v>
      </c>
      <c r="X328" s="247" t="n">
        <f aca="false">IF(+$F$326="Mid",+X163*X51/1000,IF(+$F$326="Offer",+X163*X52/1000,"Input Error"))</f>
        <v>0</v>
      </c>
      <c r="Y328" s="247" t="n">
        <f aca="false">IF(+$F$326="Mid",+Y163*Y51/1000,IF(+$F$326="Offer",+Y163*Y52/1000,"Input Error"))</f>
        <v>0</v>
      </c>
      <c r="Z328" s="247" t="n">
        <f aca="false">IF(+$F$326="Mid",+Z163*Z51/1000,IF(+$F$326="Offer",+Z163*Z52/1000,"Input Error"))</f>
        <v>0</v>
      </c>
      <c r="AA328" s="247" t="n">
        <f aca="false">IF(+$F$326="Mid",+AA163*AA51/1000,IF(+$F$326="Offer",+AA163*AA52/1000,"Input Error"))</f>
        <v>0</v>
      </c>
      <c r="AB328" s="247" t="n">
        <f aca="false">IF(+$F$326="Mid",+AB163*AB51/1000,IF(+$F$326="Offer",+AB163*AB52/1000,"Input Error"))</f>
        <v>0</v>
      </c>
      <c r="AC328" s="247" t="n">
        <f aca="false">IF(+$F$326="Mid",+AC163*AC51/1000,IF(+$F$326="Offer",+AC163*AC52/1000,"Input Error"))</f>
        <v>0</v>
      </c>
    </row>
    <row r="329" customFormat="false" ht="12.75" hidden="false" customHeight="false" outlineLevel="0" collapsed="false">
      <c r="A329" s="16"/>
      <c r="B329" s="16" t="s">
        <v>80</v>
      </c>
      <c r="C329" s="17"/>
      <c r="D329" s="16"/>
      <c r="E329" s="16"/>
      <c r="F329" s="16"/>
      <c r="G329" s="16"/>
      <c r="H329" s="63" t="s">
        <v>99</v>
      </c>
      <c r="I329" s="172" t="n">
        <f aca="false">SUM(I327:I328)</f>
        <v>155821.690172882</v>
      </c>
      <c r="J329" s="172" t="n">
        <f aca="false">SUM(J327:J328)</f>
        <v>141489.748886817</v>
      </c>
      <c r="K329" s="172" t="n">
        <f aca="false">SUM(K327:K328)</f>
        <v>141260.698854175</v>
      </c>
      <c r="L329" s="172" t="n">
        <f aca="false">SUM(L327:L328)</f>
        <v>141918.675805291</v>
      </c>
      <c r="M329" s="172" t="n">
        <f aca="false">SUM(M327:M328)</f>
        <v>144553.099153469</v>
      </c>
      <c r="N329" s="172" t="n">
        <f aca="false">SUM(N327:N328)</f>
        <v>146283.023489797</v>
      </c>
      <c r="O329" s="172" t="n">
        <f aca="false">SUM(O327:O328)</f>
        <v>148038.086614234</v>
      </c>
      <c r="P329" s="172" t="n">
        <f aca="false">SUM(P327:P328)</f>
        <v>141942.185686163</v>
      </c>
      <c r="Q329" s="172" t="n">
        <f aca="false">SUM(Q327:Q328)</f>
        <v>147389.753330185</v>
      </c>
      <c r="R329" s="172" t="n">
        <f aca="false">SUM(R327:R328)</f>
        <v>151934.763119477</v>
      </c>
      <c r="S329" s="172" t="n">
        <f aca="false">SUM(S327:S328)</f>
        <v>122547.560178806</v>
      </c>
      <c r="T329" s="172" t="n">
        <f aca="false">SUM(T327:T328)</f>
        <v>61455.5465783302</v>
      </c>
      <c r="U329" s="172" t="n">
        <f aca="false">SUM(U327:U328)</f>
        <v>61865.1191557086</v>
      </c>
      <c r="V329" s="172" t="n">
        <f aca="false">SUM(V327:V328)</f>
        <v>58305.2238332554</v>
      </c>
      <c r="W329" s="172" t="n">
        <f aca="false">SUM(W327:W328)</f>
        <v>63786.8451883929</v>
      </c>
      <c r="X329" s="172" t="n">
        <f aca="false">SUM(X327:X328)</f>
        <v>48614.6470491419</v>
      </c>
      <c r="Y329" s="172" t="n">
        <f aca="false">SUM(Y327:Y328)</f>
        <v>7800.16576202484</v>
      </c>
      <c r="Z329" s="172" t="n">
        <f aca="false">SUM(Z327:Z328)</f>
        <v>7887.04402382375</v>
      </c>
      <c r="AA329" s="172" t="n">
        <f aca="false">SUM(AA327:AA328)</f>
        <v>7974.88993587567</v>
      </c>
      <c r="AB329" s="172" t="n">
        <f aca="false">SUM(AB327:AB328)</f>
        <v>8063.71427587106</v>
      </c>
      <c r="AC329" s="172" t="n">
        <f aca="false">SUM(AC327:AC328)</f>
        <v>6115.14595615672</v>
      </c>
    </row>
    <row r="330" customFormat="false" ht="12.75" hidden="false" customHeight="false" outlineLevel="0" collapsed="false">
      <c r="A330" s="16"/>
      <c r="B330" s="17"/>
      <c r="C330" s="16"/>
      <c r="D330" s="16"/>
      <c r="E330" s="16"/>
      <c r="F330" s="16"/>
      <c r="G330" s="16"/>
      <c r="H330" s="63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</row>
    <row r="331" customFormat="false" ht="12.75" hidden="false" customHeight="false" outlineLevel="0" collapsed="false">
      <c r="A331" s="16"/>
      <c r="B331" s="55" t="s">
        <v>8</v>
      </c>
      <c r="C331" s="16"/>
      <c r="D331" s="16"/>
      <c r="E331" s="16"/>
      <c r="F331" s="16"/>
      <c r="G331" s="16"/>
      <c r="H331" s="63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</row>
    <row r="332" customFormat="false" ht="12.75" hidden="false" customHeight="false" outlineLevel="0" collapsed="false">
      <c r="A332" s="16"/>
      <c r="B332" s="16" t="s">
        <v>52</v>
      </c>
      <c r="C332" s="17"/>
      <c r="D332" s="16"/>
      <c r="E332" s="16"/>
      <c r="F332" s="16"/>
      <c r="G332" s="16"/>
      <c r="H332" s="63" t="s">
        <v>99</v>
      </c>
      <c r="I332" s="149" t="n">
        <f aca="false">+I322-I327</f>
        <v>75000.5615327547</v>
      </c>
      <c r="J332" s="149" t="n">
        <f aca="false">+J322-J327</f>
        <v>80800.1358258822</v>
      </c>
      <c r="K332" s="149" t="n">
        <f aca="false">+K322-K327</f>
        <v>97624.8957991291</v>
      </c>
      <c r="L332" s="149" t="n">
        <f aca="false">+L322-L327</f>
        <v>103318.186776104</v>
      </c>
      <c r="M332" s="149" t="n">
        <f aca="false">+M322-M327</f>
        <v>113776.444568412</v>
      </c>
      <c r="N332" s="149" t="n">
        <f aca="false">+N322-N327</f>
        <v>122341.897832359</v>
      </c>
      <c r="O332" s="149" t="n">
        <f aca="false">+O322-O327</f>
        <v>129605.75764001</v>
      </c>
      <c r="P332" s="149" t="n">
        <f aca="false">+P322-P327</f>
        <v>128502.205235155</v>
      </c>
      <c r="Q332" s="149" t="n">
        <f aca="false">+Q322-Q327</f>
        <v>148209.89691511</v>
      </c>
      <c r="R332" s="149" t="n">
        <f aca="false">+R322-R327</f>
        <v>153082.620643799</v>
      </c>
      <c r="S332" s="149" t="n">
        <f aca="false">+S322-S327</f>
        <v>138540.482419235</v>
      </c>
      <c r="T332" s="149" t="n">
        <f aca="false">+T322-T327</f>
        <v>75908.5408528046</v>
      </c>
      <c r="U332" s="149" t="n">
        <f aca="false">+U322-U327</f>
        <v>77908.6881698519</v>
      </c>
      <c r="V332" s="149" t="n">
        <f aca="false">+V322-V327</f>
        <v>75466.4844715345</v>
      </c>
      <c r="W332" s="149" t="n">
        <f aca="false">+W322-W327</f>
        <v>83613.339685496</v>
      </c>
      <c r="X332" s="149" t="n">
        <f aca="false">+X322-X327</f>
        <v>65686.4708219654</v>
      </c>
      <c r="Y332" s="149" t="n">
        <f aca="false">+Y322-Y327</f>
        <v>20371.3858223383</v>
      </c>
      <c r="Z332" s="149" t="n">
        <f aca="false">+Z322-Z327</f>
        <v>20794.6284077034</v>
      </c>
      <c r="AA332" s="149" t="n">
        <f aca="false">+AA322-AA327</f>
        <v>21242.1606648821</v>
      </c>
      <c r="AB332" s="149" t="n">
        <f aca="false">+AB322-AB327</f>
        <v>21715.0570145596</v>
      </c>
      <c r="AC332" s="149" t="n">
        <f aca="false">+AC322-AC327</f>
        <v>21385.3741964373</v>
      </c>
    </row>
    <row r="333" customFormat="false" ht="12.75" hidden="false" customHeight="false" outlineLevel="0" collapsed="false">
      <c r="A333" s="16"/>
      <c r="B333" s="16" t="s">
        <v>54</v>
      </c>
      <c r="C333" s="17"/>
      <c r="D333" s="16"/>
      <c r="E333" s="16"/>
      <c r="F333" s="16"/>
      <c r="G333" s="16"/>
      <c r="H333" s="63" t="s">
        <v>99</v>
      </c>
      <c r="I333" s="238" t="n">
        <f aca="false">+I323-I328</f>
        <v>85198.4004447113</v>
      </c>
      <c r="J333" s="238" t="n">
        <f aca="false">+J323-J328</f>
        <v>86477.4470532145</v>
      </c>
      <c r="K333" s="238" t="n">
        <f aca="false">+K323-K328</f>
        <v>87160.3139118321</v>
      </c>
      <c r="L333" s="238" t="n">
        <f aca="false">+L323-L328</f>
        <v>94966.8811873948</v>
      </c>
      <c r="M333" s="238" t="n">
        <f aca="false">+M323-M328</f>
        <v>96434.47682222</v>
      </c>
      <c r="N333" s="238" t="n">
        <f aca="false">+N323-N328</f>
        <v>98201.8521333347</v>
      </c>
      <c r="O333" s="238" t="n">
        <f aca="false">+O323-O328</f>
        <v>100491.417819584</v>
      </c>
      <c r="P333" s="238" t="n">
        <f aca="false">+P323-P328</f>
        <v>99421.3566138363</v>
      </c>
      <c r="Q333" s="238" t="n">
        <f aca="false">+Q323-Q328</f>
        <v>97423.1913709258</v>
      </c>
      <c r="R333" s="238" t="n">
        <f aca="false">+R323-R328</f>
        <v>105680.706715123</v>
      </c>
      <c r="S333" s="238" t="n">
        <f aca="false">+S323-S328</f>
        <v>68949.4187864401</v>
      </c>
      <c r="T333" s="238" t="n">
        <f aca="false">+T323-T328</f>
        <v>0</v>
      </c>
      <c r="U333" s="238" t="n">
        <f aca="false">+U323-U328</f>
        <v>0</v>
      </c>
      <c r="V333" s="238" t="n">
        <f aca="false">+V323-V328</f>
        <v>0</v>
      </c>
      <c r="W333" s="238" t="n">
        <f aca="false">+W323-W328</f>
        <v>0</v>
      </c>
      <c r="X333" s="238" t="n">
        <f aca="false">+X323-X328</f>
        <v>0</v>
      </c>
      <c r="Y333" s="238" t="n">
        <f aca="false">+Y323-Y328</f>
        <v>0</v>
      </c>
      <c r="Z333" s="238" t="n">
        <f aca="false">+Z323-Z328</f>
        <v>0</v>
      </c>
      <c r="AA333" s="238" t="n">
        <f aca="false">+AA323-AA328</f>
        <v>0</v>
      </c>
      <c r="AB333" s="238" t="n">
        <f aca="false">+AB323-AB328</f>
        <v>0</v>
      </c>
      <c r="AC333" s="238" t="n">
        <f aca="false">+AC323-AC328</f>
        <v>0</v>
      </c>
    </row>
    <row r="334" customFormat="false" ht="12.75" hidden="false" customHeight="false" outlineLevel="0" collapsed="false">
      <c r="A334" s="16"/>
      <c r="B334" s="16" t="s">
        <v>80</v>
      </c>
      <c r="C334" s="17"/>
      <c r="D334" s="16"/>
      <c r="E334" s="16"/>
      <c r="F334" s="16"/>
      <c r="G334" s="16"/>
      <c r="H334" s="63" t="s">
        <v>99</v>
      </c>
      <c r="I334" s="149" t="n">
        <f aca="false">SUM(I332:I333)</f>
        <v>160198.961977466</v>
      </c>
      <c r="J334" s="149" t="n">
        <f aca="false">SUM(J332:J333)</f>
        <v>167277.582879097</v>
      </c>
      <c r="K334" s="149" t="n">
        <f aca="false">SUM(K332:K333)</f>
        <v>184785.209710961</v>
      </c>
      <c r="L334" s="149" t="n">
        <f aca="false">SUM(L332:L333)</f>
        <v>198285.067963499</v>
      </c>
      <c r="M334" s="149" t="n">
        <f aca="false">SUM(M332:M333)</f>
        <v>210210.921390632</v>
      </c>
      <c r="N334" s="149" t="n">
        <f aca="false">SUM(N332:N333)</f>
        <v>220543.749965693</v>
      </c>
      <c r="O334" s="149" t="n">
        <f aca="false">SUM(O332:O333)</f>
        <v>230097.175459594</v>
      </c>
      <c r="P334" s="149" t="n">
        <f aca="false">SUM(P332:P333)</f>
        <v>227923.561848991</v>
      </c>
      <c r="Q334" s="149" t="n">
        <f aca="false">SUM(Q332:Q333)</f>
        <v>245633.088286036</v>
      </c>
      <c r="R334" s="149" t="n">
        <f aca="false">SUM(R332:R333)</f>
        <v>258763.327358922</v>
      </c>
      <c r="S334" s="149" t="n">
        <f aca="false">SUM(S332:S333)</f>
        <v>207489.901205675</v>
      </c>
      <c r="T334" s="149" t="n">
        <f aca="false">SUM(T332:T333)</f>
        <v>75908.5408528046</v>
      </c>
      <c r="U334" s="149" t="n">
        <f aca="false">SUM(U332:U333)</f>
        <v>77908.6881698519</v>
      </c>
      <c r="V334" s="149" t="n">
        <f aca="false">SUM(V332:V333)</f>
        <v>75466.4844715345</v>
      </c>
      <c r="W334" s="149" t="n">
        <f aca="false">SUM(W332:W333)</f>
        <v>83613.339685496</v>
      </c>
      <c r="X334" s="149" t="n">
        <f aca="false">SUM(X332:X333)</f>
        <v>65686.4708219654</v>
      </c>
      <c r="Y334" s="149" t="n">
        <f aca="false">SUM(Y332:Y333)</f>
        <v>20371.3858223383</v>
      </c>
      <c r="Z334" s="149" t="n">
        <f aca="false">SUM(Z332:Z333)</f>
        <v>20794.6284077034</v>
      </c>
      <c r="AA334" s="149" t="n">
        <f aca="false">SUM(AA332:AA333)</f>
        <v>21242.1606648821</v>
      </c>
      <c r="AB334" s="149" t="n">
        <f aca="false">SUM(AB332:AB333)</f>
        <v>21715.0570145596</v>
      </c>
      <c r="AC334" s="149" t="n">
        <f aca="false">SUM(AC332:AC333)</f>
        <v>21385.3741964373</v>
      </c>
    </row>
    <row r="335" customFormat="false" ht="12.75" hidden="false" customHeight="false" outlineLevel="0" collapsed="false">
      <c r="A335" s="16"/>
      <c r="B335" s="16"/>
      <c r="C335" s="16"/>
      <c r="D335" s="16"/>
      <c r="E335" s="16"/>
      <c r="F335" s="16"/>
      <c r="G335" s="16"/>
      <c r="H335" s="63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</row>
    <row r="336" customFormat="false" ht="12.75" hidden="false" customHeight="false" outlineLevel="0" collapsed="false">
      <c r="A336" s="16"/>
      <c r="B336" s="16" t="s">
        <v>180</v>
      </c>
      <c r="C336" s="17"/>
      <c r="D336" s="16"/>
      <c r="E336" s="16"/>
      <c r="F336" s="174" t="n">
        <f aca="false">+$K$9</f>
        <v>0.5</v>
      </c>
      <c r="G336" s="174"/>
      <c r="H336" s="63" t="s">
        <v>99</v>
      </c>
      <c r="I336" s="149" t="n">
        <f aca="false">+I334*$F$336</f>
        <v>80099.480988733</v>
      </c>
      <c r="J336" s="149" t="n">
        <f aca="false">+J334*$F$336</f>
        <v>83638.7914395484</v>
      </c>
      <c r="K336" s="149" t="n">
        <f aca="false">+K334*$F$336</f>
        <v>92392.6048554806</v>
      </c>
      <c r="L336" s="149" t="n">
        <f aca="false">+L334*$F$336</f>
        <v>99142.5339817493</v>
      </c>
      <c r="M336" s="149" t="n">
        <f aca="false">+M334*$F$336</f>
        <v>105105.460695316</v>
      </c>
      <c r="N336" s="149" t="n">
        <f aca="false">+N334*$F$336</f>
        <v>110271.874982847</v>
      </c>
      <c r="O336" s="149" t="n">
        <f aca="false">+O334*$F$336</f>
        <v>115048.587729797</v>
      </c>
      <c r="P336" s="149" t="n">
        <f aca="false">+P334*$F$336</f>
        <v>113961.780924495</v>
      </c>
      <c r="Q336" s="149" t="n">
        <f aca="false">+Q334*$F$336</f>
        <v>122816.544143018</v>
      </c>
      <c r="R336" s="149" t="n">
        <f aca="false">+R334*$F$336</f>
        <v>129381.663679461</v>
      </c>
      <c r="S336" s="149" t="n">
        <f aca="false">+S334*$F$336</f>
        <v>103744.950602838</v>
      </c>
      <c r="T336" s="149" t="n">
        <f aca="false">+T334*$F$336</f>
        <v>37954.2704264023</v>
      </c>
      <c r="U336" s="149" t="n">
        <f aca="false">+U334*$F$336</f>
        <v>38954.3440849259</v>
      </c>
      <c r="V336" s="149" t="n">
        <f aca="false">+V334*$F$336</f>
        <v>37733.2422357672</v>
      </c>
      <c r="W336" s="149" t="n">
        <f aca="false">+W334*$F$336</f>
        <v>41806.669842748</v>
      </c>
      <c r="X336" s="149" t="n">
        <f aca="false">+X334*$F$336</f>
        <v>32843.2354109827</v>
      </c>
      <c r="Y336" s="149" t="n">
        <f aca="false">+Y334*$F$336</f>
        <v>10185.6929111692</v>
      </c>
      <c r="Z336" s="149" t="n">
        <f aca="false">+Z334*$F$336</f>
        <v>10397.3142038517</v>
      </c>
      <c r="AA336" s="149" t="n">
        <f aca="false">+AA334*$F$336</f>
        <v>10621.0803324411</v>
      </c>
      <c r="AB336" s="149" t="n">
        <f aca="false">+AB334*$F$336</f>
        <v>10857.5285072798</v>
      </c>
      <c r="AC336" s="149" t="n">
        <f aca="false">+AC334*$F$336</f>
        <v>10692.6870982187</v>
      </c>
    </row>
    <row r="337" customFormat="false" ht="12.75" hidden="false" customHeight="false" outlineLevel="0" collapsed="false">
      <c r="A337" s="16"/>
      <c r="B337" s="16"/>
      <c r="C337" s="17"/>
      <c r="D337" s="16"/>
      <c r="E337" s="16"/>
      <c r="F337" s="16"/>
      <c r="G337" s="16"/>
      <c r="H337" s="63"/>
      <c r="I337" s="149"/>
      <c r="J337" s="157" t="n">
        <v>85054.1125825858</v>
      </c>
      <c r="K337" s="157" t="n">
        <v>92128.0319897233</v>
      </c>
      <c r="L337" s="157" t="n">
        <v>97804.2333362633</v>
      </c>
      <c r="M337" s="157" t="n">
        <v>103402.24891721</v>
      </c>
      <c r="N337" s="157" t="n">
        <v>108128.235012737</v>
      </c>
      <c r="O337" s="157" t="n">
        <v>112511.113987352</v>
      </c>
      <c r="P337" s="157" t="n">
        <v>111293.371827361</v>
      </c>
      <c r="Q337" s="157" t="n">
        <v>120199.654037957</v>
      </c>
      <c r="R337" s="157" t="n">
        <v>126332.999946405</v>
      </c>
      <c r="S337" s="157" t="n">
        <v>115236.14669987</v>
      </c>
      <c r="T337" s="157" t="n">
        <v>45580.6589594419</v>
      </c>
      <c r="U337" s="157" t="n">
        <v>46684.5445789297</v>
      </c>
      <c r="V337" s="157" t="n">
        <v>45802.9752271943</v>
      </c>
      <c r="W337" s="157" t="n">
        <v>49861.9648637059</v>
      </c>
      <c r="X337" s="157" t="n">
        <v>50655.4386673744</v>
      </c>
      <c r="Y337" s="157" t="n">
        <v>39786.1743745456</v>
      </c>
      <c r="Z337" s="157" t="n">
        <v>39962.1102289123</v>
      </c>
      <c r="AA337" s="157" t="n">
        <v>40022.9061305549</v>
      </c>
      <c r="AB337" s="157" t="n">
        <v>40096.1443207707</v>
      </c>
      <c r="AC337" s="157" t="n">
        <v>40169.6850861803</v>
      </c>
    </row>
    <row r="338" customFormat="false" ht="12.75" hidden="false" customHeight="false" outlineLevel="0" collapsed="false">
      <c r="A338" s="16"/>
      <c r="B338" s="16" t="s">
        <v>181</v>
      </c>
      <c r="C338" s="17"/>
      <c r="D338" s="16"/>
      <c r="E338" s="16"/>
      <c r="F338" s="248" t="n">
        <f aca="false">Q11</f>
        <v>0.08</v>
      </c>
      <c r="G338" s="248"/>
      <c r="H338" s="63" t="s">
        <v>99</v>
      </c>
      <c r="I338" s="249" t="n">
        <f aca="false">NPV($F338,J336:$AC336)</f>
        <v>789248.972239646</v>
      </c>
      <c r="J338" s="249" t="n">
        <f aca="false">NPV($F338,K336:$AC336)</f>
        <v>768750.098579269</v>
      </c>
      <c r="K338" s="249" t="n">
        <f aca="false">NPV($F338,L336:$AC336)</f>
        <v>737857.50161013</v>
      </c>
      <c r="L338" s="249" t="n">
        <f aca="false">NPV($F338,M336:$AC336)</f>
        <v>697743.567757191</v>
      </c>
      <c r="M338" s="249" t="n">
        <f aca="false">NPV($F338,N336:$AC336)</f>
        <v>648457.592482451</v>
      </c>
      <c r="N338" s="249" t="n">
        <f aca="false">NPV($F338,O336:$AC336)</f>
        <v>590062.324898201</v>
      </c>
      <c r="O338" s="249" t="n">
        <f aca="false">NPV($F338,P336:$AC336)</f>
        <v>522218.72316026</v>
      </c>
      <c r="P338" s="249" t="n">
        <f aca="false">NPV($F338,Q336:$AC336)</f>
        <v>450034.440088585</v>
      </c>
      <c r="Q338" s="249" t="n">
        <f aca="false">NPV($F338,R336:$AC336)</f>
        <v>363220.651152654</v>
      </c>
      <c r="R338" s="249" t="n">
        <f aca="false">NPV($F338,S336:$AC336)</f>
        <v>262896.639565405</v>
      </c>
      <c r="S338" s="249" t="n">
        <f aca="false">NPV($F338,T336:$AC336)</f>
        <v>180183.4201278</v>
      </c>
      <c r="T338" s="249" t="n">
        <f aca="false">NPV($F338,U336:$AC336)</f>
        <v>156643.823311621</v>
      </c>
      <c r="U338" s="249" t="n">
        <f aca="false">NPV($F338,V336:$AC336)</f>
        <v>130220.985091625</v>
      </c>
      <c r="V338" s="249" t="n">
        <f aca="false">NPV($F338,W336:$AC336)</f>
        <v>102905.421663188</v>
      </c>
      <c r="W338" s="249" t="n">
        <f aca="false">NPV($F338,X336:$AC336)</f>
        <v>69331.185553495</v>
      </c>
      <c r="X338" s="249" t="n">
        <f aca="false">NPV($F338,Y336:$AC336)</f>
        <v>42034.4449867919</v>
      </c>
      <c r="Y338" s="249" t="n">
        <f aca="false">NPV($F338,Z336:$AC336)</f>
        <v>35211.5076745661</v>
      </c>
      <c r="Z338" s="249" t="n">
        <f aca="false">NPV($F338,AA336:$AC336)</f>
        <v>27631.1140846797</v>
      </c>
      <c r="AA338" s="249" t="n">
        <f aca="false">NPV($F338,AB336:$AC336)</f>
        <v>19220.522879013</v>
      </c>
      <c r="AB338" s="249" t="n">
        <f aca="false">NPV($F338,AC336:$AC336)</f>
        <v>9900.63620205431</v>
      </c>
      <c r="AC338" s="250"/>
    </row>
    <row r="339" customFormat="false" ht="12.75" hidden="false" customHeight="false" outlineLevel="0" collapsed="false">
      <c r="A339" s="16"/>
      <c r="B339" s="16"/>
      <c r="C339" s="16"/>
      <c r="D339" s="16"/>
      <c r="E339" s="16"/>
      <c r="F339" s="16"/>
      <c r="G339" s="16"/>
      <c r="H339" s="63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</row>
    <row r="340" customFormat="false" ht="12.75" hidden="false" customHeight="false" outlineLevel="0" collapsed="false">
      <c r="A340" s="55" t="s">
        <v>182</v>
      </c>
      <c r="B340" s="16"/>
      <c r="C340" s="16"/>
      <c r="D340" s="16"/>
      <c r="E340" s="16"/>
      <c r="F340" s="16"/>
      <c r="G340" s="16"/>
      <c r="H340" s="63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</row>
    <row r="341" customFormat="false" ht="12.75" hidden="false" customHeight="false" outlineLevel="0" collapsed="false">
      <c r="A341" s="16"/>
      <c r="B341" s="16"/>
      <c r="C341" s="16"/>
      <c r="D341" s="16"/>
      <c r="E341" s="16"/>
      <c r="F341" s="16"/>
      <c r="G341" s="16"/>
      <c r="H341" s="63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</row>
    <row r="342" customFormat="false" ht="12.75" hidden="false" customHeight="false" outlineLevel="0" collapsed="false">
      <c r="A342" s="16"/>
      <c r="B342" s="16" t="s">
        <v>183</v>
      </c>
      <c r="C342" s="16"/>
      <c r="D342" s="16"/>
      <c r="E342" s="16"/>
      <c r="F342" s="16"/>
      <c r="G342" s="16"/>
      <c r="H342" s="63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</row>
    <row r="343" customFormat="false" ht="12.75" hidden="false" customHeight="false" outlineLevel="0" collapsed="false">
      <c r="A343" s="16"/>
      <c r="B343" s="16" t="s">
        <v>184</v>
      </c>
      <c r="C343" s="16"/>
      <c r="D343" s="16"/>
      <c r="E343" s="16"/>
      <c r="F343" s="16"/>
      <c r="G343" s="16"/>
      <c r="H343" s="63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</row>
    <row r="344" customFormat="false" ht="12.75" hidden="false" customHeight="false" outlineLevel="0" collapsed="false">
      <c r="A344" s="16"/>
      <c r="B344" s="16" t="s">
        <v>185</v>
      </c>
      <c r="C344" s="16"/>
      <c r="D344" s="16"/>
      <c r="E344" s="16"/>
      <c r="F344" s="16"/>
      <c r="G344" s="16"/>
      <c r="H344" s="63"/>
      <c r="I344" s="149" t="n">
        <f aca="false">I190</f>
        <v>2747</v>
      </c>
      <c r="J344" s="149" t="n">
        <f aca="false">J190</f>
        <v>2785</v>
      </c>
      <c r="K344" s="149" t="n">
        <f aca="false">K190</f>
        <v>2823</v>
      </c>
      <c r="L344" s="149" t="n">
        <f aca="false">L190</f>
        <v>2861</v>
      </c>
      <c r="M344" s="149" t="n">
        <f aca="false">M190</f>
        <v>2900</v>
      </c>
      <c r="N344" s="149" t="n">
        <f aca="false">N190</f>
        <v>2939</v>
      </c>
      <c r="O344" s="149" t="n">
        <f aca="false">O190</f>
        <v>2979</v>
      </c>
      <c r="P344" s="149" t="n">
        <f aca="false">P190</f>
        <v>3019</v>
      </c>
      <c r="Q344" s="149" t="n">
        <f aca="false">Q190</f>
        <v>3060</v>
      </c>
      <c r="R344" s="149" t="n">
        <f aca="false">R190</f>
        <v>3101</v>
      </c>
      <c r="S344" s="149" t="n">
        <f aca="false">S190</f>
        <v>1965</v>
      </c>
      <c r="T344" s="149" t="n">
        <f aca="false">T190</f>
        <v>0</v>
      </c>
      <c r="U344" s="149" t="n">
        <f aca="false">U190</f>
        <v>0</v>
      </c>
      <c r="V344" s="149" t="n">
        <f aca="false">V190</f>
        <v>0</v>
      </c>
      <c r="W344" s="149" t="n">
        <f aca="false">W190</f>
        <v>0</v>
      </c>
      <c r="X344" s="149" t="n">
        <f aca="false">X190</f>
        <v>0</v>
      </c>
      <c r="Y344" s="149" t="n">
        <f aca="false">Y190</f>
        <v>0</v>
      </c>
      <c r="Z344" s="149" t="n">
        <f aca="false">Z190</f>
        <v>0</v>
      </c>
      <c r="AA344" s="149" t="n">
        <f aca="false">AA190</f>
        <v>0</v>
      </c>
      <c r="AB344" s="149" t="n">
        <f aca="false">AB190</f>
        <v>0</v>
      </c>
      <c r="AC344" s="149" t="n">
        <f aca="false">AC190</f>
        <v>0</v>
      </c>
    </row>
    <row r="345" customFormat="false" ht="12.75" hidden="false" customHeight="false" outlineLevel="0" collapsed="false">
      <c r="A345" s="16"/>
      <c r="B345" s="55" t="s">
        <v>3</v>
      </c>
      <c r="C345" s="16"/>
      <c r="D345" s="16"/>
      <c r="E345" s="16"/>
      <c r="F345" s="16"/>
      <c r="G345" s="16"/>
      <c r="H345" s="63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</row>
    <row r="346" customFormat="false" ht="12.75" hidden="false" customHeight="false" outlineLevel="0" collapsed="false">
      <c r="A346" s="16"/>
      <c r="B346" s="16" t="s">
        <v>186</v>
      </c>
      <c r="C346" s="16"/>
      <c r="D346" s="16"/>
      <c r="E346" s="16"/>
      <c r="F346" s="16"/>
      <c r="G346" s="16"/>
      <c r="H346" s="63"/>
      <c r="I346" s="157" t="n">
        <f aca="false">I182*I77*$F$500</f>
        <v>6313.14127433333</v>
      </c>
      <c r="J346" s="157" t="n">
        <f aca="false">J182*J77*$F$500</f>
        <v>5560.06643783333</v>
      </c>
      <c r="K346" s="157" t="n">
        <f aca="false">K182*K77*$F$500</f>
        <v>5192.7013125</v>
      </c>
      <c r="L346" s="157" t="n">
        <f aca="false">L182*L77*$F$500</f>
        <v>5122.57765375</v>
      </c>
      <c r="M346" s="157" t="n">
        <f aca="false">M182*M77*$F$500</f>
        <v>5114.29300208333</v>
      </c>
      <c r="N346" s="157" t="n">
        <f aca="false">N182*N77*$F$500</f>
        <v>5132.63758791667</v>
      </c>
      <c r="O346" s="157" t="n">
        <f aca="false">O182*O77*$F$500</f>
        <v>5161.04210791667</v>
      </c>
      <c r="P346" s="157" t="n">
        <f aca="false">P182*P77*$F$500</f>
        <v>5260.45792791667</v>
      </c>
      <c r="Q346" s="157" t="n">
        <f aca="false">Q182*Q77*$F$500</f>
        <v>5260.45792791667</v>
      </c>
      <c r="R346" s="157" t="n">
        <f aca="false">R182*R77*$F$500</f>
        <v>5331.46922791667</v>
      </c>
      <c r="S346" s="157" t="n">
        <f aca="false">S182*S77*$F$500</f>
        <v>3384.75834625</v>
      </c>
      <c r="T346" s="17"/>
      <c r="U346" s="17"/>
      <c r="V346" s="17"/>
      <c r="W346" s="17"/>
      <c r="X346" s="17"/>
      <c r="Y346" s="17"/>
      <c r="Z346" s="17"/>
      <c r="AA346" s="17"/>
      <c r="AB346" s="17"/>
      <c r="AC346" s="17"/>
    </row>
    <row r="347" customFormat="false" ht="12.75" hidden="false" customHeight="false" outlineLevel="0" collapsed="false">
      <c r="A347" s="16"/>
      <c r="B347" s="251" t="s">
        <v>187</v>
      </c>
      <c r="C347" s="16"/>
      <c r="D347" s="16"/>
      <c r="E347" s="16"/>
      <c r="F347" s="16"/>
      <c r="G347" s="16"/>
      <c r="H347" s="63"/>
      <c r="I347" s="157" t="n">
        <f aca="false">(M489+F481*(1+I27))/1000</f>
        <v>237.8</v>
      </c>
      <c r="J347" s="157" t="n">
        <f aca="false">I347*(1+I$28)</f>
        <v>245.178784491428</v>
      </c>
      <c r="K347" s="157" t="n">
        <f aca="false">J347*(1+J$28)</f>
        <v>252.540727923531</v>
      </c>
      <c r="L347" s="157" t="n">
        <f aca="false">K347*(1+K$28)</f>
        <v>259.870567618726</v>
      </c>
      <c r="M347" s="157" t="n">
        <f aca="false">L347*(1+L$28)</f>
        <v>267.282905843927</v>
      </c>
      <c r="N347" s="157" t="n">
        <f aca="false">M347*(1+M$28)</f>
        <v>274.772712608996</v>
      </c>
      <c r="O347" s="157" t="n">
        <f aca="false">N347*(1+N$28)</f>
        <v>282.252076894507</v>
      </c>
      <c r="P347" s="157" t="n">
        <f aca="false">O347*(1+O$28)</f>
        <v>289.793589027497</v>
      </c>
      <c r="Q347" s="157" t="n">
        <f aca="false">P347*(1+P$28)</f>
        <v>297.391388344913</v>
      </c>
      <c r="R347" s="157" t="n">
        <f aca="false">Q347*(1+Q$28)</f>
        <v>305.069173218187</v>
      </c>
      <c r="S347" s="157" t="n">
        <f aca="false">R347*(1+R$28)</f>
        <v>312.822889295989</v>
      </c>
      <c r="T347" s="157"/>
      <c r="U347" s="157"/>
      <c r="V347" s="157"/>
      <c r="W347" s="157"/>
      <c r="X347" s="157"/>
      <c r="Y347" s="157"/>
      <c r="Z347" s="157"/>
      <c r="AA347" s="157"/>
      <c r="AB347" s="157"/>
      <c r="AC347" s="157"/>
    </row>
    <row r="348" customFormat="false" ht="12.75" hidden="false" customHeight="false" outlineLevel="0" collapsed="false">
      <c r="A348" s="16"/>
      <c r="B348" s="251" t="s">
        <v>188</v>
      </c>
      <c r="C348" s="16"/>
      <c r="D348" s="16"/>
      <c r="E348" s="16"/>
      <c r="F348" s="16"/>
      <c r="G348" s="16"/>
      <c r="H348" s="63"/>
      <c r="I348" s="157" t="n">
        <f aca="false">(F479*(1+I27))/1000</f>
        <v>123.84</v>
      </c>
      <c r="J348" s="157" t="n">
        <f aca="false">I348*(1+I$28)</f>
        <v>127.682677339859</v>
      </c>
      <c r="K348" s="157" t="n">
        <f aca="false">J348*(1+J$28)</f>
        <v>131.51658429794</v>
      </c>
      <c r="L348" s="157" t="n">
        <f aca="false">K348*(1+K$28)</f>
        <v>135.333772472258</v>
      </c>
      <c r="M348" s="157" t="n">
        <f aca="false">L348*(1+L$28)</f>
        <v>139.193923716198</v>
      </c>
      <c r="N348" s="157" t="n">
        <f aca="false">M348*(1+M$28)</f>
        <v>143.094418542885</v>
      </c>
      <c r="O348" s="157" t="n">
        <f aca="false">N348*(1+N$28)</f>
        <v>146.989475200234</v>
      </c>
      <c r="P348" s="157" t="n">
        <f aca="false">O348*(1+O$28)</f>
        <v>150.916896825758</v>
      </c>
      <c r="Q348" s="157" t="n">
        <f aca="false">P348*(1+P$28)</f>
        <v>154.873631339924</v>
      </c>
      <c r="R348" s="157" t="n">
        <f aca="false">Q348*(1+Q$28)</f>
        <v>158.872020232718</v>
      </c>
      <c r="S348" s="157" t="n">
        <f aca="false">R348*(1+R$28)</f>
        <v>162.909952104354</v>
      </c>
      <c r="T348" s="157"/>
      <c r="U348" s="157"/>
      <c r="V348" s="157"/>
      <c r="W348" s="157"/>
      <c r="X348" s="157"/>
      <c r="Y348" s="157"/>
      <c r="Z348" s="157"/>
      <c r="AA348" s="157"/>
      <c r="AB348" s="157"/>
      <c r="AC348" s="157"/>
    </row>
    <row r="349" customFormat="false" ht="12.75" hidden="false" customHeight="false" outlineLevel="0" collapsed="false">
      <c r="A349" s="16"/>
      <c r="B349" s="251" t="s">
        <v>189</v>
      </c>
      <c r="C349" s="16"/>
      <c r="D349" s="16"/>
      <c r="E349" s="16"/>
      <c r="F349" s="16"/>
      <c r="G349" s="16"/>
      <c r="H349" s="63"/>
      <c r="I349" s="157" t="n">
        <f aca="false">(F477*(1+I27))/1000</f>
        <v>129</v>
      </c>
      <c r="J349" s="157" t="n">
        <f aca="false">I349*(1+I$28)</f>
        <v>133.002788895686</v>
      </c>
      <c r="K349" s="157" t="n">
        <f aca="false">J349*(1+J$28)</f>
        <v>136.99644197702</v>
      </c>
      <c r="L349" s="157" t="n">
        <f aca="false">K349*(1+K$28)</f>
        <v>140.972679658602</v>
      </c>
      <c r="M349" s="157" t="n">
        <f aca="false">L349*(1+L$28)</f>
        <v>144.993670537706</v>
      </c>
      <c r="N349" s="157" t="n">
        <f aca="false">M349*(1+M$28)</f>
        <v>149.056685982172</v>
      </c>
      <c r="O349" s="157" t="n">
        <f aca="false">N349*(1+N$28)</f>
        <v>153.114036666911</v>
      </c>
      <c r="P349" s="157" t="n">
        <f aca="false">O349*(1+O$28)</f>
        <v>157.205100860165</v>
      </c>
      <c r="Q349" s="157" t="n">
        <f aca="false">P349*(1+P$28)</f>
        <v>161.326699312421</v>
      </c>
      <c r="R349" s="157" t="n">
        <f aca="false">Q349*(1+Q$28)</f>
        <v>165.491687742414</v>
      </c>
      <c r="S349" s="157" t="n">
        <f aca="false">R349*(1+R$28)</f>
        <v>169.697866775368</v>
      </c>
      <c r="T349" s="157"/>
      <c r="U349" s="157"/>
      <c r="V349" s="157"/>
      <c r="W349" s="157"/>
      <c r="X349" s="157"/>
      <c r="Y349" s="157"/>
      <c r="Z349" s="157"/>
      <c r="AA349" s="157"/>
      <c r="AB349" s="157"/>
      <c r="AC349" s="157"/>
    </row>
    <row r="350" customFormat="false" ht="12.75" hidden="false" customHeight="false" outlineLevel="0" collapsed="false">
      <c r="A350" s="16"/>
      <c r="B350" s="251" t="s">
        <v>190</v>
      </c>
      <c r="C350" s="16"/>
      <c r="D350" s="16"/>
      <c r="E350" s="16"/>
      <c r="F350" s="16"/>
      <c r="G350" s="16"/>
      <c r="H350" s="63"/>
      <c r="I350" s="157" t="n">
        <f aca="false">I182/$F$502*F505*(1+I27)</f>
        <v>258.205156626506</v>
      </c>
      <c r="J350" s="157" t="n">
        <f aca="false">I350*(1+I$28)</f>
        <v>266.217100299014</v>
      </c>
      <c r="K350" s="157" t="n">
        <f aca="false">J350*(1+J$28)</f>
        <v>274.21075781357</v>
      </c>
      <c r="L350" s="157" t="n">
        <f aca="false">K350*(1+K$28)</f>
        <v>282.169556831842</v>
      </c>
      <c r="M350" s="157" t="n">
        <f aca="false">L350*(1+L$28)</f>
        <v>290.217933418918</v>
      </c>
      <c r="N350" s="157" t="n">
        <f aca="false">M350*(1+M$28)</f>
        <v>298.350425970966</v>
      </c>
      <c r="O350" s="157" t="n">
        <f aca="false">N350*(1+N$28)</f>
        <v>306.471579994545</v>
      </c>
      <c r="P350" s="157" t="n">
        <f aca="false">O350*(1+O$28)</f>
        <v>314.660214651818</v>
      </c>
      <c r="Q350" s="157" t="n">
        <f aca="false">P350*(1+P$28)</f>
        <v>322.909966387604</v>
      </c>
      <c r="R350" s="157" t="n">
        <f aca="false">Q350*(1+Q$28)</f>
        <v>331.246567084611</v>
      </c>
      <c r="S350" s="157" t="n">
        <f aca="false">R350*(1+R$28)</f>
        <v>339.665614495488</v>
      </c>
      <c r="T350" s="157"/>
      <c r="U350" s="157"/>
      <c r="V350" s="157"/>
      <c r="W350" s="157"/>
      <c r="X350" s="157"/>
      <c r="Y350" s="157"/>
      <c r="Z350" s="157"/>
      <c r="AA350" s="157"/>
      <c r="AB350" s="157"/>
      <c r="AC350" s="157"/>
    </row>
    <row r="351" customFormat="false" ht="12.75" hidden="false" customHeight="false" outlineLevel="0" collapsed="false">
      <c r="A351" s="16"/>
      <c r="B351" s="251" t="s">
        <v>191</v>
      </c>
      <c r="C351" s="16"/>
      <c r="D351" s="16"/>
      <c r="E351" s="16"/>
      <c r="F351" s="16"/>
      <c r="G351" s="16"/>
      <c r="H351" s="63"/>
      <c r="I351" s="157" t="n">
        <f aca="false">($F$506*I182*$F$501*Merchant!G41)/1000</f>
        <v>9081.978564</v>
      </c>
      <c r="J351" s="157" t="n">
        <f aca="false">($F$506*J182*$F$501*Merchant!H41)/1000</f>
        <v>9086.512752</v>
      </c>
      <c r="K351" s="157" t="n">
        <f aca="false">($F$506*K182*$F$501*Merchant!I41)/1000</f>
        <v>9091.04694</v>
      </c>
      <c r="L351" s="157" t="n">
        <f aca="false">($F$506*L182*$F$501*Merchant!J41)/1000</f>
        <v>9095.581128</v>
      </c>
      <c r="M351" s="157" t="n">
        <f aca="false">($F$506*M182*$F$501*Merchant!K41)/1000</f>
        <v>9100.115316</v>
      </c>
      <c r="N351" s="157" t="n">
        <f aca="false">($F$506*N182*$F$501*Merchant!L41)/1000</f>
        <v>9104.649504</v>
      </c>
      <c r="O351" s="157" t="n">
        <f aca="false">($F$506*O182*$F$501*Merchant!M41)/1000</f>
        <v>9109.183692</v>
      </c>
      <c r="P351" s="157" t="n">
        <f aca="false">($F$506*P182*$F$501*Merchant!N41)/1000</f>
        <v>9113.71788</v>
      </c>
      <c r="Q351" s="157" t="n">
        <f aca="false">($F$506*Q182*$F$501*Merchant!O41)/1000</f>
        <v>9118.252068</v>
      </c>
      <c r="R351" s="157" t="n">
        <f aca="false">($F$506*R182*$F$501*Merchant!P41)/1000</f>
        <v>9122.786256</v>
      </c>
      <c r="S351" s="157" t="n">
        <f aca="false">($F$506*S182*$F$501*Merchant!Q41)/1000</f>
        <v>5703.449004</v>
      </c>
      <c r="T351" s="157"/>
      <c r="U351" s="157"/>
      <c r="V351" s="157"/>
      <c r="W351" s="157"/>
      <c r="X351" s="157"/>
      <c r="Y351" s="252"/>
      <c r="Z351" s="252"/>
      <c r="AA351" s="252"/>
      <c r="AB351" s="252"/>
      <c r="AC351" s="252"/>
    </row>
    <row r="352" customFormat="false" ht="12.75" hidden="false" customHeight="false" outlineLevel="0" collapsed="false">
      <c r="A352" s="16"/>
      <c r="B352" s="251" t="s">
        <v>192</v>
      </c>
      <c r="C352" s="16"/>
      <c r="D352" s="16"/>
      <c r="E352" s="16"/>
      <c r="F352" s="16"/>
      <c r="G352" s="16"/>
      <c r="H352" s="63"/>
      <c r="I352" s="157" t="n">
        <f aca="false">F507*(1+I27)</f>
        <v>129</v>
      </c>
      <c r="J352" s="157" t="n">
        <f aca="false">I352*(1+I27)</f>
        <v>133.128</v>
      </c>
      <c r="K352" s="157" t="n">
        <f aca="false">J352*(1+J27)</f>
        <v>136.988712</v>
      </c>
      <c r="L352" s="157" t="n">
        <f aca="false">K352*(1+K27)</f>
        <v>140.687407224</v>
      </c>
      <c r="M352" s="157" t="n">
        <f aca="false">L352*(1+L27)</f>
        <v>144.246798626767</v>
      </c>
      <c r="N352" s="157" t="n">
        <f aca="false">M352*(1+M27)</f>
        <v>147.70872179381</v>
      </c>
      <c r="O352" s="157" t="n">
        <f aca="false">N352*(1+N27)</f>
        <v>151.03216803417</v>
      </c>
      <c r="P352" s="157" t="n">
        <f aca="false">O352*(1+O27)</f>
        <v>154.203843562888</v>
      </c>
      <c r="Q352" s="157" t="n">
        <f aca="false">P352*(1+P27)</f>
        <v>157.287920434146</v>
      </c>
      <c r="R352" s="157" t="n">
        <f aca="false">Q352*(1+Q27)</f>
        <v>160.307848506481</v>
      </c>
      <c r="S352" s="157" t="n">
        <f aca="false">R352*(1+R27)</f>
        <v>163.193389779598</v>
      </c>
      <c r="T352" s="157"/>
      <c r="U352" s="157"/>
      <c r="V352" s="157"/>
      <c r="W352" s="157"/>
      <c r="X352" s="157"/>
      <c r="Y352" s="252"/>
      <c r="Z352" s="252"/>
      <c r="AA352" s="252"/>
      <c r="AB352" s="252"/>
      <c r="AC352" s="252"/>
    </row>
    <row r="353" customFormat="false" ht="12.75" hidden="false" customHeight="false" outlineLevel="0" collapsed="false">
      <c r="A353" s="16"/>
      <c r="B353" s="251" t="s">
        <v>193</v>
      </c>
      <c r="C353" s="16"/>
      <c r="D353" s="16"/>
      <c r="E353" s="16"/>
      <c r="F353" s="16"/>
      <c r="G353" s="16"/>
      <c r="H353" s="63"/>
      <c r="I353" s="157" t="n">
        <f aca="false">(F483*(1+I27))/1000</f>
        <v>65.18112</v>
      </c>
      <c r="J353" s="157" t="n">
        <f aca="false">I353*(1+I27)</f>
        <v>67.26691584</v>
      </c>
      <c r="K353" s="157" t="n">
        <f aca="false">J353*(1+J27)</f>
        <v>69.21765639936</v>
      </c>
      <c r="L353" s="157" t="n">
        <f aca="false">K353*(1+K27)</f>
        <v>71.0865331221427</v>
      </c>
      <c r="M353" s="157" t="n">
        <f aca="false">L353*(1+L27)</f>
        <v>72.885022410133</v>
      </c>
      <c r="N353" s="157" t="n">
        <f aca="false">M353*(1+M27)</f>
        <v>74.6342629479761</v>
      </c>
      <c r="O353" s="157" t="n">
        <f aca="false">N353*(1+N27)</f>
        <v>76.3135338643056</v>
      </c>
      <c r="P353" s="157" t="n">
        <f aca="false">O353*(1+O27)</f>
        <v>77.916118075456</v>
      </c>
      <c r="Q353" s="157" t="n">
        <f aca="false">P353*(1+P27)</f>
        <v>79.4744404369651</v>
      </c>
      <c r="R353" s="157" t="n">
        <f aca="false">Q353*(1+Q27)</f>
        <v>81.0003496933549</v>
      </c>
      <c r="S353" s="157" t="n">
        <f aca="false">R353*(1+R27)</f>
        <v>82.4583559878353</v>
      </c>
      <c r="T353" s="157"/>
      <c r="U353" s="157"/>
      <c r="V353" s="157"/>
      <c r="W353" s="157"/>
      <c r="X353" s="157"/>
      <c r="Y353" s="252"/>
      <c r="Z353" s="252"/>
      <c r="AA353" s="252"/>
      <c r="AB353" s="252"/>
      <c r="AC353" s="252"/>
    </row>
    <row r="354" customFormat="false" ht="12.75" hidden="false" customHeight="false" outlineLevel="0" collapsed="false">
      <c r="A354" s="16"/>
      <c r="B354" s="253" t="s">
        <v>194</v>
      </c>
      <c r="C354" s="16"/>
      <c r="D354" s="16"/>
      <c r="E354" s="16"/>
      <c r="F354" s="16"/>
      <c r="G354" s="16"/>
      <c r="H354" s="63"/>
      <c r="I354" s="158" t="n">
        <f aca="false">(F485*(1+I27))/1000</f>
        <v>118.68</v>
      </c>
      <c r="J354" s="158" t="n">
        <f aca="false">I354*(1+I27)</f>
        <v>122.47776</v>
      </c>
      <c r="K354" s="158" t="n">
        <f aca="false">J354*(1+J27)</f>
        <v>126.02961504</v>
      </c>
      <c r="L354" s="158" t="n">
        <f aca="false">K354*(1+K27)</f>
        <v>129.43241464608</v>
      </c>
      <c r="M354" s="158" t="n">
        <f aca="false">L354*(1+L27)</f>
        <v>132.707054736626</v>
      </c>
      <c r="N354" s="158" t="n">
        <f aca="false">M354*(1+M27)</f>
        <v>135.892024050305</v>
      </c>
      <c r="O354" s="158" t="n">
        <f aca="false">N354*(1+N27)</f>
        <v>138.949594591437</v>
      </c>
      <c r="P354" s="158" t="n">
        <f aca="false">O354*(1+O27)</f>
        <v>141.867536077857</v>
      </c>
      <c r="Q354" s="158" t="n">
        <f aca="false">P354*(1+P27)</f>
        <v>144.704886799414</v>
      </c>
      <c r="R354" s="158" t="n">
        <f aca="false">Q354*(1+Q27)</f>
        <v>147.483220625963</v>
      </c>
      <c r="S354" s="158" t="n">
        <f aca="false">R354*(1+R27)</f>
        <v>150.13791859723</v>
      </c>
      <c r="T354" s="158"/>
      <c r="U354" s="158"/>
      <c r="V354" s="158"/>
      <c r="W354" s="158"/>
      <c r="X354" s="158"/>
      <c r="Y354" s="254"/>
      <c r="Z354" s="254"/>
      <c r="AA354" s="254"/>
      <c r="AB354" s="254"/>
      <c r="AC354" s="254"/>
    </row>
    <row r="355" customFormat="false" ht="12.75" hidden="false" customHeight="false" outlineLevel="0" collapsed="false">
      <c r="A355" s="16"/>
      <c r="B355" s="16" t="s">
        <v>195</v>
      </c>
      <c r="D355" s="16"/>
      <c r="E355" s="16"/>
      <c r="F355" s="16"/>
      <c r="G355" s="16"/>
      <c r="H355" s="63"/>
      <c r="I355" s="149" t="n">
        <f aca="false">SUM(I346:I354)</f>
        <v>16456.8261149598</v>
      </c>
      <c r="J355" s="149" t="n">
        <f aca="false">SUM(J346:J354)</f>
        <v>15741.5332166993</v>
      </c>
      <c r="K355" s="149" t="n">
        <f aca="false">SUM(K346:K354)</f>
        <v>15411.2487479514</v>
      </c>
      <c r="L355" s="149" t="n">
        <f aca="false">SUM(L346:L354)</f>
        <v>15377.7117133237</v>
      </c>
      <c r="M355" s="149" t="n">
        <f aca="false">SUM(M346:M354)</f>
        <v>15405.9356273736</v>
      </c>
      <c r="N355" s="149" t="n">
        <f aca="false">SUM(N346:N354)</f>
        <v>15460.7963438138</v>
      </c>
      <c r="O355" s="149" t="n">
        <f aca="false">SUM(O346:O354)</f>
        <v>15525.3482651628</v>
      </c>
      <c r="P355" s="149" t="n">
        <f aca="false">SUM(P346:P354)</f>
        <v>15660.7391069981</v>
      </c>
      <c r="Q355" s="149" t="n">
        <f aca="false">SUM(Q346:Q354)</f>
        <v>15696.6789289721</v>
      </c>
      <c r="R355" s="149" t="n">
        <f aca="false">SUM(R346:R354)</f>
        <v>15803.7263510204</v>
      </c>
      <c r="S355" s="149" t="n">
        <f aca="false">SUM(S346:S354)</f>
        <v>10469.0933372859</v>
      </c>
      <c r="T355" s="17"/>
      <c r="U355" s="17"/>
      <c r="V355" s="17"/>
      <c r="W355" s="17"/>
      <c r="X355" s="17"/>
      <c r="Y355" s="17"/>
      <c r="Z355" s="17"/>
      <c r="AA355" s="17"/>
      <c r="AB355" s="17"/>
      <c r="AC355" s="17"/>
    </row>
    <row r="356" customFormat="false" ht="12.75" hidden="false" customHeight="false" outlineLevel="0" collapsed="false">
      <c r="A356" s="16"/>
      <c r="B356" s="16"/>
      <c r="C356" s="16"/>
      <c r="D356" s="16"/>
      <c r="E356" s="16"/>
      <c r="F356" s="16"/>
      <c r="G356" s="16"/>
      <c r="H356" s="63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</row>
    <row r="357" customFormat="false" ht="12.75" hidden="false" customHeight="false" outlineLevel="0" collapsed="false">
      <c r="A357" s="16"/>
      <c r="B357" s="16" t="s">
        <v>196</v>
      </c>
      <c r="C357" s="16"/>
      <c r="D357" s="16"/>
      <c r="E357" s="16"/>
      <c r="F357" s="16"/>
      <c r="G357" s="16"/>
      <c r="H357" s="63"/>
      <c r="I357" s="149" t="n">
        <f aca="false">I344-I355</f>
        <v>-13709.8261149598</v>
      </c>
      <c r="J357" s="149" t="n">
        <f aca="false">J344-J355</f>
        <v>-12956.5332166993</v>
      </c>
      <c r="K357" s="149" t="n">
        <f aca="false">K344-K355</f>
        <v>-12588.2487479514</v>
      </c>
      <c r="L357" s="149" t="n">
        <f aca="false">L344-L355</f>
        <v>-12516.7117133237</v>
      </c>
      <c r="M357" s="149" t="n">
        <f aca="false">M344-M355</f>
        <v>-12505.9356273736</v>
      </c>
      <c r="N357" s="149" t="n">
        <f aca="false">N344-N355</f>
        <v>-12521.7963438138</v>
      </c>
      <c r="O357" s="149" t="n">
        <f aca="false">O344-O355</f>
        <v>-12546.3482651628</v>
      </c>
      <c r="P357" s="149" t="n">
        <f aca="false">P344-P355</f>
        <v>-12641.7391069981</v>
      </c>
      <c r="Q357" s="149" t="n">
        <f aca="false">Q344-Q355</f>
        <v>-12636.6789289721</v>
      </c>
      <c r="R357" s="149" t="n">
        <f aca="false">R344-R355</f>
        <v>-12702.7263510204</v>
      </c>
      <c r="S357" s="149" t="n">
        <f aca="false">S344-S355</f>
        <v>-8504.09333728586</v>
      </c>
      <c r="T357" s="17"/>
      <c r="U357" s="17"/>
      <c r="V357" s="17"/>
      <c r="W357" s="17"/>
      <c r="X357" s="17"/>
      <c r="Y357" s="17"/>
      <c r="Z357" s="17"/>
      <c r="AA357" s="17"/>
      <c r="AB357" s="17"/>
      <c r="AC357" s="17"/>
    </row>
    <row r="358" customFormat="false" ht="12.75" hidden="false" customHeight="false" outlineLevel="0" collapsed="false">
      <c r="A358" s="16"/>
      <c r="B358" s="16"/>
      <c r="C358" s="16"/>
      <c r="D358" s="16"/>
      <c r="E358" s="16"/>
      <c r="F358" s="16"/>
      <c r="G358" s="16"/>
      <c r="H358" s="63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</row>
    <row r="359" customFormat="false" ht="12.75" hidden="false" customHeight="false" outlineLevel="0" collapsed="false">
      <c r="A359" s="16"/>
      <c r="B359" s="16" t="s">
        <v>180</v>
      </c>
      <c r="C359" s="17"/>
      <c r="D359" s="16"/>
      <c r="E359" s="16"/>
      <c r="F359" s="174" t="n">
        <f aca="false">+$K$9</f>
        <v>0.5</v>
      </c>
      <c r="G359" s="174"/>
      <c r="H359" s="63" t="s">
        <v>99</v>
      </c>
      <c r="I359" s="149" t="n">
        <f aca="false">+I357*$F$336</f>
        <v>-6854.91305747992</v>
      </c>
      <c r="J359" s="149" t="n">
        <f aca="false">+J357*$F$336</f>
        <v>-6478.26660834966</v>
      </c>
      <c r="K359" s="149" t="n">
        <f aca="false">+K357*$F$336</f>
        <v>-6294.12437397571</v>
      </c>
      <c r="L359" s="149" t="n">
        <f aca="false">+L357*$F$336</f>
        <v>-6258.35585666183</v>
      </c>
      <c r="M359" s="149" t="n">
        <f aca="false">+M357*$F$336</f>
        <v>-6252.9678136868</v>
      </c>
      <c r="N359" s="149" t="n">
        <f aca="false">+N357*$F$336</f>
        <v>-6260.89817190689</v>
      </c>
      <c r="O359" s="149" t="n">
        <f aca="false">+O357*$F$336</f>
        <v>-6273.17413258139</v>
      </c>
      <c r="P359" s="149" t="n">
        <f aca="false">+P357*$F$336</f>
        <v>-6320.86955349905</v>
      </c>
      <c r="Q359" s="149" t="n">
        <f aca="false">+Q357*$F$336</f>
        <v>-6318.33946448603</v>
      </c>
      <c r="R359" s="149" t="n">
        <f aca="false">+R357*$F$336</f>
        <v>-6351.3631755102</v>
      </c>
      <c r="S359" s="149" t="n">
        <f aca="false">+S357*$F$336</f>
        <v>-4252.04666864293</v>
      </c>
      <c r="T359" s="17"/>
      <c r="U359" s="17"/>
      <c r="V359" s="17"/>
      <c r="W359" s="17"/>
      <c r="X359" s="17"/>
      <c r="Y359" s="17"/>
      <c r="Z359" s="17"/>
      <c r="AA359" s="17"/>
      <c r="AB359" s="17"/>
      <c r="AC359" s="17"/>
    </row>
    <row r="360" customFormat="false" ht="12.75" hidden="false" customHeight="false" outlineLevel="0" collapsed="false">
      <c r="A360" s="16"/>
      <c r="B360" s="16"/>
      <c r="C360" s="16"/>
      <c r="D360" s="16"/>
      <c r="E360" s="16"/>
      <c r="F360" s="16"/>
      <c r="G360" s="16"/>
      <c r="H360" s="63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</row>
    <row r="361" customFormat="false" ht="12.75" hidden="false" customHeight="false" outlineLevel="0" collapsed="false">
      <c r="A361" s="16"/>
      <c r="B361" s="16" t="s">
        <v>181</v>
      </c>
      <c r="C361" s="17"/>
      <c r="D361" s="16"/>
      <c r="E361" s="16"/>
      <c r="F361" s="181" t="n">
        <f aca="false">K10</f>
        <v>0.11</v>
      </c>
      <c r="G361" s="181"/>
      <c r="H361" s="63" t="s">
        <v>99</v>
      </c>
      <c r="I361" s="249" t="n">
        <f aca="false">NPV($F361,J359:$AC359)</f>
        <v>-36475.8465323991</v>
      </c>
      <c r="J361" s="249" t="n">
        <f aca="false">NPV($F361,K359:$AC359)</f>
        <v>-34009.9230426133</v>
      </c>
      <c r="K361" s="249" t="n">
        <f aca="false">NPV($F361,L359:$AC359)</f>
        <v>-31456.8902033251</v>
      </c>
      <c r="L361" s="249" t="n">
        <f aca="false">NPV($F361,M359:$AC359)</f>
        <v>-28658.792269029</v>
      </c>
      <c r="M361" s="249" t="n">
        <f aca="false">NPV($F361,N359:$AC359)</f>
        <v>-25558.2916049354</v>
      </c>
      <c r="N361" s="249" t="n">
        <f aca="false">NPV($F361,O359:$AC359)</f>
        <v>-22108.8055095714</v>
      </c>
      <c r="O361" s="249" t="n">
        <f aca="false">NPV($F361,P359:$AC359)</f>
        <v>-18267.5999830429</v>
      </c>
      <c r="P361" s="249" t="n">
        <f aca="false">NPV($F361,Q359:$AC359)</f>
        <v>-13956.1664276786</v>
      </c>
      <c r="Q361" s="249" t="n">
        <f aca="false">NPV($F361,R359:$AC359)</f>
        <v>-9173.0052702372</v>
      </c>
      <c r="R361" s="249" t="n">
        <f aca="false">NPV($F361,S359:$AC359)</f>
        <v>-3830.67267445309</v>
      </c>
      <c r="S361" s="249" t="n">
        <f aca="false">NPV($F361,T359:$AC359)</f>
        <v>0</v>
      </c>
      <c r="T361" s="17"/>
      <c r="U361" s="17"/>
      <c r="V361" s="17"/>
      <c r="W361" s="17"/>
      <c r="X361" s="17"/>
      <c r="Y361" s="17"/>
      <c r="Z361" s="17"/>
      <c r="AA361" s="17"/>
      <c r="AB361" s="17"/>
      <c r="AC361" s="17"/>
    </row>
    <row r="362" customFormat="false" ht="12.75" hidden="false" customHeight="false" outlineLevel="0" collapsed="false">
      <c r="A362" s="16"/>
      <c r="B362" s="16"/>
      <c r="C362" s="17"/>
      <c r="D362" s="16"/>
      <c r="E362" s="16"/>
      <c r="F362" s="177"/>
      <c r="G362" s="177"/>
      <c r="H362" s="63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</row>
    <row r="363" customFormat="false" ht="12.75" hidden="false" customHeight="false" outlineLevel="0" collapsed="false">
      <c r="A363" s="55" t="s">
        <v>197</v>
      </c>
      <c r="B363" s="16"/>
      <c r="C363" s="16"/>
      <c r="D363" s="16"/>
      <c r="E363" s="16"/>
      <c r="F363" s="16"/>
      <c r="G363" s="16"/>
      <c r="H363" s="63"/>
      <c r="I363" s="255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</row>
    <row r="364" customFormat="false" ht="12.75" hidden="false" customHeight="false" outlineLevel="0" collapsed="false">
      <c r="A364" s="16"/>
      <c r="B364" s="16"/>
      <c r="C364" s="16"/>
      <c r="D364" s="16"/>
      <c r="E364" s="16"/>
      <c r="F364" s="16"/>
      <c r="G364" s="16"/>
      <c r="H364" s="63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</row>
    <row r="365" customFormat="false" ht="12.75" hidden="false" customHeight="false" outlineLevel="0" collapsed="false">
      <c r="A365" s="16"/>
      <c r="B365" s="55" t="s">
        <v>198</v>
      </c>
      <c r="C365" s="16"/>
      <c r="D365" s="16"/>
      <c r="E365" s="16"/>
      <c r="F365" s="16"/>
      <c r="G365" s="16"/>
      <c r="H365" s="63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</row>
    <row r="366" customFormat="false" ht="12.75" hidden="false" customHeight="false" outlineLevel="0" collapsed="false">
      <c r="A366" s="16"/>
      <c r="B366" s="16" t="s">
        <v>199</v>
      </c>
      <c r="C366" s="17"/>
      <c r="D366" s="16"/>
      <c r="E366" s="16"/>
      <c r="F366" s="218" t="n">
        <f aca="false">50000*0.75</f>
        <v>37500</v>
      </c>
      <c r="G366" s="218"/>
      <c r="H366" s="63" t="s">
        <v>99</v>
      </c>
      <c r="I366" s="149" t="n">
        <f aca="false">$F366*(I$25/24)*I63/1000</f>
        <v>63920.625</v>
      </c>
      <c r="J366" s="149" t="n">
        <f aca="false">$F$366*(J25/24)*J63/1000</f>
        <v>65836.875</v>
      </c>
      <c r="K366" s="149" t="n">
        <f aca="false">$F$366*(K25/24)*K63/1000</f>
        <v>68985</v>
      </c>
      <c r="L366" s="149" t="n">
        <f aca="false">$F$366*(L25/24)*L63/1000</f>
        <v>69585.75</v>
      </c>
      <c r="M366" s="149" t="n">
        <f aca="false">$F$366*(M25/24)*M63/1000</f>
        <v>71859.375</v>
      </c>
      <c r="N366" s="149" t="n">
        <f aca="false">$F$366*(N25/24)*N63/1000</f>
        <v>72817.5</v>
      </c>
      <c r="O366" s="149" t="n">
        <f aca="false">$F$366*(O25/24)*O63/1000</f>
        <v>74870.625</v>
      </c>
      <c r="P366" s="149" t="n">
        <f aca="false">$F$366*(P25/24)*P63/1000</f>
        <v>76997.25</v>
      </c>
      <c r="Q366" s="149" t="n">
        <f aca="false">$F$366*(Q25/24)*Q63/1000</f>
        <v>80208.75</v>
      </c>
      <c r="R366" s="149" t="n">
        <f aca="false">$F$366*(R25/24)*R63/1000</f>
        <v>80893.125</v>
      </c>
      <c r="S366" s="149" t="n">
        <f aca="false">$F$366*(S25/24)*S63/1000</f>
        <v>83493.75</v>
      </c>
      <c r="T366" s="149" t="n">
        <f aca="false">$F$366*(T25/24)*T63/1000</f>
        <v>86414.0862944162</v>
      </c>
      <c r="U366" s="149" t="n">
        <f aca="false">$F$366*(U25/24)*U63/1000*11/12</f>
        <v>81536.133782685</v>
      </c>
      <c r="V366" s="256" t="n">
        <v>0</v>
      </c>
      <c r="W366" s="256" t="n">
        <v>0</v>
      </c>
      <c r="X366" s="256" t="n">
        <v>0</v>
      </c>
      <c r="Y366" s="256" t="n">
        <v>0</v>
      </c>
      <c r="Z366" s="256" t="n">
        <v>0</v>
      </c>
      <c r="AA366" s="256" t="n">
        <v>0</v>
      </c>
      <c r="AB366" s="256" t="n">
        <v>0</v>
      </c>
      <c r="AC366" s="256" t="n">
        <v>0</v>
      </c>
    </row>
    <row r="367" customFormat="false" ht="12.75" hidden="false" customHeight="false" outlineLevel="0" collapsed="false">
      <c r="A367" s="16"/>
      <c r="B367" s="16" t="s">
        <v>200</v>
      </c>
      <c r="C367" s="17"/>
      <c r="D367" s="16"/>
      <c r="E367" s="16"/>
      <c r="F367" s="218" t="n">
        <f aca="false">0.75*23000+25000</f>
        <v>42250</v>
      </c>
      <c r="G367" s="218"/>
      <c r="H367" s="63" t="s">
        <v>99</v>
      </c>
      <c r="I367" s="238" t="n">
        <f aca="false">$F367*(I$25/24)*I64/1000</f>
        <v>57521.2625</v>
      </c>
      <c r="J367" s="238" t="n">
        <f aca="false">$F$367*(J$25/24)*J64/1000</f>
        <v>59834.45</v>
      </c>
      <c r="K367" s="238" t="n">
        <f aca="false">$F$367*(K$25/24)*K64/1000</f>
        <v>62301.85</v>
      </c>
      <c r="L367" s="238" t="n">
        <f aca="false">$F$367*(L$25/24)*L64/1000</f>
        <v>63554.985</v>
      </c>
      <c r="M367" s="238" t="n">
        <f aca="false">$F$367*(M$25/24)*M64/1000</f>
        <v>65386.1</v>
      </c>
      <c r="N367" s="238" t="n">
        <f aca="false">$F$367*(N$25/24)*N64/1000</f>
        <v>67236.65</v>
      </c>
      <c r="O367" s="238" t="n">
        <f aca="false">$F$367*(O$25/24)*O64/1000</f>
        <v>69087.2</v>
      </c>
      <c r="P367" s="238" t="n">
        <f aca="false">$F$367*(P$25/24)*P64/1000</f>
        <v>71596.005</v>
      </c>
      <c r="Q367" s="238" t="n">
        <f aca="false">$F$367*(Q$25/24)*Q64/1000</f>
        <v>73867.7875</v>
      </c>
      <c r="R367" s="238" t="n">
        <f aca="false">$F$367*(R$25/24)*R64/1000</f>
        <v>74793.0625</v>
      </c>
      <c r="S367" s="238" t="n">
        <f aca="false">$F$367*(S$25/24)*S64/1000</f>
        <v>77106.25</v>
      </c>
      <c r="T367" s="238" t="n">
        <f aca="false">$F$367*(T$25/24)*T77/1000</f>
        <v>60059.5896875</v>
      </c>
      <c r="U367" s="238" t="n">
        <f aca="false">$F$367*(U$25/24)*U77/1000*11/12</f>
        <v>56035.093077257</v>
      </c>
      <c r="V367" s="257" t="n">
        <v>0</v>
      </c>
      <c r="W367" s="257" t="n">
        <v>0</v>
      </c>
      <c r="X367" s="257" t="n">
        <v>0</v>
      </c>
      <c r="Y367" s="257" t="n">
        <v>0</v>
      </c>
      <c r="Z367" s="257" t="n">
        <v>0</v>
      </c>
      <c r="AA367" s="257" t="n">
        <v>0</v>
      </c>
      <c r="AB367" s="257" t="n">
        <v>0</v>
      </c>
      <c r="AC367" s="257" t="n">
        <v>0</v>
      </c>
    </row>
    <row r="368" customFormat="false" ht="12.75" hidden="false" customHeight="false" outlineLevel="0" collapsed="false">
      <c r="A368" s="16"/>
      <c r="B368" s="16" t="s">
        <v>80</v>
      </c>
      <c r="C368" s="17"/>
      <c r="D368" s="16"/>
      <c r="E368" s="16"/>
      <c r="F368" s="16"/>
      <c r="G368" s="16"/>
      <c r="H368" s="63" t="s">
        <v>99</v>
      </c>
      <c r="I368" s="172" t="n">
        <f aca="false">SUM(I366:I367)</f>
        <v>121441.8875</v>
      </c>
      <c r="J368" s="172" t="n">
        <f aca="false">SUM(J366:J367)</f>
        <v>125671.325</v>
      </c>
      <c r="K368" s="172" t="n">
        <f aca="false">SUM(K366:K367)</f>
        <v>131286.85</v>
      </c>
      <c r="L368" s="172" t="n">
        <f aca="false">SUM(L366:L367)</f>
        <v>133140.735</v>
      </c>
      <c r="M368" s="172" t="n">
        <f aca="false">SUM(M366:M367)</f>
        <v>137245.475</v>
      </c>
      <c r="N368" s="172" t="n">
        <f aca="false">SUM(N366:N367)</f>
        <v>140054.15</v>
      </c>
      <c r="O368" s="172" t="n">
        <f aca="false">SUM(O366:O367)</f>
        <v>143957.825</v>
      </c>
      <c r="P368" s="172" t="n">
        <f aca="false">SUM(P366:P367)</f>
        <v>148593.255</v>
      </c>
      <c r="Q368" s="172" t="n">
        <f aca="false">SUM(Q366:Q367)</f>
        <v>154076.5375</v>
      </c>
      <c r="R368" s="172" t="n">
        <f aca="false">SUM(R366:R367)</f>
        <v>155686.1875</v>
      </c>
      <c r="S368" s="172" t="n">
        <f aca="false">SUM(S366:S367)</f>
        <v>160600</v>
      </c>
      <c r="T368" s="172" t="n">
        <f aca="false">SUM(T366:T367)</f>
        <v>146473.675981916</v>
      </c>
      <c r="U368" s="172" t="n">
        <f aca="false">SUM(U366:U367)</f>
        <v>137571.226859942</v>
      </c>
      <c r="V368" s="172" t="n">
        <f aca="false">SUM(V366:V367)</f>
        <v>0</v>
      </c>
      <c r="W368" s="172" t="n">
        <f aca="false">SUM(W366:W367)</f>
        <v>0</v>
      </c>
      <c r="X368" s="172" t="n">
        <f aca="false">SUM(X366:X367)</f>
        <v>0</v>
      </c>
      <c r="Y368" s="172" t="n">
        <f aca="false">SUM(Y366:Y367)</f>
        <v>0</v>
      </c>
      <c r="Z368" s="172" t="n">
        <f aca="false">SUM(Z366:Z367)</f>
        <v>0</v>
      </c>
      <c r="AA368" s="172" t="n">
        <f aca="false">SUM(AA366:AA367)</f>
        <v>0</v>
      </c>
      <c r="AB368" s="172" t="n">
        <f aca="false">SUM(AB366:AB367)</f>
        <v>0</v>
      </c>
      <c r="AC368" s="172" t="n">
        <f aca="false">SUM(AC366:AC367)</f>
        <v>0</v>
      </c>
    </row>
    <row r="369" customFormat="false" ht="12.75" hidden="false" customHeight="false" outlineLevel="0" collapsed="false">
      <c r="A369" s="16"/>
      <c r="B369" s="16"/>
      <c r="C369" s="16"/>
      <c r="D369" s="16"/>
      <c r="E369" s="16"/>
      <c r="F369" s="16"/>
      <c r="G369" s="16"/>
      <c r="H369" s="63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</row>
    <row r="370" customFormat="false" ht="12.75" hidden="false" customHeight="false" outlineLevel="0" collapsed="false">
      <c r="A370" s="16"/>
      <c r="B370" s="55" t="s">
        <v>201</v>
      </c>
      <c r="C370" s="16"/>
      <c r="D370" s="16"/>
      <c r="E370" s="16"/>
      <c r="F370" s="16"/>
      <c r="G370" s="16"/>
      <c r="H370" s="63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</row>
    <row r="371" customFormat="false" ht="12.75" hidden="false" customHeight="false" outlineLevel="0" collapsed="false">
      <c r="A371" s="16"/>
      <c r="B371" s="16" t="s">
        <v>199</v>
      </c>
      <c r="C371" s="17"/>
      <c r="D371" s="16"/>
      <c r="E371" s="16"/>
      <c r="F371" s="258" t="n">
        <f aca="false">+F366</f>
        <v>37500</v>
      </c>
      <c r="G371" s="258"/>
      <c r="H371" s="63" t="s">
        <v>99</v>
      </c>
      <c r="I371" s="149" t="n">
        <f aca="false">$F371*(I$25/24)*I80/1000</f>
        <v>48727.5</v>
      </c>
      <c r="J371" s="149" t="n">
        <f aca="false">$F371*(J$25/24)*J80/1000</f>
        <v>48727.5</v>
      </c>
      <c r="K371" s="149" t="n">
        <f aca="false">$F371*(K$25/24)*K80/1000</f>
        <v>48727.5</v>
      </c>
      <c r="L371" s="149" t="n">
        <f aca="false">$F371*(L$25/24)*L80/1000</f>
        <v>48861</v>
      </c>
      <c r="M371" s="149" t="n">
        <f aca="false">$F371*(M$25/24)*M80/1000</f>
        <v>48727.5</v>
      </c>
      <c r="N371" s="149" t="n">
        <f aca="false">$F371*(N$25/24)*N80/1000</f>
        <v>48727.5</v>
      </c>
      <c r="O371" s="149" t="n">
        <f aca="false">$F371*(O$25/24)*O80/1000</f>
        <v>48727.5</v>
      </c>
      <c r="P371" s="149" t="n">
        <f aca="false">$F371*(P$25/24)*P80/1000</f>
        <v>48861</v>
      </c>
      <c r="Q371" s="149" t="n">
        <f aca="false">$F371*(Q$25/24)*Q80/1000</f>
        <v>48727.5</v>
      </c>
      <c r="R371" s="149" t="n">
        <f aca="false">$F371*(R$25/24)*R80/1000</f>
        <v>48727.5</v>
      </c>
      <c r="S371" s="149" t="n">
        <f aca="false">$F371*(S$25/24)*S80/1000</f>
        <v>48727.5</v>
      </c>
      <c r="T371" s="149" t="n">
        <f aca="false">$F371*(T$25/24)*T80/1000</f>
        <v>48861</v>
      </c>
      <c r="U371" s="149" t="n">
        <f aca="false">$F371*(U$25/24)*U80/1000</f>
        <v>48727.5</v>
      </c>
      <c r="V371" s="256" t="n">
        <v>0</v>
      </c>
      <c r="W371" s="256" t="n">
        <v>0</v>
      </c>
      <c r="X371" s="256" t="n">
        <v>0</v>
      </c>
      <c r="Y371" s="256" t="n">
        <v>0</v>
      </c>
      <c r="Z371" s="256" t="n">
        <v>0</v>
      </c>
      <c r="AA371" s="256" t="n">
        <v>0</v>
      </c>
      <c r="AB371" s="256" t="n">
        <v>0</v>
      </c>
      <c r="AC371" s="256" t="n">
        <v>0</v>
      </c>
    </row>
    <row r="372" customFormat="false" ht="12.75" hidden="false" customHeight="false" outlineLevel="0" collapsed="false">
      <c r="A372" s="16"/>
      <c r="B372" s="16" t="s">
        <v>200</v>
      </c>
      <c r="C372" s="17"/>
      <c r="D372" s="16"/>
      <c r="E372" s="16"/>
      <c r="F372" s="258" t="n">
        <f aca="false">+F367</f>
        <v>42250</v>
      </c>
      <c r="G372" s="258"/>
      <c r="H372" s="63" t="s">
        <v>99</v>
      </c>
      <c r="I372" s="238" t="n">
        <f aca="false">$F372*(I$25/24)*I81/1000</f>
        <v>58909.175</v>
      </c>
      <c r="J372" s="238" t="n">
        <f aca="false">$F372*(J$25/24)*J81/1000</f>
        <v>58909.175</v>
      </c>
      <c r="K372" s="238" t="n">
        <f aca="false">$F372*(K$25/24)*K81/1000</f>
        <v>58909.175</v>
      </c>
      <c r="L372" s="238" t="n">
        <f aca="false">$F372*(L$25/24)*L81/1000</f>
        <v>59070.57</v>
      </c>
      <c r="M372" s="238" t="n">
        <f aca="false">$F372*(M$25/24)*M81/1000</f>
        <v>58909.175</v>
      </c>
      <c r="N372" s="238" t="n">
        <f aca="false">$F372*(N$25/24)*N81/1000</f>
        <v>58909.175</v>
      </c>
      <c r="O372" s="238" t="n">
        <f aca="false">$F372*(O$25/24)*O81/1000</f>
        <v>58909.175</v>
      </c>
      <c r="P372" s="238" t="n">
        <f aca="false">$F372*(P$25/24)*P81/1000</f>
        <v>59070.57</v>
      </c>
      <c r="Q372" s="238" t="n">
        <f aca="false">$F372*(Q$25/24)*Q81/1000</f>
        <v>58909.175</v>
      </c>
      <c r="R372" s="238" t="n">
        <f aca="false">$F372*(R$25/24)*R81/1000</f>
        <v>58909.175</v>
      </c>
      <c r="S372" s="238" t="n">
        <f aca="false">$F372*(S$25/24)*S81/1000</f>
        <v>58909.175</v>
      </c>
      <c r="T372" s="238" t="n">
        <f aca="false">$F372*(T$25/24)*T81/1000</f>
        <v>59070.57</v>
      </c>
      <c r="U372" s="238" t="n">
        <f aca="false">$F372*(U$25/24)*U81/1000</f>
        <v>58909.175</v>
      </c>
      <c r="V372" s="257" t="n">
        <v>0</v>
      </c>
      <c r="W372" s="257" t="n">
        <v>0</v>
      </c>
      <c r="X372" s="257" t="n">
        <v>0</v>
      </c>
      <c r="Y372" s="257" t="n">
        <v>0</v>
      </c>
      <c r="Z372" s="257" t="n">
        <v>0</v>
      </c>
      <c r="AA372" s="257" t="n">
        <v>0</v>
      </c>
      <c r="AB372" s="257" t="n">
        <v>0</v>
      </c>
      <c r="AC372" s="257" t="n">
        <v>0</v>
      </c>
    </row>
    <row r="373" customFormat="false" ht="12.75" hidden="false" customHeight="false" outlineLevel="0" collapsed="false">
      <c r="A373" s="16"/>
      <c r="B373" s="16" t="s">
        <v>80</v>
      </c>
      <c r="C373" s="17"/>
      <c r="D373" s="16"/>
      <c r="E373" s="16"/>
      <c r="F373" s="16"/>
      <c r="G373" s="16"/>
      <c r="H373" s="63" t="s">
        <v>99</v>
      </c>
      <c r="I373" s="172" t="n">
        <f aca="false">SUM(I371:I372)</f>
        <v>107636.675</v>
      </c>
      <c r="J373" s="172" t="n">
        <f aca="false">SUM(J371:J372)</f>
        <v>107636.675</v>
      </c>
      <c r="K373" s="172" t="n">
        <f aca="false">SUM(K371:K372)</f>
        <v>107636.675</v>
      </c>
      <c r="L373" s="172" t="n">
        <f aca="false">SUM(L371:L372)</f>
        <v>107931.57</v>
      </c>
      <c r="M373" s="172" t="n">
        <f aca="false">SUM(M371:M372)</f>
        <v>107636.675</v>
      </c>
      <c r="N373" s="172" t="n">
        <f aca="false">SUM(N371:N372)</f>
        <v>107636.675</v>
      </c>
      <c r="O373" s="172" t="n">
        <f aca="false">SUM(O371:O372)</f>
        <v>107636.675</v>
      </c>
      <c r="P373" s="172" t="n">
        <f aca="false">SUM(P371:P372)</f>
        <v>107931.57</v>
      </c>
      <c r="Q373" s="172" t="n">
        <f aca="false">SUM(Q371:Q372)</f>
        <v>107636.675</v>
      </c>
      <c r="R373" s="172" t="n">
        <f aca="false">SUM(R371:R372)</f>
        <v>107636.675</v>
      </c>
      <c r="S373" s="172" t="n">
        <f aca="false">SUM(S371:S372)</f>
        <v>107636.675</v>
      </c>
      <c r="T373" s="172" t="n">
        <f aca="false">SUM(T371:T372)</f>
        <v>107931.57</v>
      </c>
      <c r="U373" s="172" t="n">
        <f aca="false">SUM(U371:U372)</f>
        <v>107636.675</v>
      </c>
      <c r="V373" s="172" t="n">
        <f aca="false">SUM(V371:V372)</f>
        <v>0</v>
      </c>
      <c r="W373" s="172" t="n">
        <f aca="false">SUM(W371:W372)</f>
        <v>0</v>
      </c>
      <c r="X373" s="172" t="n">
        <f aca="false">SUM(X371:X372)</f>
        <v>0</v>
      </c>
      <c r="Y373" s="172" t="n">
        <f aca="false">SUM(Y371:Y372)</f>
        <v>0</v>
      </c>
      <c r="Z373" s="172" t="n">
        <f aca="false">SUM(Z371:Z372)</f>
        <v>0</v>
      </c>
      <c r="AA373" s="172" t="n">
        <f aca="false">SUM(AA371:AA372)</f>
        <v>0</v>
      </c>
      <c r="AB373" s="172" t="n">
        <f aca="false">SUM(AB371:AB372)</f>
        <v>0</v>
      </c>
      <c r="AC373" s="172" t="n">
        <f aca="false">SUM(AC371:AC372)</f>
        <v>0</v>
      </c>
    </row>
    <row r="374" customFormat="false" ht="12.75" hidden="false" customHeight="false" outlineLevel="0" collapsed="false">
      <c r="A374" s="16"/>
      <c r="B374" s="17"/>
      <c r="C374" s="16"/>
      <c r="D374" s="16"/>
      <c r="E374" s="16"/>
      <c r="F374" s="16"/>
      <c r="G374" s="16"/>
      <c r="H374" s="63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</row>
    <row r="375" customFormat="false" ht="12.75" hidden="false" customHeight="false" outlineLevel="0" collapsed="false">
      <c r="A375" s="16"/>
      <c r="B375" s="55" t="s">
        <v>202</v>
      </c>
      <c r="C375" s="16"/>
      <c r="D375" s="16"/>
      <c r="E375" s="16"/>
      <c r="F375" s="16"/>
      <c r="G375" s="16"/>
      <c r="H375" s="63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</row>
    <row r="376" customFormat="false" ht="12.75" hidden="false" customHeight="false" outlineLevel="0" collapsed="false">
      <c r="A376" s="16"/>
      <c r="B376" s="16" t="s">
        <v>52</v>
      </c>
      <c r="C376" s="17"/>
      <c r="D376" s="16"/>
      <c r="E376" s="16"/>
      <c r="F376" s="16"/>
      <c r="G376" s="16"/>
      <c r="H376" s="63" t="s">
        <v>99</v>
      </c>
      <c r="I376" s="149" t="n">
        <f aca="false">+I366-I371</f>
        <v>15193.125</v>
      </c>
      <c r="J376" s="149" t="n">
        <f aca="false">+J366-J371</f>
        <v>17109.375</v>
      </c>
      <c r="K376" s="149" t="n">
        <f aca="false">+K366-K371</f>
        <v>20257.5</v>
      </c>
      <c r="L376" s="149" t="n">
        <f aca="false">+L366-L371</f>
        <v>20724.75</v>
      </c>
      <c r="M376" s="149" t="n">
        <f aca="false">+M366-M371</f>
        <v>23131.875</v>
      </c>
      <c r="N376" s="149" t="n">
        <f aca="false">+N366-N371</f>
        <v>24090</v>
      </c>
      <c r="O376" s="149" t="n">
        <f aca="false">+O366-O371</f>
        <v>26143.125</v>
      </c>
      <c r="P376" s="149" t="n">
        <f aca="false">+P366-P371</f>
        <v>28136.25</v>
      </c>
      <c r="Q376" s="149" t="n">
        <f aca="false">+Q366-Q371</f>
        <v>31481.25</v>
      </c>
      <c r="R376" s="149" t="n">
        <f aca="false">+R366-R371</f>
        <v>32165.625</v>
      </c>
      <c r="S376" s="149" t="n">
        <f aca="false">+S366-S371</f>
        <v>34766.25</v>
      </c>
      <c r="T376" s="149" t="n">
        <f aca="false">+T366-T371</f>
        <v>37553.0862944162</v>
      </c>
      <c r="U376" s="149" t="n">
        <f aca="false">+U366-U371</f>
        <v>32808.633782685</v>
      </c>
      <c r="V376" s="149" t="n">
        <f aca="false">+V366-V371</f>
        <v>0</v>
      </c>
      <c r="W376" s="149" t="n">
        <f aca="false">+W366-W371</f>
        <v>0</v>
      </c>
      <c r="X376" s="149" t="n">
        <f aca="false">+X366-X371</f>
        <v>0</v>
      </c>
      <c r="Y376" s="149" t="n">
        <f aca="false">+Y366-Y371</f>
        <v>0</v>
      </c>
      <c r="Z376" s="149" t="n">
        <f aca="false">+Z366-Z371</f>
        <v>0</v>
      </c>
      <c r="AA376" s="149" t="n">
        <f aca="false">+AA366-AA371</f>
        <v>0</v>
      </c>
      <c r="AB376" s="149" t="n">
        <f aca="false">+AB366-AB371</f>
        <v>0</v>
      </c>
      <c r="AC376" s="149" t="n">
        <f aca="false">+AC366-AC371</f>
        <v>0</v>
      </c>
    </row>
    <row r="377" customFormat="false" ht="12.75" hidden="false" customHeight="false" outlineLevel="0" collapsed="false">
      <c r="A377" s="16"/>
      <c r="B377" s="16" t="s">
        <v>54</v>
      </c>
      <c r="C377" s="17"/>
      <c r="D377" s="16"/>
      <c r="E377" s="16"/>
      <c r="F377" s="16"/>
      <c r="G377" s="16"/>
      <c r="H377" s="63" t="s">
        <v>99</v>
      </c>
      <c r="I377" s="238" t="n">
        <f aca="false">+I367-I372</f>
        <v>-1387.91250000001</v>
      </c>
      <c r="J377" s="238" t="n">
        <f aca="false">+J367-J372</f>
        <v>925.274999999994</v>
      </c>
      <c r="K377" s="238" t="n">
        <f aca="false">+K367-K372</f>
        <v>3392.675</v>
      </c>
      <c r="L377" s="238" t="n">
        <f aca="false">+L367-L372</f>
        <v>4484.41500000001</v>
      </c>
      <c r="M377" s="238" t="n">
        <f aca="false">+M367-M372</f>
        <v>6476.925</v>
      </c>
      <c r="N377" s="238" t="n">
        <f aca="false">+N367-N372</f>
        <v>8327.47499999999</v>
      </c>
      <c r="O377" s="238" t="n">
        <f aca="false">+O367-O372</f>
        <v>10178.025</v>
      </c>
      <c r="P377" s="238" t="n">
        <f aca="false">+P367-P372</f>
        <v>12525.435</v>
      </c>
      <c r="Q377" s="238" t="n">
        <f aca="false">+Q367-Q372</f>
        <v>14958.6125</v>
      </c>
      <c r="R377" s="238" t="n">
        <f aca="false">+R367-R372</f>
        <v>15883.8875</v>
      </c>
      <c r="S377" s="238" t="n">
        <f aca="false">+S367-S372</f>
        <v>18197.075</v>
      </c>
      <c r="T377" s="238" t="n">
        <f aca="false">+T367-T372</f>
        <v>989.019687500018</v>
      </c>
      <c r="U377" s="238" t="n">
        <f aca="false">+U367-U372</f>
        <v>-2874.08192274305</v>
      </c>
      <c r="V377" s="238" t="n">
        <f aca="false">+V367-V372</f>
        <v>0</v>
      </c>
      <c r="W377" s="238" t="n">
        <f aca="false">+W367-W372</f>
        <v>0</v>
      </c>
      <c r="X377" s="238" t="n">
        <f aca="false">+X367-X372</f>
        <v>0</v>
      </c>
      <c r="Y377" s="238" t="n">
        <f aca="false">+Y367-Y372</f>
        <v>0</v>
      </c>
      <c r="Z377" s="238" t="n">
        <f aca="false">+Z367-Z372</f>
        <v>0</v>
      </c>
      <c r="AA377" s="238" t="n">
        <f aca="false">+AA367-AA372</f>
        <v>0</v>
      </c>
      <c r="AB377" s="238" t="n">
        <f aca="false">+AB367-AB372</f>
        <v>0</v>
      </c>
      <c r="AC377" s="238" t="n">
        <f aca="false">+AC367-AC372</f>
        <v>0</v>
      </c>
    </row>
    <row r="378" customFormat="false" ht="12.75" hidden="false" customHeight="false" outlineLevel="0" collapsed="false">
      <c r="A378" s="17"/>
      <c r="B378" s="16" t="s">
        <v>80</v>
      </c>
      <c r="C378" s="17"/>
      <c r="D378" s="16"/>
      <c r="E378" s="16"/>
      <c r="F378" s="16"/>
      <c r="G378" s="16"/>
      <c r="H378" s="63" t="s">
        <v>99</v>
      </c>
      <c r="I378" s="149" t="n">
        <f aca="false">SUM(I376:I377)</f>
        <v>13805.2125</v>
      </c>
      <c r="J378" s="149" t="n">
        <f aca="false">SUM(J376:J377)</f>
        <v>18034.65</v>
      </c>
      <c r="K378" s="149" t="n">
        <f aca="false">SUM(K376:K377)</f>
        <v>23650.175</v>
      </c>
      <c r="L378" s="149" t="n">
        <f aca="false">SUM(L376:L377)</f>
        <v>25209.165</v>
      </c>
      <c r="M378" s="149" t="n">
        <f aca="false">SUM(M376:M377)</f>
        <v>29608.8</v>
      </c>
      <c r="N378" s="149" t="n">
        <f aca="false">SUM(N376:N377)</f>
        <v>32417.475</v>
      </c>
      <c r="O378" s="149" t="n">
        <f aca="false">SUM(O376:O377)</f>
        <v>36321.15</v>
      </c>
      <c r="P378" s="149" t="n">
        <f aca="false">SUM(P376:P377)</f>
        <v>40661.685</v>
      </c>
      <c r="Q378" s="149" t="n">
        <f aca="false">SUM(Q376:Q377)</f>
        <v>46439.8625</v>
      </c>
      <c r="R378" s="149" t="n">
        <f aca="false">SUM(R376:R377)</f>
        <v>48049.5125</v>
      </c>
      <c r="S378" s="149" t="n">
        <f aca="false">SUM(S376:S377)</f>
        <v>52963.325</v>
      </c>
      <c r="T378" s="149" t="n">
        <f aca="false">SUM(T376:T377)</f>
        <v>38542.1059819163</v>
      </c>
      <c r="U378" s="149" t="n">
        <f aca="false">SUM(U376:U377)</f>
        <v>29934.5518599419</v>
      </c>
      <c r="V378" s="149" t="n">
        <f aca="false">SUM(V376:V377)</f>
        <v>0</v>
      </c>
      <c r="W378" s="149" t="n">
        <f aca="false">SUM(W376:W377)</f>
        <v>0</v>
      </c>
      <c r="X378" s="149" t="n">
        <f aca="false">SUM(X376:X377)</f>
        <v>0</v>
      </c>
      <c r="Y378" s="149" t="n">
        <f aca="false">SUM(Y376:Y377)</f>
        <v>0</v>
      </c>
      <c r="Z378" s="149" t="n">
        <f aca="false">SUM(Z376:Z377)</f>
        <v>0</v>
      </c>
      <c r="AA378" s="149" t="n">
        <f aca="false">SUM(AA376:AA377)</f>
        <v>0</v>
      </c>
      <c r="AB378" s="149" t="n">
        <f aca="false">SUM(AB376:AB377)</f>
        <v>0</v>
      </c>
      <c r="AC378" s="149" t="n">
        <f aca="false">SUM(AC376:AC377)</f>
        <v>0</v>
      </c>
    </row>
    <row r="379" customFormat="false" ht="12.75" hidden="false" customHeight="false" outlineLevel="0" collapsed="false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</row>
    <row r="380" customFormat="false" ht="12.75" hidden="false" customHeight="false" outlineLevel="0" collapsed="false">
      <c r="A380" s="17"/>
      <c r="B380" s="16" t="s">
        <v>180</v>
      </c>
      <c r="C380" s="17"/>
      <c r="D380" s="16"/>
      <c r="E380" s="16"/>
      <c r="F380" s="174" t="n">
        <f aca="false">+$K$9</f>
        <v>0.5</v>
      </c>
      <c r="G380" s="174"/>
      <c r="H380" s="63" t="s">
        <v>99</v>
      </c>
      <c r="I380" s="157" t="n">
        <f aca="false">+I378*$F$380</f>
        <v>6902.60625</v>
      </c>
      <c r="J380" s="157" t="n">
        <f aca="false">+J378*$F$380</f>
        <v>9017.32499999999</v>
      </c>
      <c r="K380" s="157" t="n">
        <f aca="false">+K378*$F$380</f>
        <v>11825.0875</v>
      </c>
      <c r="L380" s="157" t="n">
        <f aca="false">+L378*$F$380</f>
        <v>12604.5825</v>
      </c>
      <c r="M380" s="157" t="n">
        <f aca="false">+M378*$F$380</f>
        <v>14804.4</v>
      </c>
      <c r="N380" s="157" t="n">
        <f aca="false">+N378*$F$380</f>
        <v>16208.7375</v>
      </c>
      <c r="O380" s="157" t="n">
        <f aca="false">+O378*$F$380</f>
        <v>18160.575</v>
      </c>
      <c r="P380" s="157" t="n">
        <f aca="false">+P378*$F$380</f>
        <v>20330.8425</v>
      </c>
      <c r="Q380" s="157" t="n">
        <f aca="false">+Q378*$F$380</f>
        <v>23219.93125</v>
      </c>
      <c r="R380" s="157" t="n">
        <f aca="false">+R378*$F$380</f>
        <v>24024.75625</v>
      </c>
      <c r="S380" s="157" t="n">
        <f aca="false">+S378*$F$380</f>
        <v>26481.6625</v>
      </c>
      <c r="T380" s="157" t="n">
        <f aca="false">+T378*$F$380</f>
        <v>19271.0529909581</v>
      </c>
      <c r="U380" s="157" t="n">
        <f aca="false">+U378*$F$380</f>
        <v>14967.275929971</v>
      </c>
      <c r="V380" s="157" t="n">
        <f aca="false">+V378*$F$380</f>
        <v>0</v>
      </c>
      <c r="W380" s="157" t="n">
        <f aca="false">+W378*$F$380</f>
        <v>0</v>
      </c>
      <c r="X380" s="157" t="n">
        <f aca="false">+X378*$F$380</f>
        <v>0</v>
      </c>
      <c r="Y380" s="157" t="n">
        <f aca="false">+Y378*$F$380</f>
        <v>0</v>
      </c>
      <c r="Z380" s="157" t="n">
        <f aca="false">+Z378*$F$380</f>
        <v>0</v>
      </c>
      <c r="AA380" s="157" t="n">
        <f aca="false">+AA378*$F$380</f>
        <v>0</v>
      </c>
      <c r="AB380" s="157" t="n">
        <f aca="false">+AB378*$F$380</f>
        <v>0</v>
      </c>
      <c r="AC380" s="157" t="n">
        <f aca="false">+AC378*$F$380</f>
        <v>0</v>
      </c>
    </row>
    <row r="381" customFormat="false" ht="12.75" hidden="false" customHeight="false" outlineLevel="0" collapsed="false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</row>
    <row r="382" customFormat="false" ht="12.75" hidden="false" customHeight="false" outlineLevel="0" collapsed="false">
      <c r="A382" s="16"/>
      <c r="B382" s="16" t="s">
        <v>181</v>
      </c>
      <c r="C382" s="17"/>
      <c r="D382" s="16"/>
      <c r="E382" s="16"/>
      <c r="F382" s="181" t="n">
        <f aca="false">+U13</f>
        <v>0.08688</v>
      </c>
      <c r="G382" s="181"/>
      <c r="H382" s="63" t="s">
        <v>99</v>
      </c>
      <c r="I382" s="249" t="n">
        <f aca="false">NPV($F382,J380:$AC380)</f>
        <v>119783.499513168</v>
      </c>
      <c r="J382" s="249" t="n">
        <f aca="false">NPV($F382,K380:$AC380)</f>
        <v>121172.964950872</v>
      </c>
      <c r="K382" s="249" t="n">
        <f aca="false">NPV($F382,L380:$AC380)</f>
        <v>119875.384645804</v>
      </c>
      <c r="L382" s="249" t="n">
        <f aca="false">NPV($F382,M380:$AC380)</f>
        <v>117685.575563831</v>
      </c>
      <c r="M382" s="249" t="n">
        <f aca="false">NPV($F382,N380:$AC380)</f>
        <v>113105.698368817</v>
      </c>
      <c r="N382" s="249" t="n">
        <f aca="false">NPV($F382,O380:$AC380)</f>
        <v>106723.5839431</v>
      </c>
      <c r="O382" s="249" t="n">
        <f aca="false">NPV($F382,P380:$AC380)</f>
        <v>97835.1539160763</v>
      </c>
      <c r="P382" s="249" t="n">
        <f aca="false">NPV($F382,Q380:$AC380)</f>
        <v>86004.229588305</v>
      </c>
      <c r="Q382" s="249" t="n">
        <f aca="false">NPV($F382,R380:$AC380)</f>
        <v>70256.345804937</v>
      </c>
      <c r="R382" s="249" t="n">
        <f aca="false">NPV($F382,S380:$AC380)</f>
        <v>52335.4608784699</v>
      </c>
      <c r="S382" s="249" t="n">
        <f aca="false">NPV($F382,T380:$AC380)</f>
        <v>30400.7032195913</v>
      </c>
      <c r="T382" s="249" t="n">
        <f aca="false">NPV($F382,U380:$AC380)</f>
        <v>13770.8633243513</v>
      </c>
      <c r="U382" s="249" t="n">
        <f aca="false">NPV($F382,V380:$AC380)</f>
        <v>0</v>
      </c>
      <c r="V382" s="249" t="n">
        <f aca="false">NPV($F382,W380:$AC380)</f>
        <v>0</v>
      </c>
      <c r="W382" s="249" t="n">
        <f aca="false">NPV($F382,X380:$AC380)</f>
        <v>0</v>
      </c>
      <c r="X382" s="249" t="n">
        <f aca="false">NPV($F382,Y380:$AC380)</f>
        <v>0</v>
      </c>
      <c r="Y382" s="249" t="n">
        <f aca="false">NPV($F382,Z380:$AC380)</f>
        <v>0</v>
      </c>
      <c r="Z382" s="249" t="n">
        <f aca="false">NPV($F382,AA380:$AC380)</f>
        <v>0</v>
      </c>
      <c r="AA382" s="249" t="n">
        <f aca="false">NPV($F382,AB380:$AC380)</f>
        <v>0</v>
      </c>
      <c r="AB382" s="249" t="n">
        <f aca="false">NPV($F382,AC380:$AC380)</f>
        <v>0</v>
      </c>
      <c r="AC382" s="250"/>
    </row>
    <row r="383" customFormat="false" ht="12.75" hidden="false" customHeight="false" outlineLevel="0" collapsed="false">
      <c r="A383" s="16"/>
      <c r="B383" s="16"/>
      <c r="C383" s="16"/>
      <c r="D383" s="16"/>
      <c r="E383" s="16"/>
      <c r="F383" s="16"/>
      <c r="G383" s="16"/>
      <c r="H383" s="63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</row>
    <row r="384" customFormat="false" ht="12.75" hidden="false" customHeight="false" outlineLevel="0" collapsed="false">
      <c r="A384" s="55" t="s">
        <v>203</v>
      </c>
      <c r="B384" s="16"/>
      <c r="C384" s="16"/>
      <c r="D384" s="16"/>
      <c r="E384" s="16"/>
      <c r="F384" s="16"/>
      <c r="G384" s="16"/>
      <c r="H384" s="63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</row>
    <row r="385" customFormat="false" ht="12.75" hidden="false" customHeight="false" outlineLevel="0" collapsed="false">
      <c r="A385" s="16"/>
      <c r="B385" s="16"/>
      <c r="C385" s="16"/>
      <c r="D385" s="16"/>
      <c r="E385" s="16"/>
      <c r="F385" s="16"/>
      <c r="G385" s="16"/>
      <c r="H385" s="63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</row>
    <row r="386" customFormat="false" ht="12.75" hidden="false" customHeight="false" outlineLevel="0" collapsed="false">
      <c r="A386" s="16"/>
      <c r="B386" s="55" t="s">
        <v>204</v>
      </c>
      <c r="C386" s="16"/>
      <c r="D386" s="16"/>
      <c r="E386" s="16"/>
      <c r="F386" s="16"/>
      <c r="G386" s="16"/>
      <c r="H386" s="63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</row>
    <row r="387" customFormat="false" ht="12.75" hidden="false" customHeight="false" outlineLevel="0" collapsed="false">
      <c r="A387" s="16"/>
      <c r="B387" s="16" t="s">
        <v>205</v>
      </c>
      <c r="C387" s="17"/>
      <c r="D387" s="16"/>
      <c r="E387" s="16"/>
      <c r="F387" s="259" t="n">
        <v>43465</v>
      </c>
      <c r="G387" s="259"/>
      <c r="H387" s="63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</row>
    <row r="388" customFormat="false" ht="12.75" hidden="false" customHeight="false" outlineLevel="0" collapsed="false">
      <c r="A388" s="16"/>
      <c r="B388" s="16" t="s">
        <v>206</v>
      </c>
      <c r="C388" s="17"/>
      <c r="D388" s="16"/>
      <c r="E388" s="16"/>
      <c r="F388" s="260" t="n">
        <v>600</v>
      </c>
      <c r="G388" s="260"/>
      <c r="H388" s="63" t="s">
        <v>99</v>
      </c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</row>
    <row r="389" customFormat="false" ht="12.75" hidden="false" customHeight="false" outlineLevel="0" collapsed="false">
      <c r="A389" s="16"/>
      <c r="B389" s="16" t="s">
        <v>207</v>
      </c>
      <c r="C389" s="17"/>
      <c r="D389" s="16"/>
      <c r="E389" s="16"/>
      <c r="F389" s="261" t="n">
        <v>1</v>
      </c>
      <c r="G389" s="261"/>
      <c r="H389" s="63" t="s">
        <v>99</v>
      </c>
      <c r="I389" s="157" t="n">
        <f aca="false">IF(+I$5&lt;=$F387,+$F388*$F389,0)</f>
        <v>600</v>
      </c>
      <c r="J389" s="157" t="n">
        <f aca="false">IF(+J$5&lt;=$F387,+$F388*$F389,0)</f>
        <v>600</v>
      </c>
      <c r="K389" s="157" t="n">
        <f aca="false">IF(+K$5&lt;=$F387,+$F388*$F389,0)</f>
        <v>600</v>
      </c>
      <c r="L389" s="157" t="n">
        <f aca="false">IF(+L$5&lt;=$F387,+$F388*$F389,0)</f>
        <v>600</v>
      </c>
      <c r="M389" s="157" t="n">
        <f aca="false">IF(+M$5&lt;=$F387,+$F388*$F389,0)</f>
        <v>600</v>
      </c>
      <c r="N389" s="157" t="n">
        <f aca="false">IF(+N$5&lt;=$F387,+$F388*$F389,0)</f>
        <v>600</v>
      </c>
      <c r="O389" s="157" t="n">
        <f aca="false">IF(+O$5&lt;=$F387,+$F388*$F389,0)</f>
        <v>600</v>
      </c>
      <c r="P389" s="157" t="n">
        <f aca="false">IF(+P$5&lt;=$F387,+$F388*$F389,0)</f>
        <v>600</v>
      </c>
      <c r="Q389" s="157" t="n">
        <f aca="false">IF(+Q$5&lt;=$F387,+$F388*$F389,0)</f>
        <v>600</v>
      </c>
      <c r="R389" s="157" t="n">
        <f aca="false">IF(+R$5&lt;=$F387,+$F388*$F389,0)</f>
        <v>600</v>
      </c>
      <c r="S389" s="157" t="n">
        <f aca="false">IF(+S$5&lt;=$F387,+$F388*$F389,0)</f>
        <v>600</v>
      </c>
      <c r="T389" s="157" t="n">
        <f aca="false">IF(+T$5&lt;=$F387,+$F388*$F389,0)</f>
        <v>600</v>
      </c>
      <c r="U389" s="157" t="n">
        <f aca="false">IF(+U$5&lt;=$F387,+$F388*$F389,0)</f>
        <v>600</v>
      </c>
      <c r="V389" s="157" t="n">
        <f aca="false">IF(+V$5&lt;=$F387,+$F388*$F389,0)</f>
        <v>600</v>
      </c>
      <c r="W389" s="157" t="n">
        <f aca="false">IF(+W$5&lt;=$F387,+$F388*$F389,0)</f>
        <v>600</v>
      </c>
      <c r="X389" s="157" t="n">
        <f aca="false">IF(+X$5&lt;=$F387,+$F388*$F389,0)</f>
        <v>600</v>
      </c>
      <c r="Y389" s="157" t="n">
        <f aca="false">IF(+Y$5&lt;=$F387,+$F388*$F389,0)</f>
        <v>600</v>
      </c>
      <c r="Z389" s="157" t="n">
        <f aca="false">IF(+Z$5&lt;=$F387,+$F388*$F389,0)</f>
        <v>600</v>
      </c>
      <c r="AA389" s="157" t="n">
        <f aca="false">IF(+AA$5&lt;=$F387,+$F388*$F389,0)</f>
        <v>0</v>
      </c>
      <c r="AB389" s="157" t="n">
        <f aca="false">IF(+AB$5&lt;=$F387,+$F388*$F389,0)</f>
        <v>0</v>
      </c>
      <c r="AC389" s="157" t="n">
        <f aca="false">IF(+AC$5&lt;=$F387,+$F388*$F389,0)</f>
        <v>0</v>
      </c>
    </row>
    <row r="390" customFormat="false" ht="12.75" hidden="false" customHeight="false" outlineLevel="0" collapsed="false">
      <c r="A390" s="16"/>
      <c r="B390" s="16"/>
      <c r="C390" s="16"/>
      <c r="D390" s="16"/>
      <c r="E390" s="16"/>
      <c r="F390" s="16"/>
      <c r="G390" s="16"/>
      <c r="H390" s="63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</row>
    <row r="391" customFormat="false" ht="12.75" hidden="false" customHeight="false" outlineLevel="0" collapsed="false">
      <c r="A391" s="16"/>
      <c r="B391" s="55" t="s">
        <v>208</v>
      </c>
      <c r="C391" s="16"/>
      <c r="D391" s="16"/>
      <c r="E391" s="16"/>
      <c r="F391" s="16"/>
      <c r="G391" s="16"/>
      <c r="H391" s="63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</row>
    <row r="392" customFormat="false" ht="12.75" hidden="false" customHeight="false" outlineLevel="0" collapsed="false">
      <c r="A392" s="16"/>
      <c r="B392" s="16" t="s">
        <v>205</v>
      </c>
      <c r="C392" s="17"/>
      <c r="D392" s="16"/>
      <c r="E392" s="16"/>
      <c r="F392" s="259" t="n">
        <v>42735</v>
      </c>
      <c r="G392" s="259"/>
      <c r="H392" s="63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</row>
    <row r="393" customFormat="false" ht="12.75" hidden="false" customHeight="false" outlineLevel="0" collapsed="false">
      <c r="A393" s="16"/>
      <c r="B393" s="16" t="s">
        <v>206</v>
      </c>
      <c r="C393" s="17"/>
      <c r="D393" s="16"/>
      <c r="E393" s="16"/>
      <c r="F393" s="260" t="n">
        <v>1500</v>
      </c>
      <c r="G393" s="260"/>
      <c r="H393" s="63" t="s">
        <v>99</v>
      </c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</row>
    <row r="394" customFormat="false" ht="12.75" hidden="false" customHeight="false" outlineLevel="0" collapsed="false">
      <c r="A394" s="16"/>
      <c r="B394" s="16" t="s">
        <v>207</v>
      </c>
      <c r="C394" s="17"/>
      <c r="D394" s="16"/>
      <c r="E394" s="16"/>
      <c r="F394" s="261" t="n">
        <v>1</v>
      </c>
      <c r="G394" s="261"/>
      <c r="H394" s="63" t="s">
        <v>99</v>
      </c>
      <c r="I394" s="157" t="n">
        <f aca="false">IF(+I$5&lt;=$F392,+$F393*$F394,0)</f>
        <v>1500</v>
      </c>
      <c r="J394" s="157" t="n">
        <f aca="false">IF(+J$5&lt;=$F392,+$F393*$F394,0)</f>
        <v>1500</v>
      </c>
      <c r="K394" s="157" t="n">
        <f aca="false">IF(+K$5&lt;=$F392,+$F393*$F394,0)</f>
        <v>1500</v>
      </c>
      <c r="L394" s="157" t="n">
        <f aca="false">IF(+L$5&lt;=$F392,+$F393*$F394,0)</f>
        <v>1500</v>
      </c>
      <c r="M394" s="157" t="n">
        <f aca="false">IF(+M$5&lt;=$F392,+$F393*$F394,0)</f>
        <v>1500</v>
      </c>
      <c r="N394" s="157" t="n">
        <f aca="false">IF(+N$5&lt;=$F392,+$F393*$F394,0)</f>
        <v>1500</v>
      </c>
      <c r="O394" s="157" t="n">
        <f aca="false">IF(+O$5&lt;=$F392,+$F393*$F394,0)</f>
        <v>1500</v>
      </c>
      <c r="P394" s="157" t="n">
        <f aca="false">IF(+P$5&lt;=$F392,+$F393*$F394,0)</f>
        <v>1500</v>
      </c>
      <c r="Q394" s="157" t="n">
        <f aca="false">IF(+Q$5&lt;=$F392,+$F393*$F394,0)</f>
        <v>1500</v>
      </c>
      <c r="R394" s="157" t="n">
        <f aca="false">IF(+R$5&lt;=$F392,+$F393*$F394,0)</f>
        <v>1500</v>
      </c>
      <c r="S394" s="157" t="n">
        <f aca="false">IF(+S$5&lt;=$F392,+$F393*$F394,0)</f>
        <v>1500</v>
      </c>
      <c r="T394" s="157" t="n">
        <f aca="false">IF(+T$5&lt;=$F392,+$F393*$F394,0)</f>
        <v>1500</v>
      </c>
      <c r="U394" s="157" t="n">
        <f aca="false">IF(+U$5&lt;=$F392,+$F393*$F394,0)</f>
        <v>1500</v>
      </c>
      <c r="V394" s="157" t="n">
        <f aca="false">IF(+V$5&lt;=$F392,+$F393*$F394,0)</f>
        <v>1500</v>
      </c>
      <c r="W394" s="157" t="n">
        <f aca="false">IF(+W$5&lt;=$F392,+$F393*$F394,0)</f>
        <v>1500</v>
      </c>
      <c r="X394" s="157" t="n">
        <f aca="false">IF(+X$5&lt;=$F392,+$F393*$F394,0)</f>
        <v>1500</v>
      </c>
      <c r="Y394" s="157" t="n">
        <f aca="false">IF(+Y$5&lt;=$F392,+$F393*$F394,0)</f>
        <v>0</v>
      </c>
      <c r="Z394" s="157" t="n">
        <f aca="false">IF(+Z$5&lt;=$F392,+$F393*$F394,0)</f>
        <v>0</v>
      </c>
      <c r="AA394" s="157" t="n">
        <f aca="false">IF(+AA$5&lt;=$F392,+$F393*$F394,0)</f>
        <v>0</v>
      </c>
      <c r="AB394" s="157" t="n">
        <f aca="false">IF(+AB$5&lt;=$F392,+$F393*$F394,0)</f>
        <v>0</v>
      </c>
      <c r="AC394" s="157" t="n">
        <f aca="false">IF(+AC$5&lt;=$F392,+$F393*$F394,0)</f>
        <v>0</v>
      </c>
    </row>
    <row r="395" customFormat="false" ht="12.75" hidden="false" customHeight="false" outlineLevel="0" collapsed="false">
      <c r="A395" s="16"/>
      <c r="B395" s="16"/>
      <c r="C395" s="16"/>
      <c r="D395" s="16"/>
      <c r="E395" s="16"/>
      <c r="F395" s="16"/>
      <c r="G395" s="16"/>
      <c r="H395" s="63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</row>
    <row r="396" customFormat="false" ht="12.75" hidden="false" customHeight="false" outlineLevel="0" collapsed="false">
      <c r="A396" s="16"/>
      <c r="B396" s="55" t="s">
        <v>209</v>
      </c>
      <c r="C396" s="16"/>
      <c r="D396" s="16"/>
      <c r="E396" s="16"/>
      <c r="F396" s="16"/>
      <c r="G396" s="16"/>
      <c r="H396" s="63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</row>
    <row r="397" customFormat="false" ht="12.75" hidden="false" customHeight="false" outlineLevel="0" collapsed="false">
      <c r="A397" s="16"/>
      <c r="B397" s="16" t="s">
        <v>205</v>
      </c>
      <c r="C397" s="17"/>
      <c r="D397" s="16"/>
      <c r="E397" s="16"/>
      <c r="F397" s="259" t="n">
        <v>45291</v>
      </c>
      <c r="G397" s="259"/>
      <c r="H397" s="63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</row>
    <row r="398" customFormat="false" ht="12.75" hidden="false" customHeight="false" outlineLevel="0" collapsed="false">
      <c r="A398" s="16"/>
      <c r="B398" s="16" t="s">
        <v>206</v>
      </c>
      <c r="C398" s="17"/>
      <c r="D398" s="16"/>
      <c r="E398" s="16"/>
      <c r="F398" s="260" t="n">
        <v>450</v>
      </c>
      <c r="G398" s="260"/>
      <c r="H398" s="63" t="s">
        <v>99</v>
      </c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</row>
    <row r="399" customFormat="false" ht="12.75" hidden="false" customHeight="false" outlineLevel="0" collapsed="false">
      <c r="A399" s="16"/>
      <c r="B399" s="16" t="s">
        <v>207</v>
      </c>
      <c r="C399" s="17"/>
      <c r="D399" s="16"/>
      <c r="E399" s="16"/>
      <c r="F399" s="261" t="n">
        <v>1</v>
      </c>
      <c r="G399" s="261"/>
      <c r="H399" s="63" t="s">
        <v>99</v>
      </c>
      <c r="I399" s="158" t="n">
        <f aca="false">IF(+I$5&lt;=$F397,+$F398*$F399,0)</f>
        <v>450</v>
      </c>
      <c r="J399" s="158" t="n">
        <f aca="false">IF(+J$5&lt;=$F397,+$F398*$F399,0)</f>
        <v>450</v>
      </c>
      <c r="K399" s="158" t="n">
        <f aca="false">IF(+K$5&lt;=$F397,+$F398*$F399,0)</f>
        <v>450</v>
      </c>
      <c r="L399" s="158" t="n">
        <f aca="false">IF(+L$5&lt;=$F397,+$F398*$F399,0)</f>
        <v>450</v>
      </c>
      <c r="M399" s="158" t="n">
        <f aca="false">IF(+M$5&lt;=$F397,+$F398*$F399,0)</f>
        <v>450</v>
      </c>
      <c r="N399" s="158" t="n">
        <f aca="false">IF(+N$5&lt;=$F397,+$F398*$F399,0)</f>
        <v>450</v>
      </c>
      <c r="O399" s="158" t="n">
        <f aca="false">IF(+O$5&lt;=$F397,+$F398*$F399,0)</f>
        <v>450</v>
      </c>
      <c r="P399" s="158" t="n">
        <f aca="false">IF(+P$5&lt;=$F397,+$F398*$F399,0)</f>
        <v>450</v>
      </c>
      <c r="Q399" s="158" t="n">
        <f aca="false">IF(+Q$5&lt;=$F397,+$F398*$F399,0)</f>
        <v>450</v>
      </c>
      <c r="R399" s="158" t="n">
        <f aca="false">IF(+R$5&lt;=$F397,+$F398*$F399,0)</f>
        <v>450</v>
      </c>
      <c r="S399" s="158" t="n">
        <f aca="false">IF(+S$5&lt;=$F397,+$F398*$F399,0)</f>
        <v>450</v>
      </c>
      <c r="T399" s="158" t="n">
        <f aca="false">IF(+T$5&lt;=$F397,+$F398*$F399,0)</f>
        <v>450</v>
      </c>
      <c r="U399" s="158" t="n">
        <f aca="false">IF(+U$5&lt;=$F397,+$F398*$F399,0)</f>
        <v>450</v>
      </c>
      <c r="V399" s="158" t="n">
        <f aca="false">IF(+V$5&lt;=$F397,+$F398*$F399,0)</f>
        <v>450</v>
      </c>
      <c r="W399" s="158" t="n">
        <f aca="false">IF(+W$5&lt;=$F397,+$F398*$F399,0)</f>
        <v>450</v>
      </c>
      <c r="X399" s="158" t="n">
        <f aca="false">IF(+X$5&lt;=$F397,+$F398*$F399,0)</f>
        <v>450</v>
      </c>
      <c r="Y399" s="158" t="n">
        <f aca="false">IF(+Y$5&lt;=$F397,+$F398*$F399,0)</f>
        <v>450</v>
      </c>
      <c r="Z399" s="158" t="n">
        <f aca="false">IF(+Z$5&lt;=$F397,+$F398*$F399,0)</f>
        <v>450</v>
      </c>
      <c r="AA399" s="158" t="n">
        <f aca="false">IF(+AA$5&lt;=$F397,+$F398*$F399,0)</f>
        <v>450</v>
      </c>
      <c r="AB399" s="158" t="n">
        <f aca="false">IF(+AB$5&lt;=$F397,+$F398*$F399,0)</f>
        <v>450</v>
      </c>
      <c r="AC399" s="158" t="n">
        <f aca="false">IF(+AC$5&lt;=$F397,+$F398*$F399,0)</f>
        <v>450</v>
      </c>
    </row>
    <row r="400" customFormat="false" ht="12.75" hidden="false" customHeight="false" outlineLevel="0" collapsed="false">
      <c r="A400" s="16"/>
      <c r="B400" s="16"/>
      <c r="C400" s="17"/>
      <c r="D400" s="16"/>
      <c r="E400" s="16"/>
      <c r="F400" s="16"/>
      <c r="G400" s="16"/>
      <c r="H400" s="63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</row>
    <row r="401" customFormat="false" ht="12.75" hidden="false" customHeight="false" outlineLevel="0" collapsed="false">
      <c r="A401" s="16"/>
      <c r="B401" s="16" t="s">
        <v>210</v>
      </c>
      <c r="C401" s="17"/>
      <c r="D401" s="16"/>
      <c r="E401" s="16"/>
      <c r="F401" s="16"/>
      <c r="G401" s="16"/>
      <c r="H401" s="63" t="s">
        <v>99</v>
      </c>
      <c r="I401" s="157" t="n">
        <f aca="false">SUM(I387:I399)</f>
        <v>2550</v>
      </c>
      <c r="J401" s="157" t="n">
        <f aca="false">SUM(J387:J399)</f>
        <v>2550</v>
      </c>
      <c r="K401" s="157" t="n">
        <f aca="false">SUM(K387:K399)</f>
        <v>2550</v>
      </c>
      <c r="L401" s="157" t="n">
        <f aca="false">SUM(L387:L399)</f>
        <v>2550</v>
      </c>
      <c r="M401" s="157" t="n">
        <f aca="false">SUM(M387:M399)</f>
        <v>2550</v>
      </c>
      <c r="N401" s="157" t="n">
        <f aca="false">SUM(N387:N399)</f>
        <v>2550</v>
      </c>
      <c r="O401" s="157" t="n">
        <f aca="false">SUM(O387:O399)</f>
        <v>2550</v>
      </c>
      <c r="P401" s="157" t="n">
        <f aca="false">SUM(P387:P399)</f>
        <v>2550</v>
      </c>
      <c r="Q401" s="157" t="n">
        <f aca="false">SUM(Q387:Q399)</f>
        <v>2550</v>
      </c>
      <c r="R401" s="157" t="n">
        <f aca="false">SUM(R387:R399)</f>
        <v>2550</v>
      </c>
      <c r="S401" s="157" t="n">
        <f aca="false">SUM(S387:S399)</f>
        <v>2550</v>
      </c>
      <c r="T401" s="157" t="n">
        <f aca="false">SUM(T387:T399)</f>
        <v>2550</v>
      </c>
      <c r="U401" s="157" t="n">
        <f aca="false">SUM(U387:U399)</f>
        <v>2550</v>
      </c>
      <c r="V401" s="157" t="n">
        <f aca="false">SUM(V387:V399)</f>
        <v>2550</v>
      </c>
      <c r="W401" s="157" t="n">
        <f aca="false">SUM(W387:W399)</f>
        <v>2550</v>
      </c>
      <c r="X401" s="157" t="n">
        <f aca="false">SUM(X387:X399)</f>
        <v>2550</v>
      </c>
      <c r="Y401" s="157" t="n">
        <f aca="false">SUM(Y387:Y399)</f>
        <v>1050</v>
      </c>
      <c r="Z401" s="157" t="n">
        <f aca="false">SUM(Z387:Z399)</f>
        <v>1050</v>
      </c>
      <c r="AA401" s="157" t="n">
        <f aca="false">SUM(AA387:AA399)</f>
        <v>450</v>
      </c>
      <c r="AB401" s="157" t="n">
        <f aca="false">SUM(AB387:AB399)</f>
        <v>450</v>
      </c>
      <c r="AC401" s="157" t="n">
        <f aca="false">SUM(AC387:AC399)</f>
        <v>450</v>
      </c>
    </row>
    <row r="402" customFormat="false" ht="12.75" hidden="false" customHeight="false" outlineLevel="0" collapsed="false">
      <c r="A402" s="16"/>
      <c r="B402" s="16"/>
      <c r="C402" s="17"/>
      <c r="D402" s="16"/>
      <c r="E402" s="16"/>
      <c r="F402" s="16"/>
      <c r="G402" s="16"/>
      <c r="H402" s="63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</row>
    <row r="403" customFormat="false" ht="12.75" hidden="false" customHeight="false" outlineLevel="0" collapsed="false">
      <c r="A403" s="16"/>
      <c r="B403" s="16" t="s">
        <v>180</v>
      </c>
      <c r="C403" s="17"/>
      <c r="D403" s="16"/>
      <c r="E403" s="16"/>
      <c r="F403" s="174" t="n">
        <f aca="false">+$K$9</f>
        <v>0.5</v>
      </c>
      <c r="G403" s="174"/>
      <c r="H403" s="63" t="s">
        <v>99</v>
      </c>
      <c r="I403" s="157" t="n">
        <f aca="false">+I401*$F$403</f>
        <v>1275</v>
      </c>
      <c r="J403" s="157" t="n">
        <f aca="false">+J401*$F$403</f>
        <v>1275</v>
      </c>
      <c r="K403" s="157" t="n">
        <f aca="false">+K401*$F$403</f>
        <v>1275</v>
      </c>
      <c r="L403" s="157" t="n">
        <f aca="false">+L401*$F$403</f>
        <v>1275</v>
      </c>
      <c r="M403" s="157" t="n">
        <f aca="false">+M401*$F$403</f>
        <v>1275</v>
      </c>
      <c r="N403" s="157" t="n">
        <f aca="false">+N401*$F$403</f>
        <v>1275</v>
      </c>
      <c r="O403" s="157" t="n">
        <f aca="false">+O401*$F$403</f>
        <v>1275</v>
      </c>
      <c r="P403" s="157" t="n">
        <f aca="false">+P401*$F$403</f>
        <v>1275</v>
      </c>
      <c r="Q403" s="157" t="n">
        <f aca="false">+Q401*$F$403</f>
        <v>1275</v>
      </c>
      <c r="R403" s="157" t="n">
        <f aca="false">+R401*$F$403</f>
        <v>1275</v>
      </c>
      <c r="S403" s="157" t="n">
        <f aca="false">+S401*$F$403</f>
        <v>1275</v>
      </c>
      <c r="T403" s="157" t="n">
        <f aca="false">+T401*$F$403</f>
        <v>1275</v>
      </c>
      <c r="U403" s="157" t="n">
        <f aca="false">+U401*$F$403</f>
        <v>1275</v>
      </c>
      <c r="V403" s="157" t="n">
        <f aca="false">+V401*$F$403</f>
        <v>1275</v>
      </c>
      <c r="W403" s="157" t="n">
        <f aca="false">+W401*$F$403</f>
        <v>1275</v>
      </c>
      <c r="X403" s="157" t="n">
        <f aca="false">+X401*$F$403</f>
        <v>1275</v>
      </c>
      <c r="Y403" s="157" t="n">
        <f aca="false">+Y401*$F$403</f>
        <v>525</v>
      </c>
      <c r="Z403" s="157" t="n">
        <f aca="false">+Z401*$F$403</f>
        <v>525</v>
      </c>
      <c r="AA403" s="157" t="n">
        <f aca="false">+AA401*$F$403</f>
        <v>225</v>
      </c>
      <c r="AB403" s="157" t="n">
        <f aca="false">+AB401*$F$403</f>
        <v>225</v>
      </c>
      <c r="AC403" s="157" t="n">
        <f aca="false">+AC401*$F$403</f>
        <v>225</v>
      </c>
    </row>
    <row r="404" customFormat="false" ht="12.75" hidden="false" customHeight="false" outlineLevel="0" collapsed="false">
      <c r="A404" s="16"/>
      <c r="B404" s="16"/>
      <c r="C404" s="17"/>
      <c r="D404" s="16"/>
      <c r="E404" s="16"/>
      <c r="F404" s="16"/>
      <c r="G404" s="16"/>
      <c r="H404" s="63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</row>
    <row r="405" customFormat="false" ht="12.75" hidden="false" customHeight="false" outlineLevel="0" collapsed="false">
      <c r="A405" s="16"/>
      <c r="B405" s="16" t="s">
        <v>181</v>
      </c>
      <c r="C405" s="17"/>
      <c r="D405" s="16"/>
      <c r="E405" s="16"/>
      <c r="F405" s="181" t="n">
        <f aca="false">+AC13</f>
        <v>0.08688</v>
      </c>
      <c r="G405" s="181"/>
      <c r="H405" s="63" t="s">
        <v>99</v>
      </c>
      <c r="I405" s="249" t="n">
        <f aca="false">NPV($F405,J403:$AC403)</f>
        <v>10874.2006791287</v>
      </c>
      <c r="J405" s="249" t="n">
        <f aca="false">NPV($F405,K403:$AC403)</f>
        <v>10543.9512341314</v>
      </c>
      <c r="K405" s="249" t="n">
        <f aca="false">NPV($F405,L403:$AC403)</f>
        <v>10185.0097173528</v>
      </c>
      <c r="L405" s="249" t="n">
        <f aca="false">NPV($F405,M403:$AC403)</f>
        <v>9794.88336159637</v>
      </c>
      <c r="M405" s="249" t="n">
        <f aca="false">NPV($F405,N403:$AC403)</f>
        <v>9370.86282805186</v>
      </c>
      <c r="N405" s="249" t="n">
        <f aca="false">NPV($F405,O403:$AC403)</f>
        <v>8910.00339055301</v>
      </c>
      <c r="O405" s="249" t="n">
        <f aca="false">NPV($F405,P403:$AC403)</f>
        <v>8409.10448512426</v>
      </c>
      <c r="P405" s="249" t="n">
        <f aca="false">NPV($F405,Q403:$AC403)</f>
        <v>7864.68748279185</v>
      </c>
      <c r="Q405" s="249" t="n">
        <f aca="false">NPV($F405,R403:$AC403)</f>
        <v>7272.97153129681</v>
      </c>
      <c r="R405" s="249" t="n">
        <f aca="false">NPV($F405,S403:$AC403)</f>
        <v>6629.84729793588</v>
      </c>
      <c r="S405" s="249" t="n">
        <f aca="false">NPV($F405,T403:$AC403)</f>
        <v>5930.84843118055</v>
      </c>
      <c r="T405" s="249" t="n">
        <f aca="false">NPV($F405,U403:$AC403)</f>
        <v>5171.12054288151</v>
      </c>
      <c r="U405" s="249" t="n">
        <f aca="false">NPV($F405,V403:$AC403)</f>
        <v>4345.38749564706</v>
      </c>
      <c r="V405" s="249" t="n">
        <f aca="false">NPV($F405,W403:$AC403)</f>
        <v>3447.91476126888</v>
      </c>
      <c r="W405" s="249" t="n">
        <f aca="false">NPV($F405,X403:$AC403)</f>
        <v>2472.46959572792</v>
      </c>
      <c r="X405" s="249" t="n">
        <f aca="false">NPV($F405,Y403:$AC403)</f>
        <v>1412.27775420476</v>
      </c>
      <c r="Y405" s="249" t="n">
        <f aca="false">NPV($F405,Z403:$AC403)</f>
        <v>1009.97644549007</v>
      </c>
      <c r="Z405" s="249" t="n">
        <f aca="false">NPV($F405,AA403:$AC403)</f>
        <v>572.723199074246</v>
      </c>
      <c r="AA405" s="249" t="n">
        <f aca="false">NPV($F405,AB403:$AC403)</f>
        <v>397.481390609816</v>
      </c>
      <c r="AB405" s="249" t="n">
        <f aca="false">NPV($F405,AC403:$AC403)</f>
        <v>207.014573825997</v>
      </c>
      <c r="AC405" s="250"/>
    </row>
    <row r="406" customFormat="false" ht="12.75" hidden="false" customHeight="false" outlineLevel="0" collapsed="false">
      <c r="A406" s="16"/>
      <c r="B406" s="16"/>
      <c r="C406" s="16"/>
      <c r="D406" s="16"/>
      <c r="E406" s="16"/>
      <c r="F406" s="16"/>
      <c r="G406" s="16"/>
      <c r="H406" s="262"/>
      <c r="I406" s="262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</row>
    <row r="407" customFormat="false" ht="18" hidden="false" customHeight="false" outlineLevel="0" collapsed="false">
      <c r="A407" s="18" t="s">
        <v>211</v>
      </c>
      <c r="B407" s="16"/>
      <c r="C407" s="16"/>
      <c r="D407" s="16"/>
      <c r="E407" s="16"/>
      <c r="F407" s="16"/>
      <c r="G407" s="16"/>
      <c r="H407" s="262"/>
      <c r="I407" s="262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</row>
    <row r="408" customFormat="false" ht="12.75" hidden="false" customHeight="false" outlineLevel="0" collapsed="false">
      <c r="A408" s="16"/>
      <c r="B408" s="16"/>
      <c r="C408" s="16"/>
      <c r="D408" s="16"/>
      <c r="E408" s="16"/>
      <c r="F408" s="16"/>
      <c r="G408" s="16"/>
      <c r="H408" s="262"/>
      <c r="I408" s="262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</row>
    <row r="409" customFormat="false" ht="12.75" hidden="false" customHeight="false" outlineLevel="0" collapsed="false">
      <c r="A409" s="55" t="s">
        <v>212</v>
      </c>
      <c r="B409" s="17"/>
      <c r="C409" s="17"/>
      <c r="D409" s="17"/>
      <c r="E409" s="17"/>
      <c r="F409" s="17"/>
      <c r="G409" s="17"/>
      <c r="H409" s="16"/>
      <c r="I409" s="16"/>
      <c r="J409" s="47"/>
      <c r="K409" s="157"/>
      <c r="L409" s="157"/>
      <c r="M409" s="15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</row>
    <row r="410" customFormat="false" ht="12.75" hidden="false" customHeight="false" outlineLevel="0" collapsed="false">
      <c r="A410" s="17"/>
      <c r="B410" s="17"/>
      <c r="C410" s="17"/>
      <c r="D410" s="17"/>
      <c r="E410" s="17"/>
      <c r="F410" s="17"/>
      <c r="G410" s="17"/>
      <c r="H410" s="16"/>
      <c r="I410" s="16"/>
      <c r="J410" s="47"/>
      <c r="K410" s="157"/>
      <c r="L410" s="157"/>
      <c r="M410" s="15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</row>
    <row r="411" customFormat="false" ht="12.75" hidden="false" customHeight="false" outlineLevel="0" collapsed="false">
      <c r="A411" s="16"/>
      <c r="B411" s="263" t="s">
        <v>213</v>
      </c>
      <c r="C411" s="16"/>
      <c r="D411" s="16"/>
      <c r="E411" s="17" t="s">
        <v>214</v>
      </c>
      <c r="F411" s="17" t="n">
        <v>0</v>
      </c>
      <c r="G411" s="264" t="s">
        <v>3</v>
      </c>
      <c r="H411" s="63" t="s">
        <v>99</v>
      </c>
      <c r="I411" s="265" t="n">
        <f aca="false">IF($F$411=1,(+O418-(+$M$418/9))*1,0)</f>
        <v>0</v>
      </c>
      <c r="J411" s="265" t="n">
        <f aca="false">IF(F411=1,+I411-(+$M$418/9),0)</f>
        <v>0</v>
      </c>
      <c r="K411" s="265" t="n">
        <f aca="false">IF(F411=1,+J411-(+$M$418/9),0)</f>
        <v>0</v>
      </c>
      <c r="L411" s="265" t="n">
        <f aca="false">IF(F411=1,+K411-(+$M$418/9),0)</f>
        <v>0</v>
      </c>
      <c r="M411" s="265" t="n">
        <f aca="false">IF(F411=1,+L411-(+$M$418/9),0)</f>
        <v>0</v>
      </c>
      <c r="N411" s="265" t="n">
        <f aca="false">IF(F411=1,+M411-(+$M$418/9),0)</f>
        <v>0</v>
      </c>
      <c r="O411" s="266" t="n">
        <f aca="false">IF(F411=1,+N411-(+$M$418/9),0)</f>
        <v>0</v>
      </c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  <c r="AJ411" s="197"/>
      <c r="AK411" s="197"/>
      <c r="AL411" s="197"/>
      <c r="AM411" s="197"/>
    </row>
    <row r="412" customFormat="false" ht="12.75" hidden="false" customHeight="false" outlineLevel="0" collapsed="false">
      <c r="A412" s="16"/>
      <c r="B412" s="263" t="s">
        <v>215</v>
      </c>
      <c r="C412" s="16"/>
      <c r="D412" s="16"/>
      <c r="E412" s="17"/>
      <c r="F412" s="17"/>
      <c r="G412" s="264" t="s">
        <v>3</v>
      </c>
      <c r="H412" s="63" t="s">
        <v>99</v>
      </c>
      <c r="I412" s="267" t="n">
        <f aca="false">+O419+(60000-$M$419)/13</f>
        <v>34556.6779766615</v>
      </c>
      <c r="J412" s="267" t="n">
        <f aca="false">+I412+(60000-$M$419)/13</f>
        <v>37101.0101789954</v>
      </c>
      <c r="K412" s="267" t="n">
        <f aca="false">+J412+(60000-$M$419)/13</f>
        <v>39645.3423813292</v>
      </c>
      <c r="L412" s="267" t="n">
        <f aca="false">+K412+(60000-$M$419)/13</f>
        <v>42189.6745836631</v>
      </c>
      <c r="M412" s="267" t="n">
        <f aca="false">+L412+(60000-$M$419)/13</f>
        <v>44734.0067859969</v>
      </c>
      <c r="N412" s="267" t="n">
        <f aca="false">+M412+(60000-$M$419)/13</f>
        <v>47278.3389883308</v>
      </c>
      <c r="O412" s="267" t="n">
        <f aca="false">+N412+(60000-$M$419)/13</f>
        <v>49822.6711906646</v>
      </c>
      <c r="P412" s="267" t="n">
        <f aca="false">+O412+(60000-$M$419)/13</f>
        <v>52367.0033929985</v>
      </c>
      <c r="Q412" s="267" t="n">
        <f aca="false">+P412+(60000-$M$419)/13</f>
        <v>54911.3355953323</v>
      </c>
      <c r="R412" s="267" t="n">
        <f aca="false">+Q412+(60000-$M$419)/13</f>
        <v>57455.6677976662</v>
      </c>
      <c r="S412" s="268" t="n">
        <f aca="false">+R412+(60000-$M$419)/13</f>
        <v>60000</v>
      </c>
      <c r="T412" s="267" t="n">
        <f aca="false">+S412+(60000-$M$419)/13</f>
        <v>62544.3322023339</v>
      </c>
      <c r="U412" s="267" t="n">
        <f aca="false">+T412+(60000-$M$419)/13</f>
        <v>65088.6644046677</v>
      </c>
      <c r="V412" s="267" t="n">
        <f aca="false">+U412+(60000-$M$419)/13</f>
        <v>67632.9966070016</v>
      </c>
      <c r="W412" s="267" t="n">
        <f aca="false">+V412+(60000-$M$419)/13</f>
        <v>70177.3288093354</v>
      </c>
      <c r="X412" s="267" t="n">
        <f aca="false">+W412+(60000-$M$419)/13</f>
        <v>72721.6610116693</v>
      </c>
      <c r="Y412" s="267" t="n">
        <f aca="false">+X412+(60000-$M$419)/13</f>
        <v>75265.9932140031</v>
      </c>
      <c r="Z412" s="267" t="n">
        <f aca="false">+Y412+(60000-$M$419)/13</f>
        <v>77810.325416337</v>
      </c>
      <c r="AA412" s="267" t="n">
        <f aca="false">+Z412+(60000-$M$419)/13</f>
        <v>80354.6576186708</v>
      </c>
      <c r="AB412" s="267" t="n">
        <f aca="false">+AA412+(60000-$M$419)/13</f>
        <v>82898.9898210047</v>
      </c>
      <c r="AC412" s="267" t="n">
        <f aca="false">+AB412+(60000-$M$419)/13</f>
        <v>85443.3220233385</v>
      </c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</row>
    <row r="413" customFormat="false" ht="12.75" hidden="false" customHeight="false" outlineLevel="0" collapsed="false">
      <c r="A413" s="16"/>
      <c r="B413" s="16" t="s">
        <v>80</v>
      </c>
      <c r="C413" s="16"/>
      <c r="D413" s="16"/>
      <c r="E413" s="17"/>
      <c r="F413" s="17"/>
      <c r="G413" s="63"/>
      <c r="H413" s="63" t="s">
        <v>99</v>
      </c>
      <c r="I413" s="171" t="n">
        <f aca="false">SUM(I411:I412)</f>
        <v>34556.6779766615</v>
      </c>
      <c r="J413" s="171" t="n">
        <f aca="false">SUM(J411:J412)</f>
        <v>37101.0101789954</v>
      </c>
      <c r="K413" s="171" t="n">
        <f aca="false">SUM(K411:K412)</f>
        <v>39645.3423813292</v>
      </c>
      <c r="L413" s="171" t="n">
        <f aca="false">SUM(L411:L412)</f>
        <v>42189.6745836631</v>
      </c>
      <c r="M413" s="171" t="n">
        <f aca="false">SUM(M411:M412)</f>
        <v>44734.0067859969</v>
      </c>
      <c r="N413" s="171" t="n">
        <f aca="false">SUM(N411:N412)</f>
        <v>47278.3389883308</v>
      </c>
      <c r="O413" s="171" t="n">
        <f aca="false">SUM(O411:O412)</f>
        <v>49822.6711906646</v>
      </c>
      <c r="P413" s="171" t="n">
        <f aca="false">SUM(P411:P412)</f>
        <v>52367.0033929985</v>
      </c>
      <c r="Q413" s="171" t="n">
        <f aca="false">SUM(Q411:Q412)</f>
        <v>54911.3355953323</v>
      </c>
      <c r="R413" s="171" t="n">
        <f aca="false">SUM(R411:R412)</f>
        <v>57455.6677976662</v>
      </c>
      <c r="S413" s="171" t="n">
        <f aca="false">SUM(S411:S412)</f>
        <v>60000</v>
      </c>
      <c r="T413" s="171" t="n">
        <f aca="false">SUM(T411:T412)</f>
        <v>62544.3322023339</v>
      </c>
      <c r="U413" s="171" t="n">
        <f aca="false">SUM(U411:U412)</f>
        <v>65088.6644046677</v>
      </c>
      <c r="V413" s="171" t="n">
        <f aca="false">SUM(V411:V412)</f>
        <v>67632.9966070016</v>
      </c>
      <c r="W413" s="171" t="n">
        <f aca="false">SUM(W411:W412)</f>
        <v>70177.3288093354</v>
      </c>
      <c r="X413" s="171" t="n">
        <f aca="false">SUM(X411:X412)</f>
        <v>72721.6610116693</v>
      </c>
      <c r="Y413" s="171" t="n">
        <f aca="false">SUM(Y411:Y412)</f>
        <v>75265.9932140031</v>
      </c>
      <c r="Z413" s="171" t="n">
        <f aca="false">SUM(Z411:Z412)</f>
        <v>77810.325416337</v>
      </c>
      <c r="AA413" s="171" t="n">
        <f aca="false">SUM(AA411:AA412)</f>
        <v>80354.6576186708</v>
      </c>
      <c r="AB413" s="171" t="n">
        <f aca="false">SUM(AB411:AB412)</f>
        <v>82898.9898210047</v>
      </c>
      <c r="AC413" s="171" t="n">
        <f aca="false">SUM(AC411:AC412)</f>
        <v>85443.3220233385</v>
      </c>
    </row>
    <row r="414" customFormat="false" ht="12.75" hidden="false" customHeight="false" outlineLevel="0" collapsed="false">
      <c r="A414" s="16"/>
      <c r="B414" s="16"/>
      <c r="C414" s="16"/>
      <c r="D414" s="16"/>
      <c r="E414" s="17"/>
      <c r="F414" s="16"/>
      <c r="G414" s="16"/>
      <c r="H414" s="63"/>
      <c r="I414" s="17"/>
      <c r="J414" s="17"/>
      <c r="K414" s="17"/>
      <c r="L414" s="17"/>
      <c r="M414" s="17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  <c r="AA414" s="149"/>
      <c r="AB414" s="149"/>
      <c r="AC414" s="149"/>
    </row>
    <row r="415" customFormat="false" ht="12.75" hidden="false" customHeight="false" outlineLevel="0" collapsed="false">
      <c r="A415" s="16"/>
      <c r="B415" s="16" t="s">
        <v>216</v>
      </c>
      <c r="C415" s="16"/>
      <c r="D415" s="16"/>
      <c r="E415" s="16"/>
      <c r="F415" s="174" t="n">
        <f aca="false">+$K$9</f>
        <v>0.5</v>
      </c>
      <c r="G415" s="174"/>
      <c r="H415" s="63" t="s">
        <v>99</v>
      </c>
      <c r="I415" s="249" t="n">
        <f aca="false">+I413*$F$415</f>
        <v>17278.3389883308</v>
      </c>
      <c r="J415" s="249" t="n">
        <f aca="false">+J413*$F$415</f>
        <v>18550.5050894977</v>
      </c>
      <c r="K415" s="249" t="n">
        <f aca="false">+K413*$F$415</f>
        <v>19822.6711906646</v>
      </c>
      <c r="L415" s="249" t="n">
        <f aca="false">+L413*$F$415</f>
        <v>21094.8372918315</v>
      </c>
      <c r="M415" s="249" t="n">
        <f aca="false">+M413*$F$415</f>
        <v>22367.0033929985</v>
      </c>
      <c r="N415" s="249" t="n">
        <f aca="false">+N413*$F$415</f>
        <v>23639.1694941654</v>
      </c>
      <c r="O415" s="249" t="n">
        <f aca="false">+O413*$F$415</f>
        <v>24911.3355953323</v>
      </c>
      <c r="P415" s="249" t="n">
        <f aca="false">+P413*$F$415</f>
        <v>26183.5016964992</v>
      </c>
      <c r="Q415" s="249" t="n">
        <f aca="false">+Q413*$F$415</f>
        <v>27455.6677976662</v>
      </c>
      <c r="R415" s="249" t="n">
        <f aca="false">+R413*$F$415</f>
        <v>28727.8338988331</v>
      </c>
      <c r="S415" s="249" t="n">
        <f aca="false">+S413*$F$415</f>
        <v>30000</v>
      </c>
      <c r="T415" s="249" t="n">
        <f aca="false">+T413*$F$415</f>
        <v>31272.1661011669</v>
      </c>
      <c r="U415" s="249" t="n">
        <f aca="false">+U413*$F$415</f>
        <v>32544.3322023338</v>
      </c>
      <c r="V415" s="249" t="n">
        <f aca="false">+V413*$F$415</f>
        <v>33816.4983035008</v>
      </c>
      <c r="W415" s="249" t="n">
        <f aca="false">+W413*$F$415</f>
        <v>35088.6644046677</v>
      </c>
      <c r="X415" s="249" t="n">
        <f aca="false">+X413*$F$415</f>
        <v>36360.8305058346</v>
      </c>
      <c r="Y415" s="249" t="n">
        <f aca="false">+Y413*$F$415</f>
        <v>37632.9966070016</v>
      </c>
      <c r="Z415" s="249" t="n">
        <f aca="false">+Z413*$F$415</f>
        <v>38905.1627081685</v>
      </c>
      <c r="AA415" s="249" t="n">
        <f aca="false">+AA413*$F$415</f>
        <v>40177.3288093354</v>
      </c>
      <c r="AB415" s="249" t="n">
        <f aca="false">+AB413*$F$415</f>
        <v>41449.4949105023</v>
      </c>
      <c r="AC415" s="249" t="n">
        <f aca="false">+AC413*$F$415</f>
        <v>42721.6610116693</v>
      </c>
    </row>
    <row r="416" customFormat="false" ht="12.75" hidden="false" customHeight="false" outlineLevel="0" collapsed="false">
      <c r="A416" s="16"/>
      <c r="B416" s="16"/>
      <c r="C416" s="16"/>
      <c r="D416" s="16"/>
      <c r="E416" s="16"/>
      <c r="F416" s="16"/>
      <c r="G416" s="16"/>
      <c r="H416" s="63"/>
      <c r="I416" s="17"/>
      <c r="J416" s="17"/>
      <c r="K416" s="17"/>
      <c r="L416" s="17"/>
      <c r="M416" s="149"/>
      <c r="N416" s="149"/>
      <c r="O416" s="269"/>
      <c r="P416" s="64"/>
      <c r="Q416" s="269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</row>
    <row r="417" customFormat="false" ht="12.75" hidden="false" customHeight="false" outlineLevel="0" collapsed="false">
      <c r="A417" s="16"/>
      <c r="B417" s="16"/>
      <c r="C417" s="16"/>
      <c r="D417" s="16"/>
      <c r="E417" s="270"/>
      <c r="F417" s="17"/>
      <c r="G417" s="17"/>
      <c r="H417" s="17"/>
      <c r="I417" s="6" t="s">
        <v>217</v>
      </c>
      <c r="J417" s="7"/>
      <c r="K417" s="7"/>
      <c r="L417" s="271" t="n">
        <v>35885</v>
      </c>
      <c r="M417" s="271" t="n">
        <f aca="false">+L417+275</f>
        <v>36160</v>
      </c>
      <c r="N417" s="271" t="n">
        <f aca="false">+M417+365</f>
        <v>36525</v>
      </c>
      <c r="O417" s="272" t="n">
        <f aca="false">+N417+366</f>
        <v>36891</v>
      </c>
      <c r="P417" s="7"/>
      <c r="Q417" s="7"/>
      <c r="R417" s="7"/>
      <c r="S417" s="7"/>
      <c r="T417" s="127"/>
      <c r="U417" s="17"/>
      <c r="V417" s="17"/>
      <c r="W417" s="17"/>
      <c r="X417" s="17"/>
      <c r="Y417" s="17"/>
      <c r="Z417" s="17"/>
      <c r="AA417" s="17"/>
      <c r="AB417" s="17"/>
      <c r="AC417" s="17"/>
    </row>
    <row r="418" customFormat="false" ht="12.75" hidden="false" customHeight="false" outlineLevel="0" collapsed="false">
      <c r="A418" s="16"/>
      <c r="B418" s="17"/>
      <c r="C418" s="16"/>
      <c r="D418" s="16"/>
      <c r="E418" s="160"/>
      <c r="F418" s="17"/>
      <c r="G418" s="17"/>
      <c r="H418" s="17"/>
      <c r="I418" s="273" t="s">
        <v>213</v>
      </c>
      <c r="J418" s="66"/>
      <c r="K418" s="63" t="s">
        <v>99</v>
      </c>
      <c r="L418" s="173" t="n">
        <v>144051</v>
      </c>
      <c r="M418" s="265" t="n">
        <f aca="false">+L418/$L$420*M420</f>
        <v>141961.31863034</v>
      </c>
      <c r="N418" s="265" t="n">
        <f aca="false">+M418-(+$M$418/9)</f>
        <v>126187.838782524</v>
      </c>
      <c r="O418" s="265" t="n">
        <f aca="false">+N418-(+$M$418/9)</f>
        <v>110414.358934709</v>
      </c>
      <c r="P418" s="274" t="s">
        <v>218</v>
      </c>
      <c r="Q418" s="275"/>
      <c r="R418" s="66"/>
      <c r="S418" s="66"/>
      <c r="T418" s="134"/>
      <c r="U418" s="17"/>
      <c r="V418" s="17"/>
      <c r="W418" s="17"/>
      <c r="X418" s="17"/>
      <c r="Y418" s="17"/>
      <c r="Z418" s="17"/>
      <c r="AA418" s="17"/>
      <c r="AB418" s="17"/>
      <c r="AC418" s="17"/>
    </row>
    <row r="419" customFormat="false" ht="12.75" hidden="false" customHeight="false" outlineLevel="0" collapsed="false">
      <c r="A419" s="16"/>
      <c r="B419" s="17"/>
      <c r="C419" s="16"/>
      <c r="D419" s="16"/>
      <c r="E419" s="160"/>
      <c r="F419" s="17"/>
      <c r="G419" s="17"/>
      <c r="H419" s="17"/>
      <c r="I419" s="273" t="s">
        <v>215</v>
      </c>
      <c r="J419" s="66"/>
      <c r="K419" s="63" t="s">
        <v>99</v>
      </c>
      <c r="L419" s="190" t="n">
        <v>27320</v>
      </c>
      <c r="M419" s="276" t="n">
        <f aca="false">+L419/$L$420*M420</f>
        <v>26923.68136966</v>
      </c>
      <c r="N419" s="267" t="n">
        <f aca="false">+M419+(60000-$M$419)/13</f>
        <v>29468.0135719938</v>
      </c>
      <c r="O419" s="267" t="n">
        <f aca="false">+N419+(60000-$M$419)/13</f>
        <v>32012.3457743277</v>
      </c>
      <c r="P419" s="274" t="s">
        <v>219</v>
      </c>
      <c r="Q419" s="277"/>
      <c r="R419" s="66"/>
      <c r="S419" s="66"/>
      <c r="T419" s="134"/>
      <c r="U419" s="17"/>
      <c r="V419" s="17"/>
      <c r="W419" s="17"/>
      <c r="X419" s="17"/>
      <c r="Y419" s="17"/>
      <c r="Z419" s="17"/>
      <c r="AA419" s="17"/>
      <c r="AB419" s="17"/>
      <c r="AC419" s="17"/>
    </row>
    <row r="420" customFormat="false" ht="12.75" hidden="false" customHeight="false" outlineLevel="0" collapsed="false">
      <c r="A420" s="16"/>
      <c r="B420" s="17"/>
      <c r="C420" s="16"/>
      <c r="D420" s="16"/>
      <c r="E420" s="17"/>
      <c r="F420" s="17"/>
      <c r="G420" s="17"/>
      <c r="H420" s="17"/>
      <c r="I420" s="203" t="s">
        <v>80</v>
      </c>
      <c r="J420" s="11"/>
      <c r="K420" s="81" t="s">
        <v>99</v>
      </c>
      <c r="L420" s="278" t="n">
        <f aca="false">SUM(L418:L419)</f>
        <v>171371</v>
      </c>
      <c r="M420" s="279" t="n">
        <v>168885</v>
      </c>
      <c r="N420" s="267" t="n">
        <f aca="false">SUM(N418:N419)</f>
        <v>155655.852354518</v>
      </c>
      <c r="O420" s="267" t="n">
        <f aca="false">SUM(O418:O419)</f>
        <v>142426.704709037</v>
      </c>
      <c r="P420" s="11"/>
      <c r="Q420" s="11"/>
      <c r="R420" s="11"/>
      <c r="S420" s="11"/>
      <c r="T420" s="280"/>
      <c r="U420" s="17"/>
      <c r="V420" s="17"/>
      <c r="W420" s="17"/>
      <c r="X420" s="17"/>
      <c r="Y420" s="17"/>
      <c r="Z420" s="17"/>
      <c r="AA420" s="17"/>
      <c r="AB420" s="17"/>
      <c r="AC420" s="17"/>
    </row>
    <row r="421" customFormat="false" ht="12.75" hidden="false" customHeight="false" outlineLevel="0" collapsed="false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</row>
    <row r="422" customFormat="false" ht="12.75" hidden="false" customHeight="false" outlineLevel="0" collapsed="false">
      <c r="A422" s="55" t="s">
        <v>220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</row>
    <row r="423" customFormat="false" ht="12.75" hidden="false" customHeight="false" outlineLevel="0" collapsed="false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</row>
    <row r="424" customFormat="false" ht="12.75" hidden="false" customHeight="false" outlineLevel="0" collapsed="false">
      <c r="A424" s="17"/>
      <c r="B424" s="17" t="s">
        <v>221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</row>
    <row r="425" customFormat="false" ht="12.75" hidden="false" customHeight="false" outlineLevel="0" collapsed="false">
      <c r="A425" s="17"/>
      <c r="B425" s="17"/>
      <c r="C425" s="16" t="str">
        <f aca="false">+B305</f>
        <v>Project Debt</v>
      </c>
      <c r="D425" s="17"/>
      <c r="E425" s="17"/>
      <c r="F425" s="174" t="n">
        <f aca="false">+F305</f>
        <v>0.5</v>
      </c>
      <c r="G425" s="174"/>
      <c r="H425" s="63" t="s">
        <v>99</v>
      </c>
      <c r="I425" s="149" t="n">
        <f aca="false">+$F425*I305</f>
        <v>199360</v>
      </c>
      <c r="J425" s="149" t="n">
        <f aca="false">+$F425*J305</f>
        <v>188016</v>
      </c>
      <c r="K425" s="149" t="n">
        <f aca="false">+$F425*K305</f>
        <v>176107</v>
      </c>
      <c r="L425" s="149" t="n">
        <f aca="false">+$F425*L305</f>
        <v>161825</v>
      </c>
      <c r="M425" s="149" t="n">
        <f aca="false">+$F425*M305</f>
        <v>139150.5</v>
      </c>
      <c r="N425" s="149" t="n">
        <f aca="false">+$F425*N305</f>
        <v>112830</v>
      </c>
      <c r="O425" s="149" t="n">
        <f aca="false">+$F425*O305</f>
        <v>85819.5</v>
      </c>
      <c r="P425" s="149" t="n">
        <f aca="false">+$F425*P305</f>
        <v>59919</v>
      </c>
      <c r="Q425" s="149" t="n">
        <f aca="false">+$F425*Q305</f>
        <v>32611</v>
      </c>
      <c r="R425" s="149" t="n">
        <f aca="false">+$F425*R305</f>
        <v>0</v>
      </c>
      <c r="S425" s="149" t="n">
        <f aca="false">+$F425*S305</f>
        <v>0</v>
      </c>
      <c r="T425" s="149" t="n">
        <f aca="false">+$F425*T305</f>
        <v>0</v>
      </c>
      <c r="U425" s="149" t="n">
        <f aca="false">+$F425*U305</f>
        <v>0</v>
      </c>
      <c r="V425" s="149" t="n">
        <f aca="false">+$F425*V305</f>
        <v>0</v>
      </c>
      <c r="W425" s="149" t="n">
        <f aca="false">+$F425*W305</f>
        <v>0</v>
      </c>
      <c r="X425" s="149" t="n">
        <f aca="false">+$F425*X305</f>
        <v>0</v>
      </c>
      <c r="Y425" s="149" t="n">
        <f aca="false">+$F425*Y305</f>
        <v>0</v>
      </c>
      <c r="Z425" s="149" t="n">
        <f aca="false">+$F425*Z305</f>
        <v>0</v>
      </c>
      <c r="AA425" s="149" t="n">
        <f aca="false">+$F425*AA305</f>
        <v>0</v>
      </c>
      <c r="AB425" s="149" t="n">
        <f aca="false">+$F425*AB305</f>
        <v>0</v>
      </c>
      <c r="AC425" s="149" t="n">
        <f aca="false">+$F425*AC305</f>
        <v>0</v>
      </c>
    </row>
    <row r="426" customFormat="false" ht="12.75" hidden="false" customHeight="false" outlineLevel="0" collapsed="false">
      <c r="A426" s="17"/>
      <c r="B426" s="17"/>
      <c r="C426" s="16" t="str">
        <f aca="false">+B306</f>
        <v>NEEALP Debt (Existing Corporate)</v>
      </c>
      <c r="D426" s="17"/>
      <c r="E426" s="17"/>
      <c r="F426" s="174" t="n">
        <f aca="false">+F306</f>
        <v>0.5</v>
      </c>
      <c r="G426" s="174"/>
      <c r="H426" s="63" t="s">
        <v>99</v>
      </c>
      <c r="I426" s="149" t="n">
        <f aca="false">+$F426*I306</f>
        <v>110000</v>
      </c>
      <c r="J426" s="149" t="n">
        <f aca="false">+$F426*J306</f>
        <v>105600</v>
      </c>
      <c r="K426" s="149" t="n">
        <f aca="false">+$F426*K306</f>
        <v>101200</v>
      </c>
      <c r="L426" s="149" t="n">
        <f aca="false">+$F426*L306</f>
        <v>96800</v>
      </c>
      <c r="M426" s="149" t="n">
        <f aca="false">+$F426*M306</f>
        <v>92400</v>
      </c>
      <c r="N426" s="149" t="n">
        <f aca="false">+$F426*N306</f>
        <v>85800</v>
      </c>
      <c r="O426" s="149" t="n">
        <f aca="false">+$F426*O306</f>
        <v>74800</v>
      </c>
      <c r="P426" s="149" t="n">
        <f aca="false">+$F426*P306</f>
        <v>63800</v>
      </c>
      <c r="Q426" s="149" t="n">
        <f aca="false">+$F426*Q306</f>
        <v>50600</v>
      </c>
      <c r="R426" s="149" t="n">
        <f aca="false">+$F426*R306</f>
        <v>33000</v>
      </c>
      <c r="S426" s="149" t="n">
        <f aca="false">+$F426*S306</f>
        <v>0</v>
      </c>
      <c r="T426" s="149" t="n">
        <f aca="false">+$F426*T306</f>
        <v>0</v>
      </c>
      <c r="U426" s="149" t="n">
        <f aca="false">+$F426*U306</f>
        <v>0</v>
      </c>
      <c r="V426" s="149" t="n">
        <f aca="false">+$F426*V306</f>
        <v>0</v>
      </c>
      <c r="W426" s="149" t="n">
        <f aca="false">+$F426*W306</f>
        <v>0</v>
      </c>
      <c r="X426" s="149" t="n">
        <f aca="false">+$F426*X306</f>
        <v>0</v>
      </c>
      <c r="Y426" s="149" t="n">
        <f aca="false">+$F426*Y306</f>
        <v>0</v>
      </c>
      <c r="Z426" s="149" t="n">
        <f aca="false">+$F426*Z306</f>
        <v>0</v>
      </c>
      <c r="AA426" s="149" t="n">
        <f aca="false">+$F426*AA306</f>
        <v>0</v>
      </c>
      <c r="AB426" s="149" t="n">
        <f aca="false">+$F426*AB306</f>
        <v>0</v>
      </c>
      <c r="AC426" s="149" t="n">
        <f aca="false">+$F426*AC306</f>
        <v>0</v>
      </c>
    </row>
    <row r="427" customFormat="false" ht="12.75" hidden="false" customHeight="false" outlineLevel="0" collapsed="false">
      <c r="A427" s="17"/>
      <c r="B427" s="17"/>
      <c r="C427" s="16" t="str">
        <f aca="false">+B307</f>
        <v>Acquiring Co. Debt (New)</v>
      </c>
      <c r="D427" s="17"/>
      <c r="E427" s="17"/>
      <c r="F427" s="174" t="n">
        <f aca="false">+F307</f>
        <v>1</v>
      </c>
      <c r="G427" s="174"/>
      <c r="H427" s="63" t="s">
        <v>99</v>
      </c>
      <c r="I427" s="238" t="n">
        <f aca="false">+$F427*I307</f>
        <v>0</v>
      </c>
      <c r="J427" s="238" t="n">
        <f aca="false">+$F427*J307</f>
        <v>0</v>
      </c>
      <c r="K427" s="238" t="n">
        <f aca="false">+$F427*K307</f>
        <v>0</v>
      </c>
      <c r="L427" s="238" t="n">
        <f aca="false">+$F427*L307</f>
        <v>0</v>
      </c>
      <c r="M427" s="238" t="n">
        <f aca="false">+$F427*M307</f>
        <v>0</v>
      </c>
      <c r="N427" s="238" t="n">
        <f aca="false">+$F427*N307</f>
        <v>0</v>
      </c>
      <c r="O427" s="238" t="n">
        <f aca="false">+$F427*O307</f>
        <v>0</v>
      </c>
      <c r="P427" s="238" t="n">
        <f aca="false">+$F427*P307</f>
        <v>0</v>
      </c>
      <c r="Q427" s="238" t="n">
        <f aca="false">+$F427*Q307</f>
        <v>0</v>
      </c>
      <c r="R427" s="238" t="n">
        <f aca="false">+$F427*R307</f>
        <v>0</v>
      </c>
      <c r="S427" s="238" t="n">
        <f aca="false">+$F427*S307</f>
        <v>0</v>
      </c>
      <c r="T427" s="238" t="n">
        <f aca="false">+$F427*T307</f>
        <v>0</v>
      </c>
      <c r="U427" s="238" t="n">
        <f aca="false">+$F427*U307</f>
        <v>0</v>
      </c>
      <c r="V427" s="238" t="n">
        <f aca="false">+$F427*V307</f>
        <v>0</v>
      </c>
      <c r="W427" s="238" t="n">
        <f aca="false">+$F427*W307</f>
        <v>0</v>
      </c>
      <c r="X427" s="238" t="n">
        <f aca="false">+$F427*X307</f>
        <v>0</v>
      </c>
      <c r="Y427" s="238" t="n">
        <f aca="false">+$F427*Y307</f>
        <v>0</v>
      </c>
      <c r="Z427" s="238" t="n">
        <f aca="false">+$F427*Z307</f>
        <v>0</v>
      </c>
      <c r="AA427" s="238" t="n">
        <f aca="false">+$F427*AA307</f>
        <v>0</v>
      </c>
      <c r="AB427" s="238" t="n">
        <f aca="false">+$F427*AB307</f>
        <v>0</v>
      </c>
      <c r="AC427" s="238" t="n">
        <f aca="false">+$F427*AC307</f>
        <v>0</v>
      </c>
    </row>
    <row r="428" customFormat="false" ht="12.75" hidden="false" customHeight="false" outlineLevel="0" collapsed="false">
      <c r="A428" s="17"/>
      <c r="B428" s="17"/>
      <c r="C428" s="16" t="s">
        <v>80</v>
      </c>
      <c r="D428" s="17"/>
      <c r="E428" s="17"/>
      <c r="F428" s="17"/>
      <c r="G428" s="17"/>
      <c r="H428" s="17"/>
      <c r="I428" s="149" t="n">
        <f aca="false">SUM(I425:I427)</f>
        <v>309360</v>
      </c>
      <c r="J428" s="149" t="n">
        <f aca="false">SUM(J425:J427)</f>
        <v>293616</v>
      </c>
      <c r="K428" s="149" t="n">
        <f aca="false">SUM(K425:K427)</f>
        <v>277307</v>
      </c>
      <c r="L428" s="149" t="n">
        <f aca="false">SUM(L425:L427)</f>
        <v>258625</v>
      </c>
      <c r="M428" s="149" t="n">
        <f aca="false">SUM(M425:M427)</f>
        <v>231550.5</v>
      </c>
      <c r="N428" s="149" t="n">
        <f aca="false">SUM(N425:N427)</f>
        <v>198630</v>
      </c>
      <c r="O428" s="149" t="n">
        <f aca="false">SUM(O425:O427)</f>
        <v>160619.5</v>
      </c>
      <c r="P428" s="149" t="n">
        <f aca="false">SUM(P425:P427)</f>
        <v>123719</v>
      </c>
      <c r="Q428" s="149" t="n">
        <f aca="false">SUM(Q425:Q427)</f>
        <v>83211</v>
      </c>
      <c r="R428" s="149" t="n">
        <f aca="false">SUM(R425:R427)</f>
        <v>33000</v>
      </c>
      <c r="S428" s="149" t="n">
        <f aca="false">SUM(S425:S427)</f>
        <v>0</v>
      </c>
      <c r="T428" s="149" t="n">
        <f aca="false">SUM(T425:T427)</f>
        <v>0</v>
      </c>
      <c r="U428" s="149" t="n">
        <f aca="false">SUM(U425:U427)</f>
        <v>0</v>
      </c>
      <c r="V428" s="149" t="n">
        <f aca="false">SUM(V425:V427)</f>
        <v>0</v>
      </c>
      <c r="W428" s="149" t="n">
        <f aca="false">SUM(W425:W427)</f>
        <v>0</v>
      </c>
      <c r="X428" s="149" t="n">
        <f aca="false">SUM(X425:X427)</f>
        <v>0</v>
      </c>
      <c r="Y428" s="149" t="n">
        <f aca="false">SUM(Y425:Y427)</f>
        <v>0</v>
      </c>
      <c r="Z428" s="149" t="n">
        <f aca="false">SUM(Z425:Z427)</f>
        <v>0</v>
      </c>
      <c r="AA428" s="149" t="n">
        <f aca="false">SUM(AA425:AA427)</f>
        <v>0</v>
      </c>
      <c r="AB428" s="149" t="n">
        <f aca="false">SUM(AB425:AB427)</f>
        <v>0</v>
      </c>
      <c r="AC428" s="149" t="n">
        <f aca="false">SUM(AC425:AC427)</f>
        <v>0</v>
      </c>
    </row>
    <row r="429" customFormat="false" ht="12.75" hidden="false" customHeight="false" outlineLevel="0" collapsed="false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</row>
    <row r="430" customFormat="false" ht="12.75" hidden="false" customHeight="false" outlineLevel="0" collapsed="false">
      <c r="A430" s="55" t="s">
        <v>222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</row>
    <row r="431" customFormat="false" ht="12.75" hidden="false" customHeight="false" outlineLevel="0" collapsed="false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</row>
    <row r="432" customFormat="false" ht="12.75" hidden="false" customHeight="false" outlineLevel="0" collapsed="false">
      <c r="A432" s="17"/>
      <c r="B432" s="55" t="s">
        <v>136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</row>
    <row r="433" customFormat="false" ht="12.75" hidden="false" customHeight="false" outlineLevel="0" collapsed="false">
      <c r="A433" s="17"/>
      <c r="B433" s="16" t="s">
        <v>223</v>
      </c>
      <c r="C433" s="17"/>
      <c r="D433" s="17"/>
      <c r="E433" s="17"/>
      <c r="F433" s="17"/>
      <c r="G433" s="17"/>
      <c r="H433" s="63" t="s">
        <v>99</v>
      </c>
      <c r="I433" s="149" t="n">
        <f aca="false">+I253</f>
        <v>59460</v>
      </c>
      <c r="J433" s="149" t="n">
        <f aca="false">+J253</f>
        <v>60084</v>
      </c>
      <c r="K433" s="149" t="n">
        <f aca="false">+K253</f>
        <v>59082</v>
      </c>
      <c r="L433" s="149" t="n">
        <f aca="false">+L253</f>
        <v>61497</v>
      </c>
      <c r="M433" s="149" t="n">
        <f aca="false">+M253</f>
        <v>75229</v>
      </c>
      <c r="N433" s="149" t="n">
        <f aca="false">+N253</f>
        <v>78125</v>
      </c>
      <c r="O433" s="149" t="n">
        <f aca="false">+O253</f>
        <v>74566</v>
      </c>
      <c r="P433" s="149" t="n">
        <f aca="false">+P253</f>
        <v>67305</v>
      </c>
      <c r="Q433" s="149" t="n">
        <f aca="false">+Q253</f>
        <v>64990</v>
      </c>
      <c r="R433" s="149" t="n">
        <f aca="false">+R253</f>
        <v>70001</v>
      </c>
      <c r="S433" s="149" t="n">
        <f aca="false">+S253</f>
        <v>0</v>
      </c>
      <c r="T433" s="149" t="n">
        <f aca="false">+T253</f>
        <v>0</v>
      </c>
      <c r="U433" s="149" t="n">
        <f aca="false">+U253</f>
        <v>0</v>
      </c>
      <c r="V433" s="149" t="n">
        <f aca="false">+V253</f>
        <v>0</v>
      </c>
      <c r="W433" s="149" t="n">
        <f aca="false">+W253</f>
        <v>0</v>
      </c>
      <c r="X433" s="149" t="n">
        <f aca="false">+X253</f>
        <v>0</v>
      </c>
      <c r="Y433" s="149" t="n">
        <f aca="false">+Y253</f>
        <v>0</v>
      </c>
      <c r="Z433" s="149" t="n">
        <f aca="false">+Z253</f>
        <v>0</v>
      </c>
      <c r="AA433" s="149" t="n">
        <f aca="false">+AA253</f>
        <v>0</v>
      </c>
      <c r="AB433" s="149" t="n">
        <f aca="false">+AB253</f>
        <v>0</v>
      </c>
      <c r="AC433" s="149" t="n">
        <f aca="false">+AC253</f>
        <v>0</v>
      </c>
    </row>
    <row r="434" customFormat="false" ht="12.75" hidden="false" customHeight="false" outlineLevel="0" collapsed="false">
      <c r="A434" s="17"/>
      <c r="B434" s="16" t="s">
        <v>224</v>
      </c>
      <c r="C434" s="17"/>
      <c r="D434" s="17"/>
      <c r="E434" s="17"/>
      <c r="F434" s="281" t="n">
        <f aca="false">+K$11</f>
        <v>0.0633</v>
      </c>
      <c r="G434" s="281"/>
      <c r="H434" s="63" t="s">
        <v>99</v>
      </c>
      <c r="I434" s="157" t="n">
        <f aca="false">NPV($F434,J433:$AC433)</f>
        <v>451707.685676673</v>
      </c>
      <c r="J434" s="157" t="n">
        <f aca="false">NPV($F434,K433:$AC433)</f>
        <v>420216.782180006</v>
      </c>
      <c r="K434" s="157" t="n">
        <f aca="false">NPV($F434,L433:$AC433)</f>
        <v>387734.504492001</v>
      </c>
      <c r="L434" s="157" t="n">
        <f aca="false">NPV($F434,M433:$AC433)</f>
        <v>350781.098626344</v>
      </c>
      <c r="M434" s="157" t="n">
        <f aca="false">NPV($F434,N433:$AC433)</f>
        <v>297756.542169392</v>
      </c>
      <c r="N434" s="157" t="n">
        <f aca="false">NPV($F434,O433:$AC433)</f>
        <v>238479.531288714</v>
      </c>
      <c r="O434" s="157" t="n">
        <f aca="false">NPV($F434,P433:$AC433)</f>
        <v>179009.28561929</v>
      </c>
      <c r="P434" s="157" t="n">
        <f aca="false">NPV($F434,Q433:$AC433)</f>
        <v>123035.573398991</v>
      </c>
      <c r="Q434" s="157" t="n">
        <f aca="false">NPV($F434,R433:$AC433)</f>
        <v>65833.7251951472</v>
      </c>
      <c r="R434" s="157" t="n">
        <f aca="false">NPV($F434,S433:$AC433)</f>
        <v>0</v>
      </c>
      <c r="S434" s="157" t="n">
        <f aca="false">NPV($F434,T433:$AC433)</f>
        <v>0</v>
      </c>
      <c r="T434" s="157" t="n">
        <f aca="false">NPV($F434,U433:$AC433)</f>
        <v>0</v>
      </c>
      <c r="U434" s="157" t="n">
        <f aca="false">NPV($F434,V433:$AC433)</f>
        <v>0</v>
      </c>
      <c r="V434" s="157" t="n">
        <f aca="false">NPV($F434,W433:$AC433)</f>
        <v>0</v>
      </c>
      <c r="W434" s="157" t="n">
        <f aca="false">NPV($F434,X433:$AC433)</f>
        <v>0</v>
      </c>
      <c r="X434" s="157" t="n">
        <f aca="false">NPV($F434,Y433:$AC433)</f>
        <v>0</v>
      </c>
      <c r="Y434" s="157" t="n">
        <f aca="false">NPV($F434,Z433:$AC433)</f>
        <v>0</v>
      </c>
      <c r="Z434" s="157" t="n">
        <f aca="false">NPV($F434,AA433:$AC433)</f>
        <v>0</v>
      </c>
      <c r="AA434" s="157" t="n">
        <f aca="false">NPV($F434,AB433:$AC433)</f>
        <v>0</v>
      </c>
      <c r="AB434" s="157" t="n">
        <f aca="false">NPV($F434,AC433:$AC433)</f>
        <v>0</v>
      </c>
      <c r="AC434" s="157"/>
    </row>
    <row r="435" customFormat="false" ht="12.75" hidden="false" customHeight="false" outlineLevel="0" collapsed="false">
      <c r="A435" s="17"/>
      <c r="B435" s="16" t="s">
        <v>225</v>
      </c>
      <c r="C435" s="17"/>
      <c r="D435" s="17"/>
      <c r="E435" s="17"/>
      <c r="F435" s="17"/>
      <c r="G435" s="17"/>
      <c r="H435" s="63" t="s">
        <v>99</v>
      </c>
      <c r="I435" s="149" t="n">
        <f aca="false">+I434-I305</f>
        <v>52987.685676673</v>
      </c>
      <c r="J435" s="149" t="n">
        <f aca="false">+J434-J305</f>
        <v>44184.7821800064</v>
      </c>
      <c r="K435" s="149" t="n">
        <f aca="false">+K434-K305</f>
        <v>35520.5044920007</v>
      </c>
      <c r="L435" s="149" t="n">
        <f aca="false">+L434-L305</f>
        <v>27131.0986263444</v>
      </c>
      <c r="M435" s="149" t="n">
        <f aca="false">+M434-M305</f>
        <v>19455.5421693919</v>
      </c>
      <c r="N435" s="149" t="n">
        <f aca="false">+N434-N305</f>
        <v>12819.5312887144</v>
      </c>
      <c r="O435" s="149" t="n">
        <f aca="false">+O434-O305</f>
        <v>7370.28561929002</v>
      </c>
      <c r="P435" s="149" t="n">
        <f aca="false">+P434-P305</f>
        <v>3197.57339899105</v>
      </c>
      <c r="Q435" s="149" t="n">
        <f aca="false">+Q434-Q305</f>
        <v>611.725195147184</v>
      </c>
      <c r="R435" s="149" t="n">
        <f aca="false">+R434-R305</f>
        <v>0</v>
      </c>
      <c r="S435" s="149" t="n">
        <f aca="false">+S434-S305</f>
        <v>0</v>
      </c>
      <c r="T435" s="149" t="n">
        <f aca="false">+T434-T305</f>
        <v>0</v>
      </c>
      <c r="U435" s="149" t="n">
        <f aca="false">+U434-U305</f>
        <v>0</v>
      </c>
      <c r="V435" s="149" t="n">
        <f aca="false">+V434-V305</f>
        <v>0</v>
      </c>
      <c r="W435" s="149" t="n">
        <f aca="false">+W434-W305</f>
        <v>0</v>
      </c>
      <c r="X435" s="149" t="n">
        <f aca="false">+X434-X305</f>
        <v>0</v>
      </c>
      <c r="Y435" s="149" t="n">
        <f aca="false">+Y434-Y305</f>
        <v>0</v>
      </c>
      <c r="Z435" s="149" t="n">
        <f aca="false">+Z434-Z305</f>
        <v>0</v>
      </c>
      <c r="AA435" s="149" t="n">
        <f aca="false">+AA434-AA305</f>
        <v>0</v>
      </c>
      <c r="AB435" s="149" t="n">
        <f aca="false">+AB434-AB305</f>
        <v>0</v>
      </c>
      <c r="AC435" s="17"/>
    </row>
    <row r="436" customFormat="false" ht="12.75" hidden="false" customHeight="false" outlineLevel="0" collapsed="false">
      <c r="A436" s="17"/>
      <c r="B436" s="16"/>
      <c r="C436" s="17"/>
      <c r="D436" s="17"/>
      <c r="E436" s="17"/>
      <c r="F436" s="17"/>
      <c r="G436" s="17"/>
      <c r="H436" s="17"/>
      <c r="I436" s="149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</row>
    <row r="437" customFormat="false" ht="12.75" hidden="false" customHeight="false" outlineLevel="0" collapsed="false">
      <c r="A437" s="17"/>
      <c r="B437" s="55" t="s">
        <v>226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</row>
    <row r="438" customFormat="false" ht="12.75" hidden="false" customHeight="false" outlineLevel="0" collapsed="false">
      <c r="A438" s="17"/>
      <c r="B438" s="16" t="s">
        <v>223</v>
      </c>
      <c r="C438" s="17"/>
      <c r="D438" s="17"/>
      <c r="E438" s="17"/>
      <c r="F438" s="17"/>
      <c r="G438" s="17"/>
      <c r="H438" s="63" t="s">
        <v>99</v>
      </c>
      <c r="I438" s="149" t="n">
        <f aca="false">+I268</f>
        <v>17578</v>
      </c>
      <c r="J438" s="149" t="n">
        <f aca="false">+J268</f>
        <v>26202.22</v>
      </c>
      <c r="K438" s="149" t="n">
        <f aca="false">+K268</f>
        <v>25499.1</v>
      </c>
      <c r="L438" s="149" t="n">
        <f aca="false">+L268</f>
        <v>24795.98</v>
      </c>
      <c r="M438" s="149" t="n">
        <f aca="false">+M268</f>
        <v>24092.86</v>
      </c>
      <c r="N438" s="149" t="n">
        <f aca="false">+N268</f>
        <v>27701.85</v>
      </c>
      <c r="O438" s="149" t="n">
        <f aca="false">+O268</f>
        <v>35271.39</v>
      </c>
      <c r="P438" s="149" t="n">
        <f aca="false">+P268</f>
        <v>33513.59</v>
      </c>
      <c r="Q438" s="149" t="n">
        <f aca="false">+Q268</f>
        <v>36067.9</v>
      </c>
      <c r="R438" s="149" t="n">
        <f aca="false">+R268</f>
        <v>42582.76</v>
      </c>
      <c r="S438" s="149" t="n">
        <f aca="false">+S268</f>
        <v>69955.05</v>
      </c>
      <c r="T438" s="149" t="n">
        <f aca="false">+T268</f>
        <v>0</v>
      </c>
      <c r="U438" s="149" t="n">
        <f aca="false">+U268</f>
        <v>0</v>
      </c>
      <c r="V438" s="149" t="n">
        <f aca="false">+V268</f>
        <v>0</v>
      </c>
      <c r="W438" s="149" t="n">
        <f aca="false">+W268</f>
        <v>0</v>
      </c>
      <c r="X438" s="149" t="n">
        <f aca="false">+X268</f>
        <v>0</v>
      </c>
      <c r="Y438" s="149" t="n">
        <f aca="false">+Y268</f>
        <v>0</v>
      </c>
      <c r="Z438" s="149" t="n">
        <f aca="false">+Z268</f>
        <v>0</v>
      </c>
      <c r="AA438" s="149" t="n">
        <f aca="false">+AA268</f>
        <v>0</v>
      </c>
      <c r="AB438" s="149" t="n">
        <f aca="false">+AB268</f>
        <v>0</v>
      </c>
      <c r="AC438" s="149" t="n">
        <f aca="false">+AC268</f>
        <v>0</v>
      </c>
    </row>
    <row r="439" customFormat="false" ht="12.75" hidden="false" customHeight="false" outlineLevel="0" collapsed="false">
      <c r="A439" s="17"/>
      <c r="B439" s="16" t="s">
        <v>227</v>
      </c>
      <c r="C439" s="17"/>
      <c r="D439" s="17"/>
      <c r="E439" s="17"/>
      <c r="F439" s="281" t="n">
        <f aca="false">+K$11</f>
        <v>0.0633</v>
      </c>
      <c r="G439" s="281"/>
      <c r="H439" s="63" t="s">
        <v>99</v>
      </c>
      <c r="I439" s="157" t="n">
        <f aca="false">NPV($F439,J438:$AC438)</f>
        <v>237715.173597821</v>
      </c>
      <c r="J439" s="157" t="n">
        <f aca="false">NPV($F439,K438:$AC438)</f>
        <v>226560.324086563</v>
      </c>
      <c r="K439" s="157" t="n">
        <f aca="false">NPV($F439,L438:$AC438)</f>
        <v>215402.492601243</v>
      </c>
      <c r="L439" s="157" t="n">
        <f aca="false">NPV($F439,M438:$AC438)</f>
        <v>204241.490382901</v>
      </c>
      <c r="M439" s="157" t="n">
        <f aca="false">NPV($F439,N438:$AC438)</f>
        <v>193077.116724139</v>
      </c>
      <c r="N439" s="157" t="n">
        <f aca="false">NPV($F439,O438:$AC438)</f>
        <v>177597.048212777</v>
      </c>
      <c r="O439" s="157" t="n">
        <f aca="false">NPV($F439,P438:$AC438)</f>
        <v>153567.551364646</v>
      </c>
      <c r="P439" s="157" t="n">
        <f aca="false">NPV($F439,Q438:$AC438)</f>
        <v>129774.787366028</v>
      </c>
      <c r="Q439" s="157" t="n">
        <f aca="false">NPV($F439,R438:$AC438)</f>
        <v>101921.631406297</v>
      </c>
      <c r="R439" s="157" t="n">
        <f aca="false">NPV($F439,S438:$AC438)</f>
        <v>65790.5106743158</v>
      </c>
      <c r="S439" s="157" t="n">
        <f aca="false">NPV($F439,T438:$AC438)</f>
        <v>0</v>
      </c>
      <c r="T439" s="157" t="n">
        <f aca="false">NPV($F439,U438:$AC438)</f>
        <v>0</v>
      </c>
      <c r="U439" s="157" t="n">
        <f aca="false">NPV($F439,V438:$AC438)</f>
        <v>0</v>
      </c>
      <c r="V439" s="157" t="n">
        <f aca="false">NPV($F439,W438:$AC438)</f>
        <v>0</v>
      </c>
      <c r="W439" s="157" t="n">
        <f aca="false">NPV($F439,X438:$AC438)</f>
        <v>0</v>
      </c>
      <c r="X439" s="157" t="n">
        <f aca="false">NPV($F439,Y438:$AC438)</f>
        <v>0</v>
      </c>
      <c r="Y439" s="157" t="n">
        <f aca="false">NPV($F439,Z438:$AC438)</f>
        <v>0</v>
      </c>
      <c r="Z439" s="157" t="n">
        <f aca="false">NPV($F439,AA438:$AC438)</f>
        <v>0</v>
      </c>
      <c r="AA439" s="157" t="n">
        <f aca="false">NPV($F439,AB438:$AC438)</f>
        <v>0</v>
      </c>
      <c r="AB439" s="157" t="n">
        <f aca="false">NPV($F439,AC438:$AC438)</f>
        <v>0</v>
      </c>
      <c r="AC439" s="157"/>
    </row>
    <row r="440" customFormat="false" ht="12.75" hidden="false" customHeight="false" outlineLevel="0" collapsed="false">
      <c r="A440" s="17"/>
      <c r="B440" s="16" t="s">
        <v>225</v>
      </c>
      <c r="C440" s="17"/>
      <c r="D440" s="17"/>
      <c r="E440" s="17"/>
      <c r="F440" s="17"/>
      <c r="G440" s="17"/>
      <c r="H440" s="63" t="s">
        <v>99</v>
      </c>
      <c r="I440" s="149" t="n">
        <f aca="false">+I439-I306</f>
        <v>17715.1735978211</v>
      </c>
      <c r="J440" s="149" t="n">
        <f aca="false">+J439-J306</f>
        <v>15360.3240865632</v>
      </c>
      <c r="K440" s="149" t="n">
        <f aca="false">+K439-K306</f>
        <v>13002.4926012426</v>
      </c>
      <c r="L440" s="149" t="n">
        <f aca="false">+L439-L306</f>
        <v>10641.4903829012</v>
      </c>
      <c r="M440" s="149" t="n">
        <f aca="false">+M439-M306</f>
        <v>8277.11672413888</v>
      </c>
      <c r="N440" s="149" t="n">
        <f aca="false">+N439-N306</f>
        <v>5997.04821277686</v>
      </c>
      <c r="O440" s="149" t="n">
        <f aca="false">+O439-O306</f>
        <v>3967.55136464562</v>
      </c>
      <c r="P440" s="149" t="n">
        <f aca="false">+P439-P306</f>
        <v>2174.78736602768</v>
      </c>
      <c r="Q440" s="149" t="n">
        <f aca="false">+Q439-Q306</f>
        <v>721.631406297209</v>
      </c>
      <c r="R440" s="149" t="n">
        <f aca="false">+R439-R306</f>
        <v>-209.48932568419</v>
      </c>
      <c r="S440" s="149" t="n">
        <f aca="false">+S439-S306</f>
        <v>0</v>
      </c>
      <c r="T440" s="149" t="n">
        <f aca="false">+T439-T306</f>
        <v>0</v>
      </c>
      <c r="U440" s="149" t="n">
        <f aca="false">+U439-U306</f>
        <v>0</v>
      </c>
      <c r="V440" s="149" t="n">
        <f aca="false">+V439-V306</f>
        <v>0</v>
      </c>
      <c r="W440" s="149" t="n">
        <f aca="false">+W439-W306</f>
        <v>0</v>
      </c>
      <c r="X440" s="149" t="n">
        <f aca="false">+X439-X306</f>
        <v>0</v>
      </c>
      <c r="Y440" s="149" t="n">
        <f aca="false">+Y439-Y306</f>
        <v>0</v>
      </c>
      <c r="Z440" s="149" t="n">
        <f aca="false">+Z439-Z306</f>
        <v>0</v>
      </c>
      <c r="AA440" s="149" t="n">
        <f aca="false">+AA439-AA306</f>
        <v>0</v>
      </c>
      <c r="AB440" s="149" t="n">
        <f aca="false">+AB439-AB306</f>
        <v>0</v>
      </c>
      <c r="AC440" s="149"/>
    </row>
    <row r="441" customFormat="false" ht="12.75" hidden="false" customHeight="false" outlineLevel="0" collapsed="false">
      <c r="A441" s="17"/>
      <c r="B441" s="16"/>
      <c r="C441" s="17"/>
      <c r="D441" s="17"/>
      <c r="E441" s="17"/>
      <c r="F441" s="17"/>
      <c r="G441" s="17"/>
      <c r="H441" s="63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</row>
    <row r="442" customFormat="false" ht="12.75" hidden="false" customHeight="false" outlineLevel="0" collapsed="false">
      <c r="A442" s="17"/>
      <c r="B442" s="55" t="s">
        <v>228</v>
      </c>
      <c r="C442" s="17"/>
      <c r="D442" s="17"/>
      <c r="E442" s="17"/>
      <c r="F442" s="17"/>
      <c r="G442" s="17"/>
      <c r="H442" s="63" t="s">
        <v>99</v>
      </c>
      <c r="I442" s="172" t="n">
        <f aca="false">+I435+I440</f>
        <v>70702.8592744941</v>
      </c>
      <c r="J442" s="172" t="n">
        <f aca="false">+J435+J440</f>
        <v>59545.1062665696</v>
      </c>
      <c r="K442" s="172" t="n">
        <f aca="false">+K435+K440</f>
        <v>48522.9970932434</v>
      </c>
      <c r="L442" s="172" t="n">
        <f aca="false">+L435+L440</f>
        <v>37772.5890092456</v>
      </c>
      <c r="M442" s="172" t="n">
        <f aca="false">+M435+M440</f>
        <v>27732.6588935308</v>
      </c>
      <c r="N442" s="172" t="n">
        <f aca="false">+N435+N440</f>
        <v>18816.5795014913</v>
      </c>
      <c r="O442" s="172" t="n">
        <f aca="false">+O435+O440</f>
        <v>11337.8369839356</v>
      </c>
      <c r="P442" s="172" t="n">
        <f aca="false">+P435+P440</f>
        <v>5372.36076501873</v>
      </c>
      <c r="Q442" s="172" t="n">
        <f aca="false">+Q435+Q440</f>
        <v>1333.35660144439</v>
      </c>
      <c r="R442" s="172" t="n">
        <f aca="false">+R435+R440</f>
        <v>-209.48932568419</v>
      </c>
      <c r="S442" s="172" t="n">
        <f aca="false">+S435+S440</f>
        <v>0</v>
      </c>
      <c r="T442" s="172" t="n">
        <f aca="false">+T435+T440</f>
        <v>0</v>
      </c>
      <c r="U442" s="172" t="n">
        <f aca="false">+U435+U440</f>
        <v>0</v>
      </c>
      <c r="V442" s="172" t="n">
        <f aca="false">+V435+V440</f>
        <v>0</v>
      </c>
      <c r="W442" s="172" t="n">
        <f aca="false">+W435+W440</f>
        <v>0</v>
      </c>
      <c r="X442" s="172" t="n">
        <f aca="false">+X435+X440</f>
        <v>0</v>
      </c>
      <c r="Y442" s="172" t="n">
        <f aca="false">+Y435+Y440</f>
        <v>0</v>
      </c>
      <c r="Z442" s="172" t="n">
        <f aca="false">+Z435+Z440</f>
        <v>0</v>
      </c>
      <c r="AA442" s="172" t="n">
        <f aca="false">+AA435+AA440</f>
        <v>0</v>
      </c>
      <c r="AB442" s="172" t="n">
        <f aca="false">+AB435+AB440</f>
        <v>0</v>
      </c>
      <c r="AC442" s="172" t="n">
        <f aca="false">+AC435+AC440</f>
        <v>0</v>
      </c>
    </row>
    <row r="443" customFormat="false" ht="12.75" hidden="false" customHeight="false" outlineLevel="0" collapsed="false">
      <c r="A443" s="17"/>
      <c r="B443" s="188"/>
      <c r="C443" s="17"/>
      <c r="D443" s="17"/>
      <c r="E443" s="17"/>
      <c r="F443" s="16"/>
      <c r="G443" s="17"/>
      <c r="H443" s="63"/>
      <c r="I443" s="172"/>
      <c r="J443" s="172"/>
      <c r="K443" s="172"/>
      <c r="L443" s="172"/>
      <c r="M443" s="172"/>
      <c r="N443" s="172"/>
      <c r="O443" s="172"/>
      <c r="P443" s="172"/>
      <c r="Q443" s="172"/>
      <c r="R443" s="172"/>
      <c r="S443" s="172"/>
      <c r="T443" s="172"/>
      <c r="U443" s="172"/>
      <c r="V443" s="172"/>
      <c r="W443" s="172"/>
      <c r="X443" s="172"/>
      <c r="Y443" s="172"/>
      <c r="Z443" s="172"/>
      <c r="AA443" s="172"/>
      <c r="AB443" s="172"/>
      <c r="AC443" s="172"/>
    </row>
    <row r="444" customFormat="false" ht="12.75" hidden="false" customHeight="false" outlineLevel="0" collapsed="false">
      <c r="A444" s="17"/>
      <c r="B444" s="55" t="s">
        <v>180</v>
      </c>
      <c r="C444" s="17"/>
      <c r="D444" s="17"/>
      <c r="E444" s="17"/>
      <c r="F444" s="174" t="n">
        <f aca="false">+$K$9</f>
        <v>0.5</v>
      </c>
      <c r="G444" s="174"/>
      <c r="H444" s="63" t="s">
        <v>99</v>
      </c>
      <c r="I444" s="155" t="n">
        <f aca="false">+I442*$F$444</f>
        <v>35351.4296372471</v>
      </c>
      <c r="J444" s="155" t="n">
        <f aca="false">+J442*$F$444</f>
        <v>29772.5531332848</v>
      </c>
      <c r="K444" s="155" t="n">
        <f aca="false">+K442*$F$444</f>
        <v>24261.4985466217</v>
      </c>
      <c r="L444" s="155" t="n">
        <f aca="false">+L442*$F$444</f>
        <v>18886.2945046228</v>
      </c>
      <c r="M444" s="155" t="n">
        <f aca="false">+M442*$F$444</f>
        <v>13866.3294467654</v>
      </c>
      <c r="N444" s="155" t="n">
        <f aca="false">+N442*$F$444</f>
        <v>9408.28975074564</v>
      </c>
      <c r="O444" s="155" t="n">
        <f aca="false">+O442*$F$444</f>
        <v>5668.91849196782</v>
      </c>
      <c r="P444" s="155" t="n">
        <f aca="false">+P442*$F$444</f>
        <v>2686.18038250937</v>
      </c>
      <c r="Q444" s="155" t="n">
        <f aca="false">+Q442*$F$444</f>
        <v>666.678300722197</v>
      </c>
      <c r="R444" s="155" t="n">
        <f aca="false">+R442*$F$444</f>
        <v>-104.744662842095</v>
      </c>
      <c r="S444" s="155" t="n">
        <f aca="false">+S442*$F$444</f>
        <v>0</v>
      </c>
      <c r="T444" s="155" t="n">
        <f aca="false">+T442*$F$444</f>
        <v>0</v>
      </c>
      <c r="U444" s="155" t="n">
        <f aca="false">+U442*$F$444</f>
        <v>0</v>
      </c>
      <c r="V444" s="155" t="n">
        <f aca="false">+V442*$F$444</f>
        <v>0</v>
      </c>
      <c r="W444" s="155" t="n">
        <f aca="false">+W442*$F$444</f>
        <v>0</v>
      </c>
      <c r="X444" s="155" t="n">
        <f aca="false">+X442*$F$444</f>
        <v>0</v>
      </c>
      <c r="Y444" s="155" t="n">
        <f aca="false">+Y442*$F$444</f>
        <v>0</v>
      </c>
      <c r="Z444" s="155" t="n">
        <f aca="false">+Z442*$F$444</f>
        <v>0</v>
      </c>
      <c r="AA444" s="155" t="n">
        <f aca="false">+AA442*$F$444</f>
        <v>0</v>
      </c>
      <c r="AB444" s="155" t="n">
        <f aca="false">+AB442*$F$444</f>
        <v>0</v>
      </c>
      <c r="AC444" s="155" t="n">
        <f aca="false">+AC442*$F$444</f>
        <v>0</v>
      </c>
    </row>
    <row r="445" customFormat="false" ht="12.75" hidden="false" customHeight="false" outlineLevel="0" collapsed="false">
      <c r="A445" s="17"/>
      <c r="B445" s="17"/>
      <c r="C445" s="17"/>
      <c r="D445" s="17"/>
      <c r="E445" s="17"/>
      <c r="F445" s="17"/>
      <c r="G445" s="17"/>
      <c r="H445" s="63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</row>
    <row r="446" customFormat="false" ht="12.75" hidden="false" customHeight="false" outlineLevel="0" collapsed="false">
      <c r="A446" s="16"/>
      <c r="B446" s="16"/>
      <c r="C446" s="16"/>
      <c r="D446" s="16"/>
      <c r="E446" s="16"/>
      <c r="F446" s="16"/>
      <c r="G446" s="16"/>
      <c r="H446" s="63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</row>
    <row r="447" customFormat="false" ht="18" hidden="false" customHeight="false" outlineLevel="0" collapsed="false">
      <c r="A447" s="18" t="s">
        <v>229</v>
      </c>
      <c r="B447" s="16"/>
      <c r="C447" s="16"/>
      <c r="D447" s="16"/>
      <c r="E447" s="16"/>
      <c r="F447" s="16"/>
      <c r="G447" s="16"/>
      <c r="H447" s="63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</row>
    <row r="448" customFormat="false" ht="12.75" hidden="false" customHeight="false" outlineLevel="0" collapsed="false">
      <c r="A448" s="16"/>
      <c r="B448" s="16"/>
      <c r="C448" s="16"/>
      <c r="D448" s="16"/>
      <c r="E448" s="16"/>
      <c r="F448" s="16"/>
      <c r="G448" s="16"/>
      <c r="H448" s="63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</row>
    <row r="449" customFormat="false" ht="12.75" hidden="false" customHeight="false" outlineLevel="0" collapsed="false">
      <c r="A449" s="16"/>
      <c r="B449" s="16" t="s">
        <v>8</v>
      </c>
      <c r="C449" s="16"/>
      <c r="D449" s="16"/>
      <c r="E449" s="16"/>
      <c r="F449" s="16"/>
      <c r="G449" s="16"/>
      <c r="H449" s="47" t="s">
        <v>99</v>
      </c>
      <c r="I449" s="149" t="n">
        <f aca="false">+I338</f>
        <v>789248.972239646</v>
      </c>
      <c r="J449" s="149" t="n">
        <f aca="false">+J338</f>
        <v>768750.098579269</v>
      </c>
      <c r="K449" s="149" t="n">
        <f aca="false">+K338</f>
        <v>737857.50161013</v>
      </c>
      <c r="L449" s="149" t="n">
        <f aca="false">+L338</f>
        <v>697743.567757191</v>
      </c>
      <c r="M449" s="149" t="n">
        <f aca="false">+M338</f>
        <v>648457.592482451</v>
      </c>
      <c r="N449" s="149" t="n">
        <f aca="false">+N338</f>
        <v>590062.324898201</v>
      </c>
      <c r="O449" s="149" t="n">
        <f aca="false">+O338</f>
        <v>522218.72316026</v>
      </c>
      <c r="P449" s="149" t="n">
        <f aca="false">+P338</f>
        <v>450034.440088585</v>
      </c>
      <c r="Q449" s="149" t="n">
        <f aca="false">+Q338</f>
        <v>363220.651152654</v>
      </c>
      <c r="R449" s="149" t="n">
        <f aca="false">+R338</f>
        <v>262896.639565405</v>
      </c>
      <c r="S449" s="149" t="n">
        <f aca="false">+S338</f>
        <v>180183.4201278</v>
      </c>
      <c r="T449" s="149" t="n">
        <f aca="false">+T338</f>
        <v>156643.823311621</v>
      </c>
      <c r="U449" s="149" t="n">
        <f aca="false">+U338</f>
        <v>130220.985091625</v>
      </c>
      <c r="V449" s="149" t="n">
        <f aca="false">+V338</f>
        <v>102905.421663188</v>
      </c>
      <c r="W449" s="149" t="n">
        <f aca="false">+W338</f>
        <v>69331.185553495</v>
      </c>
      <c r="X449" s="149" t="n">
        <f aca="false">+X338</f>
        <v>42034.4449867919</v>
      </c>
      <c r="Y449" s="149" t="n">
        <f aca="false">+Y338</f>
        <v>35211.5076745661</v>
      </c>
      <c r="Z449" s="149" t="n">
        <f aca="false">+Z338</f>
        <v>27631.1140846797</v>
      </c>
      <c r="AA449" s="149" t="n">
        <f aca="false">+AA338</f>
        <v>19220.522879013</v>
      </c>
      <c r="AB449" s="149" t="n">
        <f aca="false">+AB338</f>
        <v>9900.63620205431</v>
      </c>
      <c r="AC449" s="149" t="n">
        <f aca="false">+AC338</f>
        <v>0</v>
      </c>
    </row>
    <row r="450" customFormat="false" ht="12.75" hidden="false" customHeight="false" outlineLevel="0" collapsed="false">
      <c r="A450" s="16"/>
      <c r="B450" s="16"/>
      <c r="C450" s="16"/>
      <c r="D450" s="16"/>
      <c r="E450" s="16"/>
      <c r="F450" s="16"/>
      <c r="G450" s="16"/>
      <c r="H450" s="47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  <c r="AA450" s="149"/>
      <c r="AB450" s="149"/>
      <c r="AC450" s="149"/>
    </row>
    <row r="451" customFormat="false" ht="12.75" hidden="false" customHeight="false" outlineLevel="0" collapsed="false">
      <c r="A451" s="16"/>
      <c r="B451" s="16" t="s">
        <v>230</v>
      </c>
      <c r="C451" s="16"/>
      <c r="D451" s="16"/>
      <c r="E451" s="16" t="s">
        <v>26</v>
      </c>
      <c r="F451" s="20" t="n">
        <v>0.1</v>
      </c>
      <c r="G451" s="20"/>
      <c r="H451" s="47" t="s">
        <v>99</v>
      </c>
      <c r="I451" s="149" t="n">
        <f aca="false">-I449*$F$451</f>
        <v>-78924.8972239646</v>
      </c>
      <c r="J451" s="149" t="n">
        <f aca="false">-J449*$F$451</f>
        <v>-76875.0098579269</v>
      </c>
      <c r="K451" s="149" t="n">
        <f aca="false">-K449*$F$451</f>
        <v>-73785.750161013</v>
      </c>
      <c r="L451" s="149" t="n">
        <f aca="false">-L449*$F$451</f>
        <v>-69774.3567757191</v>
      </c>
      <c r="M451" s="149" t="n">
        <f aca="false">-M449*$F$451</f>
        <v>-64845.7592482451</v>
      </c>
      <c r="N451" s="149" t="n">
        <f aca="false">-N449*$F$451</f>
        <v>-59006.23248982</v>
      </c>
      <c r="O451" s="149" t="n">
        <f aca="false">-O449*$F$451</f>
        <v>-52221.872316026</v>
      </c>
      <c r="P451" s="149" t="n">
        <f aca="false">-P449*$F$451</f>
        <v>-45003.4440088585</v>
      </c>
      <c r="Q451" s="149" t="n">
        <f aca="false">-Q449*$F$451</f>
        <v>-36322.0651152654</v>
      </c>
      <c r="R451" s="149" t="n">
        <f aca="false">-R449*$F$451</f>
        <v>-26289.6639565405</v>
      </c>
      <c r="S451" s="149" t="n">
        <f aca="false">-S449*$F$451</f>
        <v>-18018.34201278</v>
      </c>
      <c r="T451" s="149" t="n">
        <f aca="false">-T449*$F$451</f>
        <v>-15664.3823311621</v>
      </c>
      <c r="U451" s="149" t="n">
        <f aca="false">-U449*$F$451</f>
        <v>-13022.0985091625</v>
      </c>
      <c r="V451" s="149" t="n">
        <f aca="false">-V449*$F$451</f>
        <v>-10290.5421663188</v>
      </c>
      <c r="W451" s="149" t="n">
        <f aca="false">-W449*$F$451</f>
        <v>-6933.1185553495</v>
      </c>
      <c r="X451" s="149" t="n">
        <f aca="false">-X449*$F$451</f>
        <v>-4203.44449867919</v>
      </c>
      <c r="Y451" s="149" t="n">
        <f aca="false">-Y449*$F$451</f>
        <v>-3521.15076745661</v>
      </c>
      <c r="Z451" s="149" t="n">
        <f aca="false">-Z449*$F$451</f>
        <v>-2763.11140846797</v>
      </c>
      <c r="AA451" s="149" t="n">
        <f aca="false">-AA449*$F$451</f>
        <v>-1922.0522879013</v>
      </c>
      <c r="AB451" s="149" t="n">
        <f aca="false">-AB449*$F$451</f>
        <v>-990.063620205431</v>
      </c>
      <c r="AC451" s="149" t="n">
        <f aca="false">-AC449*$F$451</f>
        <v>-0</v>
      </c>
    </row>
    <row r="452" customFormat="false" ht="12.75" hidden="false" customHeight="false" outlineLevel="0" collapsed="false">
      <c r="A452" s="16"/>
      <c r="B452" s="16"/>
      <c r="C452" s="16"/>
      <c r="D452" s="16"/>
      <c r="E452" s="16" t="s">
        <v>182</v>
      </c>
      <c r="F452" s="282" t="s">
        <v>231</v>
      </c>
      <c r="G452" s="282"/>
      <c r="H452" s="47" t="s">
        <v>99</v>
      </c>
      <c r="I452" s="149" t="n">
        <f aca="false">I361</f>
        <v>-36475.8465323991</v>
      </c>
      <c r="J452" s="149" t="n">
        <f aca="false">J361</f>
        <v>-34009.9230426133</v>
      </c>
      <c r="K452" s="149" t="n">
        <f aca="false">K361</f>
        <v>-31456.8902033251</v>
      </c>
      <c r="L452" s="149" t="n">
        <f aca="false">L361</f>
        <v>-28658.792269029</v>
      </c>
      <c r="M452" s="149" t="n">
        <f aca="false">M361</f>
        <v>-25558.2916049354</v>
      </c>
      <c r="N452" s="149" t="n">
        <f aca="false">N361</f>
        <v>-22108.8055095714</v>
      </c>
      <c r="O452" s="149" t="n">
        <f aca="false">O361</f>
        <v>-18267.5999830429</v>
      </c>
      <c r="P452" s="149" t="n">
        <f aca="false">P361</f>
        <v>-13956.1664276786</v>
      </c>
      <c r="Q452" s="149" t="n">
        <f aca="false">Q361</f>
        <v>-9173.0052702372</v>
      </c>
      <c r="R452" s="149" t="n">
        <f aca="false">R361</f>
        <v>-3830.67267445309</v>
      </c>
      <c r="S452" s="149" t="n">
        <f aca="false">S361</f>
        <v>0</v>
      </c>
      <c r="T452" s="149" t="n">
        <f aca="false">T361</f>
        <v>0</v>
      </c>
      <c r="U452" s="149" t="n">
        <f aca="false">U361</f>
        <v>0</v>
      </c>
      <c r="V452" s="149" t="n">
        <f aca="false">V361</f>
        <v>0</v>
      </c>
      <c r="W452" s="149" t="n">
        <f aca="false">W361</f>
        <v>0</v>
      </c>
      <c r="X452" s="149" t="n">
        <f aca="false">X361</f>
        <v>0</v>
      </c>
      <c r="Y452" s="149" t="n">
        <f aca="false">Y361</f>
        <v>0</v>
      </c>
      <c r="Z452" s="149" t="n">
        <f aca="false">Z361</f>
        <v>0</v>
      </c>
      <c r="AA452" s="149" t="n">
        <f aca="false">AA361</f>
        <v>0</v>
      </c>
      <c r="AB452" s="149"/>
      <c r="AC452" s="149"/>
    </row>
    <row r="453" customFormat="false" ht="12.75" hidden="false" customHeight="false" outlineLevel="0" collapsed="false">
      <c r="A453" s="16"/>
      <c r="B453" s="17"/>
      <c r="C453" s="16"/>
      <c r="D453" s="16"/>
      <c r="E453" s="16" t="s">
        <v>197</v>
      </c>
      <c r="F453" s="16"/>
      <c r="G453" s="16"/>
      <c r="H453" s="47" t="s">
        <v>99</v>
      </c>
      <c r="I453" s="149" t="n">
        <f aca="false">-I382</f>
        <v>-119783.499513168</v>
      </c>
      <c r="J453" s="149" t="n">
        <f aca="false">-J382</f>
        <v>-121172.964950872</v>
      </c>
      <c r="K453" s="149" t="n">
        <f aca="false">-K382</f>
        <v>-119875.384645804</v>
      </c>
      <c r="L453" s="149" t="n">
        <f aca="false">-L382</f>
        <v>-117685.575563831</v>
      </c>
      <c r="M453" s="149" t="n">
        <f aca="false">-M382</f>
        <v>-113105.698368817</v>
      </c>
      <c r="N453" s="149" t="n">
        <f aca="false">-N382</f>
        <v>-106723.5839431</v>
      </c>
      <c r="O453" s="149" t="n">
        <f aca="false">-O382</f>
        <v>-97835.1539160763</v>
      </c>
      <c r="P453" s="149" t="n">
        <f aca="false">-P382</f>
        <v>-86004.229588305</v>
      </c>
      <c r="Q453" s="149" t="n">
        <f aca="false">-Q382</f>
        <v>-70256.345804937</v>
      </c>
      <c r="R453" s="149" t="n">
        <f aca="false">-R382</f>
        <v>-52335.4608784699</v>
      </c>
      <c r="S453" s="149" t="n">
        <f aca="false">-S382</f>
        <v>-30400.7032195913</v>
      </c>
      <c r="T453" s="149" t="n">
        <f aca="false">-T382</f>
        <v>-13770.8633243513</v>
      </c>
      <c r="U453" s="149" t="n">
        <f aca="false">-U382</f>
        <v>-0</v>
      </c>
      <c r="V453" s="149" t="n">
        <f aca="false">-V382</f>
        <v>-0</v>
      </c>
      <c r="W453" s="149" t="n">
        <f aca="false">-W382</f>
        <v>-0</v>
      </c>
      <c r="X453" s="149" t="n">
        <f aca="false">-X382</f>
        <v>-0</v>
      </c>
      <c r="Y453" s="149" t="n">
        <f aca="false">-Y382</f>
        <v>-0</v>
      </c>
      <c r="Z453" s="149" t="n">
        <f aca="false">-Z382</f>
        <v>-0</v>
      </c>
      <c r="AA453" s="149" t="n">
        <f aca="false">-AA382</f>
        <v>-0</v>
      </c>
      <c r="AB453" s="149" t="n">
        <f aca="false">-AB382</f>
        <v>-0</v>
      </c>
      <c r="AC453" s="149" t="n">
        <f aca="false">-AC382</f>
        <v>-0</v>
      </c>
    </row>
    <row r="454" customFormat="false" ht="12.75" hidden="false" customHeight="false" outlineLevel="0" collapsed="false">
      <c r="A454" s="16"/>
      <c r="B454" s="16"/>
      <c r="C454" s="16"/>
      <c r="D454" s="16"/>
      <c r="E454" s="16" t="s">
        <v>203</v>
      </c>
      <c r="F454" s="16"/>
      <c r="G454" s="16"/>
      <c r="H454" s="47" t="s">
        <v>99</v>
      </c>
      <c r="I454" s="149" t="n">
        <f aca="false">-I405</f>
        <v>-10874.2006791287</v>
      </c>
      <c r="J454" s="149" t="n">
        <f aca="false">-J405</f>
        <v>-10543.9512341314</v>
      </c>
      <c r="K454" s="149" t="n">
        <f aca="false">-K405</f>
        <v>-10185.0097173528</v>
      </c>
      <c r="L454" s="149" t="n">
        <f aca="false">-L405</f>
        <v>-9794.88336159637</v>
      </c>
      <c r="M454" s="149" t="n">
        <f aca="false">-M405</f>
        <v>-9370.86282805186</v>
      </c>
      <c r="N454" s="149" t="n">
        <f aca="false">-N405</f>
        <v>-8910.00339055301</v>
      </c>
      <c r="O454" s="149" t="n">
        <f aca="false">-O405</f>
        <v>-8409.10448512426</v>
      </c>
      <c r="P454" s="149" t="n">
        <f aca="false">-P405</f>
        <v>-7864.68748279185</v>
      </c>
      <c r="Q454" s="149" t="n">
        <f aca="false">-Q405</f>
        <v>-7272.97153129681</v>
      </c>
      <c r="R454" s="149" t="n">
        <f aca="false">-R405</f>
        <v>-6629.84729793588</v>
      </c>
      <c r="S454" s="149" t="n">
        <f aca="false">-S405</f>
        <v>-5930.84843118055</v>
      </c>
      <c r="T454" s="149" t="n">
        <f aca="false">-T405</f>
        <v>-5171.12054288151</v>
      </c>
      <c r="U454" s="149" t="n">
        <f aca="false">-U405</f>
        <v>-4345.38749564706</v>
      </c>
      <c r="V454" s="149" t="n">
        <f aca="false">-V405</f>
        <v>-3447.91476126888</v>
      </c>
      <c r="W454" s="149" t="n">
        <f aca="false">-W405</f>
        <v>-2472.46959572792</v>
      </c>
      <c r="X454" s="149" t="n">
        <f aca="false">-X405</f>
        <v>-1412.27775420476</v>
      </c>
      <c r="Y454" s="149" t="n">
        <f aca="false">-Y405</f>
        <v>-1009.97644549007</v>
      </c>
      <c r="Z454" s="149" t="n">
        <f aca="false">-Z405</f>
        <v>-572.723199074246</v>
      </c>
      <c r="AA454" s="149" t="n">
        <f aca="false">-AA405</f>
        <v>-397.481390609816</v>
      </c>
      <c r="AB454" s="149" t="n">
        <f aca="false">-AB405</f>
        <v>-207.014573825997</v>
      </c>
      <c r="AC454" s="149" t="n">
        <f aca="false">-AC405</f>
        <v>-0</v>
      </c>
    </row>
    <row r="455" customFormat="false" ht="12.75" hidden="false" customHeight="false" outlineLevel="0" collapsed="false">
      <c r="A455" s="16"/>
      <c r="B455" s="16"/>
      <c r="C455" s="16"/>
      <c r="D455" s="16"/>
      <c r="E455" s="16" t="s">
        <v>232</v>
      </c>
      <c r="F455" s="16"/>
      <c r="G455" s="16"/>
      <c r="H455" s="47" t="s">
        <v>99</v>
      </c>
      <c r="I455" s="149" t="n">
        <f aca="false">-I428</f>
        <v>-309360</v>
      </c>
      <c r="J455" s="149" t="n">
        <f aca="false">-J428</f>
        <v>-293616</v>
      </c>
      <c r="K455" s="149" t="n">
        <f aca="false">-K428</f>
        <v>-277307</v>
      </c>
      <c r="L455" s="149" t="n">
        <f aca="false">-L428</f>
        <v>-258625</v>
      </c>
      <c r="M455" s="149" t="n">
        <f aca="false">-M428</f>
        <v>-231550.5</v>
      </c>
      <c r="N455" s="149" t="n">
        <f aca="false">-N428</f>
        <v>-198630</v>
      </c>
      <c r="O455" s="149" t="n">
        <f aca="false">-O428</f>
        <v>-160619.5</v>
      </c>
      <c r="P455" s="149" t="n">
        <f aca="false">-P428</f>
        <v>-123719</v>
      </c>
      <c r="Q455" s="149" t="n">
        <f aca="false">-Q428</f>
        <v>-83211</v>
      </c>
      <c r="R455" s="149" t="n">
        <f aca="false">-R428</f>
        <v>-33000</v>
      </c>
      <c r="S455" s="149" t="n">
        <f aca="false">-S428</f>
        <v>-0</v>
      </c>
      <c r="T455" s="149" t="n">
        <f aca="false">-T428</f>
        <v>-0</v>
      </c>
      <c r="U455" s="149" t="n">
        <f aca="false">-U428</f>
        <v>-0</v>
      </c>
      <c r="V455" s="149" t="n">
        <f aca="false">-V428</f>
        <v>-0</v>
      </c>
      <c r="W455" s="149" t="n">
        <f aca="false">-W428</f>
        <v>-0</v>
      </c>
      <c r="X455" s="149" t="n">
        <f aca="false">-X428</f>
        <v>-0</v>
      </c>
      <c r="Y455" s="149" t="n">
        <f aca="false">-Y428</f>
        <v>-0</v>
      </c>
      <c r="Z455" s="149" t="n">
        <f aca="false">-Z428</f>
        <v>-0</v>
      </c>
      <c r="AA455" s="149" t="n">
        <f aca="false">-AA428</f>
        <v>-0</v>
      </c>
      <c r="AB455" s="149" t="n">
        <f aca="false">-AB428</f>
        <v>-0</v>
      </c>
      <c r="AC455" s="149" t="n">
        <f aca="false">-AC428</f>
        <v>-0</v>
      </c>
    </row>
    <row r="456" customFormat="false" ht="12.75" hidden="false" customHeight="false" outlineLevel="0" collapsed="false">
      <c r="A456" s="16"/>
      <c r="B456" s="16"/>
      <c r="C456" s="16"/>
      <c r="D456" s="16"/>
      <c r="E456" s="16" t="s">
        <v>233</v>
      </c>
      <c r="F456" s="16"/>
      <c r="G456" s="16"/>
      <c r="H456" s="47" t="s">
        <v>99</v>
      </c>
      <c r="I456" s="149" t="n">
        <f aca="false">-I444</f>
        <v>-35351.4296372471</v>
      </c>
      <c r="J456" s="149" t="n">
        <f aca="false">-J444</f>
        <v>-29772.5531332848</v>
      </c>
      <c r="K456" s="149" t="n">
        <f aca="false">-K444</f>
        <v>-24261.4985466217</v>
      </c>
      <c r="L456" s="149" t="n">
        <f aca="false">-L444</f>
        <v>-18886.2945046228</v>
      </c>
      <c r="M456" s="149" t="n">
        <f aca="false">-M444</f>
        <v>-13866.3294467654</v>
      </c>
      <c r="N456" s="149" t="n">
        <f aca="false">-N444</f>
        <v>-9408.28975074564</v>
      </c>
      <c r="O456" s="149" t="n">
        <f aca="false">-O444</f>
        <v>-5668.91849196782</v>
      </c>
      <c r="P456" s="149" t="n">
        <f aca="false">-P444</f>
        <v>-2686.18038250937</v>
      </c>
      <c r="Q456" s="149" t="n">
        <f aca="false">-Q444</f>
        <v>-666.678300722197</v>
      </c>
      <c r="R456" s="149" t="n">
        <f aca="false">-R444</f>
        <v>104.744662842095</v>
      </c>
      <c r="S456" s="149" t="n">
        <f aca="false">-S444</f>
        <v>-0</v>
      </c>
      <c r="T456" s="149" t="n">
        <f aca="false">-T444</f>
        <v>-0</v>
      </c>
      <c r="U456" s="149" t="n">
        <f aca="false">-U444</f>
        <v>-0</v>
      </c>
      <c r="V456" s="149" t="n">
        <f aca="false">-V444</f>
        <v>-0</v>
      </c>
      <c r="W456" s="149" t="n">
        <f aca="false">-W444</f>
        <v>-0</v>
      </c>
      <c r="X456" s="149" t="n">
        <f aca="false">-X444</f>
        <v>-0</v>
      </c>
      <c r="Y456" s="149" t="n">
        <f aca="false">-Y444</f>
        <v>-0</v>
      </c>
      <c r="Z456" s="149" t="n">
        <f aca="false">-Z444</f>
        <v>-0</v>
      </c>
      <c r="AA456" s="149" t="n">
        <f aca="false">-AA444</f>
        <v>-0</v>
      </c>
      <c r="AB456" s="149" t="n">
        <f aca="false">-AB444</f>
        <v>-0</v>
      </c>
      <c r="AC456" s="149" t="n">
        <f aca="false">-AC444</f>
        <v>-0</v>
      </c>
    </row>
    <row r="457" customFormat="false" ht="12.75" hidden="false" customHeight="false" outlineLevel="0" collapsed="false">
      <c r="A457" s="16"/>
      <c r="B457" s="16"/>
      <c r="C457" s="16"/>
      <c r="D457" s="16"/>
      <c r="E457" s="16" t="s">
        <v>234</v>
      </c>
      <c r="F457" s="16"/>
      <c r="G457" s="16"/>
      <c r="H457" s="47" t="s">
        <v>99</v>
      </c>
      <c r="I457" s="149" t="n">
        <f aca="false">-I415</f>
        <v>-17278.3389883308</v>
      </c>
      <c r="J457" s="149" t="n">
        <f aca="false">-J415</f>
        <v>-18550.5050894977</v>
      </c>
      <c r="K457" s="149" t="n">
        <f aca="false">-K415</f>
        <v>-19822.6711906646</v>
      </c>
      <c r="L457" s="149" t="n">
        <f aca="false">-L415</f>
        <v>-21094.8372918315</v>
      </c>
      <c r="M457" s="149" t="n">
        <f aca="false">-M415</f>
        <v>-22367.0033929985</v>
      </c>
      <c r="N457" s="149" t="n">
        <f aca="false">-N415</f>
        <v>-23639.1694941654</v>
      </c>
      <c r="O457" s="149" t="n">
        <f aca="false">-O415</f>
        <v>-24911.3355953323</v>
      </c>
      <c r="P457" s="149" t="n">
        <f aca="false">-P415</f>
        <v>-26183.5016964992</v>
      </c>
      <c r="Q457" s="149" t="n">
        <f aca="false">-Q415</f>
        <v>-27455.6677976662</v>
      </c>
      <c r="R457" s="149" t="n">
        <f aca="false">-R415</f>
        <v>-28727.8338988331</v>
      </c>
      <c r="S457" s="149" t="n">
        <f aca="false">-S415</f>
        <v>-30000</v>
      </c>
      <c r="T457" s="149" t="n">
        <f aca="false">-T415</f>
        <v>-31272.1661011669</v>
      </c>
      <c r="U457" s="149" t="n">
        <f aca="false">-U415</f>
        <v>-32544.3322023338</v>
      </c>
      <c r="V457" s="149" t="n">
        <f aca="false">-V415</f>
        <v>-33816.4983035008</v>
      </c>
      <c r="W457" s="149" t="n">
        <f aca="false">-W415</f>
        <v>-35088.6644046677</v>
      </c>
      <c r="X457" s="149" t="n">
        <f aca="false">-X415</f>
        <v>-36360.8305058346</v>
      </c>
      <c r="Y457" s="149" t="n">
        <f aca="false">-Y415</f>
        <v>-37632.9966070016</v>
      </c>
      <c r="Z457" s="149" t="n">
        <f aca="false">-Z415</f>
        <v>-38905.1627081685</v>
      </c>
      <c r="AA457" s="149" t="n">
        <f aca="false">-AA415</f>
        <v>-40177.3288093354</v>
      </c>
      <c r="AB457" s="149" t="n">
        <f aca="false">-AB415</f>
        <v>-41449.4949105023</v>
      </c>
      <c r="AC457" s="149" t="n">
        <f aca="false">-AC415</f>
        <v>-42721.6610116693</v>
      </c>
      <c r="AD457" s="149"/>
      <c r="AE457" s="149"/>
      <c r="AF457" s="149"/>
      <c r="AG457" s="149"/>
      <c r="AH457" s="149"/>
      <c r="AI457" s="149"/>
      <c r="AJ457" s="149"/>
      <c r="AK457" s="149"/>
      <c r="AL457" s="149"/>
      <c r="AM457" s="149"/>
      <c r="AN457" s="149"/>
      <c r="AO457" s="149"/>
      <c r="AP457" s="149"/>
      <c r="AQ457" s="149"/>
      <c r="AR457" s="149"/>
      <c r="AS457" s="149"/>
      <c r="AT457" s="149"/>
      <c r="AU457" s="149"/>
      <c r="AV457" s="149"/>
      <c r="AW457" s="149"/>
      <c r="AX457" s="149"/>
      <c r="AY457" s="149"/>
      <c r="AZ457" s="149"/>
      <c r="BA457" s="149"/>
      <c r="BB457" s="149"/>
      <c r="BC457" s="149"/>
      <c r="BD457" s="149"/>
      <c r="BE457" s="149"/>
      <c r="BF457" s="149"/>
      <c r="BG457" s="149"/>
      <c r="BH457" s="149"/>
      <c r="BI457" s="149"/>
      <c r="BJ457" s="149"/>
      <c r="BK457" s="149"/>
      <c r="BL457" s="149"/>
    </row>
    <row r="458" customFormat="false" ht="12.75" hidden="false" customHeight="false" outlineLevel="0" collapsed="false">
      <c r="A458" s="16"/>
      <c r="B458" s="16"/>
      <c r="C458" s="16"/>
      <c r="D458" s="16"/>
      <c r="E458" s="16"/>
      <c r="F458" s="16"/>
      <c r="G458" s="16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  <c r="BL458" s="47"/>
      <c r="BM458" s="47"/>
      <c r="BN458" s="47"/>
      <c r="BO458" s="47"/>
      <c r="BP458" s="47"/>
      <c r="BQ458" s="47"/>
      <c r="BR458" s="47"/>
      <c r="BS458" s="47"/>
      <c r="BT458" s="47"/>
      <c r="BU458" s="47"/>
      <c r="BV458" s="47"/>
      <c r="BW458" s="47"/>
      <c r="BX458" s="47"/>
      <c r="BY458" s="47"/>
      <c r="BZ458" s="47"/>
      <c r="CA458" s="47"/>
      <c r="CB458" s="47"/>
      <c r="CC458" s="47"/>
      <c r="CD458" s="47"/>
      <c r="CE458" s="47"/>
      <c r="CF458" s="47"/>
      <c r="CG458" s="47"/>
      <c r="CH458" s="47"/>
      <c r="CI458" s="47"/>
      <c r="CJ458" s="47"/>
      <c r="CK458" s="47"/>
      <c r="CL458" s="47"/>
      <c r="CM458" s="47"/>
      <c r="CN458" s="47"/>
      <c r="CO458" s="47"/>
      <c r="CP458" s="47"/>
      <c r="CQ458" s="47"/>
      <c r="CR458" s="47"/>
      <c r="CS458" s="47"/>
      <c r="CT458" s="47"/>
      <c r="CU458" s="47"/>
      <c r="CV458" s="47"/>
      <c r="CW458" s="47"/>
      <c r="CX458" s="47"/>
      <c r="CY458" s="47"/>
      <c r="CZ458" s="47"/>
      <c r="DA458" s="47"/>
      <c r="DB458" s="47"/>
      <c r="DC458" s="47"/>
      <c r="DD458" s="47"/>
      <c r="DE458" s="47"/>
      <c r="DF458" s="47"/>
      <c r="DG458" s="47"/>
      <c r="DH458" s="47"/>
      <c r="DI458" s="47"/>
      <c r="DJ458" s="47"/>
      <c r="DK458" s="47"/>
      <c r="DL458" s="47"/>
      <c r="DM458" s="47"/>
      <c r="DN458" s="47"/>
      <c r="DO458" s="47"/>
      <c r="DP458" s="47"/>
      <c r="DQ458" s="47"/>
      <c r="DR458" s="47"/>
      <c r="DS458" s="47"/>
      <c r="DT458" s="47"/>
      <c r="DU458" s="47"/>
      <c r="DV458" s="47"/>
      <c r="DW458" s="47"/>
      <c r="DX458" s="47"/>
      <c r="DY458" s="47"/>
      <c r="DZ458" s="47"/>
      <c r="EA458" s="47"/>
      <c r="EB458" s="47"/>
      <c r="EC458" s="47"/>
      <c r="ED458" s="47"/>
      <c r="EE458" s="47"/>
      <c r="EF458" s="47"/>
      <c r="EG458" s="47"/>
      <c r="EH458" s="47"/>
      <c r="EI458" s="47"/>
      <c r="EJ458" s="47"/>
      <c r="EK458" s="47"/>
      <c r="EL458" s="47"/>
      <c r="EM458" s="47"/>
      <c r="EN458" s="47"/>
      <c r="EO458" s="47"/>
      <c r="EP458" s="47"/>
      <c r="EQ458" s="47"/>
      <c r="ER458" s="47"/>
      <c r="ES458" s="47"/>
      <c r="ET458" s="47"/>
      <c r="EU458" s="47"/>
      <c r="EV458" s="47"/>
      <c r="EW458" s="47"/>
      <c r="EX458" s="47"/>
      <c r="EY458" s="47"/>
      <c r="EZ458" s="47"/>
      <c r="FA458" s="47"/>
      <c r="FB458" s="47"/>
      <c r="FC458" s="47"/>
      <c r="FD458" s="47"/>
      <c r="FE458" s="47"/>
      <c r="FF458" s="47"/>
      <c r="FG458" s="47"/>
      <c r="FH458" s="47"/>
      <c r="FI458" s="47"/>
      <c r="FJ458" s="47"/>
      <c r="FK458" s="47"/>
      <c r="FL458" s="47"/>
      <c r="FM458" s="47"/>
      <c r="FN458" s="47"/>
      <c r="FO458" s="47"/>
      <c r="FP458" s="47"/>
      <c r="FQ458" s="47"/>
      <c r="FR458" s="47"/>
      <c r="FS458" s="47"/>
      <c r="FT458" s="47"/>
      <c r="FU458" s="47"/>
      <c r="FV458" s="47"/>
      <c r="FW458" s="47"/>
      <c r="FX458" s="47"/>
      <c r="FY458" s="47"/>
      <c r="FZ458" s="47"/>
      <c r="GA458" s="47"/>
      <c r="GB458" s="47"/>
      <c r="GC458" s="47"/>
      <c r="GD458" s="47"/>
      <c r="GE458" s="47"/>
      <c r="GF458" s="47"/>
      <c r="GG458" s="47"/>
      <c r="GH458" s="47"/>
      <c r="GI458" s="47"/>
      <c r="GJ458" s="47"/>
      <c r="GK458" s="47"/>
      <c r="GL458" s="47"/>
      <c r="GM458" s="47"/>
      <c r="GN458" s="47"/>
      <c r="GO458" s="47"/>
      <c r="GP458" s="47"/>
      <c r="GQ458" s="47"/>
      <c r="GR458" s="47"/>
      <c r="GS458" s="47"/>
      <c r="GT458" s="47"/>
      <c r="GU458" s="47"/>
      <c r="GV458" s="47"/>
      <c r="GW458" s="47"/>
      <c r="GX458" s="47"/>
      <c r="GY458" s="47"/>
      <c r="GZ458" s="47"/>
      <c r="HA458" s="47"/>
      <c r="HB458" s="47"/>
      <c r="HC458" s="47"/>
      <c r="HD458" s="47"/>
      <c r="HE458" s="47"/>
      <c r="HF458" s="47"/>
      <c r="HG458" s="47"/>
      <c r="HH458" s="47"/>
      <c r="HI458" s="47"/>
      <c r="HJ458" s="47"/>
      <c r="HK458" s="47"/>
      <c r="HL458" s="47"/>
      <c r="HM458" s="47"/>
      <c r="HN458" s="47"/>
      <c r="HO458" s="47"/>
      <c r="HP458" s="47"/>
      <c r="HQ458" s="47"/>
      <c r="HR458" s="47"/>
      <c r="HS458" s="47"/>
      <c r="HT458" s="47"/>
      <c r="HU458" s="47"/>
      <c r="HV458" s="47"/>
      <c r="HW458" s="47"/>
      <c r="HX458" s="47"/>
      <c r="HY458" s="47"/>
      <c r="HZ458" s="47"/>
      <c r="IA458" s="47"/>
      <c r="IB458" s="47"/>
      <c r="IC458" s="47"/>
      <c r="ID458" s="47"/>
      <c r="IE458" s="47"/>
      <c r="IF458" s="47"/>
      <c r="IG458" s="47"/>
      <c r="IH458" s="47"/>
      <c r="II458" s="47"/>
      <c r="IJ458" s="47"/>
      <c r="IK458" s="47"/>
      <c r="IL458" s="47"/>
      <c r="IM458" s="47"/>
      <c r="IN458" s="47"/>
      <c r="IO458" s="47"/>
      <c r="IP458" s="47"/>
      <c r="IQ458" s="47"/>
      <c r="IR458" s="47"/>
      <c r="IS458" s="47"/>
      <c r="IT458" s="47"/>
      <c r="IU458" s="47"/>
      <c r="IV458" s="47"/>
    </row>
    <row r="459" customFormat="false" ht="12.75" hidden="false" customHeight="false" outlineLevel="0" collapsed="false">
      <c r="A459" s="16"/>
      <c r="B459" s="16" t="s">
        <v>235</v>
      </c>
      <c r="C459" s="16"/>
      <c r="D459" s="16"/>
      <c r="E459" s="16" t="s">
        <v>236</v>
      </c>
      <c r="F459" s="157" t="n">
        <v>1</v>
      </c>
      <c r="G459" s="16"/>
      <c r="H459" s="47" t="s">
        <v>99</v>
      </c>
      <c r="I459" s="157" t="n">
        <f aca="false">IF(F459=1,Bellingham!B34+Sayreville!B34,600*250*0.5)</f>
        <v>65582.8442598467</v>
      </c>
      <c r="J459" s="157" t="s">
        <v>3</v>
      </c>
      <c r="K459" s="157" t="s">
        <v>3</v>
      </c>
      <c r="L459" s="157" t="s">
        <v>3</v>
      </c>
      <c r="M459" s="157" t="s">
        <v>3</v>
      </c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</row>
    <row r="460" customFormat="false" ht="12.75" hidden="false" customHeight="false" outlineLevel="0" collapsed="false">
      <c r="A460" s="16"/>
      <c r="B460" s="16"/>
      <c r="C460" s="16"/>
      <c r="D460" s="16"/>
      <c r="E460" s="16" t="s">
        <v>237</v>
      </c>
      <c r="F460" s="16"/>
      <c r="G460" s="16"/>
      <c r="H460" s="63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</row>
    <row r="461" customFormat="false" ht="12.75" hidden="false" customHeight="false" outlineLevel="0" collapsed="false">
      <c r="A461" s="16"/>
      <c r="B461" s="55" t="s">
        <v>238</v>
      </c>
      <c r="C461" s="55"/>
      <c r="D461" s="55"/>
      <c r="E461" s="55"/>
      <c r="F461" s="55"/>
      <c r="G461" s="55"/>
      <c r="H461" s="47" t="s">
        <v>99</v>
      </c>
      <c r="I461" s="283" t="n">
        <f aca="false">SUM(I449:I459)</f>
        <v>246783.603925254</v>
      </c>
      <c r="J461" s="283" t="n">
        <f aca="false">SUM(J449:J459)</f>
        <v>184209.191270943</v>
      </c>
      <c r="K461" s="283" t="n">
        <f aca="false">SUM(K449:K459)</f>
        <v>181163.297145349</v>
      </c>
      <c r="L461" s="283" t="n">
        <f aca="false">SUM(L449:L459)</f>
        <v>173223.827990561</v>
      </c>
      <c r="M461" s="283" t="n">
        <f aca="false">SUM(M449:M459)</f>
        <v>167793.147592638</v>
      </c>
      <c r="N461" s="283" t="n">
        <f aca="false">SUM(N449:N459)</f>
        <v>161636.240320245</v>
      </c>
      <c r="O461" s="283" t="n">
        <f aca="false">SUM(O449:O459)</f>
        <v>154285.23837269</v>
      </c>
      <c r="P461" s="283" t="n">
        <f aca="false">SUM(P449:P459)</f>
        <v>144617.230501942</v>
      </c>
      <c r="Q461" s="283" t="n">
        <f aca="false">SUM(Q449:Q459)</f>
        <v>128862.917332529</v>
      </c>
      <c r="R461" s="283" t="n">
        <f aca="false">SUM(R449:R459)</f>
        <v>112187.905522015</v>
      </c>
      <c r="S461" s="283" t="n">
        <f aca="false">SUM(S449:S459)</f>
        <v>95833.5264642479</v>
      </c>
      <c r="T461" s="283" t="n">
        <f aca="false">SUM(T449:T459)</f>
        <v>90765.2910120595</v>
      </c>
      <c r="U461" s="283" t="n">
        <f aca="false">SUM(U449:U459)</f>
        <v>80309.1668844818</v>
      </c>
      <c r="V461" s="283" t="n">
        <f aca="false">SUM(V449:V459)</f>
        <v>55350.4664320995</v>
      </c>
      <c r="W461" s="283" t="n">
        <f aca="false">SUM(W449:W459)</f>
        <v>24836.9329977499</v>
      </c>
      <c r="X461" s="283" t="n">
        <f aca="false">SUM(X449:X459)</f>
        <v>57.8922280733386</v>
      </c>
      <c r="Y461" s="283" t="n">
        <f aca="false">SUM(Y449:Y459)</f>
        <v>-6952.61614538213</v>
      </c>
      <c r="Z461" s="283" t="n">
        <f aca="false">SUM(Z449:Z459)</f>
        <v>-14609.883231031</v>
      </c>
      <c r="AA461" s="283" t="n">
        <f aca="false">SUM(AA449:AA459)</f>
        <v>-23276.3396088335</v>
      </c>
      <c r="AB461" s="283" t="n">
        <f aca="false">SUM(AB449:AB459)</f>
        <v>-32745.9369024795</v>
      </c>
      <c r="AC461" s="283" t="n">
        <f aca="false">SUM(AC449:AC459)</f>
        <v>-42721.6610116693</v>
      </c>
    </row>
    <row r="462" customFormat="false" ht="12.75" hidden="false" customHeight="false" outlineLevel="0" collapsed="false">
      <c r="A462" s="16"/>
      <c r="B462" s="16"/>
      <c r="C462" s="16"/>
      <c r="D462" s="16"/>
      <c r="E462" s="16"/>
      <c r="F462" s="16"/>
      <c r="G462" s="16"/>
      <c r="H462" s="63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</row>
    <row r="463" customFormat="false" ht="12.75" hidden="false" customHeight="false" outlineLevel="0" collapsed="false">
      <c r="A463" s="16"/>
      <c r="B463" s="16"/>
      <c r="C463" s="55" t="s">
        <v>239</v>
      </c>
      <c r="D463" s="16"/>
      <c r="E463" s="16"/>
      <c r="F463" s="16"/>
      <c r="G463" s="16"/>
      <c r="H463" s="63"/>
      <c r="I463" s="149" t="n">
        <f aca="false">+I461-J234</f>
        <v>84697.8338416976</v>
      </c>
      <c r="J463" s="149" t="n">
        <f aca="false">+J461-J234</f>
        <v>22123.4211873863</v>
      </c>
      <c r="K463" s="149" t="n">
        <f aca="false">+K461-J234</f>
        <v>19077.5270617924</v>
      </c>
      <c r="L463" s="149" t="s">
        <v>231</v>
      </c>
      <c r="M463" s="149" t="s">
        <v>3</v>
      </c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</row>
    <row r="464" customFormat="false" ht="12.75" hidden="false" customHeight="false" outlineLevel="0" collapsed="false">
      <c r="A464" s="16"/>
      <c r="B464" s="16"/>
      <c r="C464" s="16"/>
      <c r="D464" s="16"/>
      <c r="E464" s="16"/>
      <c r="F464" s="16"/>
      <c r="G464" s="16"/>
      <c r="H464" s="63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</row>
    <row r="465" customFormat="false" ht="12.75" hidden="false" customHeight="false" outlineLevel="0" collapsed="false">
      <c r="A465" s="16"/>
      <c r="B465" s="16"/>
      <c r="C465" s="16"/>
      <c r="D465" s="16"/>
      <c r="E465" s="16"/>
      <c r="F465" s="16"/>
      <c r="G465" s="16"/>
      <c r="H465" s="63"/>
      <c r="I465" s="149" t="s">
        <v>3</v>
      </c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</row>
    <row r="466" customFormat="false" ht="12.75" hidden="false" customHeight="false" outlineLevel="0" collapsed="false">
      <c r="A466" s="16"/>
      <c r="B466" s="16"/>
      <c r="C466" s="16"/>
      <c r="D466" s="16"/>
      <c r="E466" s="16"/>
      <c r="F466" s="16"/>
      <c r="G466" s="16"/>
      <c r="H466" s="63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</row>
    <row r="467" customFormat="false" ht="12.75" hidden="false" customHeight="false" outlineLevel="0" collapsed="false">
      <c r="A467" s="284" t="s">
        <v>240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</row>
    <row r="468" customFormat="false" ht="12.75" hidden="false" customHeight="false" outlineLevel="0" collapsed="false">
      <c r="A468" s="285" t="s">
        <v>241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</row>
    <row r="469" customFormat="false" ht="12.75" hidden="false" customHeight="false" outlineLevel="0" collapsed="false">
      <c r="A469" s="17"/>
      <c r="B469" s="285" t="s">
        <v>242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</row>
    <row r="470" customFormat="false" ht="12.75" hidden="false" customHeight="false" outlineLevel="0" collapsed="false">
      <c r="A470" s="17"/>
      <c r="B470" s="285" t="s">
        <v>243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</row>
    <row r="471" customFormat="false" ht="12.75" hidden="false" customHeight="false" outlineLevel="0" collapsed="false">
      <c r="A471" s="17"/>
      <c r="B471" s="285" t="s">
        <v>244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</row>
    <row r="472" customFormat="false" ht="12.75" hidden="false" customHeight="false" outlineLevel="0" collapsed="false">
      <c r="A472" s="17"/>
      <c r="B472" s="285" t="s">
        <v>245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</row>
    <row r="473" customFormat="false" ht="12.75" hidden="false" customHeight="false" outlineLevel="0" collapsed="false">
      <c r="A473" s="17"/>
      <c r="B473" s="285" t="s">
        <v>246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</row>
    <row r="474" customFormat="false" ht="12.75" hidden="false" customHeight="false" outlineLevel="0" collapsed="false">
      <c r="A474" s="17"/>
      <c r="B474" s="285" t="s">
        <v>247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</row>
    <row r="475" customFormat="false" ht="12.75" hidden="false" customHeight="false" outlineLevel="0" collapsed="false">
      <c r="A475" s="17"/>
      <c r="B475" s="285" t="s">
        <v>248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</row>
    <row r="476" customFormat="false" ht="12.75" hidden="false" customHeight="false" outlineLevel="0" collapsed="false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</row>
    <row r="477" customFormat="false" ht="12.75" hidden="false" customHeight="false" outlineLevel="0" collapsed="false">
      <c r="A477" s="285" t="s">
        <v>249</v>
      </c>
      <c r="B477" s="17"/>
      <c r="C477" s="17"/>
      <c r="D477" s="17"/>
      <c r="E477" s="17"/>
      <c r="F477" s="166" t="n">
        <v>125000</v>
      </c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</row>
    <row r="478" customFormat="false" ht="12.75" hidden="false" customHeight="false" outlineLevel="0" collapsed="false">
      <c r="A478" s="17"/>
      <c r="B478" s="17"/>
      <c r="C478" s="17"/>
      <c r="D478" s="17"/>
      <c r="E478" s="17"/>
      <c r="F478" s="166"/>
      <c r="G478" s="17"/>
      <c r="H478" s="286" t="s">
        <v>250</v>
      </c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</row>
    <row r="479" customFormat="false" ht="12.75" hidden="false" customHeight="false" outlineLevel="0" collapsed="false">
      <c r="A479" s="285" t="s">
        <v>251</v>
      </c>
      <c r="B479" s="17"/>
      <c r="C479" s="17"/>
      <c r="D479" s="17"/>
      <c r="E479" s="17"/>
      <c r="F479" s="166" t="n">
        <v>120000</v>
      </c>
      <c r="G479" s="17"/>
      <c r="H479" s="17" t="s">
        <v>252</v>
      </c>
      <c r="I479" s="17"/>
      <c r="J479" s="17"/>
      <c r="K479" s="17"/>
      <c r="L479" s="17"/>
      <c r="M479" s="166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</row>
    <row r="480" customFormat="false" ht="12.75" hidden="false" customHeight="false" outlineLevel="0" collapsed="false">
      <c r="A480" s="17"/>
      <c r="B480" s="17"/>
      <c r="C480" s="17"/>
      <c r="D480" s="17"/>
      <c r="E480" s="17"/>
      <c r="F480" s="166"/>
      <c r="G480" s="17"/>
      <c r="H480" s="17"/>
      <c r="I480" s="285" t="s">
        <v>253</v>
      </c>
      <c r="J480" s="17"/>
      <c r="K480" s="17"/>
      <c r="L480" s="17"/>
      <c r="M480" s="166" t="n">
        <v>40000</v>
      </c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</row>
    <row r="481" customFormat="false" ht="12.75" hidden="false" customHeight="false" outlineLevel="0" collapsed="false">
      <c r="A481" s="285" t="s">
        <v>254</v>
      </c>
      <c r="B481" s="17"/>
      <c r="C481" s="17"/>
      <c r="D481" s="17"/>
      <c r="E481" s="17"/>
      <c r="F481" s="166" t="n">
        <v>25000</v>
      </c>
      <c r="G481" s="17"/>
      <c r="H481" s="17"/>
      <c r="I481" s="17" t="s">
        <v>255</v>
      </c>
      <c r="J481" s="17"/>
      <c r="K481" s="17"/>
      <c r="L481" s="17"/>
      <c r="M481" s="166" t="n">
        <v>25000</v>
      </c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</row>
    <row r="482" customFormat="false" ht="12.75" hidden="false" customHeight="false" outlineLevel="0" collapsed="false">
      <c r="A482" s="17"/>
      <c r="B482" s="17"/>
      <c r="C482" s="17"/>
      <c r="D482" s="17"/>
      <c r="E482" s="17"/>
      <c r="F482" s="17"/>
      <c r="G482" s="17"/>
      <c r="H482" s="17"/>
      <c r="I482" s="17" t="s">
        <v>256</v>
      </c>
      <c r="J482" s="17"/>
      <c r="K482" s="17"/>
      <c r="L482" s="17"/>
      <c r="M482" s="166" t="n">
        <v>120000</v>
      </c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</row>
    <row r="483" customFormat="false" ht="12.75" hidden="false" customHeight="false" outlineLevel="0" collapsed="false">
      <c r="A483" s="285" t="s">
        <v>257</v>
      </c>
      <c r="B483" s="17"/>
      <c r="C483" s="17"/>
      <c r="D483" s="17"/>
      <c r="E483" s="17"/>
      <c r="F483" s="166" t="n">
        <f aca="false">0.2*F477+0.18*(SUM(M480:M484))</f>
        <v>63160</v>
      </c>
      <c r="G483" s="17"/>
      <c r="H483" s="17"/>
      <c r="I483" s="17" t="s">
        <v>258</v>
      </c>
      <c r="J483" s="17"/>
      <c r="K483" s="17"/>
      <c r="L483" s="17"/>
      <c r="M483" s="166" t="n">
        <v>22000</v>
      </c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</row>
    <row r="484" customFormat="false" ht="12.75" hidden="false" customHeight="false" outlineLevel="0" collapsed="false">
      <c r="A484" s="285"/>
      <c r="B484" s="17"/>
      <c r="C484" s="17"/>
      <c r="D484" s="17"/>
      <c r="E484" s="17"/>
      <c r="F484" s="252"/>
      <c r="G484" s="17"/>
      <c r="H484" s="17"/>
      <c r="I484" s="17" t="s">
        <v>259</v>
      </c>
      <c r="J484" s="17"/>
      <c r="K484" s="17"/>
      <c r="L484" s="17"/>
      <c r="M484" s="166" t="n">
        <v>5000</v>
      </c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</row>
    <row r="485" customFormat="false" ht="12.75" hidden="false" customHeight="false" outlineLevel="0" collapsed="false">
      <c r="A485" s="285" t="s">
        <v>260</v>
      </c>
      <c r="B485" s="17"/>
      <c r="C485" s="17"/>
      <c r="D485" s="17"/>
      <c r="E485" s="17"/>
      <c r="F485" s="252" t="n">
        <v>115000</v>
      </c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</row>
    <row r="486" customFormat="false" ht="12.75" hidden="false" customHeight="false" outlineLevel="0" collapsed="false">
      <c r="A486" s="285"/>
      <c r="B486" s="17"/>
      <c r="C486" s="17"/>
      <c r="D486" s="17"/>
      <c r="E486" s="17"/>
      <c r="F486" s="252"/>
      <c r="G486" s="17"/>
      <c r="H486" s="285" t="s">
        <v>261</v>
      </c>
      <c r="I486" s="17"/>
      <c r="J486" s="17"/>
      <c r="K486" s="287" t="n">
        <v>1.2</v>
      </c>
      <c r="L486" s="17"/>
      <c r="M486" s="252" t="n">
        <v>0</v>
      </c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</row>
    <row r="487" customFormat="false" ht="13.5" hidden="false" customHeight="false" outlineLevel="0" collapsed="false">
      <c r="A487" s="285" t="s">
        <v>262</v>
      </c>
      <c r="B487" s="17"/>
      <c r="C487" s="17"/>
      <c r="D487" s="287" t="n">
        <v>2.5</v>
      </c>
      <c r="E487" s="17"/>
      <c r="F487" s="252" t="n">
        <f aca="false">D487*1.402*125*8760</f>
        <v>3837975</v>
      </c>
      <c r="G487" s="17"/>
      <c r="H487" s="285"/>
      <c r="I487" s="17" t="s">
        <v>263</v>
      </c>
      <c r="J487" s="17"/>
      <c r="K487" s="17"/>
      <c r="L487" s="17"/>
      <c r="M487" s="288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</row>
    <row r="488" customFormat="false" ht="13.5" hidden="false" customHeight="false" outlineLevel="0" collapsed="false">
      <c r="A488" s="17"/>
      <c r="B488" s="17" t="s">
        <v>264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</row>
    <row r="489" customFormat="false" ht="12.75" hidden="false" customHeight="false" outlineLevel="0" collapsed="false">
      <c r="A489" s="285" t="s">
        <v>265</v>
      </c>
      <c r="B489" s="17"/>
      <c r="C489" s="17"/>
      <c r="D489" s="287" t="n">
        <v>0.06</v>
      </c>
      <c r="E489" s="17"/>
      <c r="F489" s="254" t="n">
        <f aca="false">750*0.746*D489*8760</f>
        <v>294073.2</v>
      </c>
      <c r="G489" s="17"/>
      <c r="H489" s="17" t="s">
        <v>266</v>
      </c>
      <c r="I489" s="17"/>
      <c r="J489" s="17"/>
      <c r="K489" s="17"/>
      <c r="L489" s="17"/>
      <c r="M489" s="252" t="n">
        <f aca="false">SUM(M480:M486)</f>
        <v>212000</v>
      </c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</row>
    <row r="490" customFormat="false" ht="12.75" hidden="false" customHeight="false" outlineLevel="0" collapsed="false">
      <c r="A490" s="17"/>
      <c r="B490" s="285" t="s">
        <v>267</v>
      </c>
      <c r="C490" s="17"/>
      <c r="D490" s="17"/>
      <c r="E490" s="17"/>
      <c r="F490" s="17"/>
      <c r="G490" s="17"/>
      <c r="H490" s="17"/>
      <c r="I490" s="285" t="s">
        <v>268</v>
      </c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</row>
    <row r="491" customFormat="false" ht="12.75" hidden="false" customHeight="false" outlineLevel="0" collapsed="false">
      <c r="A491" s="285" t="s">
        <v>269</v>
      </c>
      <c r="B491" s="17"/>
      <c r="C491" s="17"/>
      <c r="D491" s="17"/>
      <c r="E491" s="17"/>
      <c r="F491" s="252" t="n">
        <f aca="false">SUM(F477:F489)</f>
        <v>4580208.2</v>
      </c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</row>
    <row r="492" customFormat="false" ht="13.5" hidden="false" customHeight="false" outlineLevel="0" collapsed="false">
      <c r="A492" s="285" t="s">
        <v>270</v>
      </c>
      <c r="B492" s="17"/>
      <c r="C492" s="17"/>
      <c r="D492" s="17"/>
      <c r="E492" s="17"/>
      <c r="F492" s="288" t="n">
        <f aca="false">M489</f>
        <v>212000</v>
      </c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</row>
    <row r="493" customFormat="false" ht="13.5" hidden="false" customHeight="false" outlineLevel="0" collapsed="false">
      <c r="A493" s="285" t="s">
        <v>271</v>
      </c>
      <c r="B493" s="17"/>
      <c r="C493" s="17"/>
      <c r="D493" s="17"/>
      <c r="E493" s="17"/>
      <c r="F493" s="252" t="n">
        <f aca="false">SUM(F491:F492)</f>
        <v>4792208.2</v>
      </c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</row>
    <row r="494" customFormat="false" ht="12.75" hidden="false" customHeight="false" outlineLevel="0" collapsed="false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</row>
    <row r="495" customFormat="false" ht="12.75" hidden="false" customHeight="false" outlineLevel="0" collapsed="false">
      <c r="A495" s="285" t="s">
        <v>272</v>
      </c>
      <c r="B495" s="17"/>
      <c r="C495" s="17"/>
      <c r="D495" s="289" t="n">
        <v>0.12</v>
      </c>
      <c r="E495" s="17"/>
      <c r="F495" s="166" t="n">
        <f aca="false">3600000*D495</f>
        <v>432000</v>
      </c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</row>
    <row r="496" customFormat="false" ht="12.75" hidden="false" customHeight="false" outlineLevel="0" collapsed="false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</row>
    <row r="497" customFormat="false" ht="12.75" hidden="false" customHeight="false" outlineLevel="0" collapsed="false">
      <c r="A497" s="285" t="s">
        <v>273</v>
      </c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</row>
    <row r="498" customFormat="false" ht="12.75" hidden="false" customHeight="false" outlineLevel="0" collapsed="false">
      <c r="A498" s="16"/>
      <c r="B498" s="16"/>
      <c r="C498" s="16"/>
      <c r="D498" s="16"/>
      <c r="E498" s="16"/>
      <c r="F498" s="290" t="n">
        <v>2000</v>
      </c>
      <c r="G498" s="16"/>
      <c r="H498" s="63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</row>
    <row r="499" customFormat="false" ht="12.75" hidden="false" customHeight="false" outlineLevel="0" collapsed="false">
      <c r="A499" s="17" t="s">
        <v>274</v>
      </c>
      <c r="B499" s="17"/>
      <c r="C499" s="17"/>
      <c r="D499" s="17"/>
      <c r="E499" s="17"/>
      <c r="F499" s="17" t="n">
        <v>4200</v>
      </c>
      <c r="G499" s="16"/>
      <c r="H499" s="63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</row>
    <row r="500" customFormat="false" ht="12.75" hidden="false" customHeight="false" outlineLevel="0" collapsed="false">
      <c r="A500" s="17" t="s">
        <v>275</v>
      </c>
      <c r="B500" s="17"/>
      <c r="C500" s="17"/>
      <c r="D500" s="17"/>
      <c r="E500" s="17"/>
      <c r="F500" s="17" t="n">
        <v>1.402</v>
      </c>
      <c r="G500" s="16"/>
      <c r="H500" s="63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</row>
    <row r="501" customFormat="false" ht="12.75" hidden="false" customHeight="false" outlineLevel="0" collapsed="false">
      <c r="A501" s="17" t="s">
        <v>276</v>
      </c>
      <c r="B501" s="17"/>
      <c r="C501" s="17"/>
      <c r="D501" s="17"/>
      <c r="E501" s="17"/>
      <c r="F501" s="17" t="n">
        <v>0.746</v>
      </c>
      <c r="G501" s="16"/>
      <c r="H501" s="63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</row>
    <row r="502" customFormat="false" ht="12.75" hidden="false" customHeight="false" outlineLevel="0" collapsed="false">
      <c r="A502" s="17" t="s">
        <v>277</v>
      </c>
      <c r="B502" s="17"/>
      <c r="C502" s="17"/>
      <c r="D502" s="17"/>
      <c r="E502" s="17"/>
      <c r="F502" s="17" t="n">
        <v>8.3</v>
      </c>
      <c r="G502" s="16"/>
      <c r="H502" s="63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</row>
    <row r="503" customFormat="false" ht="12.75" hidden="false" customHeight="false" outlineLevel="0" collapsed="false">
      <c r="A503" s="17" t="s">
        <v>278</v>
      </c>
      <c r="B503" s="17"/>
      <c r="C503" s="17"/>
      <c r="D503" s="17"/>
      <c r="E503" s="17"/>
      <c r="F503" s="17" t="n">
        <v>0.9</v>
      </c>
      <c r="G503" s="16"/>
      <c r="H503" s="63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</row>
    <row r="504" customFormat="false" ht="12.75" hidden="false" customHeight="false" outlineLevel="0" collapsed="false">
      <c r="A504" s="17" t="s">
        <v>279</v>
      </c>
      <c r="B504" s="17"/>
      <c r="C504" s="17"/>
      <c r="D504" s="17"/>
      <c r="E504" s="17"/>
      <c r="F504" s="17" t="n">
        <v>0</v>
      </c>
      <c r="G504" s="16"/>
      <c r="H504" s="63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customFormat="false" ht="12.75" hidden="false" customHeight="false" outlineLevel="0" collapsed="false">
      <c r="A505" s="17" t="s">
        <v>280</v>
      </c>
      <c r="B505" s="17"/>
      <c r="C505" s="17"/>
      <c r="D505" s="17"/>
      <c r="E505" s="17"/>
      <c r="F505" s="17" t="n">
        <v>2.05</v>
      </c>
      <c r="G505" s="16"/>
      <c r="H505" s="63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</row>
    <row r="506" customFormat="false" ht="12.75" hidden="false" customHeight="false" outlineLevel="0" collapsed="false">
      <c r="A506" s="17" t="s">
        <v>281</v>
      </c>
      <c r="B506" s="17"/>
      <c r="C506" s="17"/>
      <c r="D506" s="17"/>
      <c r="E506" s="17"/>
      <c r="F506" s="17" t="n">
        <v>6</v>
      </c>
      <c r="G506" s="16"/>
      <c r="H506" s="63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customFormat="false" ht="12.75" hidden="false" customHeight="false" outlineLevel="0" collapsed="false">
      <c r="A507" s="0" t="s">
        <v>192</v>
      </c>
      <c r="F507" s="0" t="n">
        <v>125</v>
      </c>
      <c r="G507" s="16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</row>
    <row r="508" customFormat="false" ht="12.75" hidden="false" customHeight="false" outlineLevel="0" collapsed="false">
      <c r="G508" s="16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</row>
    <row r="509" customFormat="false" ht="12.75" hidden="false" customHeight="false" outlineLevel="0" collapsed="false">
      <c r="G509" s="16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</row>
    <row r="510" customFormat="false" ht="12.75" hidden="false" customHeight="false" outlineLevel="0" collapsed="false"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</row>
    <row r="511" customFormat="false" ht="12.75" hidden="false" customHeight="false" outlineLevel="0" collapsed="false"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</row>
    <row r="512" customFormat="false" ht="12.75" hidden="false" customHeight="false" outlineLevel="0" collapsed="false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291"/>
      <c r="AE512" s="291"/>
      <c r="AF512" s="291"/>
      <c r="AG512" s="291"/>
      <c r="AH512" s="291"/>
      <c r="AI512" s="291"/>
      <c r="AJ512" s="291"/>
      <c r="AK512" s="291"/>
      <c r="AL512" s="291"/>
      <c r="AM512" s="291"/>
      <c r="AN512" s="291"/>
      <c r="AO512" s="291"/>
      <c r="AP512" s="291"/>
      <c r="AQ512" s="291"/>
      <c r="AR512" s="291"/>
    </row>
    <row r="513" customFormat="false" ht="12.75" hidden="false" customHeight="false" outlineLevel="0" collapsed="false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</row>
    <row r="514" customFormat="false" ht="12.75" hidden="false" customHeight="false" outlineLevel="0" collapsed="false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</row>
    <row r="515" customFormat="false" ht="12.75" hidden="false" customHeight="false" outlineLevel="0" collapsed="false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</row>
    <row r="516" customFormat="false" ht="12.75" hidden="false" customHeight="false" outlineLevel="0" collapsed="false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</row>
    <row r="517" customFormat="false" ht="12.75" hidden="false" customHeight="false" outlineLevel="0" collapsed="false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</row>
    <row r="518" customFormat="false" ht="12.75" hidden="false" customHeight="false" outlineLevel="0" collapsed="false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</row>
    <row r="519" customFormat="false" ht="12.75" hidden="false" customHeight="false" outlineLevel="0" collapsed="false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</row>
    <row r="520" customFormat="false" ht="12.75" hidden="false" customHeight="false" outlineLevel="0" collapsed="false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</row>
    <row r="521" customFormat="false" ht="12.75" hidden="false" customHeight="false" outlineLevel="0" collapsed="false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</row>
    <row r="522" customFormat="false" ht="12.75" hidden="false" customHeight="false" outlineLevel="0" collapsed="false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</row>
    <row r="523" customFormat="false" ht="12.75" hidden="false" customHeight="false" outlineLevel="0" collapsed="false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</row>
    <row r="524" customFormat="false" ht="12.75" hidden="false" customHeight="false" outlineLevel="0" collapsed="false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</row>
    <row r="525" customFormat="false" ht="12.75" hidden="false" customHeight="false" outlineLevel="0" collapsed="false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</row>
    <row r="526" customFormat="false" ht="12.75" hidden="false" customHeight="false" outlineLevel="0" collapsed="false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</row>
    <row r="527" customFormat="false" ht="12.75" hidden="false" customHeight="false" outlineLevel="0" collapsed="false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</row>
    <row r="528" customFormat="false" ht="12.75" hidden="false" customHeight="false" outlineLevel="0" collapsed="false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</row>
    <row r="529" customFormat="false" ht="12.75" hidden="false" customHeight="false" outlineLevel="0" collapsed="false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</row>
    <row r="530" customFormat="false" ht="12.75" hidden="false" customHeight="false" outlineLevel="0" collapsed="false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</row>
    <row r="531" customFormat="false" ht="12.75" hidden="false" customHeight="false" outlineLevel="0" collapsed="false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</row>
    <row r="532" customFormat="false" ht="12.75" hidden="false" customHeight="false" outlineLevel="0" collapsed="false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</row>
    <row r="533" customFormat="false" ht="12.75" hidden="false" customHeight="false" outlineLevel="0" collapsed="false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</row>
    <row r="534" customFormat="false" ht="12.75" hidden="false" customHeight="false" outlineLevel="0" collapsed="false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</row>
    <row r="535" customFormat="false" ht="12.75" hidden="false" customHeight="false" outlineLevel="0" collapsed="false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</row>
    <row r="536" customFormat="false" ht="12.75" hidden="false" customHeight="false" outlineLevel="0" collapsed="false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</row>
    <row r="537" customFormat="false" ht="12.75" hidden="false" customHeight="false" outlineLevel="0" collapsed="false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</row>
    <row r="538" customFormat="false" ht="12.75" hidden="false" customHeight="false" outlineLevel="0" collapsed="false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</row>
    <row r="539" customFormat="false" ht="12.75" hidden="false" customHeight="false" outlineLevel="0" collapsed="false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</row>
    <row r="540" customFormat="false" ht="12.75" hidden="false" customHeight="false" outlineLevel="0" collapsed="false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</row>
    <row r="541" customFormat="false" ht="12.75" hidden="false" customHeight="false" outlineLevel="0" collapsed="false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</row>
    <row r="542" customFormat="false" ht="12.75" hidden="false" customHeight="false" outlineLevel="0" collapsed="false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</row>
    <row r="543" customFormat="false" ht="12.75" hidden="false" customHeight="false" outlineLevel="0" collapsed="false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</row>
    <row r="544" customFormat="false" ht="12.75" hidden="false" customHeight="false" outlineLevel="0" collapsed="false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</row>
    <row r="545" customFormat="false" ht="12.75" hidden="false" customHeight="false" outlineLevel="0" collapsed="false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</row>
    <row r="546" customFormat="false" ht="12.75" hidden="false" customHeight="false" outlineLevel="0" collapsed="false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</row>
    <row r="547" customFormat="false" ht="12.75" hidden="false" customHeight="false" outlineLevel="0" collapsed="false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</row>
    <row r="548" customFormat="false" ht="12.75" hidden="false" customHeight="false" outlineLevel="0" collapsed="false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</row>
    <row r="549" customFormat="false" ht="12.75" hidden="false" customHeight="false" outlineLevel="0" collapsed="false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</row>
    <row r="550" customFormat="false" ht="12.75" hidden="false" customHeight="false" outlineLevel="0" collapsed="false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</row>
    <row r="551" customFormat="false" ht="12.75" hidden="false" customHeight="false" outlineLevel="0" collapsed="false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</row>
    <row r="552" customFormat="false" ht="12.75" hidden="false" customHeight="false" outlineLevel="0" collapsed="false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</row>
    <row r="553" customFormat="false" ht="12.75" hidden="false" customHeight="false" outlineLevel="0" collapsed="false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</row>
    <row r="554" customFormat="false" ht="12.75" hidden="false" customHeight="false" outlineLevel="0" collapsed="false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customFormat="false" ht="12.75" hidden="false" customHeight="false" outlineLevel="0" collapsed="false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</row>
    <row r="556" customFormat="false" ht="12.75" hidden="false" customHeight="false" outlineLevel="0" collapsed="false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</row>
    <row r="557" customFormat="false" ht="12.75" hidden="false" customHeight="false" outlineLevel="0" collapsed="false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</row>
    <row r="558" customFormat="false" ht="12.75" hidden="false" customHeight="false" outlineLevel="0" collapsed="false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</row>
    <row r="559" customFormat="false" ht="12.75" hidden="false" customHeight="false" outlineLevel="0" collapsed="false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</row>
    <row r="560" customFormat="false" ht="12.75" hidden="false" customHeight="false" outlineLevel="0" collapsed="false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</row>
    <row r="561" customFormat="false" ht="12.75" hidden="false" customHeight="false" outlineLevel="0" collapsed="false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</row>
    <row r="562" customFormat="false" ht="12.75" hidden="false" customHeight="false" outlineLevel="0" collapsed="false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</row>
    <row r="563" customFormat="false" ht="12.75" hidden="false" customHeight="false" outlineLevel="0" collapsed="false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</row>
    <row r="564" customFormat="false" ht="12.75" hidden="false" customHeight="false" outlineLevel="0" collapsed="false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</row>
    <row r="565" customFormat="false" ht="12.75" hidden="false" customHeight="false" outlineLevel="0" collapsed="false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</row>
    <row r="566" customFormat="false" ht="12.75" hidden="false" customHeight="false" outlineLevel="0" collapsed="false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</row>
    <row r="567" customFormat="false" ht="12.75" hidden="false" customHeight="false" outlineLevel="0" collapsed="false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</row>
    <row r="568" customFormat="false" ht="12.75" hidden="false" customHeight="false" outlineLevel="0" collapsed="false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</row>
    <row r="569" customFormat="false" ht="12.75" hidden="false" customHeight="false" outlineLevel="0" collapsed="false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</row>
    <row r="570" customFormat="false" ht="12.75" hidden="false" customHeight="false" outlineLevel="0" collapsed="false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</row>
    <row r="571" customFormat="false" ht="12.75" hidden="false" customHeight="false" outlineLevel="0" collapsed="false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</row>
    <row r="572" customFormat="false" ht="12.75" hidden="false" customHeight="false" outlineLevel="0" collapsed="false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</row>
    <row r="573" customFormat="false" ht="12.75" hidden="false" customHeight="false" outlineLevel="0" collapsed="false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</row>
    <row r="574" customFormat="false" ht="12.75" hidden="false" customHeight="false" outlineLevel="0" collapsed="false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</row>
    <row r="575" customFormat="false" ht="12.75" hidden="false" customHeight="false" outlineLevel="0" collapsed="false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</row>
    <row r="576" customFormat="false" ht="12.75" hidden="false" customHeight="false" outlineLevel="0" collapsed="false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</row>
    <row r="577" customFormat="false" ht="12.75" hidden="false" customHeight="false" outlineLevel="0" collapsed="false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</row>
    <row r="578" customFormat="false" ht="12.75" hidden="false" customHeight="false" outlineLevel="0" collapsed="false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</row>
    <row r="579" customFormat="false" ht="12.75" hidden="false" customHeight="false" outlineLevel="0" collapsed="false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</row>
    <row r="580" customFormat="false" ht="12.75" hidden="false" customHeight="false" outlineLevel="0" collapsed="false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</row>
    <row r="581" customFormat="false" ht="12.75" hidden="false" customHeight="false" outlineLevel="0" collapsed="false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</row>
    <row r="582" customFormat="false" ht="12.75" hidden="false" customHeight="false" outlineLevel="0" collapsed="false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</row>
    <row r="583" customFormat="false" ht="12.75" hidden="false" customHeight="false" outlineLevel="0" collapsed="false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</row>
    <row r="584" customFormat="false" ht="12.75" hidden="false" customHeight="false" outlineLevel="0" collapsed="false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</row>
    <row r="585" customFormat="false" ht="12.75" hidden="false" customHeight="false" outlineLevel="0" collapsed="false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</row>
    <row r="586" customFormat="false" ht="12.75" hidden="false" customHeight="false" outlineLevel="0" collapsed="false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</row>
    <row r="587" customFormat="false" ht="12.75" hidden="false" customHeight="false" outlineLevel="0" collapsed="false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</row>
    <row r="588" customFormat="false" ht="12.75" hidden="false" customHeight="false" outlineLevel="0" collapsed="false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</row>
    <row r="589" customFormat="false" ht="12.75" hidden="false" customHeight="false" outlineLevel="0" collapsed="false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</row>
    <row r="590" customFormat="false" ht="12.75" hidden="false" customHeight="false" outlineLevel="0" collapsed="false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</row>
    <row r="591" customFormat="false" ht="12.75" hidden="false" customHeight="false" outlineLevel="0" collapsed="false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</row>
    <row r="592" customFormat="false" ht="12.75" hidden="false" customHeight="false" outlineLevel="0" collapsed="false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</row>
    <row r="593" customFormat="false" ht="12.75" hidden="false" customHeight="false" outlineLevel="0" collapsed="false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</row>
    <row r="594" customFormat="false" ht="12.75" hidden="false" customHeight="false" outlineLevel="0" collapsed="false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</row>
    <row r="595" customFormat="false" ht="12.75" hidden="false" customHeight="false" outlineLevel="0" collapsed="false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</row>
    <row r="596" customFormat="false" ht="12.75" hidden="false" customHeight="false" outlineLevel="0" collapsed="false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</row>
    <row r="597" customFormat="false" ht="12.75" hidden="false" customHeight="false" outlineLevel="0" collapsed="false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</row>
    <row r="598" customFormat="false" ht="12.75" hidden="false" customHeight="false" outlineLevel="0" collapsed="false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</row>
    <row r="599" customFormat="false" ht="12.75" hidden="false" customHeight="false" outlineLevel="0" collapsed="false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</row>
    <row r="600" customFormat="false" ht="12.75" hidden="false" customHeight="false" outlineLevel="0" collapsed="false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</row>
    <row r="601" customFormat="false" ht="12.75" hidden="false" customHeight="false" outlineLevel="0" collapsed="false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</row>
    <row r="602" customFormat="false" ht="12.75" hidden="false" customHeight="false" outlineLevel="0" collapsed="false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</row>
    <row r="603" customFormat="false" ht="12.75" hidden="false" customHeight="false" outlineLevel="0" collapsed="false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</row>
    <row r="604" customFormat="false" ht="12.75" hidden="false" customHeight="false" outlineLevel="0" collapsed="false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</row>
    <row r="605" customFormat="false" ht="12.75" hidden="false" customHeight="false" outlineLevel="0" collapsed="false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</row>
    <row r="606" customFormat="false" ht="12.75" hidden="false" customHeight="false" outlineLevel="0" collapsed="false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</row>
    <row r="607" customFormat="false" ht="12.75" hidden="false" customHeight="false" outlineLevel="0" collapsed="false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</row>
    <row r="608" customFormat="false" ht="12.75" hidden="false" customHeight="false" outlineLevel="0" collapsed="false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</row>
    <row r="609" customFormat="false" ht="12.75" hidden="false" customHeight="false" outlineLevel="0" collapsed="false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</row>
    <row r="610" customFormat="false" ht="12.75" hidden="false" customHeight="false" outlineLevel="0" collapsed="false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</row>
    <row r="611" customFormat="false" ht="12.75" hidden="false" customHeight="false" outlineLevel="0" collapsed="false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</row>
    <row r="612" customFormat="false" ht="12.75" hidden="false" customHeight="false" outlineLevel="0" collapsed="false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</row>
    <row r="613" customFormat="false" ht="12.75" hidden="false" customHeight="false" outlineLevel="0" collapsed="false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</row>
    <row r="614" customFormat="false" ht="12.75" hidden="false" customHeight="false" outlineLevel="0" collapsed="false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</row>
    <row r="615" customFormat="false" ht="12.75" hidden="false" customHeight="false" outlineLevel="0" collapsed="false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</row>
    <row r="616" customFormat="false" ht="12.75" hidden="false" customHeight="false" outlineLevel="0" collapsed="false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</row>
    <row r="617" customFormat="false" ht="12.75" hidden="false" customHeight="false" outlineLevel="0" collapsed="false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</row>
    <row r="618" customFormat="false" ht="12.75" hidden="false" customHeight="false" outlineLevel="0" collapsed="false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</row>
    <row r="619" customFormat="false" ht="12.75" hidden="false" customHeight="false" outlineLevel="0" collapsed="false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</row>
    <row r="620" customFormat="false" ht="12.75" hidden="false" customHeight="false" outlineLevel="0" collapsed="false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</row>
    <row r="621" customFormat="false" ht="12.75" hidden="false" customHeight="false" outlineLevel="0" collapsed="false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</row>
    <row r="622" customFormat="false" ht="12.75" hidden="false" customHeight="false" outlineLevel="0" collapsed="false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</row>
    <row r="623" customFormat="false" ht="12.75" hidden="false" customHeight="false" outlineLevel="0" collapsed="false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</row>
    <row r="624" customFormat="false" ht="12.75" hidden="false" customHeight="false" outlineLevel="0" collapsed="false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</row>
    <row r="625" customFormat="false" ht="12.75" hidden="false" customHeight="false" outlineLevel="0" collapsed="false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</row>
    <row r="626" customFormat="false" ht="12.75" hidden="false" customHeight="false" outlineLevel="0" collapsed="false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</row>
    <row r="627" customFormat="false" ht="12.75" hidden="false" customHeight="false" outlineLevel="0" collapsed="false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</row>
    <row r="628" customFormat="false" ht="12.75" hidden="false" customHeight="false" outlineLevel="0" collapsed="false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</row>
    <row r="629" customFormat="false" ht="12.75" hidden="false" customHeight="false" outlineLevel="0" collapsed="false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</row>
    <row r="630" customFormat="false" ht="12.75" hidden="false" customHeight="false" outlineLevel="0" collapsed="false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</row>
    <row r="631" customFormat="false" ht="12.75" hidden="false" customHeight="false" outlineLevel="0" collapsed="false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</row>
    <row r="632" customFormat="false" ht="12.75" hidden="false" customHeight="false" outlineLevel="0" collapsed="false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</row>
    <row r="633" customFormat="false" ht="12.75" hidden="false" customHeight="false" outlineLevel="0" collapsed="false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customFormat="false" ht="12.75" hidden="false" customHeight="false" outlineLevel="0" collapsed="false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</row>
    <row r="635" customFormat="false" ht="12.75" hidden="false" customHeight="false" outlineLevel="0" collapsed="false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</row>
    <row r="636" customFormat="false" ht="12.75" hidden="false" customHeight="false" outlineLevel="0" collapsed="false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</row>
    <row r="637" customFormat="false" ht="12.75" hidden="false" customHeight="false" outlineLevel="0" collapsed="false">
      <c r="A637" s="16"/>
      <c r="B637" s="16"/>
      <c r="C637" s="16"/>
      <c r="D637" s="16"/>
      <c r="E637" s="16"/>
      <c r="F637" s="16"/>
      <c r="G637" s="16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</row>
    <row r="638" customFormat="false" ht="12.75" hidden="false" customHeight="false" outlineLevel="0" collapsed="false">
      <c r="A638" s="16"/>
      <c r="B638" s="16"/>
      <c r="C638" s="16"/>
      <c r="D638" s="16"/>
      <c r="E638" s="16"/>
      <c r="F638" s="16"/>
      <c r="G638" s="16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</row>
    <row r="639" customFormat="false" ht="12.75" hidden="false" customHeight="false" outlineLevel="0" collapsed="false">
      <c r="A639" s="16"/>
      <c r="B639" s="16"/>
      <c r="C639" s="16"/>
      <c r="D639" s="16"/>
      <c r="E639" s="16"/>
      <c r="F639" s="16"/>
      <c r="G639" s="16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</row>
    <row r="640" customFormat="false" ht="12.75" hidden="false" customHeight="false" outlineLevel="0" collapsed="false">
      <c r="A640" s="16"/>
      <c r="B640" s="16"/>
      <c r="C640" s="16"/>
      <c r="D640" s="16"/>
      <c r="E640" s="16"/>
      <c r="F640" s="16"/>
      <c r="G640" s="16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</row>
    <row r="641" customFormat="false" ht="12.75" hidden="false" customHeight="false" outlineLevel="0" collapsed="false">
      <c r="A641" s="16"/>
      <c r="B641" s="16"/>
      <c r="C641" s="16"/>
      <c r="D641" s="16"/>
      <c r="E641" s="16"/>
      <c r="F641" s="16"/>
      <c r="G641" s="16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</row>
    <row r="642" customFormat="false" ht="12.75" hidden="false" customHeight="false" outlineLevel="0" collapsed="false">
      <c r="A642" s="16"/>
      <c r="B642" s="16"/>
      <c r="C642" s="16"/>
      <c r="D642" s="16"/>
      <c r="E642" s="16"/>
      <c r="F642" s="16"/>
      <c r="G642" s="16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</row>
    <row r="643" customFormat="false" ht="12.75" hidden="false" customHeight="false" outlineLevel="0" collapsed="false">
      <c r="A643" s="16"/>
      <c r="B643" s="16"/>
      <c r="C643" s="16"/>
      <c r="D643" s="16"/>
      <c r="E643" s="16"/>
      <c r="F643" s="16"/>
      <c r="G643" s="16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</row>
    <row r="644" customFormat="false" ht="12.75" hidden="false" customHeight="false" outlineLevel="0" collapsed="false">
      <c r="A644" s="16"/>
      <c r="B644" s="16"/>
      <c r="C644" s="16"/>
      <c r="D644" s="16"/>
      <c r="E644" s="16"/>
      <c r="F644" s="16"/>
      <c r="G644" s="16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</row>
    <row r="645" customFormat="false" ht="12.75" hidden="false" customHeight="false" outlineLevel="0" collapsed="false">
      <c r="A645" s="16"/>
      <c r="B645" s="16"/>
      <c r="C645" s="16"/>
      <c r="D645" s="16"/>
      <c r="E645" s="16"/>
      <c r="F645" s="16"/>
      <c r="G645" s="16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</row>
    <row r="646" customFormat="false" ht="12.75" hidden="false" customHeight="false" outlineLevel="0" collapsed="false">
      <c r="A646" s="16"/>
      <c r="B646" s="16"/>
      <c r="C646" s="16"/>
      <c r="D646" s="16"/>
      <c r="E646" s="16"/>
      <c r="F646" s="16"/>
      <c r="G646" s="16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</row>
    <row r="647" customFormat="false" ht="12.75" hidden="false" customHeight="false" outlineLevel="0" collapsed="false">
      <c r="A647" s="16"/>
      <c r="B647" s="16"/>
      <c r="C647" s="16"/>
      <c r="D647" s="16"/>
      <c r="E647" s="16"/>
      <c r="F647" s="16"/>
      <c r="G647" s="16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</row>
    <row r="648" customFormat="false" ht="12.75" hidden="false" customHeight="false" outlineLevel="0" collapsed="false">
      <c r="A648" s="16"/>
      <c r="B648" s="16"/>
      <c r="C648" s="16"/>
      <c r="D648" s="16"/>
      <c r="E648" s="16"/>
      <c r="F648" s="16"/>
      <c r="G648" s="16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</row>
    <row r="649" customFormat="false" ht="12.75" hidden="false" customHeight="false" outlineLevel="0" collapsed="false">
      <c r="A649" s="16"/>
      <c r="B649" s="16"/>
      <c r="C649" s="16"/>
      <c r="D649" s="16"/>
      <c r="E649" s="16"/>
      <c r="F649" s="16"/>
      <c r="G649" s="16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</row>
    <row r="650" customFormat="false" ht="12.75" hidden="false" customHeight="false" outlineLevel="0" collapsed="false">
      <c r="A650" s="16"/>
      <c r="B650" s="16"/>
      <c r="C650" s="16"/>
      <c r="D650" s="16"/>
      <c r="E650" s="16"/>
      <c r="F650" s="16"/>
      <c r="G650" s="16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</row>
    <row r="651" customFormat="false" ht="12.75" hidden="false" customHeight="false" outlineLevel="0" collapsed="false">
      <c r="A651" s="16"/>
      <c r="B651" s="16"/>
      <c r="C651" s="16"/>
      <c r="D651" s="16"/>
      <c r="E651" s="16"/>
      <c r="F651" s="16"/>
      <c r="G651" s="16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</row>
    <row r="652" customFormat="false" ht="12.75" hidden="false" customHeight="false" outlineLevel="0" collapsed="false">
      <c r="A652" s="16"/>
      <c r="B652" s="16"/>
      <c r="C652" s="16"/>
      <c r="D652" s="16"/>
      <c r="E652" s="16"/>
      <c r="F652" s="16"/>
      <c r="G652" s="16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</row>
    <row r="653" customFormat="false" ht="12.75" hidden="false" customHeight="false" outlineLevel="0" collapsed="false">
      <c r="A653" s="16"/>
      <c r="B653" s="16"/>
      <c r="C653" s="16"/>
      <c r="D653" s="16"/>
      <c r="E653" s="16"/>
      <c r="F653" s="16"/>
      <c r="G653" s="16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</row>
    <row r="654" customFormat="false" ht="12.75" hidden="false" customHeight="false" outlineLevel="0" collapsed="false">
      <c r="A654" s="16"/>
      <c r="B654" s="16"/>
      <c r="C654" s="16"/>
      <c r="D654" s="16"/>
      <c r="E654" s="16"/>
      <c r="F654" s="16"/>
      <c r="G654" s="16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</row>
    <row r="655" customFormat="false" ht="12.75" hidden="false" customHeight="false" outlineLevel="0" collapsed="false">
      <c r="A655" s="16"/>
      <c r="B655" s="16"/>
      <c r="C655" s="16"/>
      <c r="D655" s="16"/>
      <c r="E655" s="16"/>
      <c r="F655" s="16"/>
      <c r="G655" s="16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</row>
    <row r="656" customFormat="false" ht="12.75" hidden="false" customHeight="false" outlineLevel="0" collapsed="false">
      <c r="A656" s="16"/>
      <c r="B656" s="16"/>
      <c r="C656" s="16"/>
      <c r="D656" s="16"/>
      <c r="E656" s="16"/>
      <c r="F656" s="16"/>
      <c r="G656" s="16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</row>
    <row r="657" customFormat="false" ht="12.75" hidden="false" customHeight="false" outlineLevel="0" collapsed="false">
      <c r="A657" s="16"/>
      <c r="B657" s="16"/>
      <c r="C657" s="16"/>
      <c r="D657" s="16"/>
      <c r="E657" s="16"/>
      <c r="F657" s="16"/>
      <c r="G657" s="16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</row>
    <row r="658" customFormat="false" ht="12.75" hidden="false" customHeight="false" outlineLevel="0" collapsed="false">
      <c r="A658" s="16"/>
      <c r="B658" s="16"/>
      <c r="C658" s="16"/>
      <c r="D658" s="16"/>
      <c r="E658" s="16"/>
      <c r="F658" s="16"/>
      <c r="G658" s="16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</row>
    <row r="659" customFormat="false" ht="12.75" hidden="false" customHeight="false" outlineLevel="0" collapsed="false">
      <c r="A659" s="16"/>
      <c r="B659" s="16"/>
      <c r="C659" s="16"/>
      <c r="D659" s="16"/>
      <c r="E659" s="16"/>
      <c r="F659" s="16"/>
      <c r="G659" s="16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</row>
    <row r="660" customFormat="false" ht="12.75" hidden="false" customHeight="false" outlineLevel="0" collapsed="false">
      <c r="A660" s="16"/>
      <c r="B660" s="16"/>
      <c r="C660" s="16"/>
      <c r="D660" s="16"/>
      <c r="E660" s="16"/>
      <c r="F660" s="16"/>
      <c r="G660" s="16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</row>
    <row r="661" customFormat="false" ht="12.75" hidden="false" customHeight="false" outlineLevel="0" collapsed="false">
      <c r="A661" s="16"/>
      <c r="B661" s="16"/>
      <c r="C661" s="16"/>
      <c r="D661" s="16"/>
      <c r="E661" s="16"/>
      <c r="F661" s="16"/>
      <c r="G661" s="16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</row>
    <row r="662" customFormat="false" ht="12.75" hidden="false" customHeight="false" outlineLevel="0" collapsed="false">
      <c r="A662" s="16"/>
      <c r="B662" s="16"/>
      <c r="C662" s="16"/>
      <c r="D662" s="16"/>
      <c r="E662" s="16"/>
      <c r="F662" s="16"/>
      <c r="G662" s="16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</row>
    <row r="663" customFormat="false" ht="12.75" hidden="false" customHeight="false" outlineLevel="0" collapsed="false">
      <c r="A663" s="16"/>
      <c r="B663" s="16"/>
      <c r="C663" s="16"/>
      <c r="D663" s="16"/>
      <c r="E663" s="16"/>
      <c r="F663" s="16"/>
      <c r="G663" s="16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</row>
    <row r="664" customFormat="false" ht="12.75" hidden="false" customHeight="false" outlineLevel="0" collapsed="false">
      <c r="A664" s="16"/>
      <c r="B664" s="16"/>
      <c r="C664" s="16"/>
      <c r="D664" s="16"/>
      <c r="E664" s="16"/>
      <c r="F664" s="16"/>
      <c r="G664" s="16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</row>
    <row r="665" customFormat="false" ht="12.75" hidden="false" customHeight="false" outlineLevel="0" collapsed="false">
      <c r="A665" s="16"/>
      <c r="B665" s="16"/>
      <c r="C665" s="16"/>
      <c r="D665" s="16"/>
      <c r="E665" s="16"/>
      <c r="F665" s="16"/>
      <c r="G665" s="16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</row>
    <row r="666" customFormat="false" ht="12.75" hidden="false" customHeight="false" outlineLevel="0" collapsed="false">
      <c r="A666" s="16"/>
      <c r="B666" s="16"/>
      <c r="C666" s="16"/>
      <c r="D666" s="16"/>
      <c r="E666" s="16"/>
      <c r="F666" s="16"/>
      <c r="G666" s="16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</row>
    <row r="667" customFormat="false" ht="12.75" hidden="false" customHeight="false" outlineLevel="0" collapsed="false">
      <c r="A667" s="16"/>
      <c r="B667" s="16"/>
      <c r="C667" s="16"/>
      <c r="D667" s="16"/>
      <c r="E667" s="16"/>
      <c r="F667" s="16"/>
      <c r="G667" s="16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</row>
    <row r="668" customFormat="false" ht="12.75" hidden="false" customHeight="false" outlineLevel="0" collapsed="false">
      <c r="A668" s="16"/>
      <c r="B668" s="16"/>
      <c r="C668" s="16"/>
      <c r="D668" s="16"/>
      <c r="E668" s="16"/>
      <c r="F668" s="16"/>
      <c r="G668" s="16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</row>
    <row r="669" customFormat="false" ht="12.75" hidden="false" customHeight="false" outlineLevel="0" collapsed="false">
      <c r="A669" s="16"/>
      <c r="B669" s="16"/>
      <c r="C669" s="16"/>
      <c r="D669" s="16"/>
      <c r="E669" s="16"/>
      <c r="F669" s="16"/>
      <c r="G669" s="16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</row>
    <row r="670" customFormat="false" ht="12.75" hidden="false" customHeight="false" outlineLevel="0" collapsed="false">
      <c r="A670" s="16"/>
      <c r="B670" s="16"/>
      <c r="C670" s="16"/>
      <c r="D670" s="16"/>
      <c r="E670" s="16"/>
      <c r="F670" s="16"/>
      <c r="G670" s="16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</row>
    <row r="671" customFormat="false" ht="12.75" hidden="false" customHeight="false" outlineLevel="0" collapsed="false">
      <c r="A671" s="16"/>
      <c r="B671" s="16"/>
      <c r="C671" s="16"/>
      <c r="D671" s="16"/>
      <c r="E671" s="16"/>
      <c r="F671" s="16"/>
      <c r="G671" s="16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</row>
    <row r="672" customFormat="false" ht="12.75" hidden="false" customHeight="false" outlineLevel="0" collapsed="false">
      <c r="A672" s="16"/>
      <c r="B672" s="16"/>
      <c r="C672" s="16"/>
      <c r="D672" s="16"/>
      <c r="E672" s="16"/>
      <c r="F672" s="16"/>
      <c r="G672" s="16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</row>
    <row r="673" customFormat="false" ht="12.75" hidden="false" customHeight="false" outlineLevel="0" collapsed="false">
      <c r="A673" s="16"/>
      <c r="B673" s="16"/>
      <c r="C673" s="16"/>
      <c r="D673" s="16"/>
      <c r="E673" s="16"/>
      <c r="F673" s="16"/>
      <c r="G673" s="16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</row>
    <row r="674" customFormat="false" ht="12.75" hidden="false" customHeight="false" outlineLevel="0" collapsed="false">
      <c r="A674" s="16"/>
      <c r="B674" s="16"/>
      <c r="C674" s="16"/>
      <c r="D674" s="16"/>
      <c r="E674" s="16"/>
      <c r="F674" s="16"/>
      <c r="G674" s="16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</row>
    <row r="675" customFormat="false" ht="12.75" hidden="false" customHeight="false" outlineLevel="0" collapsed="false">
      <c r="A675" s="16"/>
      <c r="B675" s="16"/>
      <c r="C675" s="16"/>
      <c r="D675" s="16"/>
      <c r="E675" s="16"/>
      <c r="F675" s="16"/>
      <c r="G675" s="16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</row>
    <row r="676" customFormat="false" ht="12.75" hidden="false" customHeight="false" outlineLevel="0" collapsed="false">
      <c r="A676" s="16"/>
      <c r="B676" s="16"/>
      <c r="C676" s="16"/>
      <c r="D676" s="16"/>
      <c r="E676" s="16"/>
      <c r="F676" s="16"/>
      <c r="G676" s="16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</row>
    <row r="677" customFormat="false" ht="12.75" hidden="false" customHeight="false" outlineLevel="0" collapsed="false">
      <c r="A677" s="16"/>
      <c r="B677" s="16"/>
      <c r="C677" s="16"/>
      <c r="D677" s="16"/>
      <c r="E677" s="16"/>
      <c r="F677" s="16"/>
      <c r="G677" s="16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</row>
    <row r="678" customFormat="false" ht="12.75" hidden="false" customHeight="false" outlineLevel="0" collapsed="false">
      <c r="A678" s="16"/>
      <c r="B678" s="16"/>
      <c r="C678" s="16"/>
      <c r="D678" s="16"/>
      <c r="E678" s="16"/>
      <c r="F678" s="16"/>
      <c r="G678" s="16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</row>
    <row r="679" customFormat="false" ht="12.75" hidden="false" customHeight="false" outlineLevel="0" collapsed="false">
      <c r="A679" s="16"/>
      <c r="B679" s="16"/>
      <c r="C679" s="16"/>
      <c r="D679" s="16"/>
      <c r="E679" s="16"/>
      <c r="F679" s="16"/>
      <c r="G679" s="16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</row>
    <row r="680" customFormat="false" ht="12.75" hidden="false" customHeight="false" outlineLevel="0" collapsed="false">
      <c r="A680" s="16"/>
      <c r="B680" s="16"/>
      <c r="C680" s="16"/>
      <c r="D680" s="16"/>
      <c r="E680" s="16"/>
      <c r="F680" s="16"/>
      <c r="G680" s="16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</row>
    <row r="681" customFormat="false" ht="12.75" hidden="false" customHeight="false" outlineLevel="0" collapsed="false">
      <c r="A681" s="16"/>
      <c r="B681" s="16"/>
      <c r="C681" s="16"/>
      <c r="D681" s="16"/>
      <c r="E681" s="16"/>
      <c r="F681" s="16"/>
      <c r="G681" s="16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</row>
    <row r="682" customFormat="false" ht="12.75" hidden="false" customHeight="false" outlineLevel="0" collapsed="false">
      <c r="A682" s="16"/>
      <c r="B682" s="16"/>
      <c r="C682" s="16"/>
      <c r="D682" s="16"/>
      <c r="E682" s="16"/>
      <c r="F682" s="16"/>
      <c r="G682" s="16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</row>
    <row r="683" customFormat="false" ht="12.75" hidden="false" customHeight="false" outlineLevel="0" collapsed="false">
      <c r="A683" s="16"/>
      <c r="B683" s="16"/>
      <c r="C683" s="16"/>
      <c r="D683" s="16"/>
      <c r="E683" s="16"/>
      <c r="F683" s="16"/>
      <c r="G683" s="16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</row>
    <row r="684" customFormat="false" ht="12.75" hidden="false" customHeight="false" outlineLevel="0" collapsed="false">
      <c r="A684" s="16"/>
      <c r="B684" s="16"/>
      <c r="C684" s="16"/>
      <c r="D684" s="16"/>
      <c r="E684" s="16"/>
      <c r="F684" s="16"/>
      <c r="G684" s="16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</row>
    <row r="685" customFormat="false" ht="12.75" hidden="false" customHeight="false" outlineLevel="0" collapsed="false">
      <c r="A685" s="16"/>
      <c r="B685" s="16"/>
      <c r="C685" s="16"/>
      <c r="D685" s="16"/>
      <c r="E685" s="16"/>
      <c r="F685" s="16"/>
      <c r="G685" s="16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</row>
    <row r="686" customFormat="false" ht="12.75" hidden="false" customHeight="false" outlineLevel="0" collapsed="false">
      <c r="A686" s="16"/>
      <c r="B686" s="16"/>
      <c r="C686" s="16"/>
      <c r="D686" s="16"/>
      <c r="E686" s="16"/>
      <c r="F686" s="16"/>
      <c r="G686" s="16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</row>
    <row r="687" customFormat="false" ht="12.75" hidden="false" customHeight="false" outlineLevel="0" collapsed="false">
      <c r="A687" s="16"/>
      <c r="B687" s="16"/>
      <c r="C687" s="16"/>
      <c r="D687" s="16"/>
      <c r="E687" s="16"/>
      <c r="F687" s="16"/>
      <c r="G687" s="16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</row>
    <row r="688" customFormat="false" ht="12.75" hidden="false" customHeight="false" outlineLevel="0" collapsed="false">
      <c r="A688" s="16"/>
      <c r="B688" s="16"/>
      <c r="C688" s="16"/>
      <c r="D688" s="16"/>
      <c r="E688" s="16"/>
      <c r="F688" s="16"/>
      <c r="G688" s="16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</row>
    <row r="689" customFormat="false" ht="12.75" hidden="false" customHeight="false" outlineLevel="0" collapsed="false">
      <c r="A689" s="16"/>
      <c r="B689" s="16"/>
      <c r="C689" s="16"/>
      <c r="D689" s="16"/>
      <c r="E689" s="16"/>
      <c r="F689" s="16"/>
      <c r="G689" s="16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</row>
    <row r="690" customFormat="false" ht="12.75" hidden="false" customHeight="false" outlineLevel="0" collapsed="false">
      <c r="A690" s="16"/>
      <c r="B690" s="16"/>
      <c r="C690" s="16"/>
      <c r="D690" s="16"/>
      <c r="E690" s="16"/>
      <c r="F690" s="16"/>
      <c r="G690" s="16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</row>
    <row r="691" customFormat="false" ht="12.75" hidden="false" customHeight="false" outlineLevel="0" collapsed="false">
      <c r="A691" s="16"/>
      <c r="B691" s="16"/>
      <c r="C691" s="16"/>
      <c r="D691" s="16"/>
      <c r="E691" s="16"/>
      <c r="F691" s="16"/>
      <c r="G691" s="16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</row>
    <row r="692" customFormat="false" ht="12.75" hidden="false" customHeight="false" outlineLevel="0" collapsed="false">
      <c r="A692" s="16"/>
      <c r="B692" s="16"/>
      <c r="C692" s="16"/>
      <c r="D692" s="16"/>
      <c r="E692" s="16"/>
      <c r="F692" s="16"/>
      <c r="G692" s="16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</row>
    <row r="693" customFormat="false" ht="12.75" hidden="false" customHeight="false" outlineLevel="0" collapsed="false">
      <c r="A693" s="16"/>
      <c r="B693" s="16"/>
      <c r="C693" s="16"/>
      <c r="D693" s="16"/>
      <c r="E693" s="16"/>
      <c r="F693" s="16"/>
      <c r="G693" s="16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</row>
    <row r="694" customFormat="false" ht="12.75" hidden="false" customHeight="false" outlineLevel="0" collapsed="false">
      <c r="A694" s="16"/>
      <c r="B694" s="16"/>
      <c r="C694" s="16"/>
      <c r="D694" s="16"/>
      <c r="E694" s="16"/>
      <c r="F694" s="16"/>
      <c r="G694" s="16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</row>
    <row r="695" customFormat="false" ht="12.75" hidden="false" customHeight="false" outlineLevel="0" collapsed="false">
      <c r="A695" s="16"/>
      <c r="B695" s="16"/>
      <c r="C695" s="16"/>
      <c r="D695" s="16"/>
      <c r="E695" s="16"/>
      <c r="F695" s="16"/>
      <c r="G695" s="16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</row>
    <row r="696" customFormat="false" ht="12.75" hidden="false" customHeight="false" outlineLevel="0" collapsed="false">
      <c r="A696" s="16"/>
      <c r="B696" s="16"/>
      <c r="C696" s="16"/>
      <c r="D696" s="16"/>
      <c r="E696" s="16"/>
      <c r="F696" s="16"/>
      <c r="G696" s="16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</row>
    <row r="697" customFormat="false" ht="12.75" hidden="false" customHeight="false" outlineLevel="0" collapsed="false">
      <c r="A697" s="16"/>
      <c r="B697" s="16"/>
      <c r="C697" s="16"/>
      <c r="D697" s="16"/>
      <c r="E697" s="16"/>
      <c r="F697" s="16"/>
      <c r="G697" s="16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</row>
    <row r="698" customFormat="false" ht="12.75" hidden="false" customHeight="false" outlineLevel="0" collapsed="false">
      <c r="A698" s="16"/>
      <c r="B698" s="16"/>
      <c r="C698" s="16"/>
      <c r="D698" s="16"/>
      <c r="E698" s="16"/>
      <c r="F698" s="16"/>
      <c r="G698" s="16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</row>
    <row r="699" customFormat="false" ht="12.75" hidden="false" customHeight="false" outlineLevel="0" collapsed="false">
      <c r="A699" s="16"/>
      <c r="B699" s="16"/>
      <c r="C699" s="16"/>
      <c r="D699" s="16"/>
      <c r="E699" s="16"/>
      <c r="F699" s="16"/>
      <c r="G699" s="16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</row>
    <row r="700" customFormat="false" ht="12.75" hidden="false" customHeight="false" outlineLevel="0" collapsed="false">
      <c r="A700" s="16"/>
      <c r="B700" s="16"/>
      <c r="C700" s="16"/>
      <c r="D700" s="16"/>
      <c r="E700" s="16"/>
      <c r="F700" s="16"/>
      <c r="G700" s="16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</row>
    <row r="701" customFormat="false" ht="12.75" hidden="false" customHeight="false" outlineLevel="0" collapsed="false">
      <c r="A701" s="16"/>
      <c r="B701" s="16"/>
      <c r="C701" s="16"/>
      <c r="D701" s="16"/>
      <c r="E701" s="16"/>
      <c r="F701" s="16"/>
      <c r="G701" s="16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</row>
    <row r="702" customFormat="false" ht="12.75" hidden="false" customHeight="false" outlineLevel="0" collapsed="false">
      <c r="A702" s="16"/>
      <c r="B702" s="16"/>
      <c r="C702" s="16"/>
      <c r="D702" s="16"/>
      <c r="E702" s="16"/>
      <c r="F702" s="16"/>
      <c r="G702" s="16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</row>
    <row r="703" customFormat="false" ht="12.75" hidden="false" customHeight="false" outlineLevel="0" collapsed="false">
      <c r="A703" s="16"/>
      <c r="B703" s="16"/>
      <c r="C703" s="16"/>
      <c r="D703" s="16"/>
      <c r="E703" s="16"/>
      <c r="F703" s="16"/>
      <c r="G703" s="16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</row>
    <row r="704" customFormat="false" ht="12.75" hidden="false" customHeight="false" outlineLevel="0" collapsed="false">
      <c r="A704" s="16"/>
      <c r="B704" s="16"/>
      <c r="C704" s="16"/>
      <c r="D704" s="16"/>
      <c r="E704" s="16"/>
      <c r="F704" s="16"/>
      <c r="G704" s="16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</row>
    <row r="705" customFormat="false" ht="12.75" hidden="false" customHeight="false" outlineLevel="0" collapsed="false">
      <c r="A705" s="16"/>
      <c r="B705" s="16"/>
      <c r="C705" s="16"/>
      <c r="D705" s="16"/>
      <c r="E705" s="16"/>
      <c r="F705" s="16"/>
      <c r="G705" s="16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</row>
    <row r="706" customFormat="false" ht="12.75" hidden="false" customHeight="false" outlineLevel="0" collapsed="false">
      <c r="A706" s="16"/>
      <c r="B706" s="16"/>
      <c r="C706" s="16"/>
      <c r="D706" s="16"/>
      <c r="E706" s="16"/>
      <c r="F706" s="16"/>
      <c r="G706" s="16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</row>
    <row r="707" customFormat="false" ht="12.75" hidden="false" customHeight="false" outlineLevel="0" collapsed="false">
      <c r="A707" s="16"/>
      <c r="B707" s="16"/>
      <c r="C707" s="16"/>
      <c r="D707" s="16"/>
      <c r="E707" s="16"/>
      <c r="F707" s="16"/>
      <c r="G707" s="16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</row>
    <row r="708" customFormat="false" ht="12.75" hidden="false" customHeight="false" outlineLevel="0" collapsed="false">
      <c r="A708" s="16"/>
      <c r="B708" s="16"/>
      <c r="C708" s="16"/>
      <c r="D708" s="16"/>
      <c r="E708" s="16"/>
      <c r="F708" s="16"/>
      <c r="G708" s="16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</row>
    <row r="709" customFormat="false" ht="12.75" hidden="false" customHeight="false" outlineLevel="0" collapsed="false">
      <c r="A709" s="16"/>
      <c r="B709" s="16"/>
      <c r="C709" s="16"/>
      <c r="D709" s="16"/>
      <c r="E709" s="16"/>
      <c r="F709" s="16"/>
      <c r="G709" s="16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</row>
    <row r="710" customFormat="false" ht="12.75" hidden="false" customHeight="false" outlineLevel="0" collapsed="false">
      <c r="A710" s="16"/>
      <c r="B710" s="16"/>
      <c r="C710" s="16"/>
      <c r="D710" s="16"/>
      <c r="E710" s="16"/>
      <c r="F710" s="16"/>
      <c r="G710" s="16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</row>
    <row r="711" customFormat="false" ht="12.75" hidden="false" customHeight="false" outlineLevel="0" collapsed="false">
      <c r="A711" s="16"/>
      <c r="B711" s="16"/>
      <c r="C711" s="16"/>
      <c r="D711" s="16"/>
      <c r="E711" s="16"/>
      <c r="F711" s="16"/>
      <c r="G711" s="16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</row>
    <row r="712" customFormat="false" ht="12.75" hidden="false" customHeight="false" outlineLevel="0" collapsed="false">
      <c r="A712" s="16"/>
      <c r="B712" s="16"/>
      <c r="C712" s="16"/>
      <c r="D712" s="16"/>
      <c r="E712" s="16"/>
      <c r="F712" s="16"/>
      <c r="G712" s="16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</row>
    <row r="713" customFormat="false" ht="12.75" hidden="false" customHeight="false" outlineLevel="0" collapsed="false">
      <c r="A713" s="16"/>
      <c r="B713" s="16"/>
      <c r="C713" s="16"/>
      <c r="D713" s="16"/>
      <c r="E713" s="16"/>
      <c r="F713" s="16"/>
      <c r="G713" s="16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</row>
    <row r="714" customFormat="false" ht="12.75" hidden="false" customHeight="false" outlineLevel="0" collapsed="false">
      <c r="A714" s="16"/>
      <c r="B714" s="16"/>
      <c r="C714" s="16"/>
      <c r="D714" s="16"/>
      <c r="E714" s="16"/>
      <c r="F714" s="16"/>
      <c r="G714" s="16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</row>
    <row r="715" customFormat="false" ht="12.75" hidden="false" customHeight="false" outlineLevel="0" collapsed="false">
      <c r="A715" s="16"/>
      <c r="B715" s="16"/>
      <c r="C715" s="16"/>
      <c r="D715" s="16"/>
      <c r="E715" s="16"/>
      <c r="F715" s="16"/>
      <c r="G715" s="16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</row>
    <row r="716" customFormat="false" ht="12.75" hidden="false" customHeight="false" outlineLevel="0" collapsed="false">
      <c r="A716" s="16"/>
      <c r="B716" s="16"/>
      <c r="C716" s="16"/>
      <c r="D716" s="16"/>
      <c r="E716" s="16"/>
      <c r="F716" s="16"/>
      <c r="G716" s="16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</row>
    <row r="717" customFormat="false" ht="12.75" hidden="false" customHeight="false" outlineLevel="0" collapsed="false">
      <c r="A717" s="16"/>
      <c r="B717" s="16"/>
      <c r="C717" s="16"/>
      <c r="D717" s="16"/>
      <c r="E717" s="16"/>
      <c r="F717" s="16"/>
      <c r="G717" s="16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</row>
    <row r="718" customFormat="false" ht="12.75" hidden="false" customHeight="false" outlineLevel="0" collapsed="false">
      <c r="A718" s="16"/>
      <c r="B718" s="16"/>
      <c r="C718" s="16"/>
      <c r="D718" s="16"/>
      <c r="E718" s="16"/>
      <c r="F718" s="16"/>
      <c r="G718" s="16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</row>
    <row r="719" customFormat="false" ht="12.75" hidden="false" customHeight="false" outlineLevel="0" collapsed="false">
      <c r="A719" s="16"/>
      <c r="B719" s="16"/>
      <c r="C719" s="16"/>
      <c r="D719" s="16"/>
      <c r="E719" s="16"/>
      <c r="F719" s="16"/>
      <c r="G719" s="16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</row>
    <row r="720" customFormat="false" ht="12.75" hidden="false" customHeight="false" outlineLevel="0" collapsed="false">
      <c r="A720" s="16"/>
      <c r="B720" s="16"/>
      <c r="C720" s="16"/>
      <c r="D720" s="16"/>
      <c r="E720" s="16"/>
      <c r="F720" s="16"/>
      <c r="G720" s="16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</row>
    <row r="721" customFormat="false" ht="12.75" hidden="false" customHeight="false" outlineLevel="0" collapsed="false">
      <c r="A721" s="16"/>
      <c r="B721" s="16"/>
      <c r="C721" s="16"/>
      <c r="D721" s="16"/>
      <c r="E721" s="16"/>
      <c r="F721" s="16"/>
      <c r="G721" s="16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</row>
    <row r="722" customFormat="false" ht="12.75" hidden="false" customHeight="false" outlineLevel="0" collapsed="false">
      <c r="A722" s="16"/>
      <c r="B722" s="16"/>
      <c r="C722" s="16"/>
      <c r="D722" s="16"/>
      <c r="E722" s="16"/>
      <c r="F722" s="16"/>
      <c r="G722" s="16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</row>
    <row r="723" customFormat="false" ht="12.75" hidden="false" customHeight="false" outlineLevel="0" collapsed="false">
      <c r="A723" s="16"/>
      <c r="B723" s="16"/>
      <c r="C723" s="16"/>
      <c r="D723" s="16"/>
      <c r="E723" s="16"/>
      <c r="F723" s="16"/>
      <c r="G723" s="16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</row>
    <row r="724" customFormat="false" ht="12.75" hidden="false" customHeight="false" outlineLevel="0" collapsed="false">
      <c r="A724" s="16"/>
      <c r="B724" s="16"/>
      <c r="C724" s="16"/>
      <c r="D724" s="16"/>
      <c r="E724" s="16"/>
      <c r="F724" s="16"/>
      <c r="G724" s="16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</row>
    <row r="725" customFormat="false" ht="12.75" hidden="false" customHeight="false" outlineLevel="0" collapsed="false">
      <c r="A725" s="16"/>
      <c r="B725" s="16"/>
      <c r="C725" s="16"/>
      <c r="D725" s="16"/>
      <c r="E725" s="16"/>
      <c r="F725" s="16"/>
      <c r="G725" s="16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</row>
    <row r="726" customFormat="false" ht="12.75" hidden="false" customHeight="false" outlineLevel="0" collapsed="false">
      <c r="A726" s="16"/>
      <c r="B726" s="16"/>
      <c r="C726" s="16"/>
      <c r="D726" s="16"/>
      <c r="E726" s="16"/>
      <c r="F726" s="16"/>
      <c r="G726" s="16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</row>
    <row r="727" customFormat="false" ht="12.75" hidden="false" customHeight="false" outlineLevel="0" collapsed="false">
      <c r="A727" s="16"/>
      <c r="B727" s="16"/>
      <c r="C727" s="16"/>
      <c r="D727" s="16"/>
      <c r="E727" s="16"/>
      <c r="F727" s="16"/>
      <c r="G727" s="16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</row>
    <row r="728" customFormat="false" ht="12.75" hidden="false" customHeight="false" outlineLevel="0" collapsed="false">
      <c r="A728" s="16"/>
      <c r="B728" s="16"/>
      <c r="C728" s="16"/>
      <c r="D728" s="16"/>
      <c r="E728" s="16"/>
      <c r="F728" s="16"/>
      <c r="G728" s="16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</row>
    <row r="729" customFormat="false" ht="12.75" hidden="false" customHeight="false" outlineLevel="0" collapsed="false">
      <c r="A729" s="16"/>
      <c r="B729" s="16"/>
      <c r="C729" s="16"/>
      <c r="D729" s="16"/>
      <c r="E729" s="16"/>
      <c r="F729" s="16"/>
      <c r="G729" s="16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</row>
    <row r="730" customFormat="false" ht="12.75" hidden="false" customHeight="false" outlineLevel="0" collapsed="false">
      <c r="A730" s="16"/>
      <c r="B730" s="16"/>
      <c r="C730" s="16"/>
      <c r="D730" s="16"/>
      <c r="E730" s="16"/>
      <c r="F730" s="16"/>
      <c r="G730" s="16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</row>
    <row r="731" customFormat="false" ht="12.75" hidden="false" customHeight="false" outlineLevel="0" collapsed="false">
      <c r="A731" s="16"/>
      <c r="B731" s="16"/>
      <c r="C731" s="16"/>
      <c r="D731" s="16"/>
      <c r="E731" s="16"/>
      <c r="F731" s="16"/>
      <c r="G731" s="16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</row>
    <row r="732" customFormat="false" ht="12.75" hidden="false" customHeight="false" outlineLevel="0" collapsed="false">
      <c r="A732" s="16"/>
      <c r="B732" s="16"/>
      <c r="C732" s="16"/>
      <c r="D732" s="16"/>
      <c r="E732" s="16"/>
      <c r="F732" s="16"/>
      <c r="G732" s="16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</row>
    <row r="733" customFormat="false" ht="12.75" hidden="false" customHeight="false" outlineLevel="0" collapsed="false">
      <c r="A733" s="16"/>
      <c r="B733" s="16"/>
      <c r="C733" s="16"/>
      <c r="D733" s="16"/>
      <c r="E733" s="16"/>
      <c r="F733" s="16"/>
      <c r="G733" s="16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</row>
    <row r="734" customFormat="false" ht="12.75" hidden="false" customHeight="false" outlineLevel="0" collapsed="false">
      <c r="A734" s="16"/>
      <c r="B734" s="16"/>
      <c r="C734" s="16"/>
      <c r="D734" s="16"/>
      <c r="E734" s="16"/>
      <c r="F734" s="16"/>
      <c r="G734" s="16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</row>
    <row r="735" customFormat="false" ht="12.75" hidden="false" customHeight="false" outlineLevel="0" collapsed="false">
      <c r="A735" s="16"/>
      <c r="B735" s="16"/>
      <c r="C735" s="16"/>
      <c r="D735" s="16"/>
      <c r="E735" s="16"/>
      <c r="F735" s="16"/>
      <c r="G735" s="16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</row>
    <row r="736" customFormat="false" ht="12.75" hidden="false" customHeight="false" outlineLevel="0" collapsed="false">
      <c r="A736" s="16"/>
      <c r="B736" s="16"/>
      <c r="C736" s="16"/>
      <c r="D736" s="16"/>
      <c r="E736" s="16"/>
      <c r="F736" s="16"/>
      <c r="G736" s="16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</row>
    <row r="737" customFormat="false" ht="12.75" hidden="false" customHeight="false" outlineLevel="0" collapsed="false">
      <c r="A737" s="16"/>
      <c r="B737" s="16"/>
      <c r="C737" s="16"/>
      <c r="D737" s="16"/>
      <c r="E737" s="16"/>
      <c r="F737" s="16"/>
      <c r="G737" s="16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</row>
    <row r="738" customFormat="false" ht="12.75" hidden="false" customHeight="false" outlineLevel="0" collapsed="false">
      <c r="A738" s="16"/>
      <c r="B738" s="16"/>
      <c r="C738" s="16"/>
      <c r="D738" s="16"/>
      <c r="E738" s="16"/>
      <c r="F738" s="16"/>
      <c r="G738" s="16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</row>
    <row r="739" customFormat="false" ht="12.75" hidden="false" customHeight="false" outlineLevel="0" collapsed="false">
      <c r="A739" s="16"/>
      <c r="B739" s="16"/>
      <c r="C739" s="16"/>
      <c r="D739" s="16"/>
      <c r="E739" s="16"/>
      <c r="F739" s="16"/>
      <c r="G739" s="16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</row>
    <row r="740" customFormat="false" ht="12.75" hidden="false" customHeight="false" outlineLevel="0" collapsed="false">
      <c r="A740" s="16"/>
      <c r="B740" s="16"/>
      <c r="C740" s="16"/>
      <c r="D740" s="16"/>
      <c r="E740" s="16"/>
      <c r="F740" s="16"/>
      <c r="G740" s="16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</row>
    <row r="741" customFormat="false" ht="12.75" hidden="false" customHeight="false" outlineLevel="0" collapsed="false">
      <c r="A741" s="16"/>
      <c r="B741" s="16"/>
      <c r="C741" s="16"/>
      <c r="D741" s="16"/>
      <c r="E741" s="16"/>
      <c r="F741" s="16"/>
      <c r="G741" s="16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</row>
    <row r="742" customFormat="false" ht="12.75" hidden="false" customHeight="false" outlineLevel="0" collapsed="false">
      <c r="A742" s="16"/>
      <c r="B742" s="16"/>
      <c r="C742" s="16"/>
      <c r="D742" s="16"/>
      <c r="E742" s="16"/>
      <c r="F742" s="16"/>
      <c r="G742" s="16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</row>
    <row r="743" customFormat="false" ht="12.75" hidden="false" customHeight="false" outlineLevel="0" collapsed="false">
      <c r="A743" s="16"/>
      <c r="B743" s="16"/>
      <c r="C743" s="16"/>
      <c r="D743" s="16"/>
      <c r="E743" s="16"/>
      <c r="F743" s="16"/>
      <c r="G743" s="16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</row>
    <row r="744" customFormat="false" ht="12.75" hidden="false" customHeight="false" outlineLevel="0" collapsed="false">
      <c r="A744" s="16"/>
      <c r="B744" s="16"/>
      <c r="C744" s="16"/>
      <c r="D744" s="16"/>
      <c r="E744" s="16"/>
      <c r="F744" s="16"/>
      <c r="G744" s="16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</row>
    <row r="745" customFormat="false" ht="12.75" hidden="false" customHeight="false" outlineLevel="0" collapsed="false">
      <c r="A745" s="16"/>
      <c r="B745" s="16"/>
      <c r="C745" s="16"/>
      <c r="D745" s="16"/>
      <c r="E745" s="16"/>
      <c r="F745" s="16"/>
      <c r="G745" s="16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</row>
    <row r="746" customFormat="false" ht="12.75" hidden="false" customHeight="false" outlineLevel="0" collapsed="false">
      <c r="A746" s="16"/>
      <c r="B746" s="16"/>
      <c r="C746" s="16"/>
      <c r="D746" s="16"/>
      <c r="E746" s="16"/>
      <c r="F746" s="16"/>
      <c r="G746" s="16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</row>
    <row r="747" customFormat="false" ht="12.75" hidden="false" customHeight="false" outlineLevel="0" collapsed="false">
      <c r="A747" s="16"/>
      <c r="B747" s="16"/>
      <c r="C747" s="16"/>
      <c r="D747" s="16"/>
      <c r="E747" s="16"/>
      <c r="F747" s="16"/>
      <c r="G747" s="16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</row>
    <row r="748" customFormat="false" ht="12.75" hidden="false" customHeight="false" outlineLevel="0" collapsed="false">
      <c r="A748" s="16"/>
      <c r="B748" s="16"/>
      <c r="C748" s="16"/>
      <c r="D748" s="16"/>
      <c r="E748" s="16"/>
      <c r="F748" s="16"/>
      <c r="G748" s="16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</row>
    <row r="749" customFormat="false" ht="12.75" hidden="false" customHeight="false" outlineLevel="0" collapsed="false">
      <c r="A749" s="16"/>
      <c r="B749" s="16"/>
      <c r="C749" s="16"/>
      <c r="D749" s="16"/>
      <c r="E749" s="16"/>
      <c r="F749" s="16"/>
      <c r="G749" s="16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</row>
    <row r="750" customFormat="false" ht="12.75" hidden="false" customHeight="false" outlineLevel="0" collapsed="false">
      <c r="A750" s="16"/>
      <c r="B750" s="16"/>
      <c r="C750" s="16"/>
      <c r="D750" s="16"/>
      <c r="E750" s="16"/>
      <c r="F750" s="16"/>
      <c r="G750" s="16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</row>
    <row r="751" customFormat="false" ht="12.75" hidden="false" customHeight="false" outlineLevel="0" collapsed="false">
      <c r="A751" s="16"/>
      <c r="B751" s="16"/>
      <c r="C751" s="16"/>
      <c r="D751" s="16"/>
      <c r="E751" s="16"/>
      <c r="F751" s="16"/>
      <c r="G751" s="16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</row>
    <row r="752" customFormat="false" ht="12.75" hidden="false" customHeight="false" outlineLevel="0" collapsed="false">
      <c r="A752" s="16"/>
      <c r="B752" s="16"/>
      <c r="C752" s="16"/>
      <c r="D752" s="16"/>
      <c r="E752" s="16"/>
      <c r="F752" s="16"/>
      <c r="G752" s="16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</row>
    <row r="753" customFormat="false" ht="12.75" hidden="false" customHeight="false" outlineLevel="0" collapsed="false">
      <c r="A753" s="16"/>
      <c r="B753" s="16"/>
      <c r="C753" s="16"/>
      <c r="D753" s="16"/>
      <c r="E753" s="16"/>
      <c r="F753" s="16"/>
      <c r="G753" s="16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</row>
    <row r="754" customFormat="false" ht="12.75" hidden="false" customHeight="false" outlineLevel="0" collapsed="false">
      <c r="A754" s="16"/>
      <c r="B754" s="16"/>
      <c r="C754" s="16"/>
      <c r="D754" s="16"/>
      <c r="E754" s="16"/>
      <c r="F754" s="16"/>
      <c r="G754" s="16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</row>
    <row r="755" customFormat="false" ht="12.75" hidden="false" customHeight="false" outlineLevel="0" collapsed="false">
      <c r="A755" s="16"/>
      <c r="B755" s="16"/>
      <c r="C755" s="16"/>
      <c r="D755" s="16"/>
      <c r="E755" s="16"/>
      <c r="F755" s="16"/>
      <c r="G755" s="16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</row>
    <row r="756" customFormat="false" ht="12.75" hidden="false" customHeight="false" outlineLevel="0" collapsed="false">
      <c r="A756" s="16"/>
      <c r="B756" s="16"/>
      <c r="C756" s="16"/>
      <c r="D756" s="16"/>
      <c r="E756" s="16"/>
      <c r="F756" s="16"/>
      <c r="G756" s="16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</row>
    <row r="757" customFormat="false" ht="12.75" hidden="false" customHeight="false" outlineLevel="0" collapsed="false">
      <c r="A757" s="16"/>
      <c r="B757" s="16"/>
      <c r="C757" s="16"/>
      <c r="D757" s="16"/>
      <c r="E757" s="16"/>
      <c r="F757" s="16"/>
      <c r="G757" s="16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</row>
    <row r="758" customFormat="false" ht="12.75" hidden="false" customHeight="false" outlineLevel="0" collapsed="false">
      <c r="A758" s="16"/>
      <c r="B758" s="16"/>
      <c r="C758" s="16"/>
      <c r="D758" s="16"/>
      <c r="E758" s="16"/>
      <c r="F758" s="16"/>
      <c r="G758" s="16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</row>
    <row r="759" customFormat="false" ht="12.75" hidden="false" customHeight="false" outlineLevel="0" collapsed="false">
      <c r="A759" s="16"/>
      <c r="B759" s="16"/>
      <c r="C759" s="16"/>
      <c r="D759" s="16"/>
      <c r="E759" s="16"/>
      <c r="F759" s="16"/>
      <c r="G759" s="16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</row>
    <row r="760" customFormat="false" ht="12.75" hidden="false" customHeight="false" outlineLevel="0" collapsed="false">
      <c r="A760" s="16"/>
      <c r="B760" s="16"/>
      <c r="C760" s="16"/>
      <c r="D760" s="16"/>
      <c r="E760" s="16"/>
      <c r="F760" s="16"/>
      <c r="G760" s="16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</row>
    <row r="761" customFormat="false" ht="12.75" hidden="false" customHeight="false" outlineLevel="0" collapsed="false">
      <c r="A761" s="16"/>
      <c r="B761" s="16"/>
      <c r="C761" s="16"/>
      <c r="D761" s="16"/>
      <c r="E761" s="16"/>
      <c r="F761" s="16"/>
      <c r="G761" s="16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</row>
    <row r="762" customFormat="false" ht="12.75" hidden="false" customHeight="false" outlineLevel="0" collapsed="false">
      <c r="A762" s="16"/>
      <c r="B762" s="16"/>
      <c r="C762" s="16"/>
      <c r="D762" s="16"/>
      <c r="E762" s="16"/>
      <c r="F762" s="16"/>
      <c r="G762" s="16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</row>
    <row r="763" customFormat="false" ht="12.75" hidden="false" customHeight="false" outlineLevel="0" collapsed="false">
      <c r="A763" s="16"/>
      <c r="B763" s="16"/>
      <c r="C763" s="16"/>
      <c r="D763" s="16"/>
      <c r="E763" s="16"/>
      <c r="F763" s="16"/>
      <c r="G763" s="16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</row>
    <row r="764" customFormat="false" ht="12.75" hidden="false" customHeight="false" outlineLevel="0" collapsed="false">
      <c r="A764" s="16"/>
      <c r="B764" s="16"/>
      <c r="C764" s="16"/>
      <c r="D764" s="16"/>
      <c r="E764" s="16"/>
      <c r="F764" s="16"/>
      <c r="G764" s="16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</row>
    <row r="765" customFormat="false" ht="12.75" hidden="false" customHeight="false" outlineLevel="0" collapsed="false">
      <c r="A765" s="16"/>
      <c r="B765" s="16"/>
      <c r="C765" s="16"/>
      <c r="D765" s="16"/>
      <c r="E765" s="16"/>
      <c r="F765" s="16"/>
      <c r="G765" s="16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</row>
    <row r="766" customFormat="false" ht="12.75" hidden="false" customHeight="false" outlineLevel="0" collapsed="false">
      <c r="A766" s="16"/>
      <c r="B766" s="16"/>
      <c r="C766" s="16"/>
      <c r="D766" s="16"/>
      <c r="E766" s="16"/>
      <c r="F766" s="16"/>
      <c r="G766" s="16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</row>
    <row r="767" customFormat="false" ht="12.75" hidden="false" customHeight="false" outlineLevel="0" collapsed="false">
      <c r="A767" s="16"/>
      <c r="B767" s="16"/>
      <c r="C767" s="16"/>
      <c r="D767" s="16"/>
      <c r="E767" s="16"/>
      <c r="F767" s="16"/>
      <c r="G767" s="16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</row>
    <row r="768" customFormat="false" ht="12.75" hidden="false" customHeight="false" outlineLevel="0" collapsed="false">
      <c r="A768" s="16"/>
      <c r="B768" s="16"/>
      <c r="C768" s="16"/>
      <c r="D768" s="16"/>
      <c r="E768" s="16"/>
      <c r="F768" s="16"/>
      <c r="G768" s="16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</row>
    <row r="769" customFormat="false" ht="12.75" hidden="false" customHeight="false" outlineLevel="0" collapsed="false">
      <c r="A769" s="16"/>
      <c r="B769" s="16"/>
      <c r="C769" s="16"/>
      <c r="D769" s="16"/>
      <c r="E769" s="16"/>
      <c r="F769" s="16"/>
      <c r="G769" s="16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</row>
    <row r="770" customFormat="false" ht="12.75" hidden="false" customHeight="false" outlineLevel="0" collapsed="false">
      <c r="A770" s="16"/>
      <c r="B770" s="16"/>
      <c r="C770" s="16"/>
      <c r="D770" s="16"/>
      <c r="E770" s="16"/>
      <c r="F770" s="16"/>
      <c r="G770" s="16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</row>
    <row r="771" customFormat="false" ht="12.75" hidden="false" customHeight="false" outlineLevel="0" collapsed="false">
      <c r="A771" s="16"/>
      <c r="B771" s="16"/>
      <c r="C771" s="16"/>
      <c r="D771" s="16"/>
      <c r="E771" s="16"/>
      <c r="F771" s="16"/>
      <c r="G771" s="16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</row>
    <row r="772" customFormat="false" ht="12.75" hidden="false" customHeight="false" outlineLevel="0" collapsed="false">
      <c r="A772" s="16"/>
      <c r="B772" s="16"/>
      <c r="C772" s="16"/>
      <c r="D772" s="16"/>
      <c r="E772" s="16"/>
      <c r="F772" s="16"/>
      <c r="G772" s="16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</row>
    <row r="773" customFormat="false" ht="12.75" hidden="false" customHeight="false" outlineLevel="0" collapsed="false">
      <c r="A773" s="16"/>
      <c r="B773" s="16"/>
      <c r="C773" s="16"/>
      <c r="D773" s="16"/>
      <c r="E773" s="16"/>
      <c r="F773" s="16"/>
      <c r="G773" s="16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</row>
    <row r="774" customFormat="false" ht="12.75" hidden="false" customHeight="false" outlineLevel="0" collapsed="false">
      <c r="A774" s="16"/>
      <c r="B774" s="16"/>
      <c r="C774" s="16"/>
      <c r="D774" s="16"/>
      <c r="E774" s="16"/>
      <c r="F774" s="16"/>
      <c r="G774" s="16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</row>
    <row r="775" customFormat="false" ht="12.75" hidden="false" customHeight="false" outlineLevel="0" collapsed="false">
      <c r="A775" s="16"/>
      <c r="B775" s="16"/>
      <c r="C775" s="16"/>
      <c r="D775" s="16"/>
      <c r="E775" s="16"/>
      <c r="F775" s="16"/>
      <c r="G775" s="16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</row>
    <row r="776" customFormat="false" ht="12.75" hidden="false" customHeight="false" outlineLevel="0" collapsed="false">
      <c r="A776" s="16"/>
      <c r="B776" s="16"/>
      <c r="C776" s="16"/>
      <c r="D776" s="16"/>
      <c r="E776" s="16"/>
      <c r="F776" s="16"/>
      <c r="G776" s="16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</row>
    <row r="777" customFormat="false" ht="12.75" hidden="false" customHeight="false" outlineLevel="0" collapsed="false">
      <c r="A777" s="16"/>
      <c r="B777" s="16"/>
      <c r="C777" s="16"/>
      <c r="D777" s="16"/>
      <c r="E777" s="16"/>
      <c r="F777" s="16"/>
      <c r="G777" s="16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</row>
    <row r="778" customFormat="false" ht="12.75" hidden="false" customHeight="false" outlineLevel="0" collapsed="false">
      <c r="A778" s="16"/>
      <c r="B778" s="16"/>
      <c r="C778" s="16"/>
      <c r="D778" s="16"/>
      <c r="E778" s="16"/>
      <c r="F778" s="16"/>
      <c r="G778" s="16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</row>
    <row r="779" customFormat="false" ht="12.75" hidden="false" customHeight="false" outlineLevel="0" collapsed="false">
      <c r="A779" s="16"/>
      <c r="B779" s="16"/>
      <c r="C779" s="16"/>
      <c r="D779" s="16"/>
      <c r="E779" s="16"/>
      <c r="F779" s="16"/>
      <c r="G779" s="16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</row>
    <row r="780" customFormat="false" ht="12.75" hidden="false" customHeight="false" outlineLevel="0" collapsed="false">
      <c r="A780" s="16"/>
      <c r="B780" s="16"/>
      <c r="C780" s="16"/>
      <c r="D780" s="16"/>
      <c r="E780" s="16"/>
      <c r="F780" s="16"/>
      <c r="G780" s="16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</row>
    <row r="781" customFormat="false" ht="12.75" hidden="false" customHeight="false" outlineLevel="0" collapsed="false">
      <c r="A781" s="16"/>
      <c r="B781" s="16"/>
      <c r="C781" s="16"/>
      <c r="D781" s="16"/>
      <c r="E781" s="16"/>
      <c r="F781" s="16"/>
      <c r="G781" s="16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</row>
    <row r="782" customFormat="false" ht="12.75" hidden="false" customHeight="false" outlineLevel="0" collapsed="false">
      <c r="A782" s="16"/>
      <c r="B782" s="16"/>
      <c r="C782" s="16"/>
      <c r="D782" s="16"/>
      <c r="E782" s="16"/>
      <c r="F782" s="16"/>
      <c r="G782" s="16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</row>
    <row r="783" customFormat="false" ht="12.75" hidden="false" customHeight="false" outlineLevel="0" collapsed="false">
      <c r="A783" s="16"/>
      <c r="B783" s="16"/>
      <c r="C783" s="16"/>
      <c r="D783" s="16"/>
      <c r="E783" s="16"/>
      <c r="F783" s="16"/>
      <c r="G783" s="16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</row>
    <row r="784" customFormat="false" ht="12.75" hidden="false" customHeight="false" outlineLevel="0" collapsed="false">
      <c r="A784" s="16"/>
      <c r="B784" s="16"/>
      <c r="C784" s="16"/>
      <c r="D784" s="16"/>
      <c r="E784" s="16"/>
      <c r="F784" s="16"/>
      <c r="G784" s="16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</row>
    <row r="785" customFormat="false" ht="12.75" hidden="false" customHeight="false" outlineLevel="0" collapsed="false">
      <c r="A785" s="16"/>
      <c r="B785" s="16"/>
      <c r="C785" s="16"/>
      <c r="D785" s="16"/>
      <c r="E785" s="16"/>
      <c r="F785" s="16"/>
      <c r="G785" s="16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</row>
    <row r="786" customFormat="false" ht="12.75" hidden="false" customHeight="false" outlineLevel="0" collapsed="false">
      <c r="A786" s="16"/>
      <c r="B786" s="16"/>
      <c r="C786" s="16"/>
      <c r="D786" s="16"/>
      <c r="E786" s="16"/>
      <c r="F786" s="16"/>
      <c r="G786" s="16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</row>
    <row r="787" customFormat="false" ht="12.75" hidden="false" customHeight="false" outlineLevel="0" collapsed="false">
      <c r="A787" s="16"/>
      <c r="B787" s="16"/>
      <c r="C787" s="16"/>
      <c r="D787" s="16"/>
      <c r="E787" s="16"/>
      <c r="F787" s="16"/>
      <c r="G787" s="16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</row>
    <row r="788" customFormat="false" ht="12.75" hidden="false" customHeight="false" outlineLevel="0" collapsed="false">
      <c r="A788" s="16"/>
      <c r="B788" s="16"/>
      <c r="C788" s="16"/>
      <c r="D788" s="16"/>
      <c r="E788" s="16"/>
      <c r="F788" s="16"/>
      <c r="G788" s="16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</row>
    <row r="789" customFormat="false" ht="12.75" hidden="false" customHeight="false" outlineLevel="0" collapsed="false">
      <c r="A789" s="16"/>
      <c r="B789" s="16"/>
      <c r="C789" s="16"/>
      <c r="D789" s="16"/>
      <c r="E789" s="16"/>
      <c r="F789" s="16"/>
      <c r="G789" s="16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</row>
    <row r="790" customFormat="false" ht="12.75" hidden="false" customHeight="false" outlineLevel="0" collapsed="false">
      <c r="A790" s="16"/>
      <c r="B790" s="16"/>
      <c r="C790" s="16"/>
      <c r="D790" s="16"/>
      <c r="E790" s="16"/>
      <c r="F790" s="16"/>
      <c r="G790" s="16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</row>
    <row r="791" customFormat="false" ht="12.75" hidden="false" customHeight="false" outlineLevel="0" collapsed="false">
      <c r="A791" s="16"/>
      <c r="B791" s="16"/>
      <c r="C791" s="16"/>
      <c r="D791" s="16"/>
      <c r="E791" s="16"/>
      <c r="F791" s="16"/>
      <c r="G791" s="16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</row>
    <row r="792" customFormat="false" ht="12.75" hidden="false" customHeight="false" outlineLevel="0" collapsed="false">
      <c r="A792" s="16"/>
      <c r="B792" s="16"/>
      <c r="C792" s="16"/>
      <c r="D792" s="16"/>
      <c r="E792" s="16"/>
      <c r="F792" s="16"/>
      <c r="G792" s="16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</row>
    <row r="793" customFormat="false" ht="12.75" hidden="false" customHeight="false" outlineLevel="0" collapsed="false">
      <c r="A793" s="16"/>
      <c r="B793" s="16"/>
      <c r="C793" s="16"/>
      <c r="D793" s="16"/>
      <c r="E793" s="16"/>
      <c r="F793" s="16"/>
      <c r="G793" s="16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</row>
    <row r="794" customFormat="false" ht="12.75" hidden="false" customHeight="false" outlineLevel="0" collapsed="false">
      <c r="A794" s="16"/>
      <c r="B794" s="16"/>
      <c r="C794" s="16"/>
      <c r="D794" s="16"/>
      <c r="E794" s="16"/>
      <c r="F794" s="16"/>
      <c r="G794" s="16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</row>
    <row r="795" customFormat="false" ht="12.75" hidden="false" customHeight="false" outlineLevel="0" collapsed="false">
      <c r="A795" s="16"/>
      <c r="B795" s="16"/>
      <c r="C795" s="16"/>
      <c r="D795" s="16"/>
      <c r="E795" s="16"/>
      <c r="F795" s="16"/>
      <c r="G795" s="16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</row>
    <row r="796" customFormat="false" ht="12.75" hidden="false" customHeight="false" outlineLevel="0" collapsed="false">
      <c r="A796" s="16"/>
      <c r="B796" s="16"/>
      <c r="C796" s="16"/>
      <c r="D796" s="16"/>
      <c r="E796" s="16"/>
      <c r="F796" s="16"/>
      <c r="G796" s="16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</row>
    <row r="797" customFormat="false" ht="12.75" hidden="false" customHeight="false" outlineLevel="0" collapsed="false">
      <c r="A797" s="16"/>
      <c r="B797" s="16"/>
      <c r="C797" s="16"/>
      <c r="D797" s="16"/>
      <c r="E797" s="16"/>
      <c r="F797" s="16"/>
      <c r="G797" s="16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</row>
    <row r="798" customFormat="false" ht="12.75" hidden="false" customHeight="false" outlineLevel="0" collapsed="false">
      <c r="A798" s="16"/>
      <c r="B798" s="16"/>
      <c r="C798" s="16"/>
      <c r="D798" s="16"/>
      <c r="E798" s="16"/>
      <c r="F798" s="16"/>
      <c r="G798" s="16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</row>
    <row r="799" customFormat="false" ht="12.75" hidden="false" customHeight="false" outlineLevel="0" collapsed="false">
      <c r="A799" s="16"/>
      <c r="B799" s="16"/>
      <c r="C799" s="16"/>
      <c r="D799" s="16"/>
      <c r="E799" s="16"/>
      <c r="F799" s="16"/>
      <c r="G799" s="16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</row>
    <row r="800" customFormat="false" ht="12.75" hidden="false" customHeight="false" outlineLevel="0" collapsed="false">
      <c r="A800" s="16"/>
      <c r="B800" s="16"/>
      <c r="C800" s="16"/>
      <c r="D800" s="16"/>
      <c r="E800" s="16"/>
      <c r="F800" s="16"/>
      <c r="G800" s="16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</row>
    <row r="801" customFormat="false" ht="12.75" hidden="false" customHeight="false" outlineLevel="0" collapsed="false">
      <c r="A801" s="16"/>
      <c r="B801" s="16"/>
      <c r="C801" s="16"/>
      <c r="D801" s="16"/>
      <c r="E801" s="16"/>
      <c r="F801" s="16"/>
      <c r="G801" s="16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</row>
    <row r="802" customFormat="false" ht="12.75" hidden="false" customHeight="false" outlineLevel="0" collapsed="false">
      <c r="A802" s="16"/>
      <c r="B802" s="16"/>
      <c r="C802" s="16"/>
      <c r="D802" s="16"/>
      <c r="E802" s="16"/>
      <c r="F802" s="16"/>
      <c r="G802" s="16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</row>
    <row r="803" customFormat="false" ht="12.75" hidden="false" customHeight="false" outlineLevel="0" collapsed="false">
      <c r="A803" s="16"/>
      <c r="B803" s="16"/>
      <c r="C803" s="16"/>
      <c r="D803" s="16"/>
      <c r="E803" s="16"/>
      <c r="F803" s="16"/>
      <c r="G803" s="16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</row>
    <row r="804" customFormat="false" ht="12.75" hidden="false" customHeight="false" outlineLevel="0" collapsed="false">
      <c r="A804" s="16"/>
      <c r="B804" s="16"/>
      <c r="C804" s="16"/>
      <c r="D804" s="16"/>
      <c r="E804" s="16"/>
      <c r="F804" s="16"/>
      <c r="G804" s="16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</row>
    <row r="805" customFormat="false" ht="12.75" hidden="false" customHeight="false" outlineLevel="0" collapsed="false">
      <c r="A805" s="16"/>
      <c r="B805" s="16"/>
      <c r="C805" s="16"/>
      <c r="D805" s="16"/>
      <c r="E805" s="16"/>
      <c r="F805" s="16"/>
      <c r="G805" s="16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</row>
    <row r="806" customFormat="false" ht="12.75" hidden="false" customHeight="false" outlineLevel="0" collapsed="false">
      <c r="A806" s="16"/>
      <c r="B806" s="16"/>
      <c r="C806" s="16"/>
      <c r="D806" s="16"/>
      <c r="E806" s="16"/>
      <c r="F806" s="16"/>
      <c r="G806" s="16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</row>
    <row r="807" customFormat="false" ht="12.75" hidden="false" customHeight="false" outlineLevel="0" collapsed="false">
      <c r="A807" s="16"/>
      <c r="B807" s="16"/>
      <c r="C807" s="16"/>
      <c r="D807" s="16"/>
      <c r="E807" s="16"/>
      <c r="F807" s="16"/>
      <c r="G807" s="16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</row>
    <row r="808" customFormat="false" ht="12.75" hidden="false" customHeight="false" outlineLevel="0" collapsed="false">
      <c r="A808" s="16"/>
      <c r="B808" s="16"/>
      <c r="C808" s="16"/>
      <c r="D808" s="16"/>
      <c r="E808" s="16"/>
      <c r="F808" s="16"/>
      <c r="G808" s="16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</row>
    <row r="809" customFormat="false" ht="12.75" hidden="false" customHeight="false" outlineLevel="0" collapsed="false">
      <c r="A809" s="16"/>
      <c r="B809" s="16"/>
      <c r="C809" s="16"/>
      <c r="D809" s="16"/>
      <c r="E809" s="16"/>
      <c r="F809" s="16"/>
      <c r="G809" s="16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</row>
    <row r="810" customFormat="false" ht="12.75" hidden="false" customHeight="false" outlineLevel="0" collapsed="false">
      <c r="A810" s="16"/>
      <c r="B810" s="16"/>
      <c r="C810" s="16"/>
      <c r="D810" s="16"/>
      <c r="E810" s="16"/>
      <c r="F810" s="16"/>
      <c r="G810" s="16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</row>
    <row r="811" customFormat="false" ht="12.75" hidden="false" customHeight="false" outlineLevel="0" collapsed="false">
      <c r="A811" s="16"/>
      <c r="B811" s="16"/>
      <c r="C811" s="16"/>
      <c r="D811" s="16"/>
      <c r="E811" s="16"/>
      <c r="F811" s="16"/>
      <c r="G811" s="16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</row>
    <row r="812" customFormat="false" ht="12.75" hidden="false" customHeight="false" outlineLevel="0" collapsed="false">
      <c r="A812" s="16"/>
      <c r="B812" s="16"/>
      <c r="C812" s="16"/>
      <c r="D812" s="16"/>
      <c r="E812" s="16"/>
      <c r="F812" s="16"/>
      <c r="G812" s="16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</row>
    <row r="813" customFormat="false" ht="12.75" hidden="false" customHeight="false" outlineLevel="0" collapsed="false">
      <c r="A813" s="16"/>
      <c r="B813" s="16"/>
      <c r="C813" s="16"/>
      <c r="D813" s="16"/>
      <c r="E813" s="16"/>
      <c r="F813" s="16"/>
      <c r="G813" s="16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</row>
    <row r="814" customFormat="false" ht="12.75" hidden="false" customHeight="false" outlineLevel="0" collapsed="false">
      <c r="A814" s="16"/>
      <c r="B814" s="16"/>
      <c r="C814" s="16"/>
      <c r="D814" s="16"/>
      <c r="E814" s="16"/>
      <c r="F814" s="16"/>
      <c r="G814" s="16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</row>
    <row r="815" customFormat="false" ht="12.75" hidden="false" customHeight="false" outlineLevel="0" collapsed="false">
      <c r="A815" s="16"/>
      <c r="B815" s="16"/>
      <c r="C815" s="16"/>
      <c r="D815" s="16"/>
      <c r="E815" s="16"/>
      <c r="F815" s="16"/>
      <c r="G815" s="16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</row>
    <row r="816" customFormat="false" ht="12.75" hidden="false" customHeight="false" outlineLevel="0" collapsed="false">
      <c r="A816" s="16"/>
      <c r="B816" s="16"/>
      <c r="C816" s="16"/>
      <c r="D816" s="16"/>
      <c r="E816" s="16"/>
      <c r="F816" s="16"/>
      <c r="G816" s="16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</row>
    <row r="817" customFormat="false" ht="12.75" hidden="false" customHeight="false" outlineLevel="0" collapsed="false">
      <c r="A817" s="16"/>
      <c r="B817" s="16"/>
      <c r="C817" s="16"/>
      <c r="D817" s="16"/>
      <c r="E817" s="16"/>
      <c r="F817" s="16"/>
      <c r="G817" s="16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</row>
    <row r="818" customFormat="false" ht="12.75" hidden="false" customHeight="false" outlineLevel="0" collapsed="false">
      <c r="A818" s="16"/>
      <c r="B818" s="16"/>
      <c r="C818" s="16"/>
      <c r="D818" s="16"/>
      <c r="E818" s="16"/>
      <c r="F818" s="16"/>
      <c r="G818" s="16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</row>
    <row r="819" customFormat="false" ht="12.75" hidden="false" customHeight="false" outlineLevel="0" collapsed="false">
      <c r="A819" s="16"/>
      <c r="B819" s="16"/>
      <c r="C819" s="16"/>
      <c r="D819" s="16"/>
      <c r="E819" s="16"/>
      <c r="F819" s="16"/>
      <c r="G819" s="16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</row>
    <row r="820" customFormat="false" ht="12.75" hidden="false" customHeight="false" outlineLevel="0" collapsed="false">
      <c r="A820" s="16"/>
      <c r="B820" s="16"/>
      <c r="C820" s="16"/>
      <c r="D820" s="16"/>
      <c r="E820" s="16"/>
      <c r="F820" s="16"/>
      <c r="G820" s="16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</row>
    <row r="821" customFormat="false" ht="12.75" hidden="false" customHeight="false" outlineLevel="0" collapsed="false">
      <c r="A821" s="16"/>
      <c r="B821" s="16"/>
      <c r="C821" s="16"/>
      <c r="D821" s="16"/>
      <c r="E821" s="16"/>
      <c r="F821" s="16"/>
      <c r="G821" s="16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</row>
    <row r="822" customFormat="false" ht="12.75" hidden="false" customHeight="false" outlineLevel="0" collapsed="false">
      <c r="A822" s="16"/>
      <c r="B822" s="16"/>
      <c r="C822" s="16"/>
      <c r="D822" s="16"/>
      <c r="E822" s="16"/>
      <c r="F822" s="16"/>
      <c r="G822" s="16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</row>
    <row r="823" customFormat="false" ht="12.75" hidden="false" customHeight="false" outlineLevel="0" collapsed="false">
      <c r="A823" s="16"/>
      <c r="B823" s="16"/>
      <c r="C823" s="16"/>
      <c r="D823" s="16"/>
      <c r="E823" s="16"/>
      <c r="F823" s="16"/>
      <c r="G823" s="16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</row>
    <row r="824" customFormat="false" ht="12.75" hidden="false" customHeight="false" outlineLevel="0" collapsed="false">
      <c r="A824" s="16"/>
      <c r="B824" s="16"/>
      <c r="C824" s="16"/>
      <c r="D824" s="16"/>
      <c r="E824" s="16"/>
      <c r="F824" s="16"/>
      <c r="G824" s="16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</row>
    <row r="825" customFormat="false" ht="12.75" hidden="false" customHeight="false" outlineLevel="0" collapsed="false">
      <c r="A825" s="16"/>
      <c r="B825" s="16"/>
      <c r="C825" s="16"/>
      <c r="D825" s="16"/>
      <c r="E825" s="16"/>
      <c r="F825" s="16"/>
      <c r="G825" s="16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</row>
    <row r="826" customFormat="false" ht="12.75" hidden="false" customHeight="false" outlineLevel="0" collapsed="false">
      <c r="A826" s="16"/>
      <c r="B826" s="16"/>
      <c r="C826" s="16"/>
      <c r="D826" s="16"/>
      <c r="E826" s="16"/>
      <c r="F826" s="16"/>
      <c r="G826" s="16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</row>
    <row r="827" customFormat="false" ht="12.75" hidden="false" customHeight="false" outlineLevel="0" collapsed="false">
      <c r="A827" s="16"/>
      <c r="B827" s="16"/>
      <c r="C827" s="16"/>
      <c r="D827" s="16"/>
      <c r="E827" s="16"/>
      <c r="F827" s="16"/>
      <c r="G827" s="16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</row>
    <row r="828" customFormat="false" ht="12.75" hidden="false" customHeight="false" outlineLevel="0" collapsed="false">
      <c r="A828" s="16"/>
      <c r="B828" s="16"/>
      <c r="C828" s="16"/>
      <c r="D828" s="16"/>
      <c r="E828" s="16"/>
      <c r="F828" s="16"/>
      <c r="G828" s="16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</row>
    <row r="829" customFormat="false" ht="12.75" hidden="false" customHeight="false" outlineLevel="0" collapsed="false">
      <c r="A829" s="16"/>
      <c r="B829" s="16"/>
      <c r="C829" s="16"/>
      <c r="D829" s="16"/>
      <c r="E829" s="16"/>
      <c r="F829" s="16"/>
      <c r="G829" s="16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</row>
    <row r="830" customFormat="false" ht="12.75" hidden="false" customHeight="false" outlineLevel="0" collapsed="false">
      <c r="A830" s="16"/>
      <c r="B830" s="16"/>
      <c r="C830" s="16"/>
      <c r="D830" s="16"/>
      <c r="E830" s="16"/>
      <c r="F830" s="16"/>
      <c r="G830" s="16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</row>
    <row r="831" customFormat="false" ht="12.75" hidden="false" customHeight="false" outlineLevel="0" collapsed="false">
      <c r="A831" s="16"/>
      <c r="B831" s="16"/>
      <c r="C831" s="16"/>
      <c r="D831" s="16"/>
      <c r="E831" s="16"/>
      <c r="F831" s="16"/>
      <c r="G831" s="16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</row>
    <row r="832" customFormat="false" ht="12.75" hidden="false" customHeight="false" outlineLevel="0" collapsed="false">
      <c r="A832" s="16"/>
      <c r="B832" s="16"/>
      <c r="C832" s="16"/>
      <c r="D832" s="16"/>
      <c r="E832" s="16"/>
      <c r="F832" s="16"/>
      <c r="G832" s="16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</row>
    <row r="833" customFormat="false" ht="12.75" hidden="false" customHeight="false" outlineLevel="0" collapsed="false">
      <c r="A833" s="16"/>
      <c r="B833" s="16"/>
      <c r="C833" s="16"/>
      <c r="D833" s="16"/>
      <c r="E833" s="16"/>
      <c r="F833" s="16"/>
      <c r="G833" s="16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</row>
    <row r="834" customFormat="false" ht="12.75" hidden="false" customHeight="false" outlineLevel="0" collapsed="false">
      <c r="A834" s="16"/>
      <c r="B834" s="16"/>
      <c r="C834" s="16"/>
      <c r="D834" s="16"/>
      <c r="E834" s="16"/>
      <c r="F834" s="16"/>
      <c r="G834" s="16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</row>
    <row r="835" customFormat="false" ht="12.75" hidden="false" customHeight="false" outlineLevel="0" collapsed="false">
      <c r="A835" s="16"/>
      <c r="B835" s="16"/>
      <c r="C835" s="16"/>
      <c r="D835" s="16"/>
      <c r="E835" s="16"/>
      <c r="F835" s="16"/>
      <c r="G835" s="16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</row>
    <row r="836" customFormat="false" ht="12.75" hidden="false" customHeight="false" outlineLevel="0" collapsed="false">
      <c r="A836" s="16"/>
      <c r="B836" s="16"/>
      <c r="C836" s="16"/>
      <c r="D836" s="16"/>
      <c r="E836" s="16"/>
      <c r="F836" s="16"/>
      <c r="G836" s="16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</row>
    <row r="837" customFormat="false" ht="12.75" hidden="false" customHeight="false" outlineLevel="0" collapsed="false">
      <c r="A837" s="16"/>
      <c r="B837" s="16"/>
      <c r="C837" s="16"/>
      <c r="D837" s="16"/>
      <c r="E837" s="16"/>
      <c r="F837" s="16"/>
      <c r="G837" s="16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</row>
    <row r="838" customFormat="false" ht="12.75" hidden="false" customHeight="false" outlineLevel="0" collapsed="false">
      <c r="A838" s="16"/>
      <c r="B838" s="16"/>
      <c r="C838" s="16"/>
      <c r="D838" s="16"/>
      <c r="E838" s="16"/>
      <c r="F838" s="16"/>
      <c r="G838" s="16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</row>
    <row r="839" customFormat="false" ht="12.75" hidden="false" customHeight="false" outlineLevel="0" collapsed="false">
      <c r="A839" s="16"/>
      <c r="B839" s="16"/>
      <c r="C839" s="16"/>
      <c r="D839" s="16"/>
      <c r="E839" s="16"/>
      <c r="F839" s="16"/>
      <c r="G839" s="16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</row>
    <row r="840" customFormat="false" ht="12.75" hidden="false" customHeight="false" outlineLevel="0" collapsed="false">
      <c r="A840" s="16"/>
      <c r="B840" s="16"/>
      <c r="C840" s="16"/>
      <c r="D840" s="16"/>
      <c r="E840" s="16"/>
      <c r="F840" s="16"/>
      <c r="G840" s="16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</row>
    <row r="841" customFormat="false" ht="12.75" hidden="false" customHeight="false" outlineLevel="0" collapsed="false">
      <c r="A841" s="16"/>
      <c r="B841" s="16"/>
      <c r="C841" s="16"/>
      <c r="D841" s="16"/>
      <c r="E841" s="16"/>
      <c r="F841" s="16"/>
      <c r="G841" s="16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</row>
    <row r="842" customFormat="false" ht="12.75" hidden="false" customHeight="false" outlineLevel="0" collapsed="false">
      <c r="A842" s="16"/>
      <c r="B842" s="16"/>
      <c r="C842" s="16"/>
      <c r="D842" s="16"/>
      <c r="E842" s="16"/>
      <c r="F842" s="16"/>
      <c r="G842" s="16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</row>
    <row r="843" customFormat="false" ht="12.75" hidden="false" customHeight="false" outlineLevel="0" collapsed="false">
      <c r="A843" s="16"/>
      <c r="B843" s="16"/>
      <c r="C843" s="16"/>
      <c r="D843" s="16"/>
      <c r="E843" s="16"/>
      <c r="F843" s="16"/>
      <c r="G843" s="16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</row>
    <row r="844" customFormat="false" ht="12.75" hidden="false" customHeight="false" outlineLevel="0" collapsed="false">
      <c r="A844" s="16"/>
      <c r="B844" s="16"/>
      <c r="C844" s="16"/>
      <c r="D844" s="16"/>
      <c r="E844" s="16"/>
      <c r="F844" s="16"/>
      <c r="G844" s="16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</row>
    <row r="845" customFormat="false" ht="12.75" hidden="false" customHeight="false" outlineLevel="0" collapsed="false">
      <c r="A845" s="16"/>
      <c r="B845" s="16"/>
      <c r="C845" s="16"/>
      <c r="D845" s="16"/>
      <c r="E845" s="16"/>
      <c r="F845" s="16"/>
      <c r="G845" s="16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</row>
    <row r="846" customFormat="false" ht="12.75" hidden="false" customHeight="false" outlineLevel="0" collapsed="false">
      <c r="A846" s="16"/>
      <c r="B846" s="16"/>
      <c r="C846" s="16"/>
      <c r="D846" s="16"/>
      <c r="E846" s="16"/>
      <c r="F846" s="16"/>
      <c r="G846" s="16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</row>
    <row r="847" customFormat="false" ht="12.75" hidden="false" customHeight="false" outlineLevel="0" collapsed="false">
      <c r="A847" s="16"/>
      <c r="B847" s="16"/>
      <c r="C847" s="16"/>
      <c r="D847" s="16"/>
      <c r="E847" s="16"/>
      <c r="F847" s="16"/>
      <c r="G847" s="16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</row>
    <row r="848" customFormat="false" ht="12.75" hidden="false" customHeight="false" outlineLevel="0" collapsed="false">
      <c r="A848" s="16"/>
      <c r="B848" s="16"/>
      <c r="C848" s="16"/>
      <c r="D848" s="16"/>
      <c r="E848" s="16"/>
      <c r="F848" s="16"/>
      <c r="G848" s="16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</row>
    <row r="849" customFormat="false" ht="12.75" hidden="false" customHeight="false" outlineLevel="0" collapsed="false">
      <c r="A849" s="16"/>
      <c r="B849" s="16"/>
      <c r="C849" s="16"/>
      <c r="D849" s="16"/>
      <c r="E849" s="16"/>
      <c r="F849" s="16"/>
      <c r="G849" s="16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</row>
    <row r="850" customFormat="false" ht="12.75" hidden="false" customHeight="false" outlineLevel="0" collapsed="false">
      <c r="A850" s="16"/>
      <c r="B850" s="16"/>
      <c r="C850" s="16"/>
      <c r="D850" s="16"/>
      <c r="E850" s="16"/>
      <c r="F850" s="16"/>
      <c r="G850" s="16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</row>
    <row r="851" customFormat="false" ht="12.75" hidden="false" customHeight="false" outlineLevel="0" collapsed="false">
      <c r="A851" s="16"/>
      <c r="B851" s="16"/>
      <c r="C851" s="16"/>
      <c r="D851" s="16"/>
      <c r="E851" s="16"/>
      <c r="F851" s="16"/>
      <c r="G851" s="16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</row>
    <row r="852" customFormat="false" ht="12.75" hidden="false" customHeight="false" outlineLevel="0" collapsed="false">
      <c r="A852" s="16"/>
      <c r="B852" s="16"/>
      <c r="C852" s="16"/>
      <c r="D852" s="16"/>
      <c r="E852" s="16"/>
      <c r="F852" s="16"/>
      <c r="G852" s="16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</row>
    <row r="853" customFormat="false" ht="12.75" hidden="false" customHeight="false" outlineLevel="0" collapsed="false">
      <c r="A853" s="16"/>
      <c r="B853" s="16"/>
      <c r="C853" s="16"/>
      <c r="D853" s="16"/>
      <c r="E853" s="16"/>
      <c r="F853" s="16"/>
      <c r="G853" s="16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</row>
    <row r="854" customFormat="false" ht="12.75" hidden="false" customHeight="false" outlineLevel="0" collapsed="false">
      <c r="A854" s="16"/>
      <c r="B854" s="16"/>
      <c r="C854" s="16"/>
      <c r="D854" s="16"/>
      <c r="E854" s="16"/>
      <c r="F854" s="16"/>
      <c r="G854" s="16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</row>
    <row r="855" customFormat="false" ht="12.75" hidden="false" customHeight="false" outlineLevel="0" collapsed="false">
      <c r="A855" s="16"/>
      <c r="B855" s="16"/>
      <c r="C855" s="16"/>
      <c r="D855" s="16"/>
      <c r="E855" s="16"/>
      <c r="F855" s="16"/>
      <c r="G855" s="16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</row>
    <row r="856" customFormat="false" ht="12.75" hidden="false" customHeight="false" outlineLevel="0" collapsed="false">
      <c r="A856" s="16"/>
      <c r="B856" s="16"/>
      <c r="C856" s="16"/>
      <c r="D856" s="16"/>
      <c r="E856" s="16"/>
      <c r="F856" s="16"/>
      <c r="G856" s="16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</row>
    <row r="857" customFormat="false" ht="12.75" hidden="false" customHeight="false" outlineLevel="0" collapsed="false">
      <c r="A857" s="16"/>
      <c r="B857" s="16"/>
      <c r="C857" s="16"/>
      <c r="D857" s="16"/>
      <c r="E857" s="16"/>
      <c r="F857" s="16"/>
      <c r="G857" s="16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</row>
    <row r="858" customFormat="false" ht="12.75" hidden="false" customHeight="false" outlineLevel="0" collapsed="false">
      <c r="A858" s="16"/>
      <c r="B858" s="16"/>
      <c r="C858" s="16"/>
      <c r="D858" s="16"/>
      <c r="E858" s="16"/>
      <c r="F858" s="16"/>
      <c r="G858" s="16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</row>
    <row r="859" customFormat="false" ht="12.75" hidden="false" customHeight="false" outlineLevel="0" collapsed="false">
      <c r="A859" s="16"/>
      <c r="B859" s="16"/>
      <c r="C859" s="16"/>
      <c r="D859" s="16"/>
      <c r="E859" s="16"/>
      <c r="F859" s="16"/>
      <c r="G859" s="16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</row>
    <row r="860" customFormat="false" ht="12.75" hidden="false" customHeight="false" outlineLevel="0" collapsed="false">
      <c r="A860" s="16"/>
      <c r="B860" s="16"/>
      <c r="C860" s="16"/>
      <c r="D860" s="16"/>
      <c r="E860" s="16"/>
      <c r="F860" s="16"/>
      <c r="G860" s="16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</row>
    <row r="861" customFormat="false" ht="12.75" hidden="false" customHeight="false" outlineLevel="0" collapsed="false">
      <c r="A861" s="16"/>
      <c r="B861" s="16"/>
      <c r="C861" s="16"/>
      <c r="D861" s="16"/>
      <c r="E861" s="16"/>
      <c r="F861" s="16"/>
      <c r="G861" s="16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</row>
    <row r="862" customFormat="false" ht="12.75" hidden="false" customHeight="false" outlineLevel="0" collapsed="false">
      <c r="A862" s="16"/>
      <c r="B862" s="16"/>
      <c r="C862" s="16"/>
      <c r="D862" s="16"/>
      <c r="E862" s="16"/>
      <c r="F862" s="16"/>
      <c r="G862" s="16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</row>
    <row r="863" customFormat="false" ht="12.75" hidden="false" customHeight="false" outlineLevel="0" collapsed="false">
      <c r="A863" s="16"/>
      <c r="B863" s="16"/>
      <c r="C863" s="16"/>
      <c r="D863" s="16"/>
      <c r="E863" s="16"/>
      <c r="F863" s="16"/>
      <c r="G863" s="16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</row>
    <row r="864" customFormat="false" ht="12.75" hidden="false" customHeight="false" outlineLevel="0" collapsed="false">
      <c r="A864" s="16"/>
      <c r="B864" s="16"/>
      <c r="C864" s="16"/>
      <c r="D864" s="16"/>
      <c r="E864" s="16"/>
      <c r="F864" s="16"/>
      <c r="G864" s="16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</row>
    <row r="865" customFormat="false" ht="12.75" hidden="false" customHeight="false" outlineLevel="0" collapsed="false">
      <c r="A865" s="16"/>
      <c r="B865" s="16"/>
      <c r="C865" s="16"/>
      <c r="D865" s="16"/>
      <c r="E865" s="16"/>
      <c r="F865" s="16"/>
      <c r="G865" s="16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</row>
    <row r="866" customFormat="false" ht="12.75" hidden="false" customHeight="false" outlineLevel="0" collapsed="false">
      <c r="A866" s="16"/>
      <c r="B866" s="16"/>
      <c r="C866" s="16"/>
      <c r="D866" s="16"/>
      <c r="E866" s="16"/>
      <c r="F866" s="16"/>
      <c r="G866" s="16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</row>
    <row r="867" customFormat="false" ht="12.75" hidden="false" customHeight="false" outlineLevel="0" collapsed="false">
      <c r="A867" s="16"/>
      <c r="B867" s="16"/>
      <c r="C867" s="16"/>
      <c r="D867" s="16"/>
      <c r="E867" s="16"/>
      <c r="F867" s="16"/>
      <c r="G867" s="16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</row>
    <row r="868" customFormat="false" ht="12.75" hidden="false" customHeight="false" outlineLevel="0" collapsed="false">
      <c r="A868" s="16"/>
      <c r="B868" s="16"/>
      <c r="C868" s="16"/>
      <c r="D868" s="16"/>
      <c r="E868" s="16"/>
      <c r="F868" s="16"/>
      <c r="G868" s="16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</row>
    <row r="869" customFormat="false" ht="12.75" hidden="false" customHeight="false" outlineLevel="0" collapsed="false">
      <c r="A869" s="16"/>
      <c r="B869" s="16"/>
      <c r="C869" s="16"/>
      <c r="D869" s="16"/>
      <c r="E869" s="16"/>
      <c r="F869" s="16"/>
      <c r="G869" s="16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</row>
    <row r="870" customFormat="false" ht="12.75" hidden="false" customHeight="false" outlineLevel="0" collapsed="false">
      <c r="A870" s="16"/>
      <c r="B870" s="16"/>
      <c r="C870" s="16"/>
      <c r="D870" s="16"/>
      <c r="E870" s="16"/>
      <c r="F870" s="16"/>
      <c r="G870" s="16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</row>
    <row r="871" customFormat="false" ht="12.75" hidden="false" customHeight="false" outlineLevel="0" collapsed="false">
      <c r="A871" s="16"/>
      <c r="B871" s="16"/>
      <c r="C871" s="16"/>
      <c r="D871" s="16"/>
      <c r="E871" s="16"/>
      <c r="F871" s="16"/>
      <c r="G871" s="16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</row>
    <row r="872" customFormat="false" ht="12.75" hidden="false" customHeight="false" outlineLevel="0" collapsed="false">
      <c r="A872" s="16"/>
      <c r="B872" s="16"/>
      <c r="C872" s="16"/>
      <c r="D872" s="16"/>
      <c r="E872" s="16"/>
      <c r="F872" s="16"/>
      <c r="G872" s="16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</row>
    <row r="873" customFormat="false" ht="12.75" hidden="false" customHeight="false" outlineLevel="0" collapsed="false">
      <c r="A873" s="16"/>
      <c r="B873" s="16"/>
      <c r="C873" s="16"/>
      <c r="D873" s="16"/>
      <c r="E873" s="16"/>
      <c r="F873" s="16"/>
      <c r="G873" s="16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</row>
    <row r="874" customFormat="false" ht="12.75" hidden="false" customHeight="false" outlineLevel="0" collapsed="false">
      <c r="A874" s="16"/>
      <c r="B874" s="16"/>
      <c r="C874" s="16"/>
      <c r="D874" s="16"/>
      <c r="E874" s="16"/>
      <c r="F874" s="16"/>
      <c r="G874" s="16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</row>
    <row r="875" customFormat="false" ht="12.75" hidden="false" customHeight="false" outlineLevel="0" collapsed="false">
      <c r="A875" s="16"/>
      <c r="B875" s="16"/>
      <c r="C875" s="16"/>
      <c r="D875" s="16"/>
      <c r="E875" s="16"/>
      <c r="F875" s="16"/>
      <c r="G875" s="16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</row>
    <row r="876" customFormat="false" ht="12.75" hidden="false" customHeight="false" outlineLevel="0" collapsed="false">
      <c r="A876" s="16"/>
      <c r="B876" s="16"/>
      <c r="C876" s="16"/>
      <c r="D876" s="16"/>
      <c r="E876" s="16"/>
      <c r="F876" s="16"/>
      <c r="G876" s="16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</row>
    <row r="877" customFormat="false" ht="12.75" hidden="false" customHeight="false" outlineLevel="0" collapsed="false">
      <c r="A877" s="16"/>
      <c r="B877" s="16"/>
      <c r="C877" s="16"/>
      <c r="D877" s="16"/>
      <c r="E877" s="16"/>
      <c r="F877" s="16"/>
      <c r="G877" s="16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</row>
    <row r="878" customFormat="false" ht="12.75" hidden="false" customHeight="false" outlineLevel="0" collapsed="false">
      <c r="A878" s="16"/>
      <c r="B878" s="16"/>
      <c r="C878" s="16"/>
      <c r="D878" s="16"/>
      <c r="E878" s="16"/>
      <c r="F878" s="16"/>
      <c r="G878" s="16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</row>
    <row r="879" customFormat="false" ht="12.75" hidden="false" customHeight="false" outlineLevel="0" collapsed="false">
      <c r="A879" s="16"/>
      <c r="B879" s="16"/>
      <c r="C879" s="16"/>
      <c r="D879" s="16"/>
      <c r="E879" s="16"/>
      <c r="F879" s="16"/>
      <c r="G879" s="16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</row>
    <row r="880" customFormat="false" ht="12.75" hidden="false" customHeight="false" outlineLevel="0" collapsed="false">
      <c r="A880" s="16"/>
      <c r="B880" s="16"/>
      <c r="C880" s="16"/>
      <c r="D880" s="16"/>
      <c r="E880" s="16"/>
      <c r="F880" s="16"/>
      <c r="G880" s="16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</row>
    <row r="881" customFormat="false" ht="12.75" hidden="false" customHeight="false" outlineLevel="0" collapsed="false">
      <c r="A881" s="16"/>
      <c r="B881" s="16"/>
      <c r="C881" s="16"/>
      <c r="D881" s="16"/>
      <c r="E881" s="16"/>
      <c r="F881" s="16"/>
      <c r="G881" s="16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</row>
    <row r="882" customFormat="false" ht="12.75" hidden="false" customHeight="false" outlineLevel="0" collapsed="false">
      <c r="A882" s="16"/>
      <c r="B882" s="16"/>
      <c r="C882" s="16"/>
      <c r="D882" s="16"/>
      <c r="E882" s="16"/>
      <c r="F882" s="16"/>
      <c r="G882" s="16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</row>
    <row r="883" customFormat="false" ht="12.75" hidden="false" customHeight="false" outlineLevel="0" collapsed="false">
      <c r="A883" s="16"/>
      <c r="B883" s="16"/>
      <c r="C883" s="16"/>
      <c r="D883" s="16"/>
      <c r="E883" s="16"/>
      <c r="F883" s="16"/>
      <c r="G883" s="16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</row>
    <row r="884" customFormat="false" ht="12.75" hidden="false" customHeight="false" outlineLevel="0" collapsed="false">
      <c r="A884" s="16"/>
      <c r="B884" s="16"/>
      <c r="C884" s="16"/>
      <c r="D884" s="16"/>
      <c r="E884" s="16"/>
      <c r="F884" s="16"/>
      <c r="G884" s="16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</row>
    <row r="885" customFormat="false" ht="12.75" hidden="false" customHeight="false" outlineLevel="0" collapsed="false">
      <c r="A885" s="16"/>
      <c r="B885" s="16"/>
      <c r="C885" s="16"/>
      <c r="D885" s="16"/>
      <c r="E885" s="16"/>
      <c r="F885" s="16"/>
      <c r="G885" s="16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</row>
    <row r="886" customFormat="false" ht="12.75" hidden="false" customHeight="false" outlineLevel="0" collapsed="false">
      <c r="A886" s="16"/>
      <c r="B886" s="16"/>
      <c r="C886" s="16"/>
      <c r="D886" s="16"/>
      <c r="E886" s="16"/>
      <c r="F886" s="16"/>
      <c r="G886" s="16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</row>
    <row r="887" customFormat="false" ht="12.75" hidden="false" customHeight="false" outlineLevel="0" collapsed="false">
      <c r="A887" s="16"/>
      <c r="B887" s="16"/>
      <c r="C887" s="16"/>
      <c r="D887" s="16"/>
      <c r="E887" s="16"/>
      <c r="F887" s="16"/>
      <c r="G887" s="16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</row>
    <row r="888" customFormat="false" ht="12.75" hidden="false" customHeight="false" outlineLevel="0" collapsed="false">
      <c r="A888" s="16"/>
      <c r="B888" s="16"/>
      <c r="C888" s="16"/>
      <c r="D888" s="16"/>
      <c r="E888" s="16"/>
      <c r="F888" s="16"/>
      <c r="G888" s="16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</row>
    <row r="889" customFormat="false" ht="12.75" hidden="false" customHeight="false" outlineLevel="0" collapsed="false">
      <c r="A889" s="16"/>
      <c r="B889" s="16"/>
      <c r="C889" s="16"/>
      <c r="D889" s="16"/>
      <c r="E889" s="16"/>
      <c r="F889" s="16"/>
      <c r="G889" s="16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</row>
    <row r="890" customFormat="false" ht="12.75" hidden="false" customHeight="false" outlineLevel="0" collapsed="false">
      <c r="A890" s="16"/>
      <c r="B890" s="16"/>
      <c r="C890" s="16"/>
      <c r="D890" s="16"/>
      <c r="E890" s="16"/>
      <c r="F890" s="16"/>
      <c r="G890" s="16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</row>
    <row r="891" customFormat="false" ht="12.75" hidden="false" customHeight="false" outlineLevel="0" collapsed="false">
      <c r="A891" s="16"/>
      <c r="B891" s="16"/>
      <c r="C891" s="16"/>
      <c r="D891" s="16"/>
      <c r="E891" s="16"/>
      <c r="F891" s="16"/>
      <c r="G891" s="16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</row>
    <row r="892" customFormat="false" ht="12.75" hidden="false" customHeight="false" outlineLevel="0" collapsed="false">
      <c r="A892" s="16"/>
      <c r="B892" s="16"/>
      <c r="C892" s="16"/>
      <c r="D892" s="16"/>
      <c r="E892" s="16"/>
      <c r="F892" s="16"/>
      <c r="G892" s="16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</row>
    <row r="893" customFormat="false" ht="12.75" hidden="false" customHeight="false" outlineLevel="0" collapsed="false">
      <c r="A893" s="16"/>
      <c r="B893" s="16"/>
      <c r="C893" s="16"/>
      <c r="D893" s="16"/>
      <c r="E893" s="16"/>
      <c r="F893" s="16"/>
      <c r="G893" s="16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</row>
    <row r="894" customFormat="false" ht="12.75" hidden="false" customHeight="false" outlineLevel="0" collapsed="false">
      <c r="A894" s="16"/>
      <c r="B894" s="16"/>
      <c r="C894" s="16"/>
      <c r="D894" s="16"/>
      <c r="E894" s="16"/>
      <c r="F894" s="16"/>
      <c r="G894" s="16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</row>
    <row r="895" customFormat="false" ht="12.75" hidden="false" customHeight="false" outlineLevel="0" collapsed="false">
      <c r="A895" s="16"/>
      <c r="B895" s="16"/>
      <c r="C895" s="16"/>
      <c r="D895" s="16"/>
      <c r="E895" s="16"/>
      <c r="F895" s="16"/>
      <c r="G895" s="16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</row>
    <row r="896" customFormat="false" ht="12.75" hidden="false" customHeight="false" outlineLevel="0" collapsed="false">
      <c r="A896" s="16"/>
      <c r="B896" s="16"/>
      <c r="C896" s="16"/>
      <c r="D896" s="16"/>
      <c r="E896" s="16"/>
      <c r="F896" s="16"/>
      <c r="G896" s="16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</row>
    <row r="897" customFormat="false" ht="12.75" hidden="false" customHeight="false" outlineLevel="0" collapsed="false">
      <c r="A897" s="16"/>
      <c r="B897" s="16"/>
      <c r="C897" s="16"/>
      <c r="D897" s="16"/>
      <c r="E897" s="16"/>
      <c r="F897" s="16"/>
      <c r="G897" s="16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</row>
    <row r="898" customFormat="false" ht="12.75" hidden="false" customHeight="false" outlineLevel="0" collapsed="false">
      <c r="A898" s="16"/>
      <c r="B898" s="16"/>
      <c r="C898" s="16"/>
      <c r="D898" s="16"/>
      <c r="E898" s="16"/>
      <c r="F898" s="16"/>
      <c r="G898" s="16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</row>
    <row r="899" customFormat="false" ht="12.75" hidden="false" customHeight="false" outlineLevel="0" collapsed="false">
      <c r="A899" s="16"/>
      <c r="B899" s="16"/>
      <c r="C899" s="16"/>
      <c r="D899" s="16"/>
      <c r="E899" s="16"/>
      <c r="F899" s="16"/>
      <c r="G899" s="16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</row>
    <row r="900" customFormat="false" ht="12.75" hidden="false" customHeight="false" outlineLevel="0" collapsed="false">
      <c r="A900" s="16"/>
      <c r="B900" s="16"/>
      <c r="C900" s="16"/>
      <c r="D900" s="16"/>
      <c r="E900" s="16"/>
      <c r="F900" s="16"/>
      <c r="G900" s="16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</row>
    <row r="901" customFormat="false" ht="12.75" hidden="false" customHeight="false" outlineLevel="0" collapsed="false">
      <c r="A901" s="16"/>
      <c r="B901" s="16"/>
      <c r="C901" s="16"/>
      <c r="D901" s="16"/>
      <c r="E901" s="16"/>
      <c r="F901" s="16"/>
      <c r="G901" s="16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</row>
    <row r="902" customFormat="false" ht="12.75" hidden="false" customHeight="false" outlineLevel="0" collapsed="false">
      <c r="A902" s="16"/>
      <c r="B902" s="16"/>
      <c r="C902" s="16"/>
      <c r="D902" s="16"/>
      <c r="E902" s="16"/>
      <c r="F902" s="16"/>
      <c r="G902" s="16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</row>
    <row r="903" customFormat="false" ht="12.75" hidden="false" customHeight="false" outlineLevel="0" collapsed="false">
      <c r="A903" s="16"/>
      <c r="B903" s="16"/>
      <c r="C903" s="16"/>
      <c r="D903" s="16"/>
      <c r="E903" s="16"/>
      <c r="F903" s="16"/>
      <c r="G903" s="16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</row>
    <row r="904" customFormat="false" ht="12.75" hidden="false" customHeight="false" outlineLevel="0" collapsed="false">
      <c r="A904" s="16"/>
      <c r="B904" s="16"/>
      <c r="C904" s="16"/>
      <c r="D904" s="16"/>
      <c r="E904" s="16"/>
      <c r="F904" s="16"/>
      <c r="G904" s="16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</row>
    <row r="905" customFormat="false" ht="12.75" hidden="false" customHeight="false" outlineLevel="0" collapsed="false">
      <c r="A905" s="16"/>
      <c r="B905" s="16"/>
      <c r="C905" s="16"/>
      <c r="D905" s="16"/>
      <c r="E905" s="16"/>
      <c r="F905" s="16"/>
      <c r="G905" s="16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</row>
    <row r="906" customFormat="false" ht="12.75" hidden="false" customHeight="false" outlineLevel="0" collapsed="false">
      <c r="A906" s="16"/>
      <c r="B906" s="16"/>
      <c r="C906" s="16"/>
      <c r="D906" s="16"/>
      <c r="E906" s="16"/>
      <c r="F906" s="16"/>
      <c r="G906" s="16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</row>
    <row r="907" customFormat="false" ht="12.75" hidden="false" customHeight="false" outlineLevel="0" collapsed="false">
      <c r="A907" s="16"/>
      <c r="B907" s="16"/>
      <c r="C907" s="16"/>
      <c r="D907" s="16"/>
      <c r="E907" s="16"/>
      <c r="F907" s="16"/>
      <c r="G907" s="16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</row>
    <row r="908" customFormat="false" ht="12.75" hidden="false" customHeight="false" outlineLevel="0" collapsed="false">
      <c r="A908" s="16"/>
      <c r="B908" s="16"/>
      <c r="C908" s="16"/>
      <c r="D908" s="16"/>
      <c r="E908" s="16"/>
      <c r="F908" s="16"/>
      <c r="G908" s="16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</row>
    <row r="909" customFormat="false" ht="12.75" hidden="false" customHeight="false" outlineLevel="0" collapsed="false">
      <c r="A909" s="16"/>
      <c r="B909" s="16"/>
      <c r="C909" s="16"/>
      <c r="D909" s="16"/>
      <c r="E909" s="16"/>
      <c r="F909" s="16"/>
      <c r="G909" s="16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</row>
    <row r="910" customFormat="false" ht="12.75" hidden="false" customHeight="false" outlineLevel="0" collapsed="false">
      <c r="A910" s="16"/>
      <c r="B910" s="16"/>
      <c r="C910" s="16"/>
      <c r="D910" s="16"/>
      <c r="E910" s="16"/>
      <c r="F910" s="16"/>
      <c r="G910" s="16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</row>
    <row r="911" customFormat="false" ht="12.75" hidden="false" customHeight="false" outlineLevel="0" collapsed="false">
      <c r="A911" s="16"/>
      <c r="B911" s="16"/>
      <c r="C911" s="16"/>
      <c r="D911" s="16"/>
      <c r="E911" s="16"/>
      <c r="F911" s="16"/>
      <c r="G911" s="16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</row>
    <row r="912" customFormat="false" ht="12.75" hidden="false" customHeight="false" outlineLevel="0" collapsed="false">
      <c r="A912" s="16"/>
      <c r="B912" s="16"/>
      <c r="C912" s="16"/>
      <c r="D912" s="16"/>
      <c r="E912" s="16"/>
      <c r="F912" s="16"/>
      <c r="G912" s="16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</row>
    <row r="913" customFormat="false" ht="12.75" hidden="false" customHeight="false" outlineLevel="0" collapsed="false">
      <c r="A913" s="16"/>
      <c r="B913" s="16"/>
      <c r="C913" s="16"/>
      <c r="D913" s="16"/>
      <c r="E913" s="16"/>
      <c r="F913" s="16"/>
      <c r="G913" s="16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</row>
    <row r="914" customFormat="false" ht="12.75" hidden="false" customHeight="false" outlineLevel="0" collapsed="false">
      <c r="A914" s="16"/>
      <c r="B914" s="16"/>
      <c r="C914" s="16"/>
      <c r="D914" s="16"/>
      <c r="E914" s="16"/>
      <c r="F914" s="16"/>
      <c r="G914" s="16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</row>
    <row r="915" customFormat="false" ht="12.75" hidden="false" customHeight="false" outlineLevel="0" collapsed="false">
      <c r="A915" s="16"/>
      <c r="B915" s="16"/>
      <c r="C915" s="16"/>
      <c r="D915" s="16"/>
      <c r="E915" s="16"/>
      <c r="F915" s="16"/>
      <c r="G915" s="16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</row>
    <row r="916" customFormat="false" ht="12.75" hidden="false" customHeight="false" outlineLevel="0" collapsed="false">
      <c r="A916" s="16"/>
      <c r="B916" s="16"/>
      <c r="C916" s="16"/>
      <c r="D916" s="16"/>
      <c r="E916" s="16"/>
      <c r="F916" s="16"/>
      <c r="G916" s="16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</row>
    <row r="917" customFormat="false" ht="12.75" hidden="false" customHeight="false" outlineLevel="0" collapsed="false">
      <c r="A917" s="16"/>
      <c r="B917" s="16"/>
      <c r="C917" s="16"/>
      <c r="D917" s="16"/>
      <c r="E917" s="16"/>
      <c r="F917" s="16"/>
      <c r="G917" s="16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</row>
    <row r="918" customFormat="false" ht="12.75" hidden="false" customHeight="false" outlineLevel="0" collapsed="false">
      <c r="A918" s="16"/>
      <c r="B918" s="16"/>
      <c r="C918" s="16"/>
      <c r="D918" s="16"/>
      <c r="E918" s="16"/>
      <c r="F918" s="16"/>
      <c r="G918" s="16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</row>
    <row r="919" customFormat="false" ht="12.75" hidden="false" customHeight="false" outlineLevel="0" collapsed="false">
      <c r="A919" s="16"/>
      <c r="B919" s="16"/>
      <c r="C919" s="16"/>
      <c r="D919" s="16"/>
      <c r="E919" s="16"/>
      <c r="F919" s="16"/>
      <c r="G919" s="16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</row>
    <row r="920" customFormat="false" ht="12.75" hidden="false" customHeight="false" outlineLevel="0" collapsed="false">
      <c r="A920" s="16"/>
      <c r="B920" s="16"/>
      <c r="C920" s="16"/>
      <c r="D920" s="16"/>
      <c r="E920" s="16"/>
      <c r="F920" s="16"/>
      <c r="G920" s="16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</row>
    <row r="921" customFormat="false" ht="12.75" hidden="false" customHeight="false" outlineLevel="0" collapsed="false">
      <c r="A921" s="16"/>
      <c r="B921" s="16"/>
      <c r="C921" s="16"/>
      <c r="D921" s="16"/>
      <c r="E921" s="16"/>
      <c r="F921" s="16"/>
      <c r="G921" s="16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</row>
    <row r="922" customFormat="false" ht="12.75" hidden="false" customHeight="false" outlineLevel="0" collapsed="false">
      <c r="A922" s="16"/>
      <c r="B922" s="16"/>
      <c r="C922" s="16"/>
      <c r="D922" s="16"/>
      <c r="E922" s="16"/>
      <c r="F922" s="16"/>
      <c r="G922" s="16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</row>
    <row r="923" customFormat="false" ht="12.75" hidden="false" customHeight="false" outlineLevel="0" collapsed="false">
      <c r="A923" s="16"/>
      <c r="B923" s="16"/>
      <c r="C923" s="16"/>
      <c r="D923" s="16"/>
      <c r="E923" s="16"/>
      <c r="F923" s="16"/>
      <c r="G923" s="16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</row>
    <row r="924" customFormat="false" ht="12.75" hidden="false" customHeight="false" outlineLevel="0" collapsed="false">
      <c r="A924" s="16"/>
      <c r="B924" s="16"/>
      <c r="C924" s="16"/>
      <c r="D924" s="16"/>
      <c r="E924" s="16"/>
      <c r="F924" s="16"/>
      <c r="G924" s="16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</row>
    <row r="925" customFormat="false" ht="12.75" hidden="false" customHeight="false" outlineLevel="0" collapsed="false">
      <c r="A925" s="16"/>
      <c r="B925" s="16"/>
      <c r="C925" s="16"/>
      <c r="D925" s="16"/>
      <c r="E925" s="16"/>
      <c r="F925" s="16"/>
      <c r="G925" s="16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</row>
    <row r="926" customFormat="false" ht="12.75" hidden="false" customHeight="false" outlineLevel="0" collapsed="false">
      <c r="A926" s="16"/>
      <c r="B926" s="16"/>
      <c r="C926" s="16"/>
      <c r="D926" s="16"/>
      <c r="E926" s="16"/>
      <c r="F926" s="16"/>
      <c r="G926" s="16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</row>
    <row r="927" customFormat="false" ht="12.75" hidden="false" customHeight="false" outlineLevel="0" collapsed="false">
      <c r="A927" s="16"/>
      <c r="B927" s="16"/>
      <c r="C927" s="16"/>
      <c r="D927" s="16"/>
      <c r="E927" s="16"/>
      <c r="F927" s="16"/>
      <c r="G927" s="16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</row>
    <row r="928" customFormat="false" ht="12.75" hidden="false" customHeight="false" outlineLevel="0" collapsed="false">
      <c r="A928" s="16"/>
      <c r="B928" s="16"/>
      <c r="C928" s="16"/>
      <c r="D928" s="16"/>
      <c r="E928" s="16"/>
      <c r="F928" s="16"/>
      <c r="G928" s="16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</row>
    <row r="929" customFormat="false" ht="12.75" hidden="false" customHeight="false" outlineLevel="0" collapsed="false">
      <c r="A929" s="16"/>
      <c r="B929" s="16"/>
      <c r="C929" s="16"/>
      <c r="D929" s="16"/>
      <c r="E929" s="16"/>
      <c r="F929" s="16"/>
      <c r="G929" s="16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</row>
    <row r="930" customFormat="false" ht="12.75" hidden="false" customHeight="false" outlineLevel="0" collapsed="false">
      <c r="A930" s="16"/>
      <c r="B930" s="16"/>
      <c r="C930" s="16"/>
      <c r="D930" s="16"/>
      <c r="E930" s="16"/>
      <c r="F930" s="16"/>
      <c r="G930" s="16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</row>
    <row r="931" customFormat="false" ht="12.75" hidden="false" customHeight="false" outlineLevel="0" collapsed="false">
      <c r="A931" s="16"/>
      <c r="B931" s="16"/>
      <c r="C931" s="16"/>
      <c r="D931" s="16"/>
      <c r="E931" s="16"/>
      <c r="F931" s="16"/>
      <c r="G931" s="16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</row>
    <row r="932" customFormat="false" ht="12.75" hidden="false" customHeight="false" outlineLevel="0" collapsed="false">
      <c r="A932" s="16"/>
      <c r="B932" s="16"/>
      <c r="C932" s="16"/>
      <c r="D932" s="16"/>
      <c r="E932" s="16"/>
      <c r="F932" s="16"/>
      <c r="G932" s="16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</row>
    <row r="933" customFormat="false" ht="12.75" hidden="false" customHeight="false" outlineLevel="0" collapsed="false">
      <c r="A933" s="16"/>
      <c r="B933" s="16"/>
      <c r="C933" s="16"/>
      <c r="D933" s="16"/>
      <c r="E933" s="16"/>
      <c r="F933" s="16"/>
      <c r="G933" s="16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</row>
    <row r="934" customFormat="false" ht="12.75" hidden="false" customHeight="false" outlineLevel="0" collapsed="false">
      <c r="A934" s="16"/>
      <c r="B934" s="16"/>
      <c r="C934" s="16"/>
      <c r="D934" s="16"/>
      <c r="E934" s="16"/>
      <c r="F934" s="16"/>
      <c r="G934" s="16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</row>
    <row r="935" customFormat="false" ht="12.75" hidden="false" customHeight="false" outlineLevel="0" collapsed="false">
      <c r="A935" s="16"/>
      <c r="B935" s="16"/>
      <c r="C935" s="16"/>
      <c r="D935" s="16"/>
      <c r="E935" s="16"/>
      <c r="F935" s="16"/>
      <c r="G935" s="16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</row>
    <row r="936" customFormat="false" ht="12.75" hidden="false" customHeight="false" outlineLevel="0" collapsed="false">
      <c r="A936" s="16"/>
      <c r="B936" s="16"/>
      <c r="C936" s="16"/>
      <c r="D936" s="16"/>
      <c r="E936" s="16"/>
      <c r="F936" s="16"/>
      <c r="G936" s="16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</row>
    <row r="937" customFormat="false" ht="12.75" hidden="false" customHeight="false" outlineLevel="0" collapsed="false">
      <c r="A937" s="16"/>
      <c r="B937" s="16"/>
      <c r="C937" s="16"/>
      <c r="D937" s="16"/>
      <c r="E937" s="16"/>
      <c r="F937" s="16"/>
      <c r="G937" s="16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</row>
    <row r="938" customFormat="false" ht="12.75" hidden="false" customHeight="false" outlineLevel="0" collapsed="false">
      <c r="A938" s="16"/>
      <c r="B938" s="16"/>
      <c r="C938" s="16"/>
      <c r="D938" s="16"/>
      <c r="E938" s="16"/>
      <c r="F938" s="16"/>
      <c r="G938" s="16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</row>
    <row r="939" customFormat="false" ht="12.75" hidden="false" customHeight="false" outlineLevel="0" collapsed="false">
      <c r="A939" s="16"/>
      <c r="B939" s="16"/>
      <c r="C939" s="16"/>
      <c r="D939" s="16"/>
      <c r="E939" s="16"/>
      <c r="F939" s="16"/>
      <c r="G939" s="16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</row>
    <row r="940" customFormat="false" ht="12.75" hidden="false" customHeight="false" outlineLevel="0" collapsed="false">
      <c r="A940" s="16"/>
      <c r="B940" s="16"/>
      <c r="C940" s="16"/>
      <c r="D940" s="16"/>
      <c r="E940" s="16"/>
      <c r="F940" s="16"/>
      <c r="G940" s="16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</row>
    <row r="941" customFormat="false" ht="12.75" hidden="false" customHeight="false" outlineLevel="0" collapsed="false">
      <c r="A941" s="16"/>
      <c r="B941" s="16"/>
      <c r="C941" s="16"/>
      <c r="D941" s="16"/>
      <c r="E941" s="16"/>
      <c r="F941" s="16"/>
      <c r="G941" s="16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</row>
    <row r="942" customFormat="false" ht="12.75" hidden="false" customHeight="false" outlineLevel="0" collapsed="false">
      <c r="A942" s="16"/>
      <c r="B942" s="16"/>
      <c r="C942" s="16"/>
      <c r="D942" s="16"/>
      <c r="E942" s="16"/>
      <c r="F942" s="16"/>
      <c r="G942" s="16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</row>
    <row r="943" customFormat="false" ht="12.75" hidden="false" customHeight="false" outlineLevel="0" collapsed="false">
      <c r="A943" s="16"/>
      <c r="B943" s="16"/>
      <c r="C943" s="16"/>
      <c r="D943" s="16"/>
      <c r="E943" s="16"/>
      <c r="F943" s="16"/>
      <c r="G943" s="16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</row>
    <row r="944" customFormat="false" ht="12.75" hidden="false" customHeight="false" outlineLevel="0" collapsed="false">
      <c r="A944" s="16"/>
      <c r="B944" s="16"/>
      <c r="C944" s="16"/>
      <c r="D944" s="16"/>
      <c r="E944" s="16"/>
      <c r="F944" s="16"/>
      <c r="G944" s="16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</row>
    <row r="945" customFormat="false" ht="12.75" hidden="false" customHeight="false" outlineLevel="0" collapsed="false">
      <c r="A945" s="16"/>
      <c r="B945" s="16"/>
      <c r="C945" s="16"/>
      <c r="D945" s="16"/>
      <c r="E945" s="16"/>
      <c r="F945" s="16"/>
      <c r="G945" s="16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</row>
    <row r="946" customFormat="false" ht="12.75" hidden="false" customHeight="false" outlineLevel="0" collapsed="false">
      <c r="A946" s="16"/>
      <c r="B946" s="16"/>
      <c r="C946" s="16"/>
      <c r="D946" s="16"/>
      <c r="E946" s="16"/>
      <c r="F946" s="16"/>
      <c r="G946" s="16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</row>
    <row r="947" customFormat="false" ht="12.75" hidden="false" customHeight="false" outlineLevel="0" collapsed="false">
      <c r="A947" s="16"/>
      <c r="B947" s="16"/>
      <c r="C947" s="16"/>
      <c r="D947" s="16"/>
      <c r="E947" s="16"/>
      <c r="F947" s="16"/>
      <c r="G947" s="16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</row>
    <row r="948" customFormat="false" ht="12.75" hidden="false" customHeight="false" outlineLevel="0" collapsed="false">
      <c r="A948" s="16"/>
      <c r="B948" s="16"/>
      <c r="C948" s="16"/>
      <c r="D948" s="16"/>
      <c r="E948" s="16"/>
      <c r="F948" s="16"/>
      <c r="G948" s="16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</row>
    <row r="949" customFormat="false" ht="12.75" hidden="false" customHeight="false" outlineLevel="0" collapsed="false">
      <c r="A949" s="16"/>
      <c r="B949" s="16"/>
      <c r="C949" s="16"/>
      <c r="D949" s="16"/>
      <c r="E949" s="16"/>
      <c r="F949" s="16"/>
      <c r="G949" s="16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</row>
    <row r="950" customFormat="false" ht="12.75" hidden="false" customHeight="false" outlineLevel="0" collapsed="false">
      <c r="A950" s="16"/>
      <c r="B950" s="16"/>
      <c r="C950" s="16"/>
      <c r="D950" s="16"/>
      <c r="E950" s="16"/>
      <c r="F950" s="16"/>
      <c r="G950" s="16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</row>
    <row r="951" customFormat="false" ht="12.75" hidden="false" customHeight="false" outlineLevel="0" collapsed="false">
      <c r="A951" s="16"/>
      <c r="B951" s="16"/>
      <c r="C951" s="16"/>
      <c r="D951" s="16"/>
      <c r="E951" s="16"/>
      <c r="F951" s="16"/>
      <c r="G951" s="16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</row>
    <row r="952" customFormat="false" ht="12.75" hidden="false" customHeight="false" outlineLevel="0" collapsed="false">
      <c r="A952" s="16"/>
      <c r="B952" s="16"/>
      <c r="C952" s="16"/>
      <c r="D952" s="16"/>
      <c r="E952" s="16"/>
      <c r="F952" s="16"/>
      <c r="G952" s="16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</row>
    <row r="953" customFormat="false" ht="12.75" hidden="false" customHeight="false" outlineLevel="0" collapsed="false">
      <c r="A953" s="16"/>
      <c r="B953" s="16"/>
      <c r="C953" s="16"/>
      <c r="D953" s="16"/>
      <c r="E953" s="16"/>
      <c r="F953" s="16"/>
      <c r="G953" s="16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</row>
    <row r="954" customFormat="false" ht="12.75" hidden="false" customHeight="false" outlineLevel="0" collapsed="false">
      <c r="A954" s="16"/>
      <c r="B954" s="16"/>
      <c r="C954" s="16"/>
      <c r="D954" s="16"/>
      <c r="E954" s="16"/>
      <c r="F954" s="16"/>
      <c r="G954" s="16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</row>
    <row r="955" customFormat="false" ht="12.75" hidden="false" customHeight="false" outlineLevel="0" collapsed="false">
      <c r="A955" s="16"/>
      <c r="B955" s="16"/>
      <c r="C955" s="16"/>
      <c r="D955" s="16"/>
      <c r="E955" s="16"/>
      <c r="F955" s="16"/>
      <c r="G955" s="16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</row>
    <row r="956" customFormat="false" ht="12.75" hidden="false" customHeight="false" outlineLevel="0" collapsed="false">
      <c r="A956" s="16"/>
      <c r="B956" s="16"/>
      <c r="C956" s="16"/>
      <c r="D956" s="16"/>
      <c r="E956" s="16"/>
      <c r="F956" s="16"/>
      <c r="G956" s="16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</row>
    <row r="957" customFormat="false" ht="12.75" hidden="false" customHeight="false" outlineLevel="0" collapsed="false">
      <c r="A957" s="16"/>
      <c r="B957" s="16"/>
      <c r="C957" s="16"/>
      <c r="D957" s="16"/>
      <c r="E957" s="16"/>
      <c r="F957" s="16"/>
      <c r="G957" s="16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</row>
    <row r="958" customFormat="false" ht="12.75" hidden="false" customHeight="false" outlineLevel="0" collapsed="false">
      <c r="A958" s="16"/>
      <c r="B958" s="16"/>
      <c r="C958" s="16"/>
      <c r="D958" s="16"/>
      <c r="E958" s="16"/>
      <c r="F958" s="16"/>
      <c r="G958" s="16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</row>
    <row r="959" customFormat="false" ht="12.75" hidden="false" customHeight="false" outlineLevel="0" collapsed="false">
      <c r="A959" s="16"/>
      <c r="B959" s="16"/>
      <c r="C959" s="16"/>
      <c r="D959" s="16"/>
      <c r="E959" s="16"/>
      <c r="F959" s="16"/>
      <c r="G959" s="16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</row>
    <row r="960" customFormat="false" ht="12.75" hidden="false" customHeight="false" outlineLevel="0" collapsed="false">
      <c r="A960" s="16"/>
      <c r="B960" s="16"/>
      <c r="C960" s="16"/>
      <c r="D960" s="16"/>
      <c r="E960" s="16"/>
      <c r="F960" s="16"/>
      <c r="G960" s="16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</row>
    <row r="961" customFormat="false" ht="12.75" hidden="false" customHeight="false" outlineLevel="0" collapsed="false">
      <c r="A961" s="16"/>
      <c r="B961" s="16"/>
      <c r="C961" s="16"/>
      <c r="D961" s="16"/>
      <c r="E961" s="16"/>
      <c r="F961" s="16"/>
      <c r="G961" s="16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</row>
    <row r="962" customFormat="false" ht="12.75" hidden="false" customHeight="false" outlineLevel="0" collapsed="false">
      <c r="A962" s="16"/>
      <c r="B962" s="16"/>
      <c r="C962" s="16"/>
      <c r="D962" s="16"/>
      <c r="E962" s="16"/>
      <c r="F962" s="16"/>
      <c r="G962" s="16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</row>
    <row r="963" customFormat="false" ht="12.75" hidden="false" customHeight="false" outlineLevel="0" collapsed="false">
      <c r="A963" s="16"/>
      <c r="B963" s="16"/>
      <c r="C963" s="16"/>
      <c r="D963" s="16"/>
      <c r="E963" s="16"/>
      <c r="F963" s="16"/>
      <c r="G963" s="16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</row>
    <row r="964" customFormat="false" ht="12.75" hidden="false" customHeight="false" outlineLevel="0" collapsed="false">
      <c r="A964" s="16"/>
      <c r="B964" s="16"/>
      <c r="C964" s="16"/>
      <c r="D964" s="16"/>
      <c r="E964" s="16"/>
      <c r="F964" s="16"/>
      <c r="G964" s="16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</row>
    <row r="965" customFormat="false" ht="12.75" hidden="false" customHeight="false" outlineLevel="0" collapsed="false">
      <c r="A965" s="16"/>
      <c r="B965" s="16"/>
      <c r="C965" s="16"/>
      <c r="D965" s="16"/>
      <c r="E965" s="16"/>
      <c r="F965" s="16"/>
      <c r="G965" s="16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</row>
    <row r="966" customFormat="false" ht="12.75" hidden="false" customHeight="false" outlineLevel="0" collapsed="false">
      <c r="A966" s="16"/>
      <c r="B966" s="16"/>
      <c r="C966" s="16"/>
      <c r="D966" s="16"/>
      <c r="E966" s="16"/>
      <c r="F966" s="16"/>
      <c r="G966" s="16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</row>
    <row r="967" customFormat="false" ht="12.75" hidden="false" customHeight="false" outlineLevel="0" collapsed="false">
      <c r="A967" s="16"/>
      <c r="B967" s="16"/>
      <c r="C967" s="16"/>
      <c r="D967" s="16"/>
      <c r="E967" s="16"/>
      <c r="F967" s="16"/>
      <c r="G967" s="16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</row>
    <row r="968" customFormat="false" ht="12.75" hidden="false" customHeight="false" outlineLevel="0" collapsed="false">
      <c r="A968" s="16"/>
      <c r="B968" s="16"/>
      <c r="C968" s="16"/>
      <c r="D968" s="16"/>
      <c r="E968" s="16"/>
      <c r="F968" s="16"/>
      <c r="G968" s="16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</row>
    <row r="969" customFormat="false" ht="12.75" hidden="false" customHeight="false" outlineLevel="0" collapsed="false">
      <c r="A969" s="16"/>
      <c r="B969" s="16"/>
      <c r="C969" s="16"/>
      <c r="D969" s="16"/>
      <c r="E969" s="16"/>
      <c r="F969" s="16"/>
      <c r="G969" s="16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</row>
    <row r="970" customFormat="false" ht="12.75" hidden="false" customHeight="false" outlineLevel="0" collapsed="false">
      <c r="A970" s="16"/>
      <c r="B970" s="16"/>
      <c r="C970" s="16"/>
      <c r="D970" s="16"/>
      <c r="E970" s="16"/>
      <c r="F970" s="16"/>
      <c r="G970" s="16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</row>
    <row r="971" customFormat="false" ht="12.75" hidden="false" customHeight="false" outlineLevel="0" collapsed="false">
      <c r="A971" s="16"/>
      <c r="B971" s="16"/>
      <c r="C971" s="16"/>
      <c r="D971" s="16"/>
      <c r="E971" s="16"/>
      <c r="F971" s="16"/>
      <c r="G971" s="16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</row>
    <row r="972" customFormat="false" ht="12.75" hidden="false" customHeight="false" outlineLevel="0" collapsed="false">
      <c r="A972" s="16"/>
      <c r="B972" s="16"/>
      <c r="C972" s="16"/>
      <c r="D972" s="16"/>
      <c r="E972" s="16"/>
      <c r="F972" s="16"/>
      <c r="G972" s="16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</row>
    <row r="973" customFormat="false" ht="12.75" hidden="false" customHeight="false" outlineLevel="0" collapsed="false">
      <c r="A973" s="16"/>
      <c r="B973" s="16"/>
      <c r="C973" s="16"/>
      <c r="D973" s="16"/>
      <c r="E973" s="16"/>
      <c r="F973" s="16"/>
      <c r="G973" s="16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</row>
    <row r="974" customFormat="false" ht="12.75" hidden="false" customHeight="false" outlineLevel="0" collapsed="false">
      <c r="A974" s="16"/>
      <c r="B974" s="16"/>
      <c r="C974" s="16"/>
      <c r="D974" s="16"/>
      <c r="E974" s="16"/>
      <c r="F974" s="16"/>
      <c r="G974" s="16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</row>
    <row r="975" customFormat="false" ht="12.75" hidden="false" customHeight="false" outlineLevel="0" collapsed="false">
      <c r="A975" s="16"/>
      <c r="B975" s="16"/>
      <c r="C975" s="16"/>
      <c r="D975" s="16"/>
      <c r="E975" s="16"/>
      <c r="F975" s="16"/>
      <c r="G975" s="16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</row>
    <row r="976" customFormat="false" ht="12.75" hidden="false" customHeight="false" outlineLevel="0" collapsed="false">
      <c r="A976" s="16"/>
      <c r="B976" s="16"/>
      <c r="C976" s="16"/>
      <c r="D976" s="16"/>
      <c r="E976" s="16"/>
      <c r="F976" s="16"/>
      <c r="G976" s="16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</row>
    <row r="977" customFormat="false" ht="12.75" hidden="false" customHeight="false" outlineLevel="0" collapsed="false">
      <c r="A977" s="16"/>
      <c r="B977" s="16"/>
      <c r="C977" s="16"/>
      <c r="D977" s="16"/>
      <c r="E977" s="16"/>
      <c r="F977" s="16"/>
      <c r="G977" s="16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</row>
    <row r="978" customFormat="false" ht="12.75" hidden="false" customHeight="false" outlineLevel="0" collapsed="false">
      <c r="A978" s="16"/>
      <c r="B978" s="16"/>
      <c r="C978" s="16"/>
      <c r="D978" s="16"/>
      <c r="E978" s="16"/>
      <c r="F978" s="16"/>
      <c r="G978" s="16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</row>
    <row r="979" customFormat="false" ht="12.75" hidden="false" customHeight="false" outlineLevel="0" collapsed="false">
      <c r="A979" s="16"/>
      <c r="B979" s="16"/>
      <c r="C979" s="16"/>
      <c r="D979" s="16"/>
      <c r="E979" s="16"/>
      <c r="F979" s="16"/>
      <c r="G979" s="16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</row>
    <row r="980" customFormat="false" ht="12.75" hidden="false" customHeight="false" outlineLevel="0" collapsed="false">
      <c r="A980" s="16"/>
      <c r="B980" s="16"/>
      <c r="C980" s="16"/>
      <c r="D980" s="16"/>
      <c r="E980" s="16"/>
      <c r="F980" s="16"/>
      <c r="G980" s="16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</row>
    <row r="981" customFormat="false" ht="12.75" hidden="false" customHeight="false" outlineLevel="0" collapsed="false">
      <c r="A981" s="16"/>
      <c r="B981" s="16"/>
      <c r="C981" s="16"/>
      <c r="D981" s="16"/>
      <c r="E981" s="16"/>
      <c r="F981" s="16"/>
      <c r="G981" s="16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</row>
    <row r="982" customFormat="false" ht="12.75" hidden="false" customHeight="false" outlineLevel="0" collapsed="false">
      <c r="A982" s="16"/>
      <c r="B982" s="16"/>
      <c r="C982" s="16"/>
      <c r="D982" s="16"/>
      <c r="E982" s="16"/>
      <c r="F982" s="16"/>
      <c r="G982" s="16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</row>
    <row r="983" customFormat="false" ht="12.75" hidden="false" customHeight="false" outlineLevel="0" collapsed="false">
      <c r="A983" s="16"/>
      <c r="B983" s="16"/>
      <c r="C983" s="16"/>
      <c r="D983" s="16"/>
      <c r="E983" s="16"/>
      <c r="F983" s="16"/>
      <c r="G983" s="16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</row>
    <row r="984" customFormat="false" ht="12.75" hidden="false" customHeight="false" outlineLevel="0" collapsed="false">
      <c r="A984" s="16"/>
      <c r="B984" s="16"/>
      <c r="C984" s="16"/>
      <c r="D984" s="16"/>
      <c r="E984" s="16"/>
      <c r="F984" s="16"/>
      <c r="G984" s="16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</row>
    <row r="985" customFormat="false" ht="12.75" hidden="false" customHeight="false" outlineLevel="0" collapsed="false">
      <c r="A985" s="16"/>
      <c r="B985" s="16"/>
      <c r="C985" s="16"/>
      <c r="D985" s="16"/>
      <c r="E985" s="16"/>
      <c r="F985" s="16"/>
      <c r="G985" s="16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</row>
    <row r="986" customFormat="false" ht="12.75" hidden="false" customHeight="false" outlineLevel="0" collapsed="false">
      <c r="A986" s="16"/>
      <c r="B986" s="16"/>
      <c r="C986" s="16"/>
      <c r="D986" s="16"/>
      <c r="E986" s="16"/>
      <c r="F986" s="16"/>
      <c r="G986" s="16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</row>
    <row r="987" customFormat="false" ht="12.75" hidden="false" customHeight="false" outlineLevel="0" collapsed="false">
      <c r="A987" s="16"/>
      <c r="B987" s="16"/>
      <c r="C987" s="16"/>
      <c r="D987" s="16"/>
      <c r="E987" s="16"/>
      <c r="F987" s="16"/>
      <c r="G987" s="16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</row>
    <row r="988" customFormat="false" ht="12.75" hidden="false" customHeight="false" outlineLevel="0" collapsed="false">
      <c r="A988" s="16"/>
      <c r="B988" s="16"/>
      <c r="C988" s="16"/>
      <c r="D988" s="16"/>
      <c r="E988" s="16"/>
      <c r="F988" s="16"/>
      <c r="G988" s="16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</row>
    <row r="989" customFormat="false" ht="12.75" hidden="false" customHeight="false" outlineLevel="0" collapsed="false">
      <c r="A989" s="16"/>
      <c r="B989" s="16"/>
      <c r="C989" s="16"/>
      <c r="D989" s="16"/>
      <c r="E989" s="16"/>
      <c r="F989" s="16"/>
      <c r="G989" s="16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</row>
    <row r="990" customFormat="false" ht="12.75" hidden="false" customHeight="false" outlineLevel="0" collapsed="false">
      <c r="A990" s="16"/>
      <c r="B990" s="16"/>
      <c r="C990" s="16"/>
      <c r="D990" s="16"/>
      <c r="E990" s="16"/>
      <c r="F990" s="16"/>
      <c r="G990" s="16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</row>
    <row r="991" customFormat="false" ht="12.75" hidden="false" customHeight="false" outlineLevel="0" collapsed="false">
      <c r="A991" s="16"/>
      <c r="B991" s="16"/>
      <c r="C991" s="16"/>
      <c r="D991" s="16"/>
      <c r="E991" s="16"/>
      <c r="F991" s="16"/>
      <c r="G991" s="16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</row>
    <row r="992" customFormat="false" ht="12.75" hidden="false" customHeight="false" outlineLevel="0" collapsed="false">
      <c r="A992" s="16"/>
      <c r="B992" s="16"/>
      <c r="C992" s="16"/>
      <c r="D992" s="16"/>
      <c r="E992" s="16"/>
      <c r="F992" s="16"/>
      <c r="G992" s="16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</row>
    <row r="993" customFormat="false" ht="12.75" hidden="false" customHeight="false" outlineLevel="0" collapsed="false">
      <c r="A993" s="16"/>
      <c r="B993" s="16"/>
      <c r="C993" s="16"/>
      <c r="D993" s="16"/>
      <c r="E993" s="16"/>
      <c r="F993" s="16"/>
      <c r="G993" s="16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</row>
    <row r="994" customFormat="false" ht="12.75" hidden="false" customHeight="false" outlineLevel="0" collapsed="false">
      <c r="A994" s="16"/>
      <c r="B994" s="16"/>
      <c r="C994" s="16"/>
      <c r="D994" s="16"/>
      <c r="E994" s="16"/>
      <c r="F994" s="16"/>
      <c r="G994" s="16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</row>
    <row r="995" customFormat="false" ht="12.75" hidden="false" customHeight="false" outlineLevel="0" collapsed="false">
      <c r="A995" s="16"/>
      <c r="B995" s="16"/>
      <c r="C995" s="16"/>
      <c r="D995" s="16"/>
      <c r="E995" s="16"/>
      <c r="F995" s="16"/>
      <c r="G995" s="16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</row>
    <row r="996" customFormat="false" ht="12.75" hidden="false" customHeight="false" outlineLevel="0" collapsed="false">
      <c r="A996" s="16"/>
      <c r="B996" s="16"/>
      <c r="C996" s="16"/>
      <c r="D996" s="16"/>
      <c r="E996" s="16"/>
      <c r="F996" s="16"/>
      <c r="G996" s="16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</row>
    <row r="997" customFormat="false" ht="12.75" hidden="false" customHeight="false" outlineLevel="0" collapsed="false">
      <c r="A997" s="16"/>
      <c r="B997" s="16"/>
      <c r="C997" s="16"/>
      <c r="D997" s="16"/>
      <c r="E997" s="16"/>
      <c r="F997" s="16"/>
      <c r="G997" s="16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</row>
    <row r="998" customFormat="false" ht="12.75" hidden="false" customHeight="false" outlineLevel="0" collapsed="false">
      <c r="A998" s="16"/>
      <c r="B998" s="16"/>
      <c r="C998" s="16"/>
      <c r="D998" s="16"/>
      <c r="E998" s="16"/>
      <c r="F998" s="16"/>
      <c r="G998" s="16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</row>
    <row r="999" customFormat="false" ht="12.75" hidden="false" customHeight="false" outlineLevel="0" collapsed="false">
      <c r="A999" s="16"/>
      <c r="B999" s="16"/>
      <c r="C999" s="16"/>
      <c r="D999" s="16"/>
      <c r="E999" s="16"/>
      <c r="F999" s="16"/>
      <c r="G999" s="16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</row>
    <row r="1000" customFormat="false" ht="12.75" hidden="false" customHeight="false" outlineLevel="0" collapsed="false">
      <c r="A1000" s="16"/>
      <c r="B1000" s="16"/>
      <c r="C1000" s="16"/>
      <c r="D1000" s="16"/>
      <c r="E1000" s="16"/>
      <c r="F1000" s="16"/>
      <c r="G1000" s="16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</row>
    <row r="1001" customFormat="false" ht="12.75" hidden="false" customHeight="false" outlineLevel="0" collapsed="false">
      <c r="A1001" s="16"/>
      <c r="B1001" s="16"/>
      <c r="C1001" s="16"/>
      <c r="D1001" s="16"/>
      <c r="E1001" s="16"/>
      <c r="F1001" s="16"/>
      <c r="G1001" s="16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</row>
    <row r="1002" customFormat="false" ht="12.75" hidden="false" customHeight="false" outlineLevel="0" collapsed="false">
      <c r="A1002" s="16"/>
      <c r="B1002" s="16"/>
      <c r="C1002" s="16"/>
      <c r="D1002" s="16"/>
      <c r="E1002" s="16"/>
      <c r="F1002" s="16"/>
      <c r="G1002" s="16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</row>
    <row r="1003" customFormat="false" ht="12.75" hidden="false" customHeight="false" outlineLevel="0" collapsed="false">
      <c r="A1003" s="16"/>
      <c r="B1003" s="16"/>
      <c r="C1003" s="16"/>
      <c r="D1003" s="16"/>
      <c r="E1003" s="16"/>
      <c r="F1003" s="16"/>
      <c r="G1003" s="16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</row>
    <row r="1004" customFormat="false" ht="12.75" hidden="false" customHeight="false" outlineLevel="0" collapsed="false">
      <c r="A1004" s="16"/>
      <c r="B1004" s="16"/>
      <c r="C1004" s="16"/>
      <c r="D1004" s="16"/>
      <c r="E1004" s="16"/>
      <c r="F1004" s="16"/>
      <c r="G1004" s="16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</row>
    <row r="1005" customFormat="false" ht="12.75" hidden="false" customHeight="false" outlineLevel="0" collapsed="false">
      <c r="A1005" s="16"/>
      <c r="B1005" s="16"/>
      <c r="C1005" s="16"/>
      <c r="D1005" s="16"/>
      <c r="E1005" s="16"/>
      <c r="F1005" s="16"/>
      <c r="G1005" s="16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</row>
    <row r="1006" customFormat="false" ht="12.75" hidden="false" customHeight="false" outlineLevel="0" collapsed="false">
      <c r="A1006" s="16"/>
      <c r="B1006" s="16"/>
      <c r="C1006" s="16"/>
      <c r="D1006" s="16"/>
      <c r="E1006" s="16"/>
      <c r="F1006" s="16"/>
      <c r="G1006" s="16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</row>
    <row r="1007" customFormat="false" ht="12.75" hidden="false" customHeight="false" outlineLevel="0" collapsed="false">
      <c r="A1007" s="16"/>
      <c r="B1007" s="16"/>
      <c r="C1007" s="16"/>
      <c r="D1007" s="16"/>
      <c r="E1007" s="16"/>
      <c r="F1007" s="16"/>
      <c r="G1007" s="16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</row>
    <row r="1008" customFormat="false" ht="12.75" hidden="false" customHeight="false" outlineLevel="0" collapsed="false">
      <c r="A1008" s="16"/>
      <c r="B1008" s="16"/>
      <c r="C1008" s="16"/>
      <c r="D1008" s="16"/>
      <c r="E1008" s="16"/>
      <c r="F1008" s="16"/>
      <c r="G1008" s="16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</row>
    <row r="1009" customFormat="false" ht="12.75" hidden="false" customHeight="false" outlineLevel="0" collapsed="false">
      <c r="A1009" s="16"/>
      <c r="B1009" s="16"/>
      <c r="C1009" s="16"/>
      <c r="D1009" s="16"/>
      <c r="E1009" s="16"/>
      <c r="F1009" s="16"/>
      <c r="G1009" s="16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</row>
    <row r="1010" customFormat="false" ht="12.75" hidden="false" customHeight="false" outlineLevel="0" collapsed="false">
      <c r="A1010" s="16"/>
      <c r="B1010" s="16"/>
      <c r="C1010" s="16"/>
      <c r="D1010" s="16"/>
      <c r="E1010" s="16"/>
      <c r="F1010" s="16"/>
      <c r="G1010" s="16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</row>
    <row r="1011" customFormat="false" ht="12.75" hidden="false" customHeight="false" outlineLevel="0" collapsed="false">
      <c r="A1011" s="16"/>
      <c r="B1011" s="16"/>
      <c r="C1011" s="16"/>
      <c r="D1011" s="16"/>
      <c r="E1011" s="16"/>
      <c r="F1011" s="16"/>
      <c r="G1011" s="16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</row>
    <row r="1012" customFormat="false" ht="12.75" hidden="false" customHeight="false" outlineLevel="0" collapsed="false">
      <c r="A1012" s="16"/>
      <c r="B1012" s="16"/>
      <c r="C1012" s="16"/>
      <c r="D1012" s="16"/>
      <c r="E1012" s="16"/>
      <c r="F1012" s="16"/>
      <c r="G1012" s="16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</row>
    <row r="1013" customFormat="false" ht="12.75" hidden="false" customHeight="false" outlineLevel="0" collapsed="false">
      <c r="A1013" s="16"/>
      <c r="B1013" s="16"/>
      <c r="C1013" s="16"/>
      <c r="D1013" s="16"/>
      <c r="E1013" s="16"/>
      <c r="F1013" s="16"/>
      <c r="G1013" s="16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</row>
    <row r="1014" customFormat="false" ht="12.75" hidden="false" customHeight="false" outlineLevel="0" collapsed="false">
      <c r="A1014" s="16"/>
      <c r="B1014" s="16"/>
      <c r="C1014" s="16"/>
      <c r="D1014" s="16"/>
      <c r="E1014" s="16"/>
      <c r="F1014" s="16"/>
      <c r="G1014" s="16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</row>
    <row r="1015" customFormat="false" ht="12.75" hidden="false" customHeight="false" outlineLevel="0" collapsed="false">
      <c r="A1015" s="16"/>
      <c r="B1015" s="16"/>
      <c r="C1015" s="16"/>
      <c r="D1015" s="16"/>
      <c r="E1015" s="16"/>
      <c r="F1015" s="16"/>
      <c r="G1015" s="16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</row>
    <row r="1016" customFormat="false" ht="12.75" hidden="false" customHeight="false" outlineLevel="0" collapsed="false">
      <c r="A1016" s="16"/>
      <c r="B1016" s="16"/>
      <c r="C1016" s="16"/>
      <c r="D1016" s="16"/>
      <c r="E1016" s="16"/>
      <c r="F1016" s="16"/>
      <c r="G1016" s="16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</row>
    <row r="1017" customFormat="false" ht="12.75" hidden="false" customHeight="false" outlineLevel="0" collapsed="false">
      <c r="A1017" s="16"/>
      <c r="B1017" s="16"/>
      <c r="C1017" s="16"/>
      <c r="D1017" s="16"/>
      <c r="E1017" s="16"/>
      <c r="F1017" s="16"/>
      <c r="G1017" s="16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</row>
    <row r="1018" customFormat="false" ht="12.75" hidden="false" customHeight="false" outlineLevel="0" collapsed="false">
      <c r="A1018" s="16"/>
      <c r="B1018" s="16"/>
      <c r="C1018" s="16"/>
      <c r="D1018" s="16"/>
      <c r="E1018" s="16"/>
      <c r="F1018" s="16"/>
      <c r="G1018" s="16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</row>
    <row r="1019" customFormat="false" ht="12.75" hidden="false" customHeight="false" outlineLevel="0" collapsed="false">
      <c r="A1019" s="16"/>
      <c r="B1019" s="16"/>
      <c r="C1019" s="16"/>
      <c r="D1019" s="16"/>
      <c r="E1019" s="16"/>
      <c r="F1019" s="16"/>
      <c r="G1019" s="16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</row>
    <row r="1020" customFormat="false" ht="12.75" hidden="false" customHeight="false" outlineLevel="0" collapsed="false">
      <c r="A1020" s="16"/>
      <c r="B1020" s="16"/>
      <c r="C1020" s="16"/>
      <c r="D1020" s="16"/>
      <c r="E1020" s="16"/>
      <c r="F1020" s="16"/>
      <c r="G1020" s="16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</row>
    <row r="1021" customFormat="false" ht="12.75" hidden="false" customHeight="false" outlineLevel="0" collapsed="false">
      <c r="A1021" s="16"/>
      <c r="B1021" s="16"/>
      <c r="C1021" s="16"/>
      <c r="D1021" s="16"/>
      <c r="E1021" s="16"/>
      <c r="F1021" s="16"/>
      <c r="G1021" s="16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</row>
    <row r="1022" customFormat="false" ht="12.75" hidden="false" customHeight="false" outlineLevel="0" collapsed="false">
      <c r="A1022" s="16"/>
      <c r="B1022" s="16"/>
      <c r="C1022" s="16"/>
      <c r="D1022" s="16"/>
      <c r="E1022" s="16"/>
      <c r="F1022" s="16"/>
      <c r="G1022" s="16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</row>
    <row r="1023" customFormat="false" ht="12.75" hidden="false" customHeight="false" outlineLevel="0" collapsed="false">
      <c r="A1023" s="16"/>
      <c r="B1023" s="16"/>
      <c r="C1023" s="16"/>
      <c r="D1023" s="16"/>
      <c r="E1023" s="16"/>
      <c r="F1023" s="16"/>
      <c r="G1023" s="16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</row>
    <row r="1024" customFormat="false" ht="12.75" hidden="false" customHeight="false" outlineLevel="0" collapsed="false">
      <c r="A1024" s="16"/>
      <c r="B1024" s="16"/>
      <c r="C1024" s="16"/>
      <c r="D1024" s="16"/>
      <c r="E1024" s="16"/>
      <c r="F1024" s="16"/>
      <c r="G1024" s="16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</row>
    <row r="1025" customFormat="false" ht="12.75" hidden="false" customHeight="false" outlineLevel="0" collapsed="false">
      <c r="A1025" s="16"/>
      <c r="B1025" s="16"/>
      <c r="C1025" s="16"/>
      <c r="D1025" s="16"/>
      <c r="E1025" s="16"/>
      <c r="F1025" s="16"/>
      <c r="G1025" s="16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</row>
    <row r="1026" customFormat="false" ht="12.75" hidden="false" customHeight="false" outlineLevel="0" collapsed="false">
      <c r="A1026" s="16"/>
      <c r="B1026" s="16"/>
      <c r="C1026" s="16"/>
      <c r="D1026" s="16"/>
      <c r="E1026" s="16"/>
      <c r="F1026" s="16"/>
      <c r="G1026" s="16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</row>
    <row r="1027" customFormat="false" ht="12.75" hidden="false" customHeight="false" outlineLevel="0" collapsed="false">
      <c r="A1027" s="16"/>
      <c r="B1027" s="16"/>
      <c r="C1027" s="16"/>
      <c r="D1027" s="16"/>
      <c r="E1027" s="16"/>
      <c r="F1027" s="16"/>
      <c r="G1027" s="16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</row>
    <row r="1028" customFormat="false" ht="12.75" hidden="false" customHeight="false" outlineLevel="0" collapsed="false">
      <c r="A1028" s="16"/>
      <c r="B1028" s="16"/>
      <c r="C1028" s="16"/>
      <c r="D1028" s="16"/>
      <c r="E1028" s="16"/>
      <c r="F1028" s="16"/>
      <c r="G1028" s="16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</row>
    <row r="1029" customFormat="false" ht="12.75" hidden="false" customHeight="false" outlineLevel="0" collapsed="false">
      <c r="A1029" s="16"/>
      <c r="B1029" s="16"/>
      <c r="C1029" s="16"/>
      <c r="D1029" s="16"/>
      <c r="E1029" s="16"/>
      <c r="F1029" s="16"/>
      <c r="G1029" s="16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</row>
    <row r="1030" customFormat="false" ht="12.75" hidden="false" customHeight="false" outlineLevel="0" collapsed="false">
      <c r="A1030" s="16"/>
      <c r="B1030" s="16"/>
      <c r="C1030" s="16"/>
      <c r="D1030" s="16"/>
      <c r="E1030" s="16"/>
      <c r="F1030" s="16"/>
      <c r="G1030" s="16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</row>
    <row r="1031" customFormat="false" ht="12.75" hidden="false" customHeight="false" outlineLevel="0" collapsed="false">
      <c r="A1031" s="16"/>
      <c r="B1031" s="16"/>
      <c r="C1031" s="16"/>
      <c r="D1031" s="16"/>
      <c r="E1031" s="16"/>
      <c r="F1031" s="16"/>
      <c r="G1031" s="16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</row>
    <row r="1032" customFormat="false" ht="12.75" hidden="false" customHeight="false" outlineLevel="0" collapsed="false">
      <c r="A1032" s="16"/>
      <c r="B1032" s="16"/>
      <c r="C1032" s="16"/>
      <c r="D1032" s="16"/>
      <c r="E1032" s="16"/>
      <c r="F1032" s="16"/>
      <c r="G1032" s="16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</row>
    <row r="1033" customFormat="false" ht="12.75" hidden="false" customHeight="false" outlineLevel="0" collapsed="false">
      <c r="A1033" s="16"/>
      <c r="B1033" s="16"/>
      <c r="C1033" s="16"/>
      <c r="D1033" s="16"/>
      <c r="E1033" s="16"/>
      <c r="F1033" s="16"/>
      <c r="G1033" s="16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</row>
    <row r="1034" customFormat="false" ht="12.75" hidden="false" customHeight="false" outlineLevel="0" collapsed="false">
      <c r="A1034" s="16"/>
      <c r="B1034" s="16"/>
      <c r="C1034" s="16"/>
      <c r="D1034" s="16"/>
      <c r="E1034" s="16"/>
      <c r="F1034" s="16"/>
      <c r="G1034" s="16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</row>
    <row r="1035" customFormat="false" ht="12.75" hidden="false" customHeight="false" outlineLevel="0" collapsed="false">
      <c r="A1035" s="16"/>
      <c r="B1035" s="16"/>
      <c r="C1035" s="16"/>
      <c r="D1035" s="16"/>
      <c r="E1035" s="16"/>
      <c r="F1035" s="16"/>
      <c r="G1035" s="16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</row>
    <row r="1036" customFormat="false" ht="12.75" hidden="false" customHeight="false" outlineLevel="0" collapsed="false">
      <c r="A1036" s="16"/>
      <c r="B1036" s="16"/>
      <c r="C1036" s="16"/>
      <c r="D1036" s="16"/>
      <c r="E1036" s="16"/>
      <c r="F1036" s="16"/>
      <c r="G1036" s="16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</row>
    <row r="1037" customFormat="false" ht="12.75" hidden="false" customHeight="false" outlineLevel="0" collapsed="false">
      <c r="A1037" s="16"/>
      <c r="B1037" s="16"/>
      <c r="C1037" s="16"/>
      <c r="D1037" s="16"/>
      <c r="E1037" s="16"/>
      <c r="F1037" s="16"/>
      <c r="G1037" s="16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</row>
    <row r="1038" customFormat="false" ht="12.75" hidden="false" customHeight="false" outlineLevel="0" collapsed="false">
      <c r="A1038" s="16"/>
      <c r="B1038" s="16"/>
      <c r="C1038" s="16"/>
      <c r="D1038" s="16"/>
      <c r="E1038" s="16"/>
      <c r="F1038" s="16"/>
      <c r="G1038" s="16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</row>
    <row r="1039" customFormat="false" ht="12.75" hidden="false" customHeight="false" outlineLevel="0" collapsed="false">
      <c r="A1039" s="16"/>
      <c r="B1039" s="16"/>
      <c r="C1039" s="16"/>
      <c r="D1039" s="16"/>
      <c r="E1039" s="16"/>
      <c r="F1039" s="16"/>
      <c r="G1039" s="16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</row>
    <row r="1040" customFormat="false" ht="12.75" hidden="false" customHeight="false" outlineLevel="0" collapsed="false">
      <c r="A1040" s="16"/>
      <c r="B1040" s="16"/>
      <c r="C1040" s="16"/>
      <c r="D1040" s="16"/>
      <c r="E1040" s="16"/>
      <c r="F1040" s="16"/>
      <c r="G1040" s="16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</row>
    <row r="1041" customFormat="false" ht="12.75" hidden="false" customHeight="false" outlineLevel="0" collapsed="false">
      <c r="A1041" s="16"/>
      <c r="B1041" s="16"/>
      <c r="C1041" s="16"/>
      <c r="D1041" s="16"/>
      <c r="E1041" s="16"/>
      <c r="F1041" s="16"/>
      <c r="G1041" s="16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</row>
    <row r="1042" customFormat="false" ht="12.75" hidden="false" customHeight="false" outlineLevel="0" collapsed="false">
      <c r="A1042" s="16"/>
      <c r="B1042" s="16"/>
      <c r="C1042" s="16"/>
      <c r="D1042" s="16"/>
      <c r="E1042" s="16"/>
      <c r="F1042" s="16"/>
      <c r="G1042" s="16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</row>
    <row r="1043" customFormat="false" ht="12.75" hidden="false" customHeight="false" outlineLevel="0" collapsed="false">
      <c r="A1043" s="16"/>
      <c r="B1043" s="16"/>
      <c r="C1043" s="16"/>
      <c r="D1043" s="16"/>
      <c r="E1043" s="16"/>
      <c r="F1043" s="16"/>
      <c r="G1043" s="16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</row>
    <row r="1044" customFormat="false" ht="12.75" hidden="false" customHeight="false" outlineLevel="0" collapsed="false">
      <c r="A1044" s="16"/>
      <c r="B1044" s="16"/>
      <c r="C1044" s="16"/>
      <c r="D1044" s="16"/>
      <c r="E1044" s="16"/>
      <c r="F1044" s="16"/>
      <c r="G1044" s="16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</row>
    <row r="1045" customFormat="false" ht="12.75" hidden="false" customHeight="false" outlineLevel="0" collapsed="false">
      <c r="A1045" s="16"/>
      <c r="B1045" s="16"/>
      <c r="C1045" s="16"/>
      <c r="D1045" s="16"/>
      <c r="E1045" s="16"/>
      <c r="F1045" s="16"/>
      <c r="G1045" s="16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</row>
    <row r="1046" customFormat="false" ht="12.75" hidden="false" customHeight="false" outlineLevel="0" collapsed="false">
      <c r="A1046" s="16"/>
      <c r="B1046" s="16"/>
      <c r="C1046" s="16"/>
      <c r="D1046" s="16"/>
      <c r="E1046" s="16"/>
      <c r="F1046" s="16"/>
      <c r="G1046" s="16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</row>
    <row r="1047" customFormat="false" ht="12.75" hidden="false" customHeight="false" outlineLevel="0" collapsed="false">
      <c r="A1047" s="16"/>
      <c r="B1047" s="16"/>
      <c r="C1047" s="16"/>
      <c r="D1047" s="16"/>
      <c r="E1047" s="16"/>
      <c r="F1047" s="16"/>
      <c r="G1047" s="16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</row>
    <row r="1048" customFormat="false" ht="12.75" hidden="false" customHeight="false" outlineLevel="0" collapsed="false">
      <c r="A1048" s="16"/>
      <c r="B1048" s="16"/>
      <c r="C1048" s="16"/>
      <c r="D1048" s="16"/>
      <c r="E1048" s="16"/>
      <c r="F1048" s="16"/>
      <c r="G1048" s="16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</row>
    <row r="1049" customFormat="false" ht="12.75" hidden="false" customHeight="false" outlineLevel="0" collapsed="false">
      <c r="A1049" s="16"/>
      <c r="B1049" s="16"/>
      <c r="C1049" s="16"/>
      <c r="D1049" s="16"/>
      <c r="E1049" s="16"/>
      <c r="F1049" s="16"/>
      <c r="G1049" s="16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</row>
    <row r="1050" customFormat="false" ht="12.75" hidden="false" customHeight="false" outlineLevel="0" collapsed="false">
      <c r="A1050" s="16"/>
      <c r="B1050" s="16"/>
      <c r="C1050" s="16"/>
      <c r="D1050" s="16"/>
      <c r="E1050" s="16"/>
      <c r="F1050" s="16"/>
      <c r="G1050" s="16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</row>
    <row r="1051" customFormat="false" ht="12.75" hidden="false" customHeight="false" outlineLevel="0" collapsed="false">
      <c r="A1051" s="16"/>
      <c r="B1051" s="16"/>
      <c r="C1051" s="16"/>
      <c r="D1051" s="16"/>
      <c r="E1051" s="16"/>
      <c r="F1051" s="16"/>
      <c r="G1051" s="16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</row>
    <row r="1052" customFormat="false" ht="12.75" hidden="false" customHeight="false" outlineLevel="0" collapsed="false">
      <c r="A1052" s="16"/>
      <c r="B1052" s="16"/>
      <c r="C1052" s="16"/>
      <c r="D1052" s="16"/>
      <c r="E1052" s="16"/>
      <c r="F1052" s="16"/>
      <c r="G1052" s="16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</row>
    <row r="1053" customFormat="false" ht="12.75" hidden="false" customHeight="false" outlineLevel="0" collapsed="false">
      <c r="A1053" s="16"/>
      <c r="B1053" s="16"/>
      <c r="C1053" s="16"/>
      <c r="D1053" s="16"/>
      <c r="E1053" s="16"/>
      <c r="F1053" s="16"/>
      <c r="G1053" s="16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</row>
    <row r="1054" customFormat="false" ht="12.75" hidden="false" customHeight="false" outlineLevel="0" collapsed="false">
      <c r="A1054" s="16"/>
      <c r="B1054" s="16"/>
      <c r="C1054" s="16"/>
      <c r="D1054" s="16"/>
      <c r="E1054" s="16"/>
      <c r="F1054" s="16"/>
      <c r="G1054" s="16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</row>
    <row r="1055" customFormat="false" ht="12.75" hidden="false" customHeight="false" outlineLevel="0" collapsed="false">
      <c r="A1055" s="16"/>
      <c r="B1055" s="16"/>
      <c r="C1055" s="16"/>
      <c r="D1055" s="16"/>
      <c r="E1055" s="16"/>
      <c r="F1055" s="16"/>
      <c r="G1055" s="16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</row>
    <row r="1056" customFormat="false" ht="12.75" hidden="false" customHeight="false" outlineLevel="0" collapsed="false">
      <c r="A1056" s="16"/>
      <c r="B1056" s="16"/>
      <c r="C1056" s="16"/>
      <c r="D1056" s="16"/>
      <c r="E1056" s="16"/>
      <c r="F1056" s="16"/>
      <c r="G1056" s="16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</row>
    <row r="1057" customFormat="false" ht="12.75" hidden="false" customHeight="false" outlineLevel="0" collapsed="false">
      <c r="A1057" s="16"/>
      <c r="B1057" s="16"/>
      <c r="C1057" s="16"/>
      <c r="D1057" s="16"/>
      <c r="E1057" s="16"/>
      <c r="F1057" s="16"/>
      <c r="G1057" s="16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</row>
    <row r="1058" customFormat="false" ht="12.75" hidden="false" customHeight="false" outlineLevel="0" collapsed="false">
      <c r="A1058" s="16"/>
      <c r="B1058" s="16"/>
      <c r="C1058" s="16"/>
      <c r="D1058" s="16"/>
      <c r="E1058" s="16"/>
      <c r="F1058" s="16"/>
      <c r="G1058" s="16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</row>
    <row r="1059" customFormat="false" ht="12.75" hidden="false" customHeight="false" outlineLevel="0" collapsed="false">
      <c r="A1059" s="16"/>
      <c r="B1059" s="16"/>
      <c r="C1059" s="16"/>
      <c r="D1059" s="16"/>
      <c r="E1059" s="16"/>
      <c r="F1059" s="16"/>
      <c r="G1059" s="16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</row>
    <row r="1060" customFormat="false" ht="12.75" hidden="false" customHeight="false" outlineLevel="0" collapsed="false">
      <c r="A1060" s="16"/>
      <c r="B1060" s="16"/>
      <c r="C1060" s="16"/>
      <c r="D1060" s="16"/>
      <c r="E1060" s="16"/>
      <c r="F1060" s="16"/>
      <c r="G1060" s="16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</row>
    <row r="1061" customFormat="false" ht="12.75" hidden="false" customHeight="false" outlineLevel="0" collapsed="false">
      <c r="A1061" s="16"/>
      <c r="B1061" s="16"/>
      <c r="C1061" s="16"/>
      <c r="D1061" s="16"/>
      <c r="E1061" s="16"/>
      <c r="F1061" s="16"/>
      <c r="G1061" s="16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</row>
    <row r="1062" customFormat="false" ht="12.75" hidden="false" customHeight="false" outlineLevel="0" collapsed="false">
      <c r="A1062" s="16"/>
      <c r="B1062" s="16"/>
      <c r="C1062" s="16"/>
      <c r="D1062" s="16"/>
      <c r="E1062" s="16"/>
      <c r="F1062" s="16"/>
      <c r="G1062" s="16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</row>
    <row r="1063" customFormat="false" ht="12.75" hidden="false" customHeight="false" outlineLevel="0" collapsed="false">
      <c r="A1063" s="16"/>
      <c r="B1063" s="16"/>
      <c r="C1063" s="16"/>
      <c r="D1063" s="16"/>
      <c r="E1063" s="16"/>
      <c r="F1063" s="16"/>
      <c r="G1063" s="16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</row>
    <row r="1064" customFormat="false" ht="12.75" hidden="false" customHeight="false" outlineLevel="0" collapsed="false">
      <c r="A1064" s="16"/>
      <c r="B1064" s="16"/>
      <c r="C1064" s="16"/>
      <c r="D1064" s="16"/>
      <c r="E1064" s="16"/>
      <c r="F1064" s="16"/>
      <c r="G1064" s="16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</row>
    <row r="1065" customFormat="false" ht="12.75" hidden="false" customHeight="false" outlineLevel="0" collapsed="false">
      <c r="A1065" s="16"/>
      <c r="B1065" s="16"/>
      <c r="C1065" s="16"/>
      <c r="D1065" s="16"/>
      <c r="E1065" s="16"/>
      <c r="F1065" s="16"/>
      <c r="G1065" s="16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</row>
    <row r="1066" customFormat="false" ht="12.75" hidden="false" customHeight="false" outlineLevel="0" collapsed="false">
      <c r="A1066" s="16"/>
      <c r="B1066" s="16"/>
      <c r="C1066" s="16"/>
      <c r="D1066" s="16"/>
      <c r="E1066" s="16"/>
      <c r="F1066" s="16"/>
      <c r="G1066" s="16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</row>
    <row r="1067" customFormat="false" ht="12.75" hidden="false" customHeight="false" outlineLevel="0" collapsed="false">
      <c r="A1067" s="16"/>
      <c r="B1067" s="16"/>
      <c r="C1067" s="16"/>
      <c r="D1067" s="16"/>
      <c r="E1067" s="16"/>
      <c r="F1067" s="16"/>
      <c r="G1067" s="16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</row>
    <row r="1068" customFormat="false" ht="12.75" hidden="false" customHeight="false" outlineLevel="0" collapsed="false">
      <c r="A1068" s="16"/>
      <c r="B1068" s="16"/>
      <c r="C1068" s="16"/>
      <c r="D1068" s="16"/>
      <c r="E1068" s="16"/>
      <c r="F1068" s="16"/>
      <c r="G1068" s="16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</row>
    <row r="1069" customFormat="false" ht="12.75" hidden="false" customHeight="false" outlineLevel="0" collapsed="false">
      <c r="A1069" s="16"/>
      <c r="B1069" s="16"/>
      <c r="C1069" s="16"/>
      <c r="D1069" s="16"/>
      <c r="E1069" s="16"/>
      <c r="F1069" s="16"/>
      <c r="G1069" s="16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</row>
    <row r="1070" customFormat="false" ht="12.75" hidden="false" customHeight="false" outlineLevel="0" collapsed="false">
      <c r="A1070" s="16"/>
      <c r="B1070" s="16"/>
      <c r="C1070" s="16"/>
      <c r="D1070" s="16"/>
      <c r="E1070" s="16"/>
      <c r="F1070" s="16"/>
      <c r="G1070" s="16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</row>
    <row r="1071" customFormat="false" ht="12.75" hidden="false" customHeight="false" outlineLevel="0" collapsed="false">
      <c r="A1071" s="16"/>
      <c r="B1071" s="16"/>
      <c r="C1071" s="16"/>
      <c r="D1071" s="16"/>
      <c r="E1071" s="16"/>
      <c r="F1071" s="16"/>
      <c r="G1071" s="16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</row>
    <row r="1072" customFormat="false" ht="12.75" hidden="false" customHeight="false" outlineLevel="0" collapsed="false">
      <c r="A1072" s="16"/>
      <c r="B1072" s="16"/>
      <c r="C1072" s="16"/>
      <c r="D1072" s="16"/>
      <c r="E1072" s="16"/>
      <c r="F1072" s="16"/>
      <c r="G1072" s="16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</row>
    <row r="1073" customFormat="false" ht="12.75" hidden="false" customHeight="false" outlineLevel="0" collapsed="false">
      <c r="A1073" s="16"/>
      <c r="B1073" s="16"/>
      <c r="C1073" s="16"/>
      <c r="D1073" s="16"/>
      <c r="E1073" s="16"/>
      <c r="F1073" s="16"/>
      <c r="G1073" s="16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</row>
    <row r="1074" customFormat="false" ht="12.75" hidden="false" customHeight="false" outlineLevel="0" collapsed="false">
      <c r="A1074" s="16"/>
      <c r="B1074" s="16"/>
      <c r="C1074" s="16"/>
      <c r="D1074" s="16"/>
      <c r="E1074" s="16"/>
      <c r="F1074" s="16"/>
      <c r="G1074" s="16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</row>
    <row r="1075" customFormat="false" ht="12.75" hidden="false" customHeight="false" outlineLevel="0" collapsed="false">
      <c r="A1075" s="16"/>
      <c r="B1075" s="16"/>
      <c r="C1075" s="16"/>
      <c r="D1075" s="16"/>
      <c r="E1075" s="16"/>
      <c r="F1075" s="16"/>
      <c r="G1075" s="16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</row>
    <row r="1076" customFormat="false" ht="12.75" hidden="false" customHeight="false" outlineLevel="0" collapsed="false">
      <c r="A1076" s="16"/>
      <c r="B1076" s="16"/>
      <c r="C1076" s="16"/>
      <c r="D1076" s="16"/>
      <c r="E1076" s="16"/>
      <c r="F1076" s="16"/>
      <c r="G1076" s="16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</row>
    <row r="1077" customFormat="false" ht="12.75" hidden="false" customHeight="false" outlineLevel="0" collapsed="false">
      <c r="A1077" s="16"/>
      <c r="B1077" s="16"/>
      <c r="C1077" s="16"/>
      <c r="D1077" s="16"/>
      <c r="E1077" s="16"/>
      <c r="F1077" s="16"/>
      <c r="G1077" s="16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</row>
    <row r="1078" customFormat="false" ht="12.75" hidden="false" customHeight="false" outlineLevel="0" collapsed="false">
      <c r="A1078" s="16"/>
      <c r="B1078" s="16"/>
      <c r="C1078" s="16"/>
      <c r="D1078" s="16"/>
      <c r="E1078" s="16"/>
      <c r="F1078" s="16"/>
      <c r="G1078" s="16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</row>
    <row r="1079" customFormat="false" ht="12.75" hidden="false" customHeight="false" outlineLevel="0" collapsed="false">
      <c r="A1079" s="16"/>
      <c r="B1079" s="16"/>
      <c r="C1079" s="16"/>
      <c r="D1079" s="16"/>
      <c r="E1079" s="16"/>
      <c r="F1079" s="16"/>
      <c r="G1079" s="16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</row>
    <row r="1080" customFormat="false" ht="12.75" hidden="false" customHeight="false" outlineLevel="0" collapsed="false">
      <c r="A1080" s="16"/>
      <c r="B1080" s="16"/>
      <c r="C1080" s="16"/>
      <c r="D1080" s="16"/>
      <c r="E1080" s="16"/>
      <c r="F1080" s="16"/>
      <c r="G1080" s="16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</row>
    <row r="1081" customFormat="false" ht="12.75" hidden="false" customHeight="false" outlineLevel="0" collapsed="false">
      <c r="A1081" s="16"/>
      <c r="B1081" s="16"/>
      <c r="C1081" s="16"/>
      <c r="D1081" s="16"/>
      <c r="E1081" s="16"/>
      <c r="F1081" s="16"/>
      <c r="G1081" s="16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</row>
    <row r="1082" customFormat="false" ht="12.75" hidden="false" customHeight="false" outlineLevel="0" collapsed="false">
      <c r="A1082" s="16"/>
      <c r="B1082" s="16"/>
      <c r="C1082" s="16"/>
      <c r="D1082" s="16"/>
      <c r="E1082" s="16"/>
      <c r="F1082" s="16"/>
      <c r="G1082" s="16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</row>
    <row r="1083" customFormat="false" ht="12.75" hidden="false" customHeight="false" outlineLevel="0" collapsed="false">
      <c r="A1083" s="16"/>
      <c r="B1083" s="16"/>
      <c r="C1083" s="16"/>
      <c r="D1083" s="16"/>
      <c r="E1083" s="16"/>
      <c r="F1083" s="16"/>
      <c r="G1083" s="16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</row>
    <row r="1084" customFormat="false" ht="12.75" hidden="false" customHeight="false" outlineLevel="0" collapsed="false">
      <c r="A1084" s="16"/>
      <c r="B1084" s="16"/>
      <c r="C1084" s="16"/>
      <c r="D1084" s="16"/>
      <c r="E1084" s="16"/>
      <c r="F1084" s="16"/>
      <c r="G1084" s="16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</row>
    <row r="1085" customFormat="false" ht="12.75" hidden="false" customHeight="false" outlineLevel="0" collapsed="false">
      <c r="A1085" s="16"/>
      <c r="B1085" s="16"/>
      <c r="C1085" s="16"/>
      <c r="D1085" s="16"/>
      <c r="E1085" s="16"/>
      <c r="F1085" s="16"/>
      <c r="G1085" s="16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</row>
    <row r="1086" customFormat="false" ht="12.75" hidden="false" customHeight="false" outlineLevel="0" collapsed="false">
      <c r="A1086" s="16"/>
      <c r="B1086" s="16"/>
      <c r="C1086" s="16"/>
      <c r="D1086" s="16"/>
      <c r="E1086" s="16"/>
      <c r="F1086" s="16"/>
      <c r="G1086" s="16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</row>
    <row r="1087" customFormat="false" ht="12.75" hidden="false" customHeight="false" outlineLevel="0" collapsed="false">
      <c r="A1087" s="16"/>
      <c r="B1087" s="16"/>
      <c r="C1087" s="16"/>
      <c r="D1087" s="16"/>
      <c r="E1087" s="16"/>
      <c r="F1087" s="16"/>
      <c r="G1087" s="16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</row>
    <row r="1088" customFormat="false" ht="12.75" hidden="false" customHeight="false" outlineLevel="0" collapsed="false">
      <c r="A1088" s="16"/>
      <c r="B1088" s="16"/>
      <c r="C1088" s="16"/>
      <c r="D1088" s="16"/>
      <c r="E1088" s="16"/>
      <c r="F1088" s="16"/>
      <c r="G1088" s="16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</row>
    <row r="1089" customFormat="false" ht="12.75" hidden="false" customHeight="false" outlineLevel="0" collapsed="false">
      <c r="A1089" s="16"/>
      <c r="B1089" s="16"/>
      <c r="C1089" s="16"/>
      <c r="D1089" s="16"/>
      <c r="E1089" s="16"/>
      <c r="F1089" s="16"/>
      <c r="G1089" s="16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</row>
    <row r="1090" customFormat="false" ht="12.75" hidden="false" customHeight="false" outlineLevel="0" collapsed="false">
      <c r="A1090" s="16"/>
      <c r="B1090" s="16"/>
      <c r="C1090" s="16"/>
      <c r="D1090" s="16"/>
      <c r="E1090" s="16"/>
      <c r="F1090" s="16"/>
      <c r="G1090" s="16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</row>
    <row r="1091" customFormat="false" ht="12.75" hidden="false" customHeight="false" outlineLevel="0" collapsed="false">
      <c r="A1091" s="16"/>
      <c r="B1091" s="16"/>
      <c r="C1091" s="16"/>
      <c r="D1091" s="16"/>
      <c r="E1091" s="16"/>
      <c r="F1091" s="16"/>
      <c r="G1091" s="16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</row>
    <row r="1092" customFormat="false" ht="12.75" hidden="false" customHeight="false" outlineLevel="0" collapsed="false">
      <c r="A1092" s="16"/>
      <c r="B1092" s="16"/>
      <c r="C1092" s="16"/>
      <c r="D1092" s="16"/>
      <c r="E1092" s="16"/>
      <c r="F1092" s="16"/>
      <c r="G1092" s="16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</row>
    <row r="1093" customFormat="false" ht="12.75" hidden="false" customHeight="false" outlineLevel="0" collapsed="false">
      <c r="A1093" s="16"/>
      <c r="B1093" s="16"/>
      <c r="C1093" s="16"/>
      <c r="D1093" s="16"/>
      <c r="E1093" s="16"/>
      <c r="F1093" s="16"/>
      <c r="G1093" s="16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</row>
    <row r="1094" customFormat="false" ht="12.75" hidden="false" customHeight="false" outlineLevel="0" collapsed="false">
      <c r="A1094" s="16"/>
      <c r="B1094" s="16"/>
      <c r="C1094" s="16"/>
      <c r="D1094" s="16"/>
      <c r="E1094" s="16"/>
      <c r="F1094" s="16"/>
      <c r="G1094" s="16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</row>
    <row r="1095" customFormat="false" ht="12.75" hidden="false" customHeight="false" outlineLevel="0" collapsed="false">
      <c r="A1095" s="16"/>
      <c r="B1095" s="16"/>
      <c r="C1095" s="16"/>
      <c r="D1095" s="16"/>
      <c r="E1095" s="16"/>
      <c r="F1095" s="16"/>
      <c r="G1095" s="16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</row>
    <row r="1096" customFormat="false" ht="12.75" hidden="false" customHeight="false" outlineLevel="0" collapsed="false">
      <c r="A1096" s="16"/>
      <c r="B1096" s="16"/>
      <c r="C1096" s="16"/>
      <c r="D1096" s="16"/>
      <c r="E1096" s="16"/>
      <c r="F1096" s="16"/>
      <c r="G1096" s="16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</row>
    <row r="1097" customFormat="false" ht="12.75" hidden="false" customHeight="false" outlineLevel="0" collapsed="false">
      <c r="A1097" s="16"/>
      <c r="B1097" s="16"/>
      <c r="C1097" s="16"/>
      <c r="D1097" s="16"/>
      <c r="E1097" s="16"/>
      <c r="F1097" s="16"/>
      <c r="G1097" s="16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</row>
    <row r="1098" customFormat="false" ht="12.75" hidden="false" customHeight="false" outlineLevel="0" collapsed="false">
      <c r="A1098" s="16"/>
      <c r="B1098" s="16"/>
      <c r="C1098" s="16"/>
      <c r="D1098" s="16"/>
      <c r="E1098" s="16"/>
      <c r="F1098" s="16"/>
      <c r="G1098" s="16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</row>
    <row r="1099" customFormat="false" ht="12.75" hidden="false" customHeight="false" outlineLevel="0" collapsed="false">
      <c r="A1099" s="16"/>
      <c r="B1099" s="16"/>
      <c r="C1099" s="16"/>
      <c r="D1099" s="16"/>
      <c r="E1099" s="16"/>
      <c r="F1099" s="16"/>
      <c r="G1099" s="16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</row>
    <row r="1100" customFormat="false" ht="12.75" hidden="false" customHeight="false" outlineLevel="0" collapsed="false">
      <c r="A1100" s="16"/>
      <c r="B1100" s="16"/>
      <c r="C1100" s="16"/>
      <c r="D1100" s="16"/>
      <c r="E1100" s="16"/>
      <c r="F1100" s="16"/>
      <c r="G1100" s="16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</row>
    <row r="1101" customFormat="false" ht="12.75" hidden="false" customHeight="false" outlineLevel="0" collapsed="false">
      <c r="A1101" s="16"/>
      <c r="B1101" s="16"/>
      <c r="C1101" s="16"/>
      <c r="D1101" s="16"/>
      <c r="E1101" s="16"/>
      <c r="F1101" s="16"/>
      <c r="G1101" s="16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</row>
    <row r="1102" customFormat="false" ht="12.75" hidden="false" customHeight="false" outlineLevel="0" collapsed="false">
      <c r="A1102" s="16"/>
      <c r="B1102" s="16"/>
      <c r="C1102" s="16"/>
      <c r="D1102" s="16"/>
      <c r="E1102" s="16"/>
      <c r="F1102" s="16"/>
      <c r="G1102" s="16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</row>
    <row r="1103" customFormat="false" ht="12.75" hidden="false" customHeight="false" outlineLevel="0" collapsed="false">
      <c r="A1103" s="16"/>
      <c r="B1103" s="16"/>
      <c r="C1103" s="16"/>
      <c r="D1103" s="16"/>
      <c r="E1103" s="16"/>
      <c r="F1103" s="16"/>
      <c r="G1103" s="16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</row>
    <row r="1104" customFormat="false" ht="12.75" hidden="false" customHeight="false" outlineLevel="0" collapsed="false">
      <c r="A1104" s="16"/>
      <c r="B1104" s="16"/>
      <c r="C1104" s="16"/>
      <c r="D1104" s="16"/>
      <c r="E1104" s="16"/>
      <c r="F1104" s="16"/>
      <c r="G1104" s="16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</row>
    <row r="1105" customFormat="false" ht="12.75" hidden="false" customHeight="false" outlineLevel="0" collapsed="false">
      <c r="A1105" s="16"/>
      <c r="B1105" s="16"/>
      <c r="C1105" s="16"/>
      <c r="D1105" s="16"/>
      <c r="E1105" s="16"/>
      <c r="F1105" s="16"/>
      <c r="G1105" s="16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</row>
    <row r="1106" customFormat="false" ht="12.75" hidden="false" customHeight="false" outlineLevel="0" collapsed="false">
      <c r="A1106" s="16"/>
      <c r="B1106" s="16"/>
      <c r="C1106" s="16"/>
      <c r="D1106" s="16"/>
      <c r="E1106" s="16"/>
      <c r="F1106" s="16"/>
      <c r="G1106" s="16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</row>
    <row r="1107" customFormat="false" ht="12.75" hidden="false" customHeight="false" outlineLevel="0" collapsed="false">
      <c r="A1107" s="16"/>
      <c r="B1107" s="16"/>
      <c r="C1107" s="16"/>
      <c r="D1107" s="16"/>
      <c r="E1107" s="16"/>
      <c r="F1107" s="16"/>
      <c r="G1107" s="16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</row>
    <row r="1108" customFormat="false" ht="12.75" hidden="false" customHeight="false" outlineLevel="0" collapsed="false">
      <c r="A1108" s="16"/>
      <c r="B1108" s="16"/>
      <c r="C1108" s="16"/>
      <c r="D1108" s="16"/>
      <c r="E1108" s="16"/>
      <c r="F1108" s="16"/>
      <c r="G1108" s="16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</row>
    <row r="1109" customFormat="false" ht="12.75" hidden="false" customHeight="false" outlineLevel="0" collapsed="false">
      <c r="A1109" s="16"/>
      <c r="B1109" s="16"/>
      <c r="C1109" s="16"/>
      <c r="D1109" s="16"/>
      <c r="E1109" s="16"/>
      <c r="F1109" s="16"/>
      <c r="G1109" s="16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</row>
    <row r="1110" customFormat="false" ht="12.75" hidden="false" customHeight="false" outlineLevel="0" collapsed="false">
      <c r="A1110" s="16"/>
      <c r="B1110" s="16"/>
      <c r="C1110" s="16"/>
      <c r="D1110" s="16"/>
      <c r="E1110" s="16"/>
      <c r="F1110" s="16"/>
      <c r="G1110" s="16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</row>
    <row r="1111" customFormat="false" ht="12.75" hidden="false" customHeight="false" outlineLevel="0" collapsed="false">
      <c r="A1111" s="16"/>
      <c r="B1111" s="16"/>
      <c r="C1111" s="16"/>
      <c r="D1111" s="16"/>
      <c r="E1111" s="16"/>
      <c r="F1111" s="16"/>
      <c r="G1111" s="16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</row>
    <row r="1112" customFormat="false" ht="12.75" hidden="false" customHeight="false" outlineLevel="0" collapsed="false">
      <c r="A1112" s="16"/>
      <c r="B1112" s="16"/>
      <c r="C1112" s="16"/>
      <c r="D1112" s="16"/>
      <c r="E1112" s="16"/>
      <c r="F1112" s="16"/>
      <c r="G1112" s="16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</row>
    <row r="1113" customFormat="false" ht="12.75" hidden="false" customHeight="false" outlineLevel="0" collapsed="false">
      <c r="A1113" s="16"/>
      <c r="B1113" s="16"/>
      <c r="C1113" s="16"/>
      <c r="D1113" s="16"/>
      <c r="E1113" s="16"/>
      <c r="F1113" s="16"/>
      <c r="G1113" s="16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</row>
    <row r="1114" customFormat="false" ht="12.75" hidden="false" customHeight="false" outlineLevel="0" collapsed="false">
      <c r="A1114" s="16"/>
      <c r="B1114" s="16"/>
      <c r="C1114" s="16"/>
      <c r="D1114" s="16"/>
      <c r="E1114" s="16"/>
      <c r="F1114" s="16"/>
      <c r="G1114" s="16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</row>
    <row r="1115" customFormat="false" ht="12.75" hidden="false" customHeight="false" outlineLevel="0" collapsed="false">
      <c r="A1115" s="16"/>
      <c r="B1115" s="16"/>
      <c r="C1115" s="16"/>
      <c r="D1115" s="16"/>
      <c r="E1115" s="16"/>
      <c r="F1115" s="16"/>
      <c r="G1115" s="16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</row>
    <row r="1116" customFormat="false" ht="12.75" hidden="false" customHeight="false" outlineLevel="0" collapsed="false">
      <c r="A1116" s="16"/>
      <c r="B1116" s="16"/>
      <c r="C1116" s="16"/>
      <c r="D1116" s="16"/>
      <c r="E1116" s="16"/>
      <c r="F1116" s="16"/>
      <c r="G1116" s="16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</row>
    <row r="1117" customFormat="false" ht="12.75" hidden="false" customHeight="false" outlineLevel="0" collapsed="false">
      <c r="A1117" s="16"/>
      <c r="B1117" s="16"/>
      <c r="C1117" s="16"/>
      <c r="D1117" s="16"/>
      <c r="E1117" s="16"/>
      <c r="F1117" s="16"/>
      <c r="G1117" s="16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</row>
    <row r="1118" customFormat="false" ht="12.75" hidden="false" customHeight="false" outlineLevel="0" collapsed="false">
      <c r="A1118" s="16"/>
      <c r="B1118" s="16"/>
      <c r="C1118" s="16"/>
      <c r="D1118" s="16"/>
      <c r="E1118" s="16"/>
      <c r="F1118" s="16"/>
      <c r="G1118" s="16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</row>
    <row r="1119" customFormat="false" ht="12.75" hidden="false" customHeight="false" outlineLevel="0" collapsed="false">
      <c r="A1119" s="16"/>
      <c r="B1119" s="16"/>
      <c r="C1119" s="16"/>
      <c r="D1119" s="16"/>
      <c r="E1119" s="16"/>
      <c r="F1119" s="16"/>
      <c r="G1119" s="16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</row>
    <row r="1120" customFormat="false" ht="12.75" hidden="false" customHeight="false" outlineLevel="0" collapsed="false">
      <c r="A1120" s="16"/>
      <c r="B1120" s="16"/>
      <c r="C1120" s="16"/>
      <c r="D1120" s="16"/>
      <c r="E1120" s="16"/>
      <c r="F1120" s="16"/>
      <c r="G1120" s="16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</row>
    <row r="1121" customFormat="false" ht="12.75" hidden="false" customHeight="false" outlineLevel="0" collapsed="false">
      <c r="A1121" s="16"/>
      <c r="B1121" s="16"/>
      <c r="C1121" s="16"/>
      <c r="D1121" s="16"/>
      <c r="E1121" s="16"/>
      <c r="F1121" s="16"/>
      <c r="G1121" s="16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</row>
    <row r="1122" customFormat="false" ht="12.75" hidden="false" customHeight="false" outlineLevel="0" collapsed="false">
      <c r="A1122" s="16"/>
      <c r="B1122" s="16"/>
      <c r="C1122" s="16"/>
      <c r="D1122" s="16"/>
      <c r="E1122" s="16"/>
      <c r="F1122" s="16"/>
      <c r="G1122" s="16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</row>
    <row r="1123" customFormat="false" ht="12.75" hidden="false" customHeight="false" outlineLevel="0" collapsed="false">
      <c r="A1123" s="16"/>
      <c r="B1123" s="16"/>
      <c r="C1123" s="16"/>
      <c r="D1123" s="16"/>
      <c r="E1123" s="16"/>
      <c r="F1123" s="16"/>
      <c r="G1123" s="16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</row>
    <row r="1124" customFormat="false" ht="12.75" hidden="false" customHeight="false" outlineLevel="0" collapsed="false">
      <c r="A1124" s="16"/>
      <c r="B1124" s="16"/>
      <c r="C1124" s="16"/>
      <c r="D1124" s="16"/>
      <c r="E1124" s="16"/>
      <c r="F1124" s="16"/>
      <c r="G1124" s="16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</row>
    <row r="1125" customFormat="false" ht="12.75" hidden="false" customHeight="false" outlineLevel="0" collapsed="false">
      <c r="A1125" s="16"/>
      <c r="B1125" s="16"/>
      <c r="C1125" s="16"/>
      <c r="D1125" s="16"/>
      <c r="E1125" s="16"/>
      <c r="F1125" s="16"/>
      <c r="G1125" s="16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</row>
    <row r="1126" customFormat="false" ht="12.75" hidden="false" customHeight="false" outlineLevel="0" collapsed="false">
      <c r="A1126" s="16"/>
      <c r="B1126" s="16"/>
      <c r="C1126" s="16"/>
      <c r="D1126" s="16"/>
      <c r="E1126" s="16"/>
      <c r="F1126" s="16"/>
      <c r="G1126" s="16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</row>
    <row r="1127" customFormat="false" ht="12.75" hidden="false" customHeight="false" outlineLevel="0" collapsed="false">
      <c r="A1127" s="16"/>
      <c r="B1127" s="16"/>
      <c r="C1127" s="16"/>
      <c r="D1127" s="16"/>
      <c r="E1127" s="16"/>
      <c r="F1127" s="16"/>
      <c r="G1127" s="16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</row>
    <row r="1128" customFormat="false" ht="12.75" hidden="false" customHeight="false" outlineLevel="0" collapsed="false">
      <c r="A1128" s="16"/>
      <c r="B1128" s="16"/>
      <c r="C1128" s="16"/>
      <c r="D1128" s="16"/>
      <c r="E1128" s="16"/>
      <c r="F1128" s="16"/>
      <c r="G1128" s="16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</row>
    <row r="1129" customFormat="false" ht="12.75" hidden="false" customHeight="false" outlineLevel="0" collapsed="false">
      <c r="A1129" s="16"/>
      <c r="B1129" s="16"/>
      <c r="C1129" s="16"/>
      <c r="D1129" s="16"/>
      <c r="E1129" s="16"/>
      <c r="F1129" s="16"/>
      <c r="G1129" s="16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</row>
    <row r="1130" customFormat="false" ht="12.75" hidden="false" customHeight="false" outlineLevel="0" collapsed="false">
      <c r="A1130" s="16"/>
      <c r="B1130" s="16"/>
      <c r="C1130" s="16"/>
      <c r="D1130" s="16"/>
      <c r="E1130" s="16"/>
      <c r="F1130" s="16"/>
      <c r="G1130" s="16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</row>
    <row r="1131" customFormat="false" ht="12.75" hidden="false" customHeight="false" outlineLevel="0" collapsed="false">
      <c r="A1131" s="16"/>
      <c r="B1131" s="16"/>
      <c r="C1131" s="16"/>
      <c r="D1131" s="16"/>
      <c r="E1131" s="16"/>
      <c r="F1131" s="16"/>
      <c r="G1131" s="16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</row>
    <row r="1132" customFormat="false" ht="12.75" hidden="false" customHeight="false" outlineLevel="0" collapsed="false">
      <c r="A1132" s="16"/>
      <c r="B1132" s="16"/>
      <c r="C1132" s="16"/>
      <c r="D1132" s="16"/>
      <c r="E1132" s="16"/>
      <c r="F1132" s="16"/>
      <c r="G1132" s="16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</row>
    <row r="1133" customFormat="false" ht="12.75" hidden="false" customHeight="false" outlineLevel="0" collapsed="false">
      <c r="A1133" s="16"/>
      <c r="B1133" s="16"/>
      <c r="C1133" s="16"/>
      <c r="D1133" s="16"/>
      <c r="E1133" s="16"/>
      <c r="F1133" s="16"/>
      <c r="G1133" s="16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</row>
    <row r="1134" customFormat="false" ht="12.75" hidden="false" customHeight="false" outlineLevel="0" collapsed="false">
      <c r="A1134" s="16"/>
      <c r="B1134" s="16"/>
      <c r="C1134" s="16"/>
      <c r="D1134" s="16"/>
      <c r="E1134" s="16"/>
      <c r="F1134" s="16"/>
      <c r="G1134" s="16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</row>
    <row r="1135" customFormat="false" ht="12.75" hidden="false" customHeight="false" outlineLevel="0" collapsed="false">
      <c r="A1135" s="16"/>
      <c r="B1135" s="16"/>
      <c r="C1135" s="16"/>
      <c r="D1135" s="16"/>
      <c r="E1135" s="16"/>
      <c r="F1135" s="16"/>
      <c r="G1135" s="16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</row>
    <row r="1136" customFormat="false" ht="12.75" hidden="false" customHeight="false" outlineLevel="0" collapsed="false">
      <c r="A1136" s="16"/>
      <c r="B1136" s="16"/>
      <c r="C1136" s="16"/>
      <c r="D1136" s="16"/>
      <c r="E1136" s="16"/>
      <c r="F1136" s="16"/>
      <c r="G1136" s="16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</row>
    <row r="1137" customFormat="false" ht="12.75" hidden="false" customHeight="false" outlineLevel="0" collapsed="false">
      <c r="A1137" s="16"/>
      <c r="B1137" s="16"/>
      <c r="C1137" s="16"/>
      <c r="D1137" s="16"/>
      <c r="E1137" s="16"/>
      <c r="F1137" s="16"/>
      <c r="G1137" s="16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</row>
    <row r="1138" customFormat="false" ht="12.75" hidden="false" customHeight="false" outlineLevel="0" collapsed="false">
      <c r="A1138" s="16"/>
      <c r="B1138" s="16"/>
      <c r="C1138" s="16"/>
      <c r="D1138" s="16"/>
      <c r="E1138" s="16"/>
      <c r="F1138" s="16"/>
      <c r="G1138" s="16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</row>
    <row r="1139" customFormat="false" ht="12.75" hidden="false" customHeight="false" outlineLevel="0" collapsed="false">
      <c r="A1139" s="16"/>
      <c r="B1139" s="16"/>
      <c r="C1139" s="16"/>
      <c r="D1139" s="16"/>
      <c r="E1139" s="16"/>
      <c r="F1139" s="16"/>
      <c r="G1139" s="16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</row>
    <row r="1140" customFormat="false" ht="12.75" hidden="false" customHeight="false" outlineLevel="0" collapsed="false">
      <c r="A1140" s="16"/>
      <c r="B1140" s="16"/>
      <c r="C1140" s="16"/>
      <c r="D1140" s="16"/>
      <c r="E1140" s="16"/>
      <c r="F1140" s="16"/>
      <c r="G1140" s="16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</row>
    <row r="1141" customFormat="false" ht="12.75" hidden="false" customHeight="false" outlineLevel="0" collapsed="false">
      <c r="A1141" s="16"/>
      <c r="B1141" s="16"/>
      <c r="C1141" s="16"/>
      <c r="D1141" s="16"/>
      <c r="E1141" s="16"/>
      <c r="F1141" s="16"/>
      <c r="G1141" s="16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</row>
    <row r="1142" customFormat="false" ht="12.75" hidden="false" customHeight="false" outlineLevel="0" collapsed="false">
      <c r="A1142" s="16"/>
      <c r="B1142" s="16"/>
      <c r="C1142" s="16"/>
      <c r="D1142" s="16"/>
      <c r="E1142" s="16"/>
      <c r="F1142" s="16"/>
      <c r="G1142" s="16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</row>
    <row r="1143" customFormat="false" ht="12.75" hidden="false" customHeight="false" outlineLevel="0" collapsed="false">
      <c r="A1143" s="16"/>
      <c r="B1143" s="16"/>
      <c r="C1143" s="16"/>
      <c r="D1143" s="16"/>
      <c r="E1143" s="16"/>
      <c r="F1143" s="16"/>
      <c r="G1143" s="16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</row>
    <row r="1144" customFormat="false" ht="12.75" hidden="false" customHeight="false" outlineLevel="0" collapsed="false">
      <c r="A1144" s="16"/>
      <c r="B1144" s="16"/>
      <c r="C1144" s="16"/>
      <c r="D1144" s="16"/>
      <c r="E1144" s="16"/>
      <c r="F1144" s="16"/>
      <c r="G1144" s="16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</row>
    <row r="1145" customFormat="false" ht="12.75" hidden="false" customHeight="false" outlineLevel="0" collapsed="false">
      <c r="A1145" s="16"/>
      <c r="B1145" s="16"/>
      <c r="C1145" s="16"/>
      <c r="D1145" s="16"/>
      <c r="E1145" s="16"/>
      <c r="F1145" s="16"/>
      <c r="G1145" s="16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</row>
    <row r="1146" customFormat="false" ht="12.75" hidden="false" customHeight="false" outlineLevel="0" collapsed="false">
      <c r="A1146" s="16"/>
      <c r="B1146" s="16"/>
      <c r="C1146" s="16"/>
      <c r="D1146" s="16"/>
      <c r="E1146" s="16"/>
      <c r="F1146" s="16"/>
      <c r="G1146" s="16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</row>
    <row r="1147" customFormat="false" ht="12.75" hidden="false" customHeight="false" outlineLevel="0" collapsed="false">
      <c r="A1147" s="16"/>
      <c r="B1147" s="16"/>
      <c r="C1147" s="16"/>
      <c r="D1147" s="16"/>
      <c r="E1147" s="16"/>
      <c r="F1147" s="16"/>
      <c r="G1147" s="16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</row>
    <row r="1148" customFormat="false" ht="12.75" hidden="false" customHeight="false" outlineLevel="0" collapsed="false">
      <c r="A1148" s="16"/>
      <c r="B1148" s="16"/>
      <c r="C1148" s="16"/>
      <c r="D1148" s="16"/>
      <c r="E1148" s="16"/>
      <c r="F1148" s="16"/>
      <c r="G1148" s="16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</row>
    <row r="1149" customFormat="false" ht="12.75" hidden="false" customHeight="false" outlineLevel="0" collapsed="false">
      <c r="A1149" s="16"/>
      <c r="B1149" s="16"/>
      <c r="C1149" s="16"/>
      <c r="D1149" s="16"/>
      <c r="E1149" s="16"/>
      <c r="F1149" s="16"/>
      <c r="G1149" s="16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</row>
    <row r="1150" customFormat="false" ht="12.75" hidden="false" customHeight="false" outlineLevel="0" collapsed="false">
      <c r="A1150" s="16"/>
      <c r="B1150" s="16"/>
      <c r="C1150" s="16"/>
      <c r="D1150" s="16"/>
      <c r="E1150" s="16"/>
      <c r="F1150" s="16"/>
      <c r="G1150" s="16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</row>
    <row r="1151" customFormat="false" ht="12.75" hidden="false" customHeight="false" outlineLevel="0" collapsed="false">
      <c r="A1151" s="16"/>
      <c r="B1151" s="16"/>
      <c r="C1151" s="16"/>
      <c r="D1151" s="16"/>
      <c r="E1151" s="16"/>
      <c r="F1151" s="16"/>
      <c r="G1151" s="16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</row>
    <row r="1152" customFormat="false" ht="12.75" hidden="false" customHeight="false" outlineLevel="0" collapsed="false">
      <c r="A1152" s="16"/>
      <c r="B1152" s="16"/>
      <c r="C1152" s="16"/>
      <c r="D1152" s="16"/>
      <c r="E1152" s="16"/>
      <c r="F1152" s="16"/>
      <c r="G1152" s="16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</row>
    <row r="1153" customFormat="false" ht="12.75" hidden="false" customHeight="false" outlineLevel="0" collapsed="false">
      <c r="A1153" s="16"/>
      <c r="B1153" s="16"/>
      <c r="C1153" s="16"/>
      <c r="D1153" s="16"/>
      <c r="E1153" s="16"/>
      <c r="F1153" s="16"/>
      <c r="G1153" s="16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</row>
    <row r="1154" customFormat="false" ht="12.75" hidden="false" customHeight="false" outlineLevel="0" collapsed="false">
      <c r="A1154" s="16"/>
      <c r="B1154" s="16"/>
      <c r="C1154" s="16"/>
      <c r="D1154" s="16"/>
      <c r="E1154" s="16"/>
      <c r="F1154" s="16"/>
      <c r="G1154" s="16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</row>
    <row r="1155" customFormat="false" ht="12.75" hidden="false" customHeight="false" outlineLevel="0" collapsed="false">
      <c r="A1155" s="16"/>
      <c r="B1155" s="16"/>
      <c r="C1155" s="16"/>
      <c r="D1155" s="16"/>
      <c r="E1155" s="16"/>
      <c r="F1155" s="16"/>
      <c r="G1155" s="16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</row>
    <row r="1156" customFormat="false" ht="12.75" hidden="false" customHeight="false" outlineLevel="0" collapsed="false">
      <c r="A1156" s="16"/>
      <c r="B1156" s="16"/>
      <c r="C1156" s="16"/>
      <c r="D1156" s="16"/>
      <c r="E1156" s="16"/>
      <c r="F1156" s="16"/>
      <c r="G1156" s="16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</row>
    <row r="1157" customFormat="false" ht="12.75" hidden="false" customHeight="false" outlineLevel="0" collapsed="false">
      <c r="A1157" s="16"/>
      <c r="B1157" s="16"/>
      <c r="C1157" s="16"/>
      <c r="D1157" s="16"/>
      <c r="E1157" s="16"/>
      <c r="F1157" s="16"/>
      <c r="G1157" s="16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</row>
    <row r="1158" customFormat="false" ht="12.75" hidden="false" customHeight="false" outlineLevel="0" collapsed="false">
      <c r="A1158" s="16"/>
      <c r="B1158" s="16"/>
      <c r="C1158" s="16"/>
      <c r="D1158" s="16"/>
      <c r="E1158" s="16"/>
      <c r="F1158" s="16"/>
      <c r="G1158" s="16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</row>
    <row r="1159" customFormat="false" ht="12.75" hidden="false" customHeight="false" outlineLevel="0" collapsed="false">
      <c r="A1159" s="16"/>
      <c r="B1159" s="16"/>
      <c r="C1159" s="16"/>
      <c r="D1159" s="16"/>
      <c r="E1159" s="16"/>
      <c r="F1159" s="16"/>
      <c r="G1159" s="16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</row>
    <row r="1160" customFormat="false" ht="12.75" hidden="false" customHeight="false" outlineLevel="0" collapsed="false">
      <c r="A1160" s="16"/>
      <c r="B1160" s="16"/>
      <c r="C1160" s="16"/>
      <c r="D1160" s="16"/>
      <c r="E1160" s="16"/>
      <c r="F1160" s="16"/>
      <c r="G1160" s="16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</row>
    <row r="1161" customFormat="false" ht="12.75" hidden="false" customHeight="false" outlineLevel="0" collapsed="false">
      <c r="A1161" s="16"/>
      <c r="B1161" s="16"/>
      <c r="C1161" s="16"/>
      <c r="D1161" s="16"/>
      <c r="E1161" s="16"/>
      <c r="F1161" s="16"/>
      <c r="G1161" s="16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</row>
    <row r="1162" customFormat="false" ht="12.75" hidden="false" customHeight="false" outlineLevel="0" collapsed="false">
      <c r="A1162" s="16"/>
      <c r="B1162" s="16"/>
      <c r="C1162" s="16"/>
      <c r="D1162" s="16"/>
      <c r="E1162" s="16"/>
      <c r="F1162" s="16"/>
      <c r="G1162" s="16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</row>
    <row r="1163" customFormat="false" ht="12.75" hidden="false" customHeight="false" outlineLevel="0" collapsed="false">
      <c r="A1163" s="16"/>
      <c r="B1163" s="16"/>
      <c r="C1163" s="16"/>
      <c r="D1163" s="16"/>
      <c r="E1163" s="16"/>
      <c r="F1163" s="16"/>
      <c r="G1163" s="16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</row>
    <row r="1164" customFormat="false" ht="12.75" hidden="false" customHeight="false" outlineLevel="0" collapsed="false">
      <c r="A1164" s="16"/>
      <c r="B1164" s="16"/>
      <c r="C1164" s="16"/>
      <c r="D1164" s="16"/>
      <c r="E1164" s="16"/>
      <c r="F1164" s="16"/>
      <c r="G1164" s="16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</row>
    <row r="1165" customFormat="false" ht="12.75" hidden="false" customHeight="false" outlineLevel="0" collapsed="false">
      <c r="A1165" s="16"/>
      <c r="B1165" s="16"/>
      <c r="C1165" s="16"/>
      <c r="D1165" s="16"/>
      <c r="E1165" s="16"/>
      <c r="F1165" s="16"/>
      <c r="G1165" s="16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</row>
    <row r="1166" customFormat="false" ht="12.75" hidden="false" customHeight="false" outlineLevel="0" collapsed="false">
      <c r="A1166" s="16"/>
      <c r="B1166" s="16"/>
      <c r="C1166" s="16"/>
      <c r="D1166" s="16"/>
      <c r="E1166" s="16"/>
      <c r="F1166" s="16"/>
      <c r="G1166" s="16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</row>
    <row r="1167" customFormat="false" ht="12.75" hidden="false" customHeight="false" outlineLevel="0" collapsed="false">
      <c r="A1167" s="16"/>
      <c r="B1167" s="16"/>
      <c r="C1167" s="16"/>
      <c r="D1167" s="16"/>
      <c r="E1167" s="16"/>
      <c r="F1167" s="16"/>
      <c r="G1167" s="16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</row>
    <row r="1168" customFormat="false" ht="12.75" hidden="false" customHeight="false" outlineLevel="0" collapsed="false">
      <c r="A1168" s="16"/>
      <c r="B1168" s="16"/>
      <c r="C1168" s="16"/>
      <c r="D1168" s="16"/>
      <c r="E1168" s="16"/>
      <c r="F1168" s="16"/>
      <c r="G1168" s="16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</row>
    <row r="1169" customFormat="false" ht="12.75" hidden="false" customHeight="false" outlineLevel="0" collapsed="false">
      <c r="A1169" s="16"/>
      <c r="B1169" s="16"/>
      <c r="C1169" s="16"/>
      <c r="D1169" s="16"/>
      <c r="E1169" s="16"/>
      <c r="F1169" s="16"/>
      <c r="G1169" s="16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</row>
    <row r="1170" customFormat="false" ht="12.75" hidden="false" customHeight="false" outlineLevel="0" collapsed="false">
      <c r="A1170" s="16"/>
      <c r="B1170" s="16"/>
      <c r="C1170" s="16"/>
      <c r="D1170" s="16"/>
      <c r="E1170" s="16"/>
      <c r="F1170" s="16"/>
      <c r="G1170" s="16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</row>
    <row r="1171" customFormat="false" ht="12.75" hidden="false" customHeight="false" outlineLevel="0" collapsed="false">
      <c r="A1171" s="16"/>
      <c r="B1171" s="16"/>
      <c r="C1171" s="16"/>
      <c r="D1171" s="16"/>
      <c r="E1171" s="16"/>
      <c r="F1171" s="16"/>
      <c r="G1171" s="16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</row>
    <row r="1172" customFormat="false" ht="12.75" hidden="false" customHeight="false" outlineLevel="0" collapsed="false">
      <c r="A1172" s="16"/>
      <c r="B1172" s="16"/>
      <c r="C1172" s="16"/>
      <c r="D1172" s="16"/>
      <c r="E1172" s="16"/>
      <c r="F1172" s="16"/>
      <c r="G1172" s="16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</row>
    <row r="1173" customFormat="false" ht="12.75" hidden="false" customHeight="false" outlineLevel="0" collapsed="false">
      <c r="A1173" s="16"/>
      <c r="B1173" s="16"/>
      <c r="C1173" s="16"/>
      <c r="D1173" s="16"/>
      <c r="E1173" s="16"/>
      <c r="F1173" s="16"/>
      <c r="G1173" s="16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</row>
    <row r="1174" customFormat="false" ht="12.75" hidden="false" customHeight="false" outlineLevel="0" collapsed="false">
      <c r="A1174" s="16"/>
      <c r="B1174" s="16"/>
      <c r="C1174" s="16"/>
      <c r="D1174" s="16"/>
      <c r="E1174" s="16"/>
      <c r="F1174" s="16"/>
      <c r="G1174" s="16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</row>
    <row r="1175" customFormat="false" ht="12.75" hidden="false" customHeight="false" outlineLevel="0" collapsed="false">
      <c r="A1175" s="16"/>
      <c r="B1175" s="16"/>
      <c r="C1175" s="16"/>
      <c r="D1175" s="16"/>
      <c r="E1175" s="16"/>
      <c r="F1175" s="16"/>
      <c r="G1175" s="16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</row>
    <row r="1176" customFormat="false" ht="12.75" hidden="false" customHeight="false" outlineLevel="0" collapsed="false">
      <c r="A1176" s="16"/>
      <c r="B1176" s="16"/>
      <c r="C1176" s="16"/>
      <c r="D1176" s="16"/>
      <c r="E1176" s="16"/>
      <c r="F1176" s="16"/>
      <c r="G1176" s="16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</row>
    <row r="1177" customFormat="false" ht="12.75" hidden="false" customHeight="false" outlineLevel="0" collapsed="false">
      <c r="A1177" s="16"/>
      <c r="B1177" s="16"/>
      <c r="C1177" s="16"/>
      <c r="D1177" s="16"/>
      <c r="E1177" s="16"/>
      <c r="F1177" s="16"/>
      <c r="G1177" s="16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</row>
    <row r="1178" customFormat="false" ht="12.75" hidden="false" customHeight="false" outlineLevel="0" collapsed="false">
      <c r="A1178" s="16"/>
      <c r="B1178" s="16"/>
      <c r="C1178" s="16"/>
      <c r="D1178" s="16"/>
      <c r="E1178" s="16"/>
      <c r="F1178" s="16"/>
      <c r="G1178" s="16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</row>
    <row r="1179" customFormat="false" ht="12.75" hidden="false" customHeight="false" outlineLevel="0" collapsed="false">
      <c r="A1179" s="16"/>
      <c r="B1179" s="16"/>
      <c r="C1179" s="16"/>
      <c r="D1179" s="16"/>
      <c r="E1179" s="16"/>
      <c r="F1179" s="16"/>
      <c r="G1179" s="16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</row>
    <row r="1180" customFormat="false" ht="12.75" hidden="false" customHeight="false" outlineLevel="0" collapsed="false">
      <c r="A1180" s="16"/>
      <c r="B1180" s="16"/>
      <c r="C1180" s="16"/>
      <c r="D1180" s="16"/>
      <c r="E1180" s="16"/>
      <c r="F1180" s="16"/>
      <c r="G1180" s="16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</row>
    <row r="1181" customFormat="false" ht="12.75" hidden="false" customHeight="false" outlineLevel="0" collapsed="false">
      <c r="A1181" s="16"/>
      <c r="B1181" s="16"/>
      <c r="C1181" s="16"/>
      <c r="D1181" s="16"/>
      <c r="E1181" s="16"/>
      <c r="F1181" s="16"/>
      <c r="G1181" s="16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</row>
    <row r="1182" customFormat="false" ht="12.75" hidden="false" customHeight="false" outlineLevel="0" collapsed="false">
      <c r="A1182" s="16"/>
      <c r="B1182" s="16"/>
      <c r="C1182" s="16"/>
      <c r="D1182" s="16"/>
      <c r="E1182" s="16"/>
      <c r="F1182" s="16"/>
      <c r="G1182" s="16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</row>
    <row r="1183" customFormat="false" ht="12.75" hidden="false" customHeight="false" outlineLevel="0" collapsed="false">
      <c r="A1183" s="16"/>
      <c r="B1183" s="16"/>
      <c r="C1183" s="16"/>
      <c r="D1183" s="16"/>
      <c r="E1183" s="16"/>
      <c r="F1183" s="16"/>
      <c r="G1183" s="16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</row>
    <row r="1184" customFormat="false" ht="12.75" hidden="false" customHeight="false" outlineLevel="0" collapsed="false">
      <c r="A1184" s="16"/>
      <c r="B1184" s="16"/>
      <c r="C1184" s="16"/>
      <c r="D1184" s="16"/>
      <c r="E1184" s="16"/>
      <c r="F1184" s="16"/>
      <c r="G1184" s="16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</row>
    <row r="1185" customFormat="false" ht="12.75" hidden="false" customHeight="false" outlineLevel="0" collapsed="false">
      <c r="A1185" s="16"/>
      <c r="B1185" s="16"/>
      <c r="C1185" s="16"/>
      <c r="D1185" s="16"/>
      <c r="E1185" s="16"/>
      <c r="F1185" s="16"/>
      <c r="G1185" s="16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</row>
    <row r="1186" customFormat="false" ht="12.75" hidden="false" customHeight="false" outlineLevel="0" collapsed="false">
      <c r="A1186" s="16"/>
      <c r="B1186" s="16"/>
      <c r="C1186" s="16"/>
      <c r="D1186" s="16"/>
      <c r="E1186" s="16"/>
      <c r="F1186" s="16"/>
      <c r="G1186" s="16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</row>
    <row r="1187" customFormat="false" ht="12.75" hidden="false" customHeight="false" outlineLevel="0" collapsed="false">
      <c r="A1187" s="16"/>
      <c r="B1187" s="16"/>
      <c r="C1187" s="16"/>
      <c r="D1187" s="16"/>
      <c r="E1187" s="16"/>
      <c r="F1187" s="16"/>
      <c r="G1187" s="16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</row>
    <row r="1188" customFormat="false" ht="12.75" hidden="false" customHeight="false" outlineLevel="0" collapsed="false">
      <c r="A1188" s="16"/>
      <c r="B1188" s="16"/>
      <c r="C1188" s="16"/>
      <c r="D1188" s="16"/>
      <c r="E1188" s="16"/>
      <c r="F1188" s="16"/>
      <c r="G1188" s="16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</row>
    <row r="1189" customFormat="false" ht="12.75" hidden="false" customHeight="false" outlineLevel="0" collapsed="false">
      <c r="A1189" s="16"/>
      <c r="B1189" s="16"/>
      <c r="C1189" s="16"/>
      <c r="D1189" s="16"/>
      <c r="E1189" s="16"/>
      <c r="F1189" s="16"/>
      <c r="G1189" s="16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</row>
    <row r="1190" customFormat="false" ht="12.75" hidden="false" customHeight="false" outlineLevel="0" collapsed="false">
      <c r="A1190" s="16"/>
      <c r="B1190" s="16"/>
      <c r="C1190" s="16"/>
      <c r="D1190" s="16"/>
      <c r="E1190" s="16"/>
      <c r="F1190" s="16"/>
      <c r="G1190" s="16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</row>
    <row r="1191" customFormat="false" ht="12.75" hidden="false" customHeight="false" outlineLevel="0" collapsed="false">
      <c r="A1191" s="16"/>
      <c r="B1191" s="16"/>
      <c r="C1191" s="16"/>
      <c r="D1191" s="16"/>
      <c r="E1191" s="16"/>
      <c r="F1191" s="16"/>
      <c r="G1191" s="16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</row>
    <row r="1192" customFormat="false" ht="12.75" hidden="false" customHeight="false" outlineLevel="0" collapsed="false">
      <c r="A1192" s="16"/>
      <c r="B1192" s="16"/>
      <c r="C1192" s="16"/>
      <c r="D1192" s="16"/>
      <c r="E1192" s="16"/>
      <c r="F1192" s="16"/>
      <c r="G1192" s="16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</row>
    <row r="1193" customFormat="false" ht="12.75" hidden="false" customHeight="false" outlineLevel="0" collapsed="false">
      <c r="A1193" s="16"/>
      <c r="B1193" s="16"/>
      <c r="C1193" s="16"/>
      <c r="D1193" s="16"/>
      <c r="E1193" s="16"/>
      <c r="F1193" s="16"/>
      <c r="G1193" s="16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</row>
    <row r="1194" customFormat="false" ht="12.75" hidden="false" customHeight="false" outlineLevel="0" collapsed="false">
      <c r="A1194" s="16"/>
      <c r="B1194" s="16"/>
      <c r="C1194" s="16"/>
      <c r="D1194" s="16"/>
      <c r="E1194" s="16"/>
      <c r="F1194" s="16"/>
      <c r="G1194" s="16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</row>
    <row r="1195" customFormat="false" ht="12.75" hidden="false" customHeight="false" outlineLevel="0" collapsed="false">
      <c r="A1195" s="16"/>
      <c r="B1195" s="16"/>
      <c r="C1195" s="16"/>
      <c r="D1195" s="16"/>
      <c r="E1195" s="16"/>
      <c r="F1195" s="16"/>
      <c r="G1195" s="16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</row>
    <row r="1196" customFormat="false" ht="12.75" hidden="false" customHeight="false" outlineLevel="0" collapsed="false">
      <c r="A1196" s="16"/>
      <c r="B1196" s="16"/>
      <c r="C1196" s="16"/>
      <c r="D1196" s="16"/>
      <c r="E1196" s="16"/>
      <c r="F1196" s="16"/>
      <c r="G1196" s="16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</row>
    <row r="1197" customFormat="false" ht="12.75" hidden="false" customHeight="false" outlineLevel="0" collapsed="false">
      <c r="A1197" s="16"/>
      <c r="B1197" s="16"/>
      <c r="C1197" s="16"/>
      <c r="D1197" s="16"/>
      <c r="E1197" s="16"/>
      <c r="F1197" s="16"/>
      <c r="G1197" s="16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</row>
    <row r="1198" customFormat="false" ht="12.75" hidden="false" customHeight="false" outlineLevel="0" collapsed="false">
      <c r="A1198" s="16"/>
      <c r="B1198" s="16"/>
      <c r="C1198" s="16"/>
      <c r="D1198" s="16"/>
      <c r="E1198" s="16"/>
      <c r="F1198" s="16"/>
      <c r="G1198" s="16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</row>
    <row r="1199" customFormat="false" ht="12.75" hidden="false" customHeight="false" outlineLevel="0" collapsed="false">
      <c r="A1199" s="16"/>
      <c r="B1199" s="16"/>
      <c r="C1199" s="16"/>
      <c r="D1199" s="16"/>
      <c r="E1199" s="16"/>
      <c r="F1199" s="16"/>
      <c r="G1199" s="16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</row>
    <row r="1200" customFormat="false" ht="12.75" hidden="false" customHeight="false" outlineLevel="0" collapsed="false">
      <c r="A1200" s="16"/>
      <c r="B1200" s="16"/>
      <c r="C1200" s="16"/>
      <c r="D1200" s="16"/>
      <c r="E1200" s="16"/>
      <c r="F1200" s="16"/>
      <c r="G1200" s="16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</row>
    <row r="1201" customFormat="false" ht="12.75" hidden="false" customHeight="false" outlineLevel="0" collapsed="false">
      <c r="A1201" s="16"/>
      <c r="B1201" s="16"/>
      <c r="C1201" s="16"/>
      <c r="D1201" s="16"/>
      <c r="E1201" s="16"/>
      <c r="F1201" s="16"/>
      <c r="G1201" s="16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</row>
    <row r="1202" customFormat="false" ht="12.75" hidden="false" customHeight="false" outlineLevel="0" collapsed="false">
      <c r="A1202" s="16"/>
      <c r="B1202" s="16"/>
      <c r="C1202" s="16"/>
      <c r="D1202" s="16"/>
      <c r="E1202" s="16"/>
      <c r="F1202" s="16"/>
      <c r="G1202" s="16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</row>
    <row r="1203" customFormat="false" ht="12.75" hidden="false" customHeight="false" outlineLevel="0" collapsed="false">
      <c r="A1203" s="16"/>
      <c r="B1203" s="16"/>
      <c r="C1203" s="16"/>
      <c r="D1203" s="16"/>
      <c r="E1203" s="16"/>
      <c r="F1203" s="16"/>
      <c r="G1203" s="16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</row>
    <row r="1204" customFormat="false" ht="12.75" hidden="false" customHeight="false" outlineLevel="0" collapsed="false">
      <c r="A1204" s="16"/>
      <c r="B1204" s="16"/>
      <c r="C1204" s="16"/>
      <c r="D1204" s="16"/>
      <c r="E1204" s="16"/>
      <c r="F1204" s="16"/>
      <c r="G1204" s="16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</row>
    <row r="1205" customFormat="false" ht="12.75" hidden="false" customHeight="false" outlineLevel="0" collapsed="false">
      <c r="A1205" s="16"/>
      <c r="B1205" s="16"/>
      <c r="C1205" s="16"/>
      <c r="D1205" s="16"/>
      <c r="E1205" s="16"/>
      <c r="F1205" s="16"/>
      <c r="G1205" s="16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</row>
    <row r="1206" customFormat="false" ht="12.75" hidden="false" customHeight="false" outlineLevel="0" collapsed="false">
      <c r="A1206" s="16"/>
      <c r="B1206" s="16"/>
      <c r="C1206" s="16"/>
      <c r="D1206" s="16"/>
      <c r="E1206" s="16"/>
      <c r="F1206" s="16"/>
      <c r="G1206" s="16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</row>
    <row r="1207" customFormat="false" ht="12.75" hidden="false" customHeight="false" outlineLevel="0" collapsed="false">
      <c r="A1207" s="16"/>
      <c r="B1207" s="16"/>
      <c r="C1207" s="16"/>
      <c r="D1207" s="16"/>
      <c r="E1207" s="16"/>
      <c r="F1207" s="16"/>
      <c r="G1207" s="16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</row>
    <row r="1208" customFormat="false" ht="12.75" hidden="false" customHeight="false" outlineLevel="0" collapsed="false">
      <c r="A1208" s="16"/>
      <c r="B1208" s="16"/>
      <c r="C1208" s="16"/>
      <c r="D1208" s="16"/>
      <c r="E1208" s="16"/>
      <c r="F1208" s="16"/>
      <c r="G1208" s="16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</row>
    <row r="1209" customFormat="false" ht="12.75" hidden="false" customHeight="false" outlineLevel="0" collapsed="false">
      <c r="A1209" s="16"/>
      <c r="B1209" s="16"/>
      <c r="C1209" s="16"/>
      <c r="D1209" s="16"/>
      <c r="E1209" s="16"/>
      <c r="F1209" s="16"/>
      <c r="G1209" s="16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</row>
    <row r="1210" customFormat="false" ht="12.75" hidden="false" customHeight="false" outlineLevel="0" collapsed="false">
      <c r="A1210" s="16"/>
      <c r="B1210" s="16"/>
      <c r="C1210" s="16"/>
      <c r="D1210" s="16"/>
      <c r="E1210" s="16"/>
      <c r="F1210" s="16"/>
      <c r="G1210" s="16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</row>
    <row r="1211" customFormat="false" ht="12.75" hidden="false" customHeight="false" outlineLevel="0" collapsed="false">
      <c r="A1211" s="16"/>
      <c r="B1211" s="16"/>
      <c r="C1211" s="16"/>
      <c r="D1211" s="16"/>
      <c r="E1211" s="16"/>
      <c r="F1211" s="16"/>
      <c r="G1211" s="16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</row>
    <row r="1212" customFormat="false" ht="12.75" hidden="false" customHeight="false" outlineLevel="0" collapsed="false">
      <c r="A1212" s="16"/>
      <c r="B1212" s="16"/>
      <c r="C1212" s="16"/>
      <c r="D1212" s="16"/>
      <c r="E1212" s="16"/>
      <c r="F1212" s="16"/>
      <c r="G1212" s="16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</row>
    <row r="1213" customFormat="false" ht="12.75" hidden="false" customHeight="false" outlineLevel="0" collapsed="false">
      <c r="A1213" s="16"/>
      <c r="B1213" s="16"/>
      <c r="C1213" s="16"/>
      <c r="D1213" s="16"/>
      <c r="E1213" s="16"/>
      <c r="F1213" s="16"/>
      <c r="G1213" s="16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</row>
    <row r="1214" customFormat="false" ht="12.75" hidden="false" customHeight="false" outlineLevel="0" collapsed="false">
      <c r="A1214" s="16"/>
      <c r="B1214" s="16"/>
      <c r="C1214" s="16"/>
      <c r="D1214" s="16"/>
      <c r="E1214" s="16"/>
      <c r="F1214" s="16"/>
      <c r="G1214" s="16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</row>
    <row r="1215" customFormat="false" ht="12.75" hidden="false" customHeight="false" outlineLevel="0" collapsed="false">
      <c r="A1215" s="16"/>
      <c r="B1215" s="16"/>
      <c r="C1215" s="16"/>
      <c r="D1215" s="16"/>
      <c r="E1215" s="16"/>
      <c r="F1215" s="16"/>
      <c r="G1215" s="16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</row>
    <row r="1216" customFormat="false" ht="12.75" hidden="false" customHeight="false" outlineLevel="0" collapsed="false">
      <c r="A1216" s="16"/>
      <c r="B1216" s="16"/>
      <c r="C1216" s="16"/>
      <c r="D1216" s="16"/>
      <c r="E1216" s="16"/>
      <c r="F1216" s="16"/>
      <c r="G1216" s="16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</row>
    <row r="1217" customFormat="false" ht="12.75" hidden="false" customHeight="false" outlineLevel="0" collapsed="false">
      <c r="A1217" s="16"/>
      <c r="B1217" s="16"/>
      <c r="C1217" s="16"/>
      <c r="D1217" s="16"/>
      <c r="E1217" s="16"/>
      <c r="F1217" s="16"/>
      <c r="G1217" s="16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</row>
    <row r="1218" customFormat="false" ht="12.75" hidden="false" customHeight="false" outlineLevel="0" collapsed="false">
      <c r="A1218" s="16"/>
      <c r="B1218" s="16"/>
      <c r="C1218" s="16"/>
      <c r="D1218" s="16"/>
      <c r="E1218" s="16"/>
      <c r="F1218" s="16"/>
      <c r="G1218" s="16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</row>
    <row r="1219" customFormat="false" ht="12.75" hidden="false" customHeight="false" outlineLevel="0" collapsed="false">
      <c r="A1219" s="16"/>
      <c r="B1219" s="16"/>
      <c r="C1219" s="16"/>
      <c r="D1219" s="16"/>
      <c r="E1219" s="16"/>
      <c r="F1219" s="16"/>
      <c r="G1219" s="16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</row>
    <row r="1220" customFormat="false" ht="12.75" hidden="false" customHeight="false" outlineLevel="0" collapsed="false">
      <c r="A1220" s="16"/>
      <c r="B1220" s="16"/>
      <c r="C1220" s="16"/>
      <c r="D1220" s="16"/>
      <c r="E1220" s="16"/>
      <c r="F1220" s="16"/>
      <c r="G1220" s="16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</row>
    <row r="1221" customFormat="false" ht="12.75" hidden="false" customHeight="false" outlineLevel="0" collapsed="false">
      <c r="A1221" s="16"/>
      <c r="B1221" s="16"/>
      <c r="C1221" s="16"/>
      <c r="D1221" s="16"/>
      <c r="E1221" s="16"/>
      <c r="F1221" s="16"/>
      <c r="G1221" s="16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</row>
    <row r="1222" customFormat="false" ht="12.75" hidden="false" customHeight="false" outlineLevel="0" collapsed="false">
      <c r="A1222" s="16"/>
      <c r="B1222" s="16"/>
      <c r="C1222" s="16"/>
      <c r="D1222" s="16"/>
      <c r="E1222" s="16"/>
      <c r="F1222" s="16"/>
      <c r="G1222" s="16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</row>
    <row r="1223" customFormat="false" ht="12.75" hidden="false" customHeight="false" outlineLevel="0" collapsed="false">
      <c r="A1223" s="16"/>
      <c r="B1223" s="16"/>
      <c r="C1223" s="16"/>
      <c r="D1223" s="16"/>
      <c r="E1223" s="16"/>
      <c r="F1223" s="16"/>
      <c r="G1223" s="16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</row>
    <row r="1224" customFormat="false" ht="12.75" hidden="false" customHeight="false" outlineLevel="0" collapsed="false">
      <c r="A1224" s="16"/>
      <c r="B1224" s="16"/>
      <c r="C1224" s="16"/>
      <c r="D1224" s="16"/>
      <c r="E1224" s="16"/>
      <c r="F1224" s="16"/>
      <c r="G1224" s="16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</row>
    <row r="1225" customFormat="false" ht="12.75" hidden="false" customHeight="false" outlineLevel="0" collapsed="false">
      <c r="A1225" s="16"/>
      <c r="B1225" s="16"/>
      <c r="C1225" s="16"/>
      <c r="D1225" s="16"/>
      <c r="E1225" s="16"/>
      <c r="F1225" s="16"/>
      <c r="G1225" s="16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</row>
    <row r="1226" customFormat="false" ht="12.75" hidden="false" customHeight="false" outlineLevel="0" collapsed="false">
      <c r="A1226" s="16"/>
      <c r="B1226" s="16"/>
      <c r="C1226" s="16"/>
      <c r="D1226" s="16"/>
      <c r="E1226" s="16"/>
      <c r="F1226" s="16"/>
      <c r="G1226" s="16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</row>
    <row r="1227" customFormat="false" ht="12.75" hidden="false" customHeight="false" outlineLevel="0" collapsed="false">
      <c r="A1227" s="16"/>
      <c r="B1227" s="16"/>
      <c r="C1227" s="16"/>
      <c r="D1227" s="16"/>
      <c r="E1227" s="16"/>
      <c r="F1227" s="16"/>
      <c r="G1227" s="16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</row>
    <row r="1228" customFormat="false" ht="12.75" hidden="false" customHeight="false" outlineLevel="0" collapsed="false">
      <c r="A1228" s="16"/>
      <c r="B1228" s="16"/>
      <c r="C1228" s="16"/>
      <c r="D1228" s="16"/>
      <c r="E1228" s="16"/>
      <c r="F1228" s="16"/>
      <c r="G1228" s="16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</row>
    <row r="1229" customFormat="false" ht="12.75" hidden="false" customHeight="false" outlineLevel="0" collapsed="false">
      <c r="A1229" s="16"/>
      <c r="B1229" s="16"/>
      <c r="C1229" s="16"/>
      <c r="D1229" s="16"/>
      <c r="E1229" s="16"/>
      <c r="F1229" s="16"/>
      <c r="G1229" s="16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</row>
    <row r="1230" customFormat="false" ht="12.75" hidden="false" customHeight="false" outlineLevel="0" collapsed="false">
      <c r="A1230" s="16"/>
      <c r="B1230" s="16"/>
      <c r="C1230" s="16"/>
      <c r="D1230" s="16"/>
      <c r="E1230" s="16"/>
      <c r="F1230" s="16"/>
      <c r="G1230" s="16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</row>
    <row r="1231" customFormat="false" ht="12.75" hidden="false" customHeight="false" outlineLevel="0" collapsed="false">
      <c r="A1231" s="16"/>
      <c r="B1231" s="16"/>
      <c r="C1231" s="16"/>
      <c r="D1231" s="16"/>
      <c r="E1231" s="16"/>
      <c r="F1231" s="16"/>
      <c r="G1231" s="16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</row>
    <row r="1232" customFormat="false" ht="12.75" hidden="false" customHeight="false" outlineLevel="0" collapsed="false">
      <c r="A1232" s="16"/>
      <c r="B1232" s="16"/>
      <c r="C1232" s="16"/>
      <c r="D1232" s="16"/>
      <c r="E1232" s="16"/>
      <c r="F1232" s="16"/>
      <c r="G1232" s="16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</row>
    <row r="1233" customFormat="false" ht="12.75" hidden="false" customHeight="false" outlineLevel="0" collapsed="false">
      <c r="A1233" s="16"/>
      <c r="B1233" s="16"/>
      <c r="C1233" s="16"/>
      <c r="D1233" s="16"/>
      <c r="E1233" s="16"/>
      <c r="F1233" s="16"/>
      <c r="G1233" s="16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</row>
    <row r="1234" customFormat="false" ht="12.75" hidden="false" customHeight="false" outlineLevel="0" collapsed="false">
      <c r="A1234" s="16"/>
      <c r="B1234" s="16"/>
      <c r="C1234" s="16"/>
      <c r="D1234" s="16"/>
      <c r="E1234" s="16"/>
      <c r="F1234" s="16"/>
      <c r="G1234" s="16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</row>
    <row r="1235" customFormat="false" ht="12.75" hidden="false" customHeight="false" outlineLevel="0" collapsed="false">
      <c r="A1235" s="16"/>
      <c r="B1235" s="16"/>
      <c r="C1235" s="16"/>
      <c r="D1235" s="16"/>
      <c r="E1235" s="16"/>
      <c r="F1235" s="16"/>
      <c r="G1235" s="16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</row>
    <row r="1236" customFormat="false" ht="12.75" hidden="false" customHeight="false" outlineLevel="0" collapsed="false">
      <c r="A1236" s="16"/>
      <c r="B1236" s="16"/>
      <c r="C1236" s="16"/>
      <c r="D1236" s="16"/>
      <c r="E1236" s="16"/>
      <c r="F1236" s="16"/>
      <c r="G1236" s="16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</row>
    <row r="1237" customFormat="false" ht="12.75" hidden="false" customHeight="false" outlineLevel="0" collapsed="false">
      <c r="A1237" s="16"/>
      <c r="B1237" s="16"/>
      <c r="C1237" s="16"/>
      <c r="D1237" s="16"/>
      <c r="E1237" s="16"/>
      <c r="F1237" s="16"/>
      <c r="G1237" s="16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</row>
    <row r="1238" customFormat="false" ht="12.75" hidden="false" customHeight="false" outlineLevel="0" collapsed="false">
      <c r="A1238" s="16"/>
      <c r="B1238" s="16"/>
      <c r="C1238" s="16"/>
      <c r="D1238" s="16"/>
      <c r="E1238" s="16"/>
      <c r="F1238" s="16"/>
      <c r="G1238" s="16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</row>
    <row r="1239" customFormat="false" ht="12.75" hidden="false" customHeight="false" outlineLevel="0" collapsed="false">
      <c r="A1239" s="16"/>
      <c r="B1239" s="16"/>
      <c r="C1239" s="16"/>
      <c r="D1239" s="16"/>
      <c r="E1239" s="16"/>
      <c r="F1239" s="16"/>
      <c r="G1239" s="16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</row>
    <row r="1240" customFormat="false" ht="12.75" hidden="false" customHeight="false" outlineLevel="0" collapsed="false">
      <c r="A1240" s="16"/>
      <c r="B1240" s="16"/>
      <c r="C1240" s="16"/>
      <c r="D1240" s="16"/>
      <c r="E1240" s="16"/>
      <c r="F1240" s="16"/>
      <c r="G1240" s="16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</row>
    <row r="1241" customFormat="false" ht="12.75" hidden="false" customHeight="false" outlineLevel="0" collapsed="false">
      <c r="A1241" s="16"/>
      <c r="B1241" s="16"/>
      <c r="C1241" s="16"/>
      <c r="D1241" s="16"/>
      <c r="E1241" s="16"/>
      <c r="F1241" s="16"/>
      <c r="G1241" s="16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</row>
    <row r="1242" customFormat="false" ht="12.75" hidden="false" customHeight="false" outlineLevel="0" collapsed="false">
      <c r="A1242" s="16"/>
      <c r="B1242" s="16"/>
      <c r="C1242" s="16"/>
      <c r="D1242" s="16"/>
      <c r="E1242" s="16"/>
      <c r="F1242" s="16"/>
      <c r="G1242" s="16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</row>
    <row r="1243" customFormat="false" ht="12.75" hidden="false" customHeight="false" outlineLevel="0" collapsed="false">
      <c r="A1243" s="16"/>
      <c r="B1243" s="16"/>
      <c r="C1243" s="16"/>
      <c r="D1243" s="16"/>
      <c r="E1243" s="16"/>
      <c r="F1243" s="16"/>
      <c r="G1243" s="16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</row>
    <row r="1244" customFormat="false" ht="12.75" hidden="false" customHeight="false" outlineLevel="0" collapsed="false">
      <c r="A1244" s="16"/>
      <c r="B1244" s="16"/>
      <c r="C1244" s="16"/>
      <c r="D1244" s="16"/>
      <c r="E1244" s="16"/>
      <c r="F1244" s="16"/>
      <c r="G1244" s="16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</row>
    <row r="1245" customFormat="false" ht="12.75" hidden="false" customHeight="false" outlineLevel="0" collapsed="false">
      <c r="A1245" s="16"/>
      <c r="B1245" s="16"/>
      <c r="C1245" s="16"/>
      <c r="D1245" s="16"/>
      <c r="E1245" s="16"/>
      <c r="F1245" s="16"/>
      <c r="G1245" s="16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</row>
    <row r="1246" customFormat="false" ht="12.75" hidden="false" customHeight="false" outlineLevel="0" collapsed="false">
      <c r="A1246" s="16"/>
      <c r="B1246" s="16"/>
      <c r="C1246" s="16"/>
      <c r="D1246" s="16"/>
      <c r="E1246" s="16"/>
      <c r="F1246" s="16"/>
      <c r="G1246" s="16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</row>
    <row r="1247" customFormat="false" ht="12.75" hidden="false" customHeight="false" outlineLevel="0" collapsed="false">
      <c r="A1247" s="16"/>
      <c r="B1247" s="16"/>
      <c r="C1247" s="16"/>
      <c r="D1247" s="16"/>
      <c r="E1247" s="16"/>
      <c r="F1247" s="16"/>
      <c r="G1247" s="16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</row>
    <row r="1248" customFormat="false" ht="12.75" hidden="false" customHeight="false" outlineLevel="0" collapsed="false">
      <c r="A1248" s="16"/>
      <c r="B1248" s="16"/>
      <c r="C1248" s="16"/>
      <c r="D1248" s="16"/>
      <c r="E1248" s="16"/>
      <c r="F1248" s="16"/>
      <c r="G1248" s="16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</row>
    <row r="1249" customFormat="false" ht="12.75" hidden="false" customHeight="false" outlineLevel="0" collapsed="false">
      <c r="A1249" s="16"/>
      <c r="B1249" s="16"/>
      <c r="C1249" s="16"/>
      <c r="D1249" s="16"/>
      <c r="E1249" s="16"/>
      <c r="F1249" s="16"/>
      <c r="G1249" s="16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</row>
    <row r="1250" customFormat="false" ht="12.75" hidden="false" customHeight="false" outlineLevel="0" collapsed="false">
      <c r="A1250" s="16"/>
      <c r="B1250" s="16"/>
      <c r="C1250" s="16"/>
      <c r="D1250" s="16"/>
      <c r="E1250" s="16"/>
      <c r="F1250" s="16"/>
      <c r="G1250" s="16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</row>
    <row r="1251" customFormat="false" ht="12.75" hidden="false" customHeight="false" outlineLevel="0" collapsed="false">
      <c r="A1251" s="16"/>
      <c r="B1251" s="16"/>
      <c r="C1251" s="16"/>
      <c r="D1251" s="16"/>
      <c r="E1251" s="16"/>
      <c r="F1251" s="16"/>
      <c r="G1251" s="16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</row>
    <row r="1252" customFormat="false" ht="12.75" hidden="false" customHeight="false" outlineLevel="0" collapsed="false">
      <c r="A1252" s="16"/>
      <c r="B1252" s="16"/>
      <c r="C1252" s="16"/>
      <c r="D1252" s="16"/>
      <c r="E1252" s="16"/>
      <c r="F1252" s="16"/>
      <c r="G1252" s="16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</row>
    <row r="1253" customFormat="false" ht="12.75" hidden="false" customHeight="false" outlineLevel="0" collapsed="false">
      <c r="A1253" s="16"/>
      <c r="B1253" s="16"/>
      <c r="C1253" s="16"/>
      <c r="D1253" s="16"/>
      <c r="E1253" s="16"/>
      <c r="F1253" s="16"/>
      <c r="G1253" s="16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</row>
    <row r="1254" customFormat="false" ht="12.75" hidden="false" customHeight="false" outlineLevel="0" collapsed="false">
      <c r="A1254" s="16"/>
      <c r="B1254" s="16"/>
      <c r="C1254" s="16"/>
      <c r="D1254" s="16"/>
      <c r="E1254" s="16"/>
      <c r="F1254" s="16"/>
      <c r="G1254" s="16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</row>
    <row r="1255" customFormat="false" ht="12.75" hidden="false" customHeight="false" outlineLevel="0" collapsed="false">
      <c r="A1255" s="16"/>
      <c r="B1255" s="16"/>
      <c r="C1255" s="16"/>
      <c r="D1255" s="16"/>
      <c r="E1255" s="16"/>
      <c r="F1255" s="16"/>
      <c r="G1255" s="16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</row>
    <row r="1256" customFormat="false" ht="12.75" hidden="false" customHeight="false" outlineLevel="0" collapsed="false">
      <c r="A1256" s="16"/>
      <c r="B1256" s="16"/>
      <c r="C1256" s="16"/>
      <c r="D1256" s="16"/>
      <c r="E1256" s="16"/>
      <c r="F1256" s="16"/>
      <c r="G1256" s="16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</row>
    <row r="1257" customFormat="false" ht="12.75" hidden="false" customHeight="false" outlineLevel="0" collapsed="false">
      <c r="A1257" s="16"/>
      <c r="B1257" s="16"/>
      <c r="C1257" s="16"/>
      <c r="D1257" s="16"/>
      <c r="E1257" s="16"/>
      <c r="F1257" s="16"/>
      <c r="G1257" s="16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</row>
    <row r="1258" customFormat="false" ht="12.75" hidden="false" customHeight="false" outlineLevel="0" collapsed="false">
      <c r="A1258" s="16"/>
      <c r="B1258" s="16"/>
      <c r="C1258" s="16"/>
      <c r="D1258" s="16"/>
      <c r="E1258" s="16"/>
      <c r="F1258" s="16"/>
      <c r="G1258" s="16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</row>
    <row r="1259" customFormat="false" ht="12.75" hidden="false" customHeight="false" outlineLevel="0" collapsed="false">
      <c r="A1259" s="16"/>
      <c r="B1259" s="16"/>
      <c r="C1259" s="16"/>
      <c r="D1259" s="16"/>
      <c r="E1259" s="16"/>
      <c r="F1259" s="16"/>
      <c r="G1259" s="16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</row>
    <row r="1260" customFormat="false" ht="12.75" hidden="false" customHeight="false" outlineLevel="0" collapsed="false">
      <c r="A1260" s="16"/>
      <c r="B1260" s="16"/>
      <c r="C1260" s="16"/>
      <c r="D1260" s="16"/>
      <c r="E1260" s="16"/>
      <c r="F1260" s="16"/>
      <c r="G1260" s="16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</row>
    <row r="1261" customFormat="false" ht="12.75" hidden="false" customHeight="false" outlineLevel="0" collapsed="false">
      <c r="A1261" s="16"/>
      <c r="B1261" s="16"/>
      <c r="C1261" s="16"/>
      <c r="D1261" s="16"/>
      <c r="E1261" s="16"/>
      <c r="F1261" s="16"/>
      <c r="G1261" s="16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</row>
    <row r="1262" customFormat="false" ht="12.75" hidden="false" customHeight="false" outlineLevel="0" collapsed="false">
      <c r="A1262" s="16"/>
      <c r="B1262" s="16"/>
      <c r="C1262" s="16"/>
      <c r="D1262" s="16"/>
      <c r="E1262" s="16"/>
      <c r="F1262" s="16"/>
      <c r="G1262" s="16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</row>
    <row r="1263" customFormat="false" ht="12.75" hidden="false" customHeight="false" outlineLevel="0" collapsed="false">
      <c r="A1263" s="16"/>
      <c r="B1263" s="16"/>
      <c r="C1263" s="16"/>
      <c r="D1263" s="16"/>
      <c r="E1263" s="16"/>
      <c r="F1263" s="16"/>
      <c r="G1263" s="16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</row>
    <row r="1264" customFormat="false" ht="12.75" hidden="false" customHeight="false" outlineLevel="0" collapsed="false">
      <c r="A1264" s="16"/>
      <c r="B1264" s="16"/>
      <c r="C1264" s="16"/>
      <c r="D1264" s="16"/>
      <c r="E1264" s="16"/>
      <c r="F1264" s="16"/>
      <c r="G1264" s="16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</row>
    <row r="1265" customFormat="false" ht="12.75" hidden="false" customHeight="false" outlineLevel="0" collapsed="false">
      <c r="A1265" s="16"/>
      <c r="B1265" s="16"/>
      <c r="C1265" s="16"/>
      <c r="D1265" s="16"/>
      <c r="E1265" s="16"/>
      <c r="F1265" s="16"/>
      <c r="G1265" s="16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</row>
    <row r="1266" customFormat="false" ht="12.75" hidden="false" customHeight="false" outlineLevel="0" collapsed="false">
      <c r="A1266" s="16"/>
      <c r="B1266" s="16"/>
      <c r="C1266" s="16"/>
      <c r="D1266" s="16"/>
      <c r="E1266" s="16"/>
      <c r="F1266" s="16"/>
      <c r="G1266" s="16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</row>
    <row r="1267" customFormat="false" ht="12.75" hidden="false" customHeight="false" outlineLevel="0" collapsed="false">
      <c r="A1267" s="16"/>
      <c r="B1267" s="16"/>
      <c r="C1267" s="16"/>
      <c r="D1267" s="16"/>
      <c r="E1267" s="16"/>
      <c r="F1267" s="16"/>
      <c r="G1267" s="16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  <c r="AB1267" s="17"/>
      <c r="AC1267" s="17"/>
    </row>
    <row r="1268" customFormat="false" ht="12.75" hidden="false" customHeight="false" outlineLevel="0" collapsed="false">
      <c r="A1268" s="16"/>
      <c r="B1268" s="16"/>
      <c r="C1268" s="16"/>
      <c r="D1268" s="16"/>
      <c r="E1268" s="16"/>
      <c r="F1268" s="16"/>
      <c r="G1268" s="16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</row>
    <row r="1269" customFormat="false" ht="12.75" hidden="false" customHeight="false" outlineLevel="0" collapsed="false">
      <c r="A1269" s="16"/>
      <c r="B1269" s="16"/>
      <c r="C1269" s="16"/>
      <c r="D1269" s="16"/>
      <c r="E1269" s="16"/>
      <c r="F1269" s="16"/>
      <c r="G1269" s="16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</row>
    <row r="1270" customFormat="false" ht="12.75" hidden="false" customHeight="false" outlineLevel="0" collapsed="false">
      <c r="A1270" s="16"/>
      <c r="B1270" s="16"/>
      <c r="C1270" s="16"/>
      <c r="D1270" s="16"/>
      <c r="E1270" s="16"/>
      <c r="F1270" s="16"/>
      <c r="G1270" s="16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</row>
    <row r="1271" customFormat="false" ht="12.75" hidden="false" customHeight="false" outlineLevel="0" collapsed="false">
      <c r="A1271" s="16"/>
      <c r="B1271" s="16"/>
      <c r="C1271" s="16"/>
      <c r="D1271" s="16"/>
      <c r="E1271" s="16"/>
      <c r="F1271" s="16"/>
      <c r="G1271" s="16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</row>
    <row r="1272" customFormat="false" ht="12.75" hidden="false" customHeight="false" outlineLevel="0" collapsed="false">
      <c r="A1272" s="16"/>
      <c r="B1272" s="16"/>
      <c r="C1272" s="16"/>
      <c r="D1272" s="16"/>
      <c r="E1272" s="16"/>
      <c r="F1272" s="16"/>
      <c r="G1272" s="16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</row>
    <row r="1273" customFormat="false" ht="12.75" hidden="false" customHeight="false" outlineLevel="0" collapsed="false">
      <c r="A1273" s="16"/>
      <c r="B1273" s="16"/>
      <c r="C1273" s="16"/>
      <c r="D1273" s="16"/>
      <c r="E1273" s="16"/>
      <c r="F1273" s="16"/>
      <c r="G1273" s="16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  <c r="AB1273" s="17"/>
      <c r="AC1273" s="17"/>
    </row>
    <row r="1274" customFormat="false" ht="12.75" hidden="false" customHeight="false" outlineLevel="0" collapsed="false">
      <c r="A1274" s="16"/>
      <c r="B1274" s="16"/>
      <c r="C1274" s="16"/>
      <c r="D1274" s="16"/>
      <c r="E1274" s="16"/>
      <c r="F1274" s="16"/>
      <c r="G1274" s="16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</row>
    <row r="1275" customFormat="false" ht="12.75" hidden="false" customHeight="false" outlineLevel="0" collapsed="false">
      <c r="A1275" s="16"/>
      <c r="B1275" s="16"/>
      <c r="C1275" s="16"/>
      <c r="D1275" s="16"/>
      <c r="E1275" s="16"/>
      <c r="F1275" s="16"/>
      <c r="G1275" s="16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</row>
    <row r="1276" customFormat="false" ht="12.75" hidden="false" customHeight="false" outlineLevel="0" collapsed="false">
      <c r="A1276" s="16"/>
      <c r="B1276" s="16"/>
      <c r="C1276" s="16"/>
      <c r="D1276" s="16"/>
      <c r="E1276" s="16"/>
      <c r="F1276" s="16"/>
      <c r="G1276" s="16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</row>
    <row r="1277" customFormat="false" ht="12.75" hidden="false" customHeight="false" outlineLevel="0" collapsed="false">
      <c r="A1277" s="16"/>
      <c r="B1277" s="16"/>
      <c r="C1277" s="16"/>
      <c r="D1277" s="16"/>
      <c r="E1277" s="16"/>
      <c r="F1277" s="16"/>
      <c r="G1277" s="16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</row>
    <row r="1278" customFormat="false" ht="12.75" hidden="false" customHeight="false" outlineLevel="0" collapsed="false">
      <c r="A1278" s="16"/>
      <c r="B1278" s="16"/>
      <c r="C1278" s="16"/>
      <c r="D1278" s="16"/>
      <c r="E1278" s="16"/>
      <c r="F1278" s="16"/>
      <c r="G1278" s="16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</row>
    <row r="1279" customFormat="false" ht="12.75" hidden="false" customHeight="false" outlineLevel="0" collapsed="false">
      <c r="A1279" s="16"/>
      <c r="B1279" s="16"/>
      <c r="C1279" s="16"/>
      <c r="D1279" s="16"/>
      <c r="E1279" s="16"/>
      <c r="F1279" s="16"/>
      <c r="G1279" s="16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</row>
    <row r="1280" customFormat="false" ht="12.75" hidden="false" customHeight="false" outlineLevel="0" collapsed="false">
      <c r="A1280" s="16"/>
      <c r="B1280" s="16"/>
      <c r="C1280" s="16"/>
      <c r="D1280" s="16"/>
      <c r="E1280" s="16"/>
      <c r="F1280" s="16"/>
      <c r="G1280" s="16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</row>
    <row r="1281" customFormat="false" ht="12.75" hidden="false" customHeight="false" outlineLevel="0" collapsed="false">
      <c r="A1281" s="16"/>
      <c r="B1281" s="16"/>
      <c r="C1281" s="16"/>
      <c r="D1281" s="16"/>
      <c r="E1281" s="16"/>
      <c r="F1281" s="16"/>
      <c r="G1281" s="16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</row>
    <row r="1282" customFormat="false" ht="12.75" hidden="false" customHeight="false" outlineLevel="0" collapsed="false">
      <c r="A1282" s="16"/>
      <c r="B1282" s="16"/>
      <c r="C1282" s="16"/>
      <c r="D1282" s="16"/>
      <c r="E1282" s="16"/>
      <c r="F1282" s="16"/>
      <c r="G1282" s="16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</row>
    <row r="1283" customFormat="false" ht="12.75" hidden="false" customHeight="false" outlineLevel="0" collapsed="false">
      <c r="A1283" s="16"/>
      <c r="B1283" s="16"/>
      <c r="C1283" s="16"/>
      <c r="D1283" s="16"/>
      <c r="E1283" s="16"/>
      <c r="F1283" s="16"/>
      <c r="G1283" s="16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</row>
    <row r="1284" customFormat="false" ht="12.75" hidden="false" customHeight="false" outlineLevel="0" collapsed="false">
      <c r="A1284" s="16"/>
      <c r="B1284" s="16"/>
      <c r="C1284" s="16"/>
      <c r="D1284" s="16"/>
      <c r="E1284" s="16"/>
      <c r="F1284" s="16"/>
      <c r="G1284" s="16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</row>
    <row r="1285" customFormat="false" ht="12.75" hidden="false" customHeight="false" outlineLevel="0" collapsed="false">
      <c r="A1285" s="16"/>
      <c r="B1285" s="16"/>
      <c r="C1285" s="16"/>
      <c r="D1285" s="16"/>
      <c r="E1285" s="16"/>
      <c r="F1285" s="16"/>
      <c r="G1285" s="16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</row>
    <row r="1286" customFormat="false" ht="12.75" hidden="false" customHeight="false" outlineLevel="0" collapsed="false">
      <c r="A1286" s="16"/>
      <c r="B1286" s="16"/>
      <c r="C1286" s="16"/>
      <c r="D1286" s="16"/>
      <c r="E1286" s="16"/>
      <c r="F1286" s="16"/>
      <c r="G1286" s="16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</row>
    <row r="1287" customFormat="false" ht="12.75" hidden="false" customHeight="false" outlineLevel="0" collapsed="false">
      <c r="A1287" s="16"/>
      <c r="B1287" s="16"/>
      <c r="C1287" s="16"/>
      <c r="D1287" s="16"/>
      <c r="E1287" s="16"/>
      <c r="F1287" s="16"/>
      <c r="G1287" s="16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</row>
    <row r="1288" customFormat="false" ht="12.75" hidden="false" customHeight="false" outlineLevel="0" collapsed="false">
      <c r="A1288" s="16"/>
      <c r="B1288" s="16"/>
      <c r="C1288" s="16"/>
      <c r="D1288" s="16"/>
      <c r="E1288" s="16"/>
      <c r="F1288" s="16"/>
      <c r="G1288" s="16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</row>
    <row r="1289" customFormat="false" ht="12.75" hidden="false" customHeight="false" outlineLevel="0" collapsed="false">
      <c r="A1289" s="16"/>
      <c r="B1289" s="16"/>
      <c r="C1289" s="16"/>
      <c r="D1289" s="16"/>
      <c r="E1289" s="16"/>
      <c r="F1289" s="16"/>
      <c r="G1289" s="16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</row>
    <row r="1290" customFormat="false" ht="12.75" hidden="false" customHeight="false" outlineLevel="0" collapsed="false">
      <c r="A1290" s="16"/>
      <c r="B1290" s="16"/>
      <c r="C1290" s="16"/>
      <c r="D1290" s="16"/>
      <c r="E1290" s="16"/>
      <c r="F1290" s="16"/>
      <c r="G1290" s="16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</row>
    <row r="1291" customFormat="false" ht="12.75" hidden="false" customHeight="false" outlineLevel="0" collapsed="false">
      <c r="A1291" s="16"/>
      <c r="B1291" s="16"/>
      <c r="C1291" s="16"/>
      <c r="D1291" s="16"/>
      <c r="E1291" s="16"/>
      <c r="F1291" s="16"/>
      <c r="G1291" s="16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</row>
    <row r="1292" customFormat="false" ht="12.75" hidden="false" customHeight="false" outlineLevel="0" collapsed="false">
      <c r="A1292" s="16"/>
      <c r="B1292" s="16"/>
      <c r="C1292" s="16"/>
      <c r="D1292" s="16"/>
      <c r="E1292" s="16"/>
      <c r="F1292" s="16"/>
      <c r="G1292" s="16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</row>
    <row r="1293" customFormat="false" ht="12.75" hidden="false" customHeight="false" outlineLevel="0" collapsed="false">
      <c r="A1293" s="16"/>
      <c r="B1293" s="16"/>
      <c r="C1293" s="16"/>
      <c r="D1293" s="16"/>
      <c r="E1293" s="16"/>
      <c r="F1293" s="16"/>
      <c r="G1293" s="16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</row>
    <row r="1294" customFormat="false" ht="12.75" hidden="false" customHeight="false" outlineLevel="0" collapsed="false">
      <c r="A1294" s="16"/>
      <c r="B1294" s="16"/>
      <c r="C1294" s="16"/>
      <c r="D1294" s="16"/>
      <c r="E1294" s="16"/>
      <c r="F1294" s="16"/>
      <c r="G1294" s="16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</row>
    <row r="1295" customFormat="false" ht="12.75" hidden="false" customHeight="false" outlineLevel="0" collapsed="false">
      <c r="A1295" s="16"/>
      <c r="B1295" s="16"/>
      <c r="C1295" s="16"/>
      <c r="D1295" s="16"/>
      <c r="E1295" s="16"/>
      <c r="F1295" s="16"/>
      <c r="G1295" s="16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  <c r="AB1295" s="17"/>
      <c r="AC1295" s="17"/>
    </row>
    <row r="1296" customFormat="false" ht="12.75" hidden="false" customHeight="false" outlineLevel="0" collapsed="false">
      <c r="A1296" s="16"/>
      <c r="B1296" s="16"/>
      <c r="C1296" s="16"/>
      <c r="D1296" s="16"/>
      <c r="E1296" s="16"/>
      <c r="F1296" s="16"/>
      <c r="G1296" s="16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</row>
    <row r="1297" customFormat="false" ht="12.75" hidden="false" customHeight="false" outlineLevel="0" collapsed="false">
      <c r="A1297" s="16"/>
      <c r="B1297" s="16"/>
      <c r="C1297" s="16"/>
      <c r="D1297" s="16"/>
      <c r="E1297" s="16"/>
      <c r="F1297" s="16"/>
      <c r="G1297" s="16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</row>
    <row r="1298" customFormat="false" ht="12.75" hidden="false" customHeight="false" outlineLevel="0" collapsed="false">
      <c r="A1298" s="16"/>
      <c r="B1298" s="16"/>
      <c r="C1298" s="16"/>
      <c r="D1298" s="16"/>
      <c r="E1298" s="16"/>
      <c r="F1298" s="16"/>
      <c r="G1298" s="16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</row>
    <row r="1299" customFormat="false" ht="12.75" hidden="false" customHeight="false" outlineLevel="0" collapsed="false">
      <c r="A1299" s="16"/>
      <c r="B1299" s="16"/>
      <c r="C1299" s="16"/>
      <c r="D1299" s="16"/>
      <c r="E1299" s="16"/>
      <c r="F1299" s="16"/>
      <c r="G1299" s="16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</row>
    <row r="1300" customFormat="false" ht="12.75" hidden="false" customHeight="false" outlineLevel="0" collapsed="false">
      <c r="A1300" s="16"/>
      <c r="B1300" s="16"/>
      <c r="C1300" s="16"/>
      <c r="D1300" s="16"/>
      <c r="E1300" s="16"/>
      <c r="F1300" s="16"/>
      <c r="G1300" s="16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</row>
    <row r="1301" customFormat="false" ht="12.75" hidden="false" customHeight="false" outlineLevel="0" collapsed="false">
      <c r="A1301" s="16"/>
      <c r="B1301" s="16"/>
      <c r="C1301" s="16"/>
      <c r="D1301" s="16"/>
      <c r="E1301" s="16"/>
      <c r="F1301" s="16"/>
      <c r="G1301" s="16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</row>
    <row r="1302" customFormat="false" ht="12.75" hidden="false" customHeight="false" outlineLevel="0" collapsed="false">
      <c r="A1302" s="16"/>
      <c r="B1302" s="16"/>
      <c r="C1302" s="16"/>
      <c r="D1302" s="16"/>
      <c r="E1302" s="16"/>
      <c r="F1302" s="16"/>
      <c r="G1302" s="16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</row>
    <row r="1303" customFormat="false" ht="12.75" hidden="false" customHeight="false" outlineLevel="0" collapsed="false">
      <c r="A1303" s="16"/>
      <c r="B1303" s="16"/>
      <c r="C1303" s="16"/>
      <c r="D1303" s="16"/>
      <c r="E1303" s="16"/>
      <c r="F1303" s="16"/>
      <c r="G1303" s="16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</row>
    <row r="1304" customFormat="false" ht="12.75" hidden="false" customHeight="false" outlineLevel="0" collapsed="false">
      <c r="A1304" s="16"/>
      <c r="B1304" s="16"/>
      <c r="C1304" s="16"/>
      <c r="D1304" s="16"/>
      <c r="E1304" s="16"/>
      <c r="F1304" s="16"/>
      <c r="G1304" s="16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</row>
    <row r="1305" customFormat="false" ht="12.75" hidden="false" customHeight="false" outlineLevel="0" collapsed="false">
      <c r="A1305" s="16"/>
      <c r="B1305" s="16"/>
      <c r="C1305" s="16"/>
      <c r="D1305" s="16"/>
      <c r="E1305" s="16"/>
      <c r="F1305" s="16"/>
      <c r="G1305" s="16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</row>
    <row r="1306" customFormat="false" ht="12.75" hidden="false" customHeight="false" outlineLevel="0" collapsed="false">
      <c r="A1306" s="16"/>
      <c r="B1306" s="16"/>
      <c r="C1306" s="16"/>
      <c r="D1306" s="16"/>
      <c r="E1306" s="16"/>
      <c r="F1306" s="16"/>
      <c r="G1306" s="16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</row>
    <row r="1307" customFormat="false" ht="12.75" hidden="false" customHeight="false" outlineLevel="0" collapsed="false">
      <c r="A1307" s="16"/>
      <c r="B1307" s="16"/>
      <c r="C1307" s="16"/>
      <c r="D1307" s="16"/>
      <c r="E1307" s="16"/>
      <c r="F1307" s="16"/>
      <c r="G1307" s="16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</row>
    <row r="1308" customFormat="false" ht="12.75" hidden="false" customHeight="false" outlineLevel="0" collapsed="false">
      <c r="A1308" s="16"/>
      <c r="B1308" s="16"/>
      <c r="C1308" s="16"/>
      <c r="D1308" s="16"/>
      <c r="E1308" s="16"/>
      <c r="F1308" s="16"/>
      <c r="G1308" s="16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</row>
    <row r="1309" customFormat="false" ht="12.75" hidden="false" customHeight="false" outlineLevel="0" collapsed="false">
      <c r="A1309" s="16"/>
      <c r="B1309" s="16"/>
      <c r="C1309" s="16"/>
      <c r="D1309" s="16"/>
      <c r="E1309" s="16"/>
      <c r="F1309" s="16"/>
      <c r="G1309" s="16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</row>
    <row r="1310" customFormat="false" ht="12.75" hidden="false" customHeight="false" outlineLevel="0" collapsed="false">
      <c r="A1310" s="16"/>
      <c r="B1310" s="16"/>
      <c r="C1310" s="16"/>
      <c r="D1310" s="16"/>
      <c r="E1310" s="16"/>
      <c r="F1310" s="16"/>
      <c r="G1310" s="16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</row>
    <row r="1311" customFormat="false" ht="12.75" hidden="false" customHeight="false" outlineLevel="0" collapsed="false">
      <c r="A1311" s="16"/>
      <c r="B1311" s="16"/>
      <c r="C1311" s="16"/>
      <c r="D1311" s="16"/>
      <c r="E1311" s="16"/>
      <c r="F1311" s="16"/>
      <c r="G1311" s="16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</row>
    <row r="1312" customFormat="false" ht="12.75" hidden="false" customHeight="false" outlineLevel="0" collapsed="false">
      <c r="A1312" s="16"/>
      <c r="B1312" s="16"/>
      <c r="C1312" s="16"/>
      <c r="D1312" s="16"/>
      <c r="E1312" s="16"/>
      <c r="F1312" s="16"/>
      <c r="G1312" s="16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</row>
    <row r="1313" customFormat="false" ht="12.75" hidden="false" customHeight="false" outlineLevel="0" collapsed="false">
      <c r="A1313" s="16"/>
      <c r="B1313" s="16"/>
      <c r="C1313" s="16"/>
      <c r="D1313" s="16"/>
      <c r="E1313" s="16"/>
      <c r="F1313" s="16"/>
      <c r="G1313" s="16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</row>
    <row r="1314" customFormat="false" ht="12.75" hidden="false" customHeight="false" outlineLevel="0" collapsed="false">
      <c r="A1314" s="16"/>
      <c r="B1314" s="16"/>
      <c r="C1314" s="16"/>
      <c r="D1314" s="16"/>
      <c r="E1314" s="16"/>
      <c r="F1314" s="16"/>
      <c r="G1314" s="16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</row>
    <row r="1315" customFormat="false" ht="12.75" hidden="false" customHeight="false" outlineLevel="0" collapsed="false">
      <c r="A1315" s="16"/>
      <c r="B1315" s="16"/>
      <c r="C1315" s="16"/>
      <c r="D1315" s="16"/>
      <c r="E1315" s="16"/>
      <c r="F1315" s="16"/>
      <c r="G1315" s="16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</row>
    <row r="1316" customFormat="false" ht="12.75" hidden="false" customHeight="false" outlineLevel="0" collapsed="false">
      <c r="A1316" s="16"/>
      <c r="B1316" s="16"/>
      <c r="C1316" s="16"/>
      <c r="D1316" s="16"/>
      <c r="E1316" s="16"/>
      <c r="F1316" s="16"/>
      <c r="G1316" s="16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</row>
    <row r="1317" customFormat="false" ht="12.75" hidden="false" customHeight="false" outlineLevel="0" collapsed="false">
      <c r="A1317" s="16"/>
      <c r="B1317" s="16"/>
      <c r="C1317" s="16"/>
      <c r="D1317" s="16"/>
      <c r="E1317" s="16"/>
      <c r="F1317" s="16"/>
      <c r="G1317" s="16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</row>
    <row r="1318" customFormat="false" ht="12.75" hidden="false" customHeight="false" outlineLevel="0" collapsed="false">
      <c r="A1318" s="16"/>
      <c r="B1318" s="16"/>
      <c r="C1318" s="16"/>
      <c r="D1318" s="16"/>
      <c r="E1318" s="16"/>
      <c r="F1318" s="16"/>
      <c r="G1318" s="16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</row>
    <row r="1319" customFormat="false" ht="12.75" hidden="false" customHeight="false" outlineLevel="0" collapsed="false">
      <c r="A1319" s="16"/>
      <c r="B1319" s="16"/>
      <c r="C1319" s="16"/>
      <c r="D1319" s="16"/>
      <c r="E1319" s="16"/>
      <c r="F1319" s="16"/>
      <c r="G1319" s="16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</row>
    <row r="1320" customFormat="false" ht="12.75" hidden="false" customHeight="false" outlineLevel="0" collapsed="false">
      <c r="A1320" s="16"/>
      <c r="B1320" s="16"/>
      <c r="C1320" s="16"/>
      <c r="D1320" s="16"/>
      <c r="E1320" s="16"/>
      <c r="F1320" s="16"/>
      <c r="G1320" s="16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</row>
    <row r="1321" customFormat="false" ht="12.75" hidden="false" customHeight="false" outlineLevel="0" collapsed="false">
      <c r="A1321" s="16"/>
      <c r="B1321" s="16"/>
      <c r="C1321" s="16"/>
      <c r="D1321" s="16"/>
      <c r="E1321" s="16"/>
      <c r="F1321" s="16"/>
      <c r="G1321" s="16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</row>
    <row r="1322" customFormat="false" ht="12.75" hidden="false" customHeight="false" outlineLevel="0" collapsed="false">
      <c r="A1322" s="16"/>
      <c r="B1322" s="16"/>
      <c r="C1322" s="16"/>
      <c r="D1322" s="16"/>
      <c r="E1322" s="16"/>
      <c r="F1322" s="16"/>
      <c r="G1322" s="16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</row>
    <row r="1323" customFormat="false" ht="12.75" hidden="false" customHeight="false" outlineLevel="0" collapsed="false">
      <c r="A1323" s="16"/>
      <c r="B1323" s="16"/>
      <c r="C1323" s="16"/>
      <c r="D1323" s="16"/>
      <c r="E1323" s="16"/>
      <c r="F1323" s="16"/>
      <c r="G1323" s="16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</row>
    <row r="1324" customFormat="false" ht="12.75" hidden="false" customHeight="false" outlineLevel="0" collapsed="false">
      <c r="A1324" s="16"/>
      <c r="B1324" s="16"/>
      <c r="C1324" s="16"/>
      <c r="D1324" s="16"/>
      <c r="E1324" s="16"/>
      <c r="F1324" s="16"/>
      <c r="G1324" s="16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</row>
    <row r="1325" customFormat="false" ht="12.75" hidden="false" customHeight="false" outlineLevel="0" collapsed="false">
      <c r="A1325" s="16"/>
      <c r="B1325" s="16"/>
      <c r="C1325" s="16"/>
      <c r="D1325" s="16"/>
      <c r="E1325" s="16"/>
      <c r="F1325" s="16"/>
      <c r="G1325" s="16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</row>
    <row r="1326" customFormat="false" ht="12.75" hidden="false" customHeight="false" outlineLevel="0" collapsed="false">
      <c r="A1326" s="16"/>
      <c r="B1326" s="16"/>
      <c r="C1326" s="16"/>
      <c r="D1326" s="16"/>
      <c r="E1326" s="16"/>
      <c r="F1326" s="16"/>
      <c r="G1326" s="16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</row>
    <row r="1327" customFormat="false" ht="12.75" hidden="false" customHeight="false" outlineLevel="0" collapsed="false">
      <c r="A1327" s="16"/>
      <c r="B1327" s="16"/>
      <c r="C1327" s="16"/>
      <c r="D1327" s="16"/>
      <c r="E1327" s="16"/>
      <c r="F1327" s="16"/>
      <c r="G1327" s="16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</row>
    <row r="1328" customFormat="false" ht="12.75" hidden="false" customHeight="false" outlineLevel="0" collapsed="false">
      <c r="A1328" s="16"/>
      <c r="B1328" s="16"/>
      <c r="C1328" s="16"/>
      <c r="D1328" s="16"/>
      <c r="E1328" s="16"/>
      <c r="F1328" s="16"/>
      <c r="G1328" s="16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</row>
    <row r="1329" customFormat="false" ht="12.75" hidden="false" customHeight="false" outlineLevel="0" collapsed="false">
      <c r="A1329" s="16"/>
      <c r="B1329" s="16"/>
      <c r="C1329" s="16"/>
      <c r="D1329" s="16"/>
      <c r="E1329" s="16"/>
      <c r="F1329" s="16"/>
      <c r="G1329" s="16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</row>
    <row r="1330" customFormat="false" ht="12.75" hidden="false" customHeight="false" outlineLevel="0" collapsed="false">
      <c r="A1330" s="16"/>
      <c r="B1330" s="16"/>
      <c r="C1330" s="16"/>
      <c r="D1330" s="16"/>
      <c r="E1330" s="16"/>
      <c r="F1330" s="16"/>
      <c r="G1330" s="16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</row>
    <row r="1331" customFormat="false" ht="12.75" hidden="false" customHeight="false" outlineLevel="0" collapsed="false">
      <c r="A1331" s="16"/>
      <c r="B1331" s="16"/>
      <c r="C1331" s="16"/>
      <c r="D1331" s="16"/>
      <c r="E1331" s="16"/>
      <c r="F1331" s="16"/>
      <c r="G1331" s="16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</row>
    <row r="1332" customFormat="false" ht="12.75" hidden="false" customHeight="false" outlineLevel="0" collapsed="false">
      <c r="A1332" s="16"/>
      <c r="B1332" s="16"/>
      <c r="C1332" s="16"/>
      <c r="D1332" s="16"/>
      <c r="E1332" s="16"/>
      <c r="F1332" s="16"/>
      <c r="G1332" s="16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</row>
    <row r="1333" customFormat="false" ht="12.75" hidden="false" customHeight="false" outlineLevel="0" collapsed="false">
      <c r="A1333" s="16"/>
      <c r="B1333" s="16"/>
      <c r="C1333" s="16"/>
      <c r="D1333" s="16"/>
      <c r="E1333" s="16"/>
      <c r="F1333" s="16"/>
      <c r="G1333" s="16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</row>
    <row r="1334" customFormat="false" ht="12.75" hidden="false" customHeight="false" outlineLevel="0" collapsed="false">
      <c r="A1334" s="16"/>
      <c r="B1334" s="16"/>
      <c r="C1334" s="16"/>
      <c r="D1334" s="16"/>
      <c r="E1334" s="16"/>
      <c r="F1334" s="16"/>
      <c r="G1334" s="16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</row>
    <row r="1335" customFormat="false" ht="12.75" hidden="false" customHeight="false" outlineLevel="0" collapsed="false">
      <c r="A1335" s="16"/>
      <c r="B1335" s="16"/>
      <c r="C1335" s="16"/>
      <c r="D1335" s="16"/>
      <c r="E1335" s="16"/>
      <c r="F1335" s="16"/>
      <c r="G1335" s="16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</row>
    <row r="1336" customFormat="false" ht="12.75" hidden="false" customHeight="false" outlineLevel="0" collapsed="false">
      <c r="A1336" s="16"/>
      <c r="B1336" s="16"/>
      <c r="C1336" s="16"/>
      <c r="D1336" s="16"/>
      <c r="E1336" s="16"/>
      <c r="F1336" s="16"/>
      <c r="G1336" s="16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</row>
    <row r="1337" customFormat="false" ht="12.75" hidden="false" customHeight="false" outlineLevel="0" collapsed="false">
      <c r="A1337" s="16"/>
      <c r="B1337" s="16"/>
      <c r="C1337" s="16"/>
      <c r="D1337" s="16"/>
      <c r="E1337" s="16"/>
      <c r="F1337" s="16"/>
      <c r="G1337" s="16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</row>
    <row r="1338" customFormat="false" ht="12.75" hidden="false" customHeight="false" outlineLevel="0" collapsed="false">
      <c r="A1338" s="16"/>
      <c r="B1338" s="16"/>
      <c r="C1338" s="16"/>
      <c r="D1338" s="16"/>
      <c r="E1338" s="16"/>
      <c r="F1338" s="16"/>
      <c r="G1338" s="16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</row>
    <row r="1339" customFormat="false" ht="12.75" hidden="false" customHeight="false" outlineLevel="0" collapsed="false">
      <c r="A1339" s="16"/>
      <c r="B1339" s="16"/>
      <c r="C1339" s="16"/>
      <c r="D1339" s="16"/>
      <c r="E1339" s="16"/>
      <c r="F1339" s="16"/>
      <c r="G1339" s="16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</row>
    <row r="1340" customFormat="false" ht="12.75" hidden="false" customHeight="false" outlineLevel="0" collapsed="false">
      <c r="A1340" s="16"/>
      <c r="B1340" s="16"/>
      <c r="C1340" s="16"/>
      <c r="D1340" s="16"/>
      <c r="E1340" s="16"/>
      <c r="F1340" s="16"/>
      <c r="G1340" s="16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</row>
    <row r="1341" customFormat="false" ht="12.75" hidden="false" customHeight="false" outlineLevel="0" collapsed="false">
      <c r="A1341" s="16"/>
      <c r="B1341" s="16"/>
      <c r="C1341" s="16"/>
      <c r="D1341" s="16"/>
      <c r="E1341" s="16"/>
      <c r="F1341" s="16"/>
      <c r="G1341" s="16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</row>
    <row r="1342" customFormat="false" ht="12.75" hidden="false" customHeight="false" outlineLevel="0" collapsed="false">
      <c r="A1342" s="16"/>
      <c r="B1342" s="16"/>
      <c r="C1342" s="16"/>
      <c r="D1342" s="16"/>
      <c r="E1342" s="16"/>
      <c r="F1342" s="16"/>
      <c r="G1342" s="16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</row>
    <row r="1343" customFormat="false" ht="12.75" hidden="false" customHeight="false" outlineLevel="0" collapsed="false">
      <c r="A1343" s="16"/>
      <c r="B1343" s="16"/>
      <c r="C1343" s="16"/>
      <c r="D1343" s="16"/>
      <c r="E1343" s="16"/>
      <c r="F1343" s="16"/>
      <c r="G1343" s="16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</row>
    <row r="1344" customFormat="false" ht="12.75" hidden="false" customHeight="false" outlineLevel="0" collapsed="false">
      <c r="A1344" s="16"/>
      <c r="B1344" s="16"/>
      <c r="C1344" s="16"/>
      <c r="D1344" s="16"/>
      <c r="E1344" s="16"/>
      <c r="F1344" s="16"/>
      <c r="G1344" s="16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</row>
    <row r="1345" customFormat="false" ht="12.75" hidden="false" customHeight="false" outlineLevel="0" collapsed="false">
      <c r="A1345" s="16"/>
      <c r="B1345" s="16"/>
      <c r="C1345" s="16"/>
      <c r="D1345" s="16"/>
      <c r="E1345" s="16"/>
      <c r="F1345" s="16"/>
      <c r="G1345" s="16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</row>
    <row r="1346" customFormat="false" ht="12.75" hidden="false" customHeight="false" outlineLevel="0" collapsed="false">
      <c r="A1346" s="16"/>
      <c r="B1346" s="16"/>
      <c r="C1346" s="16"/>
      <c r="D1346" s="16"/>
      <c r="E1346" s="16"/>
      <c r="F1346" s="16"/>
      <c r="G1346" s="16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</row>
    <row r="1347" customFormat="false" ht="12.75" hidden="false" customHeight="false" outlineLevel="0" collapsed="false">
      <c r="A1347" s="16"/>
      <c r="B1347" s="16"/>
      <c r="C1347" s="16"/>
      <c r="D1347" s="16"/>
      <c r="E1347" s="16"/>
      <c r="F1347" s="16"/>
      <c r="G1347" s="16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</row>
    <row r="1348" customFormat="false" ht="12.75" hidden="false" customHeight="false" outlineLevel="0" collapsed="false">
      <c r="A1348" s="16"/>
      <c r="B1348" s="16"/>
      <c r="C1348" s="16"/>
      <c r="D1348" s="16"/>
      <c r="E1348" s="16"/>
      <c r="F1348" s="16"/>
      <c r="G1348" s="16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</row>
    <row r="1349" customFormat="false" ht="12.75" hidden="false" customHeight="false" outlineLevel="0" collapsed="false">
      <c r="A1349" s="16"/>
      <c r="B1349" s="16"/>
      <c r="C1349" s="16"/>
      <c r="D1349" s="16"/>
      <c r="E1349" s="16"/>
      <c r="F1349" s="16"/>
      <c r="G1349" s="16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</row>
    <row r="1350" customFormat="false" ht="12.75" hidden="false" customHeight="false" outlineLevel="0" collapsed="false">
      <c r="A1350" s="16"/>
      <c r="B1350" s="16"/>
      <c r="C1350" s="16"/>
      <c r="D1350" s="16"/>
      <c r="E1350" s="16"/>
      <c r="F1350" s="16"/>
      <c r="G1350" s="16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</row>
    <row r="1351" customFormat="false" ht="12.75" hidden="false" customHeight="false" outlineLevel="0" collapsed="false">
      <c r="A1351" s="16"/>
      <c r="B1351" s="16"/>
      <c r="C1351" s="16"/>
      <c r="D1351" s="16"/>
      <c r="E1351" s="16"/>
      <c r="F1351" s="16"/>
      <c r="G1351" s="16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</row>
    <row r="1352" customFormat="false" ht="12.75" hidden="false" customHeight="false" outlineLevel="0" collapsed="false">
      <c r="A1352" s="16"/>
      <c r="B1352" s="16"/>
      <c r="C1352" s="16"/>
      <c r="D1352" s="16"/>
      <c r="E1352" s="16"/>
      <c r="F1352" s="16"/>
      <c r="G1352" s="16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</row>
    <row r="1353" customFormat="false" ht="12.75" hidden="false" customHeight="false" outlineLevel="0" collapsed="false">
      <c r="A1353" s="16"/>
      <c r="B1353" s="16"/>
      <c r="C1353" s="16"/>
      <c r="D1353" s="16"/>
      <c r="E1353" s="16"/>
      <c r="F1353" s="16"/>
      <c r="G1353" s="16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</row>
    <row r="1354" customFormat="false" ht="12.75" hidden="false" customHeight="false" outlineLevel="0" collapsed="false">
      <c r="A1354" s="16"/>
      <c r="B1354" s="16"/>
      <c r="C1354" s="16"/>
      <c r="D1354" s="16"/>
      <c r="E1354" s="16"/>
      <c r="F1354" s="16"/>
      <c r="G1354" s="16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</row>
    <row r="1355" customFormat="false" ht="12.75" hidden="false" customHeight="false" outlineLevel="0" collapsed="false">
      <c r="A1355" s="16"/>
      <c r="B1355" s="16"/>
      <c r="C1355" s="16"/>
      <c r="D1355" s="16"/>
      <c r="E1355" s="16"/>
      <c r="F1355" s="16"/>
      <c r="G1355" s="16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</row>
    <row r="1356" customFormat="false" ht="12.75" hidden="false" customHeight="false" outlineLevel="0" collapsed="false">
      <c r="A1356" s="16"/>
      <c r="B1356" s="16"/>
      <c r="C1356" s="16"/>
      <c r="D1356" s="16"/>
      <c r="E1356" s="16"/>
      <c r="F1356" s="16"/>
      <c r="G1356" s="16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</row>
    <row r="1357" customFormat="false" ht="12.75" hidden="false" customHeight="false" outlineLevel="0" collapsed="false">
      <c r="A1357" s="16"/>
      <c r="B1357" s="16"/>
      <c r="C1357" s="16"/>
      <c r="D1357" s="16"/>
      <c r="E1357" s="16"/>
      <c r="F1357" s="16"/>
      <c r="G1357" s="16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</row>
    <row r="1358" customFormat="false" ht="12.75" hidden="false" customHeight="false" outlineLevel="0" collapsed="false">
      <c r="A1358" s="16"/>
      <c r="B1358" s="16"/>
      <c r="C1358" s="16"/>
      <c r="D1358" s="16"/>
      <c r="E1358" s="16"/>
      <c r="F1358" s="16"/>
      <c r="G1358" s="16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</row>
    <row r="1359" customFormat="false" ht="12.75" hidden="false" customHeight="false" outlineLevel="0" collapsed="false">
      <c r="A1359" s="16"/>
      <c r="B1359" s="16"/>
      <c r="C1359" s="16"/>
      <c r="D1359" s="16"/>
      <c r="E1359" s="16"/>
      <c r="F1359" s="16"/>
      <c r="G1359" s="16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</row>
    <row r="1360" customFormat="false" ht="12.75" hidden="false" customHeight="false" outlineLevel="0" collapsed="false">
      <c r="A1360" s="16"/>
      <c r="B1360" s="16"/>
      <c r="C1360" s="16"/>
      <c r="D1360" s="16"/>
      <c r="E1360" s="16"/>
      <c r="F1360" s="16"/>
      <c r="G1360" s="16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</row>
    <row r="1361" customFormat="false" ht="12.75" hidden="false" customHeight="false" outlineLevel="0" collapsed="false">
      <c r="A1361" s="16"/>
      <c r="B1361" s="16"/>
      <c r="C1361" s="16"/>
      <c r="D1361" s="16"/>
      <c r="E1361" s="16"/>
      <c r="F1361" s="16"/>
      <c r="G1361" s="16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</row>
    <row r="1362" customFormat="false" ht="12.75" hidden="false" customHeight="false" outlineLevel="0" collapsed="false">
      <c r="A1362" s="16"/>
      <c r="B1362" s="16"/>
      <c r="C1362" s="16"/>
      <c r="D1362" s="16"/>
      <c r="E1362" s="16"/>
      <c r="F1362" s="16"/>
      <c r="G1362" s="16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</row>
    <row r="1363" customFormat="false" ht="12.75" hidden="false" customHeight="false" outlineLevel="0" collapsed="false">
      <c r="A1363" s="16"/>
      <c r="B1363" s="16"/>
      <c r="C1363" s="16"/>
      <c r="D1363" s="16"/>
      <c r="E1363" s="16"/>
      <c r="F1363" s="16"/>
      <c r="G1363" s="16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</row>
    <row r="1364" customFormat="false" ht="12.75" hidden="false" customHeight="false" outlineLevel="0" collapsed="false">
      <c r="A1364" s="16"/>
      <c r="B1364" s="16"/>
      <c r="C1364" s="16"/>
      <c r="D1364" s="16"/>
      <c r="E1364" s="16"/>
      <c r="F1364" s="16"/>
      <c r="G1364" s="16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</row>
    <row r="1365" customFormat="false" ht="12.75" hidden="false" customHeight="false" outlineLevel="0" collapsed="false">
      <c r="A1365" s="16"/>
      <c r="B1365" s="16"/>
      <c r="C1365" s="16"/>
      <c r="D1365" s="16"/>
      <c r="E1365" s="16"/>
      <c r="F1365" s="16"/>
      <c r="G1365" s="16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</row>
    <row r="1366" customFormat="false" ht="12.75" hidden="false" customHeight="false" outlineLevel="0" collapsed="false">
      <c r="A1366" s="16"/>
      <c r="B1366" s="16"/>
      <c r="C1366" s="16"/>
      <c r="D1366" s="16"/>
      <c r="E1366" s="16"/>
      <c r="F1366" s="16"/>
      <c r="G1366" s="16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</row>
    <row r="1367" customFormat="false" ht="12.75" hidden="false" customHeight="false" outlineLevel="0" collapsed="false">
      <c r="A1367" s="16"/>
      <c r="B1367" s="16"/>
      <c r="C1367" s="16"/>
      <c r="D1367" s="16"/>
      <c r="E1367" s="16"/>
      <c r="F1367" s="16"/>
      <c r="G1367" s="16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</row>
    <row r="1368" customFormat="false" ht="12.75" hidden="false" customHeight="false" outlineLevel="0" collapsed="false">
      <c r="A1368" s="16"/>
      <c r="B1368" s="16"/>
      <c r="C1368" s="16"/>
      <c r="D1368" s="16"/>
      <c r="E1368" s="16"/>
      <c r="F1368" s="16"/>
      <c r="G1368" s="16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</row>
    <row r="1369" customFormat="false" ht="12.75" hidden="false" customHeight="false" outlineLevel="0" collapsed="false">
      <c r="A1369" s="16"/>
      <c r="B1369" s="16"/>
      <c r="C1369" s="16"/>
      <c r="D1369" s="16"/>
      <c r="E1369" s="16"/>
      <c r="F1369" s="16"/>
      <c r="G1369" s="16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</row>
    <row r="1370" customFormat="false" ht="12.75" hidden="false" customHeight="false" outlineLevel="0" collapsed="false">
      <c r="A1370" s="16"/>
      <c r="B1370" s="16"/>
      <c r="C1370" s="16"/>
      <c r="D1370" s="16"/>
      <c r="E1370" s="16"/>
      <c r="F1370" s="16"/>
      <c r="G1370" s="16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</row>
    <row r="1371" customFormat="false" ht="12.75" hidden="false" customHeight="false" outlineLevel="0" collapsed="false">
      <c r="A1371" s="16"/>
      <c r="B1371" s="16"/>
      <c r="C1371" s="16"/>
      <c r="D1371" s="16"/>
      <c r="E1371" s="16"/>
      <c r="F1371" s="16"/>
      <c r="G1371" s="16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</row>
    <row r="1372" customFormat="false" ht="12.75" hidden="false" customHeight="false" outlineLevel="0" collapsed="false">
      <c r="A1372" s="16"/>
      <c r="B1372" s="16"/>
      <c r="C1372" s="16"/>
      <c r="D1372" s="16"/>
      <c r="E1372" s="16"/>
      <c r="F1372" s="16"/>
      <c r="G1372" s="16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</row>
    <row r="1373" customFormat="false" ht="12.75" hidden="false" customHeight="false" outlineLevel="0" collapsed="false">
      <c r="A1373" s="16"/>
      <c r="B1373" s="16"/>
      <c r="C1373" s="16"/>
      <c r="D1373" s="16"/>
      <c r="E1373" s="16"/>
      <c r="F1373" s="16"/>
      <c r="G1373" s="16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</row>
    <row r="1374" customFormat="false" ht="12.75" hidden="false" customHeight="false" outlineLevel="0" collapsed="false">
      <c r="A1374" s="16"/>
      <c r="B1374" s="16"/>
      <c r="C1374" s="16"/>
      <c r="D1374" s="16"/>
      <c r="E1374" s="16"/>
      <c r="F1374" s="16"/>
      <c r="G1374" s="16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</row>
    <row r="1375" customFormat="false" ht="12.75" hidden="false" customHeight="false" outlineLevel="0" collapsed="false">
      <c r="A1375" s="16"/>
      <c r="B1375" s="16"/>
      <c r="C1375" s="16"/>
      <c r="D1375" s="16"/>
      <c r="E1375" s="16"/>
      <c r="F1375" s="16"/>
      <c r="G1375" s="16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</row>
    <row r="1376" customFormat="false" ht="12.75" hidden="false" customHeight="false" outlineLevel="0" collapsed="false">
      <c r="A1376" s="16"/>
      <c r="B1376" s="16"/>
      <c r="C1376" s="16"/>
      <c r="D1376" s="16"/>
      <c r="E1376" s="16"/>
      <c r="F1376" s="16"/>
      <c r="G1376" s="16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</row>
    <row r="1377" customFormat="false" ht="12.75" hidden="false" customHeight="false" outlineLevel="0" collapsed="false">
      <c r="A1377" s="16"/>
      <c r="B1377" s="16"/>
      <c r="C1377" s="16"/>
      <c r="D1377" s="16"/>
      <c r="E1377" s="16"/>
      <c r="F1377" s="16"/>
      <c r="G1377" s="16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</row>
    <row r="1378" customFormat="false" ht="12.75" hidden="false" customHeight="false" outlineLevel="0" collapsed="false">
      <c r="A1378" s="16"/>
      <c r="B1378" s="16"/>
      <c r="C1378" s="16"/>
      <c r="D1378" s="16"/>
      <c r="E1378" s="16"/>
      <c r="F1378" s="16"/>
      <c r="G1378" s="16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</row>
    <row r="1379" customFormat="false" ht="12.75" hidden="false" customHeight="false" outlineLevel="0" collapsed="false">
      <c r="A1379" s="16"/>
      <c r="B1379" s="16"/>
      <c r="C1379" s="16"/>
      <c r="D1379" s="16"/>
      <c r="E1379" s="16"/>
      <c r="F1379" s="16"/>
      <c r="G1379" s="16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</row>
    <row r="1380" customFormat="false" ht="12.75" hidden="false" customHeight="false" outlineLevel="0" collapsed="false">
      <c r="A1380" s="16"/>
      <c r="B1380" s="16"/>
      <c r="C1380" s="16"/>
      <c r="D1380" s="16"/>
      <c r="E1380" s="16"/>
      <c r="F1380" s="16"/>
      <c r="G1380" s="16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</row>
    <row r="1381" customFormat="false" ht="12.75" hidden="false" customHeight="false" outlineLevel="0" collapsed="false">
      <c r="A1381" s="16"/>
      <c r="B1381" s="16"/>
      <c r="C1381" s="16"/>
      <c r="D1381" s="16"/>
      <c r="E1381" s="16"/>
      <c r="F1381" s="16"/>
      <c r="G1381" s="16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</row>
    <row r="1382" customFormat="false" ht="12.75" hidden="false" customHeight="false" outlineLevel="0" collapsed="false">
      <c r="A1382" s="16"/>
      <c r="B1382" s="16"/>
      <c r="C1382" s="16"/>
      <c r="D1382" s="16"/>
      <c r="E1382" s="16"/>
      <c r="F1382" s="16"/>
      <c r="G1382" s="16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</row>
    <row r="1383" customFormat="false" ht="12.75" hidden="false" customHeight="false" outlineLevel="0" collapsed="false">
      <c r="A1383" s="16"/>
      <c r="B1383" s="16"/>
      <c r="C1383" s="16"/>
      <c r="D1383" s="16"/>
      <c r="E1383" s="16"/>
      <c r="F1383" s="16"/>
      <c r="G1383" s="16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</row>
    <row r="1384" customFormat="false" ht="12.75" hidden="false" customHeight="false" outlineLevel="0" collapsed="false">
      <c r="A1384" s="16"/>
      <c r="B1384" s="16"/>
      <c r="C1384" s="16"/>
      <c r="D1384" s="16"/>
      <c r="E1384" s="16"/>
      <c r="F1384" s="16"/>
      <c r="G1384" s="16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</row>
    <row r="1385" customFormat="false" ht="12.75" hidden="false" customHeight="false" outlineLevel="0" collapsed="false">
      <c r="A1385" s="16"/>
      <c r="B1385" s="16"/>
      <c r="C1385" s="16"/>
      <c r="D1385" s="16"/>
      <c r="E1385" s="16"/>
      <c r="F1385" s="16"/>
      <c r="G1385" s="16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</row>
    <row r="1386" customFormat="false" ht="12.75" hidden="false" customHeight="false" outlineLevel="0" collapsed="false">
      <c r="A1386" s="16"/>
      <c r="B1386" s="16"/>
      <c r="C1386" s="16"/>
      <c r="D1386" s="16"/>
      <c r="E1386" s="16"/>
      <c r="F1386" s="16"/>
      <c r="G1386" s="16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</row>
    <row r="1387" customFormat="false" ht="12.75" hidden="false" customHeight="false" outlineLevel="0" collapsed="false">
      <c r="A1387" s="16"/>
      <c r="B1387" s="16"/>
      <c r="C1387" s="16"/>
      <c r="D1387" s="16"/>
      <c r="E1387" s="16"/>
      <c r="F1387" s="16"/>
      <c r="G1387" s="16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</row>
    <row r="1388" customFormat="false" ht="12.75" hidden="false" customHeight="false" outlineLevel="0" collapsed="false">
      <c r="A1388" s="16"/>
      <c r="B1388" s="16"/>
      <c r="C1388" s="16"/>
      <c r="D1388" s="16"/>
      <c r="E1388" s="16"/>
      <c r="F1388" s="16"/>
      <c r="G1388" s="16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</row>
    <row r="1389" customFormat="false" ht="12.75" hidden="false" customHeight="false" outlineLevel="0" collapsed="false">
      <c r="A1389" s="16"/>
      <c r="B1389" s="16"/>
      <c r="C1389" s="16"/>
      <c r="D1389" s="16"/>
      <c r="E1389" s="16"/>
      <c r="F1389" s="16"/>
      <c r="G1389" s="16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</row>
    <row r="1390" customFormat="false" ht="12.75" hidden="false" customHeight="false" outlineLevel="0" collapsed="false">
      <c r="A1390" s="16"/>
      <c r="B1390" s="16"/>
      <c r="C1390" s="16"/>
      <c r="D1390" s="16"/>
      <c r="E1390" s="16"/>
      <c r="F1390" s="16"/>
      <c r="G1390" s="16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</row>
    <row r="1391" customFormat="false" ht="12.75" hidden="false" customHeight="false" outlineLevel="0" collapsed="false">
      <c r="A1391" s="16"/>
      <c r="B1391" s="16"/>
      <c r="C1391" s="16"/>
      <c r="D1391" s="16"/>
      <c r="E1391" s="16"/>
      <c r="F1391" s="16"/>
      <c r="G1391" s="16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</row>
    <row r="1392" customFormat="false" ht="12.75" hidden="false" customHeight="false" outlineLevel="0" collapsed="false">
      <c r="A1392" s="16"/>
      <c r="B1392" s="16"/>
      <c r="C1392" s="16"/>
      <c r="D1392" s="16"/>
      <c r="E1392" s="16"/>
      <c r="F1392" s="16"/>
      <c r="G1392" s="16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</row>
    <row r="1393" customFormat="false" ht="12.75" hidden="false" customHeight="false" outlineLevel="0" collapsed="false">
      <c r="A1393" s="16"/>
      <c r="B1393" s="16"/>
      <c r="C1393" s="16"/>
      <c r="D1393" s="16"/>
      <c r="E1393" s="16"/>
      <c r="F1393" s="16"/>
      <c r="G1393" s="16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</row>
    <row r="1394" customFormat="false" ht="12.75" hidden="false" customHeight="false" outlineLevel="0" collapsed="false">
      <c r="A1394" s="16"/>
      <c r="B1394" s="16"/>
      <c r="C1394" s="16"/>
      <c r="D1394" s="16"/>
      <c r="E1394" s="16"/>
      <c r="F1394" s="16"/>
      <c r="G1394" s="16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</row>
    <row r="1395" customFormat="false" ht="12.75" hidden="false" customHeight="false" outlineLevel="0" collapsed="false">
      <c r="A1395" s="16"/>
      <c r="B1395" s="16"/>
      <c r="C1395" s="16"/>
      <c r="D1395" s="16"/>
      <c r="E1395" s="16"/>
      <c r="F1395" s="16"/>
      <c r="G1395" s="16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</row>
    <row r="1396" customFormat="false" ht="12.75" hidden="false" customHeight="false" outlineLevel="0" collapsed="false">
      <c r="A1396" s="16"/>
      <c r="B1396" s="16"/>
      <c r="C1396" s="16"/>
      <c r="D1396" s="16"/>
      <c r="E1396" s="16"/>
      <c r="F1396" s="16"/>
      <c r="G1396" s="16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</row>
    <row r="1397" customFormat="false" ht="12.75" hidden="false" customHeight="false" outlineLevel="0" collapsed="false">
      <c r="A1397" s="16"/>
      <c r="B1397" s="16"/>
      <c r="C1397" s="16"/>
      <c r="D1397" s="16"/>
      <c r="E1397" s="16"/>
      <c r="F1397" s="16"/>
      <c r="G1397" s="16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</row>
    <row r="1398" customFormat="false" ht="12.75" hidden="false" customHeight="false" outlineLevel="0" collapsed="false">
      <c r="A1398" s="16"/>
      <c r="B1398" s="16"/>
      <c r="C1398" s="16"/>
      <c r="D1398" s="16"/>
      <c r="E1398" s="16"/>
      <c r="F1398" s="16"/>
      <c r="G1398" s="16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</row>
    <row r="1399" customFormat="false" ht="12.75" hidden="false" customHeight="false" outlineLevel="0" collapsed="false">
      <c r="A1399" s="16"/>
      <c r="B1399" s="16"/>
      <c r="C1399" s="16"/>
      <c r="D1399" s="16"/>
      <c r="E1399" s="16"/>
      <c r="F1399" s="16"/>
      <c r="G1399" s="16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</row>
    <row r="1400" customFormat="false" ht="12.75" hidden="false" customHeight="false" outlineLevel="0" collapsed="false">
      <c r="A1400" s="16"/>
      <c r="B1400" s="16"/>
      <c r="C1400" s="16"/>
      <c r="D1400" s="16"/>
      <c r="E1400" s="16"/>
      <c r="F1400" s="16"/>
      <c r="G1400" s="16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</row>
    <row r="1401" customFormat="false" ht="12.75" hidden="false" customHeight="false" outlineLevel="0" collapsed="false">
      <c r="A1401" s="16"/>
      <c r="B1401" s="16"/>
      <c r="C1401" s="16"/>
      <c r="D1401" s="16"/>
      <c r="E1401" s="16"/>
      <c r="F1401" s="16"/>
      <c r="G1401" s="16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</row>
    <row r="1402" customFormat="false" ht="12.75" hidden="false" customHeight="false" outlineLevel="0" collapsed="false">
      <c r="A1402" s="16"/>
      <c r="B1402" s="16"/>
      <c r="C1402" s="16"/>
      <c r="D1402" s="16"/>
      <c r="E1402" s="16"/>
      <c r="F1402" s="16"/>
      <c r="G1402" s="16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</row>
    <row r="1403" customFormat="false" ht="12.75" hidden="false" customHeight="false" outlineLevel="0" collapsed="false">
      <c r="A1403" s="16"/>
      <c r="B1403" s="16"/>
      <c r="C1403" s="16"/>
      <c r="D1403" s="16"/>
      <c r="E1403" s="16"/>
      <c r="F1403" s="16"/>
      <c r="G1403" s="16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</row>
    <row r="1404" customFormat="false" ht="12.75" hidden="false" customHeight="false" outlineLevel="0" collapsed="false">
      <c r="A1404" s="16"/>
      <c r="B1404" s="16"/>
      <c r="C1404" s="16"/>
      <c r="D1404" s="16"/>
      <c r="E1404" s="16"/>
      <c r="F1404" s="16"/>
      <c r="G1404" s="16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</row>
    <row r="1405" customFormat="false" ht="12.75" hidden="false" customHeight="false" outlineLevel="0" collapsed="false">
      <c r="A1405" s="16"/>
      <c r="B1405" s="16"/>
      <c r="C1405" s="16"/>
      <c r="D1405" s="16"/>
      <c r="E1405" s="16"/>
      <c r="F1405" s="16"/>
      <c r="G1405" s="16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</row>
    <row r="1406" customFormat="false" ht="12.75" hidden="false" customHeight="false" outlineLevel="0" collapsed="false">
      <c r="A1406" s="16"/>
      <c r="B1406" s="16"/>
      <c r="C1406" s="16"/>
      <c r="D1406" s="16"/>
      <c r="E1406" s="16"/>
      <c r="F1406" s="16"/>
      <c r="G1406" s="16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</row>
    <row r="1407" customFormat="false" ht="12.75" hidden="false" customHeight="false" outlineLevel="0" collapsed="false">
      <c r="A1407" s="16"/>
      <c r="B1407" s="16"/>
      <c r="C1407" s="16"/>
      <c r="D1407" s="16"/>
      <c r="E1407" s="16"/>
      <c r="F1407" s="16"/>
      <c r="G1407" s="16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</row>
    <row r="1408" customFormat="false" ht="12.75" hidden="false" customHeight="false" outlineLevel="0" collapsed="false">
      <c r="A1408" s="16"/>
      <c r="B1408" s="16"/>
      <c r="C1408" s="16"/>
      <c r="D1408" s="16"/>
      <c r="E1408" s="16"/>
      <c r="F1408" s="16"/>
      <c r="G1408" s="16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</row>
    <row r="1409" customFormat="false" ht="12.75" hidden="false" customHeight="false" outlineLevel="0" collapsed="false">
      <c r="A1409" s="16"/>
      <c r="B1409" s="16"/>
      <c r="C1409" s="16"/>
      <c r="D1409" s="16"/>
      <c r="E1409" s="16"/>
      <c r="F1409" s="16"/>
      <c r="G1409" s="16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</row>
    <row r="1410" customFormat="false" ht="12.75" hidden="false" customHeight="false" outlineLevel="0" collapsed="false">
      <c r="A1410" s="16"/>
      <c r="B1410" s="16"/>
      <c r="C1410" s="16"/>
      <c r="D1410" s="16"/>
      <c r="E1410" s="16"/>
      <c r="F1410" s="16"/>
      <c r="G1410" s="16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</row>
    <row r="1411" customFormat="false" ht="12.75" hidden="false" customHeight="false" outlineLevel="0" collapsed="false">
      <c r="A1411" s="16"/>
      <c r="B1411" s="16"/>
      <c r="C1411" s="16"/>
      <c r="D1411" s="16"/>
      <c r="E1411" s="16"/>
      <c r="F1411" s="16"/>
      <c r="G1411" s="16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</row>
    <row r="1412" customFormat="false" ht="12.75" hidden="false" customHeight="false" outlineLevel="0" collapsed="false">
      <c r="A1412" s="16"/>
      <c r="B1412" s="16"/>
      <c r="C1412" s="16"/>
      <c r="D1412" s="16"/>
      <c r="E1412" s="16"/>
      <c r="F1412" s="16"/>
      <c r="G1412" s="16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</row>
    <row r="1413" customFormat="false" ht="12.75" hidden="false" customHeight="false" outlineLevel="0" collapsed="false">
      <c r="A1413" s="16"/>
      <c r="B1413" s="16"/>
      <c r="C1413" s="16"/>
      <c r="D1413" s="16"/>
      <c r="E1413" s="16"/>
      <c r="F1413" s="16"/>
      <c r="G1413" s="16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</row>
    <row r="1414" customFormat="false" ht="12.75" hidden="false" customHeight="false" outlineLevel="0" collapsed="false">
      <c r="A1414" s="16"/>
      <c r="B1414" s="16"/>
      <c r="C1414" s="16"/>
      <c r="D1414" s="16"/>
      <c r="E1414" s="16"/>
      <c r="F1414" s="16"/>
      <c r="G1414" s="16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</row>
    <row r="1415" customFormat="false" ht="12.75" hidden="false" customHeight="false" outlineLevel="0" collapsed="false">
      <c r="A1415" s="16"/>
      <c r="B1415" s="16"/>
      <c r="C1415" s="16"/>
      <c r="D1415" s="16"/>
      <c r="E1415" s="16"/>
      <c r="F1415" s="16"/>
      <c r="G1415" s="16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</row>
    <row r="1416" customFormat="false" ht="12.75" hidden="false" customHeight="false" outlineLevel="0" collapsed="false">
      <c r="A1416" s="16"/>
      <c r="B1416" s="16"/>
      <c r="C1416" s="16"/>
      <c r="D1416" s="16"/>
      <c r="E1416" s="16"/>
      <c r="F1416" s="16"/>
      <c r="G1416" s="16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</row>
    <row r="1417" customFormat="false" ht="12.75" hidden="false" customHeight="false" outlineLevel="0" collapsed="false">
      <c r="A1417" s="16"/>
      <c r="B1417" s="16"/>
      <c r="C1417" s="16"/>
      <c r="D1417" s="16"/>
      <c r="E1417" s="16"/>
      <c r="F1417" s="16"/>
      <c r="G1417" s="16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</row>
    <row r="1418" customFormat="false" ht="12.75" hidden="false" customHeight="false" outlineLevel="0" collapsed="false">
      <c r="A1418" s="16"/>
      <c r="B1418" s="16"/>
      <c r="C1418" s="16"/>
      <c r="D1418" s="16"/>
      <c r="E1418" s="16"/>
      <c r="F1418" s="16"/>
      <c r="G1418" s="16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</row>
    <row r="1419" customFormat="false" ht="12.75" hidden="false" customHeight="false" outlineLevel="0" collapsed="false">
      <c r="A1419" s="16"/>
      <c r="B1419" s="16"/>
      <c r="C1419" s="16"/>
      <c r="D1419" s="16"/>
      <c r="E1419" s="16"/>
      <c r="F1419" s="16"/>
      <c r="G1419" s="16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</row>
    <row r="1420" customFormat="false" ht="12.75" hidden="false" customHeight="false" outlineLevel="0" collapsed="false">
      <c r="A1420" s="16"/>
      <c r="B1420" s="16"/>
      <c r="C1420" s="16"/>
      <c r="D1420" s="16"/>
      <c r="E1420" s="16"/>
      <c r="F1420" s="16"/>
      <c r="G1420" s="16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</row>
    <row r="1421" customFormat="false" ht="12.75" hidden="false" customHeight="false" outlineLevel="0" collapsed="false">
      <c r="A1421" s="16"/>
      <c r="B1421" s="16"/>
      <c r="C1421" s="16"/>
      <c r="D1421" s="16"/>
      <c r="E1421" s="16"/>
      <c r="F1421" s="16"/>
      <c r="G1421" s="16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</row>
    <row r="1422" customFormat="false" ht="12.75" hidden="false" customHeight="false" outlineLevel="0" collapsed="false">
      <c r="A1422" s="16"/>
      <c r="B1422" s="16"/>
      <c r="C1422" s="16"/>
      <c r="D1422" s="16"/>
      <c r="E1422" s="16"/>
      <c r="F1422" s="16"/>
      <c r="G1422" s="16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</row>
    <row r="1423" customFormat="false" ht="12.75" hidden="false" customHeight="false" outlineLevel="0" collapsed="false">
      <c r="A1423" s="16"/>
      <c r="B1423" s="16"/>
      <c r="C1423" s="16"/>
      <c r="D1423" s="16"/>
      <c r="E1423" s="16"/>
      <c r="F1423" s="16"/>
      <c r="G1423" s="16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</row>
    <row r="1424" customFormat="false" ht="12.75" hidden="false" customHeight="false" outlineLevel="0" collapsed="false">
      <c r="A1424" s="16"/>
      <c r="B1424" s="16"/>
      <c r="C1424" s="16"/>
      <c r="D1424" s="16"/>
      <c r="E1424" s="16"/>
      <c r="F1424" s="16"/>
      <c r="G1424" s="16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</row>
    <row r="1425" customFormat="false" ht="12.75" hidden="false" customHeight="false" outlineLevel="0" collapsed="false">
      <c r="A1425" s="16"/>
      <c r="B1425" s="16"/>
      <c r="C1425" s="16"/>
      <c r="D1425" s="16"/>
      <c r="E1425" s="16"/>
      <c r="F1425" s="16"/>
      <c r="G1425" s="16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</row>
    <row r="1426" customFormat="false" ht="12.75" hidden="false" customHeight="false" outlineLevel="0" collapsed="false">
      <c r="A1426" s="16"/>
      <c r="B1426" s="16"/>
      <c r="C1426" s="16"/>
      <c r="D1426" s="16"/>
      <c r="E1426" s="16"/>
      <c r="F1426" s="16"/>
      <c r="G1426" s="16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</row>
    <row r="1427" customFormat="false" ht="12.75" hidden="false" customHeight="false" outlineLevel="0" collapsed="false">
      <c r="A1427" s="16"/>
      <c r="B1427" s="16"/>
      <c r="C1427" s="16"/>
      <c r="D1427" s="16"/>
      <c r="E1427" s="16"/>
      <c r="F1427" s="16"/>
      <c r="G1427" s="16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</row>
    <row r="1428" customFormat="false" ht="12.75" hidden="false" customHeight="false" outlineLevel="0" collapsed="false">
      <c r="A1428" s="16"/>
      <c r="B1428" s="16"/>
      <c r="C1428" s="16"/>
      <c r="D1428" s="16"/>
      <c r="E1428" s="16"/>
      <c r="F1428" s="16"/>
      <c r="G1428" s="16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</row>
    <row r="1429" customFormat="false" ht="12.75" hidden="false" customHeight="false" outlineLevel="0" collapsed="false">
      <c r="A1429" s="16"/>
      <c r="B1429" s="16"/>
      <c r="C1429" s="16"/>
      <c r="D1429" s="16"/>
      <c r="E1429" s="16"/>
      <c r="F1429" s="16"/>
      <c r="G1429" s="16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</row>
    <row r="1430" customFormat="false" ht="12.75" hidden="false" customHeight="false" outlineLevel="0" collapsed="false">
      <c r="A1430" s="16"/>
      <c r="B1430" s="16"/>
      <c r="C1430" s="16"/>
      <c r="D1430" s="16"/>
      <c r="E1430" s="16"/>
      <c r="F1430" s="16"/>
      <c r="G1430" s="16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</row>
    <row r="1431" customFormat="false" ht="12.75" hidden="false" customHeight="false" outlineLevel="0" collapsed="false">
      <c r="A1431" s="16"/>
      <c r="B1431" s="16"/>
      <c r="C1431" s="16"/>
      <c r="D1431" s="16"/>
      <c r="E1431" s="16"/>
      <c r="F1431" s="16"/>
      <c r="G1431" s="16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</row>
    <row r="1432" customFormat="false" ht="12.75" hidden="false" customHeight="false" outlineLevel="0" collapsed="false">
      <c r="A1432" s="16"/>
      <c r="B1432" s="16"/>
      <c r="C1432" s="16"/>
      <c r="D1432" s="16"/>
      <c r="E1432" s="16"/>
      <c r="F1432" s="16"/>
      <c r="G1432" s="16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</row>
    <row r="1433" customFormat="false" ht="12.75" hidden="false" customHeight="false" outlineLevel="0" collapsed="false">
      <c r="A1433" s="16"/>
      <c r="B1433" s="16"/>
      <c r="C1433" s="16"/>
      <c r="D1433" s="16"/>
      <c r="E1433" s="16"/>
      <c r="F1433" s="16"/>
      <c r="G1433" s="16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</row>
    <row r="1434" customFormat="false" ht="12.75" hidden="false" customHeight="false" outlineLevel="0" collapsed="false">
      <c r="A1434" s="16"/>
      <c r="B1434" s="16"/>
      <c r="C1434" s="16"/>
      <c r="D1434" s="16"/>
      <c r="E1434" s="16"/>
      <c r="F1434" s="16"/>
      <c r="G1434" s="16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</row>
    <row r="1435" customFormat="false" ht="12.75" hidden="false" customHeight="false" outlineLevel="0" collapsed="false">
      <c r="A1435" s="16"/>
      <c r="B1435" s="16"/>
      <c r="C1435" s="16"/>
      <c r="D1435" s="16"/>
      <c r="E1435" s="16"/>
      <c r="F1435" s="16"/>
      <c r="G1435" s="16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</row>
    <row r="1436" customFormat="false" ht="12.75" hidden="false" customHeight="false" outlineLevel="0" collapsed="false">
      <c r="A1436" s="16"/>
      <c r="B1436" s="16"/>
      <c r="C1436" s="16"/>
      <c r="D1436" s="16"/>
      <c r="E1436" s="16"/>
      <c r="F1436" s="16"/>
      <c r="G1436" s="16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</row>
    <row r="1437" customFormat="false" ht="12.75" hidden="false" customHeight="false" outlineLevel="0" collapsed="false">
      <c r="A1437" s="16"/>
      <c r="B1437" s="16"/>
      <c r="C1437" s="16"/>
      <c r="D1437" s="16"/>
      <c r="E1437" s="16"/>
      <c r="F1437" s="16"/>
      <c r="G1437" s="16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</row>
    <row r="1438" customFormat="false" ht="12.75" hidden="false" customHeight="false" outlineLevel="0" collapsed="false">
      <c r="A1438" s="16"/>
      <c r="B1438" s="16"/>
      <c r="C1438" s="16"/>
      <c r="D1438" s="16"/>
      <c r="E1438" s="16"/>
      <c r="F1438" s="16"/>
      <c r="G1438" s="16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</row>
    <row r="1439" customFormat="false" ht="12.75" hidden="false" customHeight="false" outlineLevel="0" collapsed="false">
      <c r="A1439" s="16"/>
      <c r="B1439" s="16"/>
      <c r="C1439" s="16"/>
      <c r="D1439" s="16"/>
      <c r="E1439" s="16"/>
      <c r="F1439" s="16"/>
      <c r="G1439" s="16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</row>
    <row r="1440" customFormat="false" ht="12.75" hidden="false" customHeight="false" outlineLevel="0" collapsed="false">
      <c r="A1440" s="16"/>
      <c r="B1440" s="16"/>
      <c r="C1440" s="16"/>
      <c r="D1440" s="16"/>
      <c r="E1440" s="16"/>
      <c r="F1440" s="16"/>
      <c r="G1440" s="16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</row>
    <row r="1441" customFormat="false" ht="12.75" hidden="false" customHeight="false" outlineLevel="0" collapsed="false">
      <c r="A1441" s="16"/>
      <c r="B1441" s="16"/>
      <c r="C1441" s="16"/>
      <c r="D1441" s="16"/>
      <c r="E1441" s="16"/>
      <c r="F1441" s="16"/>
      <c r="G1441" s="16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</row>
    <row r="1442" customFormat="false" ht="12.75" hidden="false" customHeight="false" outlineLevel="0" collapsed="false">
      <c r="A1442" s="16"/>
      <c r="B1442" s="16"/>
      <c r="C1442" s="16"/>
      <c r="D1442" s="16"/>
      <c r="E1442" s="16"/>
      <c r="F1442" s="16"/>
      <c r="G1442" s="16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</row>
    <row r="1443" customFormat="false" ht="12.75" hidden="false" customHeight="false" outlineLevel="0" collapsed="false">
      <c r="A1443" s="16"/>
      <c r="B1443" s="16"/>
      <c r="C1443" s="16"/>
      <c r="D1443" s="16"/>
      <c r="E1443" s="16"/>
      <c r="F1443" s="16"/>
      <c r="G1443" s="16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</row>
    <row r="1444" customFormat="false" ht="12.75" hidden="false" customHeight="false" outlineLevel="0" collapsed="false">
      <c r="A1444" s="16"/>
      <c r="B1444" s="16"/>
      <c r="C1444" s="16"/>
      <c r="D1444" s="16"/>
      <c r="E1444" s="16"/>
      <c r="F1444" s="16"/>
      <c r="G1444" s="16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</row>
    <row r="1445" customFormat="false" ht="12.75" hidden="false" customHeight="false" outlineLevel="0" collapsed="false">
      <c r="A1445" s="16"/>
      <c r="B1445" s="16"/>
      <c r="C1445" s="16"/>
      <c r="D1445" s="16"/>
      <c r="E1445" s="16"/>
      <c r="F1445" s="16"/>
      <c r="G1445" s="16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</row>
    <row r="1446" customFormat="false" ht="12.75" hidden="false" customHeight="false" outlineLevel="0" collapsed="false">
      <c r="A1446" s="16"/>
      <c r="B1446" s="16"/>
      <c r="C1446" s="16"/>
      <c r="D1446" s="16"/>
      <c r="E1446" s="16"/>
      <c r="F1446" s="16"/>
      <c r="G1446" s="16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</row>
    <row r="1447" customFormat="false" ht="12.75" hidden="false" customHeight="false" outlineLevel="0" collapsed="false">
      <c r="A1447" s="16"/>
      <c r="B1447" s="16"/>
      <c r="C1447" s="16"/>
      <c r="D1447" s="16"/>
      <c r="E1447" s="16"/>
      <c r="F1447" s="16"/>
      <c r="G1447" s="16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</row>
    <row r="1448" customFormat="false" ht="12.75" hidden="false" customHeight="false" outlineLevel="0" collapsed="false">
      <c r="A1448" s="16"/>
      <c r="B1448" s="16"/>
      <c r="C1448" s="16"/>
      <c r="D1448" s="16"/>
      <c r="E1448" s="16"/>
      <c r="F1448" s="16"/>
      <c r="G1448" s="16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  <c r="AB1448" s="17"/>
      <c r="AC1448" s="17"/>
    </row>
    <row r="1449" customFormat="false" ht="12.75" hidden="false" customHeight="false" outlineLevel="0" collapsed="false">
      <c r="A1449" s="16"/>
      <c r="B1449" s="16"/>
      <c r="C1449" s="16"/>
      <c r="D1449" s="16"/>
      <c r="E1449" s="16"/>
      <c r="F1449" s="16"/>
      <c r="G1449" s="16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  <c r="AB1449" s="17"/>
      <c r="AC1449" s="17"/>
    </row>
    <row r="1450" customFormat="false" ht="12.75" hidden="false" customHeight="false" outlineLevel="0" collapsed="false">
      <c r="A1450" s="16"/>
      <c r="B1450" s="16"/>
      <c r="C1450" s="16"/>
      <c r="D1450" s="16"/>
      <c r="E1450" s="16"/>
      <c r="F1450" s="16"/>
      <c r="G1450" s="16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  <c r="AB1450" s="17"/>
      <c r="AC1450" s="17"/>
    </row>
    <row r="1451" customFormat="false" ht="12.75" hidden="false" customHeight="false" outlineLevel="0" collapsed="false">
      <c r="A1451" s="16"/>
      <c r="B1451" s="16"/>
      <c r="C1451" s="16"/>
      <c r="D1451" s="16"/>
      <c r="E1451" s="16"/>
      <c r="F1451" s="16"/>
      <c r="G1451" s="16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  <c r="AB1451" s="17"/>
      <c r="AC1451" s="17"/>
    </row>
    <row r="1452" customFormat="false" ht="12.75" hidden="false" customHeight="false" outlineLevel="0" collapsed="false">
      <c r="A1452" s="16"/>
      <c r="B1452" s="16"/>
      <c r="C1452" s="16"/>
      <c r="D1452" s="16"/>
      <c r="E1452" s="16"/>
      <c r="F1452" s="16"/>
      <c r="G1452" s="16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  <c r="AB1452" s="17"/>
      <c r="AC1452" s="17"/>
    </row>
    <row r="1453" customFormat="false" ht="12.75" hidden="false" customHeight="false" outlineLevel="0" collapsed="false">
      <c r="A1453" s="16"/>
      <c r="B1453" s="16"/>
      <c r="C1453" s="16"/>
      <c r="D1453" s="16"/>
      <c r="E1453" s="16"/>
      <c r="F1453" s="16"/>
      <c r="G1453" s="16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  <c r="AB1453" s="17"/>
      <c r="AC1453" s="17"/>
    </row>
    <row r="1454" customFormat="false" ht="12.75" hidden="false" customHeight="false" outlineLevel="0" collapsed="false">
      <c r="A1454" s="16"/>
      <c r="B1454" s="16"/>
      <c r="C1454" s="16"/>
      <c r="D1454" s="16"/>
      <c r="E1454" s="16"/>
      <c r="F1454" s="16"/>
      <c r="G1454" s="16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  <c r="AB1454" s="17"/>
      <c r="AC1454" s="17"/>
    </row>
    <row r="1455" customFormat="false" ht="12.75" hidden="false" customHeight="false" outlineLevel="0" collapsed="false">
      <c r="A1455" s="16"/>
      <c r="B1455" s="16"/>
      <c r="C1455" s="16"/>
      <c r="D1455" s="16"/>
      <c r="E1455" s="16"/>
      <c r="F1455" s="16"/>
      <c r="G1455" s="16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  <c r="AB1455" s="17"/>
      <c r="AC1455" s="17"/>
    </row>
    <row r="1456" customFormat="false" ht="12.75" hidden="false" customHeight="false" outlineLevel="0" collapsed="false">
      <c r="A1456" s="16"/>
      <c r="B1456" s="16"/>
      <c r="C1456" s="16"/>
      <c r="D1456" s="16"/>
      <c r="E1456" s="16"/>
      <c r="F1456" s="16"/>
      <c r="G1456" s="16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  <c r="AB1456" s="17"/>
      <c r="AC1456" s="17"/>
    </row>
    <row r="1457" customFormat="false" ht="12.75" hidden="false" customHeight="false" outlineLevel="0" collapsed="false">
      <c r="A1457" s="16"/>
      <c r="B1457" s="16"/>
      <c r="C1457" s="16"/>
      <c r="D1457" s="16"/>
      <c r="E1457" s="16"/>
      <c r="F1457" s="16"/>
      <c r="G1457" s="16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  <c r="AB1457" s="17"/>
      <c r="AC1457" s="17"/>
    </row>
    <row r="1458" customFormat="false" ht="12.75" hidden="false" customHeight="false" outlineLevel="0" collapsed="false">
      <c r="A1458" s="16"/>
      <c r="B1458" s="16"/>
      <c r="C1458" s="16"/>
      <c r="D1458" s="16"/>
      <c r="E1458" s="16"/>
      <c r="F1458" s="16"/>
      <c r="G1458" s="16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  <c r="AB1458" s="17"/>
      <c r="AC1458" s="17"/>
    </row>
    <row r="1459" customFormat="false" ht="12.75" hidden="false" customHeight="false" outlineLevel="0" collapsed="false">
      <c r="A1459" s="16"/>
      <c r="B1459" s="16"/>
      <c r="C1459" s="16"/>
      <c r="D1459" s="16"/>
      <c r="E1459" s="16"/>
      <c r="F1459" s="16"/>
      <c r="G1459" s="16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  <c r="AB1459" s="17"/>
      <c r="AC1459" s="17"/>
    </row>
    <row r="1460" customFormat="false" ht="12.75" hidden="false" customHeight="false" outlineLevel="0" collapsed="false">
      <c r="A1460" s="16"/>
      <c r="B1460" s="16"/>
      <c r="C1460" s="16"/>
      <c r="D1460" s="16"/>
      <c r="E1460" s="16"/>
      <c r="F1460" s="16"/>
      <c r="G1460" s="16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</row>
    <row r="1461" customFormat="false" ht="12.75" hidden="false" customHeight="false" outlineLevel="0" collapsed="false">
      <c r="A1461" s="16"/>
      <c r="B1461" s="16"/>
      <c r="C1461" s="16"/>
      <c r="D1461" s="16"/>
      <c r="E1461" s="16"/>
      <c r="F1461" s="16"/>
      <c r="G1461" s="16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  <c r="AB1461" s="17"/>
      <c r="AC1461" s="17"/>
    </row>
    <row r="1462" customFormat="false" ht="12.75" hidden="false" customHeight="false" outlineLevel="0" collapsed="false">
      <c r="A1462" s="16"/>
      <c r="B1462" s="16"/>
      <c r="C1462" s="16"/>
      <c r="D1462" s="16"/>
      <c r="E1462" s="16"/>
      <c r="F1462" s="16"/>
      <c r="G1462" s="16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  <c r="AB1462" s="17"/>
      <c r="AC1462" s="17"/>
    </row>
    <row r="1463" customFormat="false" ht="12.75" hidden="false" customHeight="false" outlineLevel="0" collapsed="false">
      <c r="A1463" s="16"/>
      <c r="B1463" s="16"/>
      <c r="C1463" s="16"/>
      <c r="D1463" s="16"/>
      <c r="E1463" s="16"/>
      <c r="F1463" s="16"/>
      <c r="G1463" s="16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  <c r="AB1463" s="17"/>
      <c r="AC1463" s="17"/>
    </row>
    <row r="1464" customFormat="false" ht="12.75" hidden="false" customHeight="false" outlineLevel="0" collapsed="false">
      <c r="A1464" s="16"/>
      <c r="B1464" s="16"/>
      <c r="C1464" s="16"/>
      <c r="D1464" s="16"/>
      <c r="E1464" s="16"/>
      <c r="F1464" s="16"/>
      <c r="G1464" s="16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  <c r="AB1464" s="17"/>
      <c r="AC1464" s="17"/>
    </row>
    <row r="1465" customFormat="false" ht="12.75" hidden="false" customHeight="false" outlineLevel="0" collapsed="false">
      <c r="A1465" s="16"/>
      <c r="B1465" s="16"/>
      <c r="C1465" s="16"/>
      <c r="D1465" s="16"/>
      <c r="E1465" s="16"/>
      <c r="F1465" s="16"/>
      <c r="G1465" s="16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  <c r="AB1465" s="17"/>
      <c r="AC1465" s="17"/>
    </row>
    <row r="1466" customFormat="false" ht="12.75" hidden="false" customHeight="false" outlineLevel="0" collapsed="false">
      <c r="A1466" s="16"/>
      <c r="B1466" s="16"/>
      <c r="C1466" s="16"/>
      <c r="D1466" s="16"/>
      <c r="E1466" s="16"/>
      <c r="F1466" s="16"/>
      <c r="G1466" s="16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  <c r="AB1466" s="17"/>
      <c r="AC1466" s="17"/>
    </row>
    <row r="1467" customFormat="false" ht="12.75" hidden="false" customHeight="false" outlineLevel="0" collapsed="false">
      <c r="A1467" s="16"/>
      <c r="B1467" s="16"/>
      <c r="C1467" s="16"/>
      <c r="D1467" s="16"/>
      <c r="E1467" s="16"/>
      <c r="F1467" s="16"/>
      <c r="G1467" s="16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  <c r="AB1467" s="17"/>
      <c r="AC1467" s="17"/>
    </row>
    <row r="1468" customFormat="false" ht="12.75" hidden="false" customHeight="false" outlineLevel="0" collapsed="false">
      <c r="A1468" s="16"/>
      <c r="B1468" s="16"/>
      <c r="C1468" s="16"/>
      <c r="D1468" s="16"/>
      <c r="E1468" s="16"/>
      <c r="F1468" s="16"/>
      <c r="G1468" s="16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</row>
    <row r="1469" customFormat="false" ht="12.75" hidden="false" customHeight="false" outlineLevel="0" collapsed="false">
      <c r="A1469" s="16"/>
      <c r="B1469" s="16"/>
      <c r="C1469" s="16"/>
      <c r="D1469" s="16"/>
      <c r="E1469" s="16"/>
      <c r="F1469" s="16"/>
      <c r="G1469" s="16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</row>
    <row r="1470" customFormat="false" ht="12.75" hidden="false" customHeight="false" outlineLevel="0" collapsed="false">
      <c r="A1470" s="16"/>
      <c r="B1470" s="16"/>
      <c r="C1470" s="16"/>
      <c r="D1470" s="16"/>
      <c r="E1470" s="16"/>
      <c r="F1470" s="16"/>
      <c r="G1470" s="16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</row>
    <row r="1471" customFormat="false" ht="12.75" hidden="false" customHeight="false" outlineLevel="0" collapsed="false">
      <c r="A1471" s="16"/>
      <c r="B1471" s="16"/>
      <c r="C1471" s="16"/>
      <c r="D1471" s="16"/>
      <c r="E1471" s="16"/>
      <c r="F1471" s="16"/>
      <c r="G1471" s="16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</row>
    <row r="1472" customFormat="false" ht="12.75" hidden="false" customHeight="false" outlineLevel="0" collapsed="false">
      <c r="A1472" s="16"/>
      <c r="B1472" s="16"/>
      <c r="C1472" s="16"/>
      <c r="D1472" s="16"/>
      <c r="E1472" s="16"/>
      <c r="F1472" s="16"/>
      <c r="G1472" s="16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</row>
    <row r="1473" customFormat="false" ht="12.75" hidden="false" customHeight="false" outlineLevel="0" collapsed="false">
      <c r="A1473" s="16"/>
      <c r="B1473" s="16"/>
      <c r="C1473" s="16"/>
      <c r="D1473" s="16"/>
      <c r="E1473" s="16"/>
      <c r="F1473" s="16"/>
      <c r="G1473" s="16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</row>
    <row r="1474" customFormat="false" ht="12.75" hidden="false" customHeight="false" outlineLevel="0" collapsed="false">
      <c r="A1474" s="16"/>
      <c r="B1474" s="16"/>
      <c r="C1474" s="16"/>
      <c r="D1474" s="16"/>
      <c r="E1474" s="16"/>
      <c r="F1474" s="16"/>
      <c r="G1474" s="16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</row>
    <row r="1475" customFormat="false" ht="12.75" hidden="false" customHeight="false" outlineLevel="0" collapsed="false">
      <c r="A1475" s="16"/>
      <c r="B1475" s="16"/>
      <c r="C1475" s="16"/>
      <c r="D1475" s="16"/>
      <c r="E1475" s="16"/>
      <c r="F1475" s="16"/>
      <c r="G1475" s="16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</row>
    <row r="1476" customFormat="false" ht="12.75" hidden="false" customHeight="false" outlineLevel="0" collapsed="false">
      <c r="A1476" s="16"/>
      <c r="B1476" s="16"/>
      <c r="C1476" s="16"/>
      <c r="D1476" s="16"/>
      <c r="E1476" s="16"/>
      <c r="F1476" s="16"/>
      <c r="G1476" s="16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</row>
    <row r="1477" customFormat="false" ht="12.75" hidden="false" customHeight="false" outlineLevel="0" collapsed="false">
      <c r="A1477" s="16"/>
      <c r="B1477" s="16"/>
      <c r="C1477" s="16"/>
      <c r="D1477" s="16"/>
      <c r="E1477" s="16"/>
      <c r="F1477" s="16"/>
      <c r="G1477" s="16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</row>
    <row r="1478" customFormat="false" ht="12.75" hidden="false" customHeight="false" outlineLevel="0" collapsed="false">
      <c r="A1478" s="16"/>
      <c r="B1478" s="16"/>
      <c r="C1478" s="16"/>
      <c r="D1478" s="16"/>
      <c r="E1478" s="16"/>
      <c r="F1478" s="16"/>
      <c r="G1478" s="16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</row>
    <row r="1479" customFormat="false" ht="12.75" hidden="false" customHeight="false" outlineLevel="0" collapsed="false">
      <c r="A1479" s="16"/>
      <c r="B1479" s="16"/>
      <c r="C1479" s="16"/>
      <c r="D1479" s="16"/>
      <c r="E1479" s="16"/>
      <c r="F1479" s="16"/>
      <c r="G1479" s="16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</row>
    <row r="1480" customFormat="false" ht="12.75" hidden="false" customHeight="false" outlineLevel="0" collapsed="false">
      <c r="A1480" s="16"/>
      <c r="B1480" s="16"/>
      <c r="C1480" s="16"/>
      <c r="D1480" s="16"/>
      <c r="E1480" s="16"/>
      <c r="F1480" s="16"/>
      <c r="G1480" s="16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</row>
    <row r="1481" customFormat="false" ht="12.75" hidden="false" customHeight="false" outlineLevel="0" collapsed="false">
      <c r="A1481" s="16"/>
      <c r="B1481" s="16"/>
      <c r="C1481" s="16"/>
      <c r="D1481" s="16"/>
      <c r="E1481" s="16"/>
      <c r="F1481" s="16"/>
      <c r="G1481" s="16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</row>
    <row r="1482" customFormat="false" ht="12.75" hidden="false" customHeight="false" outlineLevel="0" collapsed="false">
      <c r="A1482" s="16"/>
      <c r="B1482" s="16"/>
      <c r="C1482" s="16"/>
      <c r="D1482" s="16"/>
      <c r="E1482" s="16"/>
      <c r="F1482" s="16"/>
      <c r="G1482" s="16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</row>
    <row r="1483" customFormat="false" ht="12.75" hidden="false" customHeight="false" outlineLevel="0" collapsed="false">
      <c r="A1483" s="16"/>
      <c r="B1483" s="16"/>
      <c r="C1483" s="16"/>
      <c r="D1483" s="16"/>
      <c r="E1483" s="16"/>
      <c r="F1483" s="16"/>
      <c r="G1483" s="16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</row>
    <row r="1484" customFormat="false" ht="12.75" hidden="false" customHeight="false" outlineLevel="0" collapsed="false">
      <c r="A1484" s="16"/>
      <c r="B1484" s="16"/>
      <c r="C1484" s="16"/>
      <c r="D1484" s="16"/>
      <c r="E1484" s="16"/>
      <c r="F1484" s="16"/>
      <c r="G1484" s="16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</row>
    <row r="1485" customFormat="false" ht="12.75" hidden="false" customHeight="false" outlineLevel="0" collapsed="false">
      <c r="A1485" s="16"/>
      <c r="B1485" s="16"/>
      <c r="C1485" s="16"/>
      <c r="D1485" s="16"/>
      <c r="E1485" s="16"/>
      <c r="F1485" s="16"/>
      <c r="G1485" s="16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</row>
    <row r="1486" customFormat="false" ht="12.75" hidden="false" customHeight="false" outlineLevel="0" collapsed="false">
      <c r="A1486" s="16"/>
      <c r="B1486" s="16"/>
      <c r="C1486" s="16"/>
      <c r="D1486" s="16"/>
      <c r="E1486" s="16"/>
      <c r="F1486" s="16"/>
      <c r="G1486" s="16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</row>
    <row r="1487" customFormat="false" ht="12.75" hidden="false" customHeight="false" outlineLevel="0" collapsed="false">
      <c r="A1487" s="16"/>
      <c r="B1487" s="16"/>
      <c r="C1487" s="16"/>
      <c r="D1487" s="16"/>
      <c r="E1487" s="16"/>
      <c r="F1487" s="16"/>
      <c r="G1487" s="16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</row>
    <row r="1488" customFormat="false" ht="12.75" hidden="false" customHeight="false" outlineLevel="0" collapsed="false">
      <c r="A1488" s="16"/>
      <c r="B1488" s="16"/>
      <c r="C1488" s="16"/>
      <c r="D1488" s="16"/>
      <c r="E1488" s="16"/>
      <c r="F1488" s="16"/>
      <c r="G1488" s="16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</row>
    <row r="1489" customFormat="false" ht="12.75" hidden="false" customHeight="false" outlineLevel="0" collapsed="false">
      <c r="A1489" s="16"/>
      <c r="B1489" s="16"/>
      <c r="C1489" s="16"/>
      <c r="D1489" s="16"/>
      <c r="E1489" s="16"/>
      <c r="F1489" s="16"/>
      <c r="G1489" s="16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  <c r="AB1489" s="17"/>
      <c r="AC1489" s="17"/>
    </row>
    <row r="1490" customFormat="false" ht="12.75" hidden="false" customHeight="false" outlineLevel="0" collapsed="false">
      <c r="A1490" s="16"/>
      <c r="B1490" s="16"/>
      <c r="C1490" s="16"/>
      <c r="D1490" s="16"/>
      <c r="E1490" s="16"/>
      <c r="F1490" s="16"/>
      <c r="G1490" s="16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  <c r="AB1490" s="17"/>
      <c r="AC1490" s="17"/>
    </row>
    <row r="1491" customFormat="false" ht="12.75" hidden="false" customHeight="false" outlineLevel="0" collapsed="false">
      <c r="A1491" s="16"/>
      <c r="B1491" s="16"/>
      <c r="C1491" s="16"/>
      <c r="D1491" s="16"/>
      <c r="E1491" s="16"/>
      <c r="F1491" s="16"/>
      <c r="G1491" s="16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  <c r="AB1491" s="17"/>
      <c r="AC1491" s="17"/>
    </row>
    <row r="1492" customFormat="false" ht="12.75" hidden="false" customHeight="false" outlineLevel="0" collapsed="false">
      <c r="A1492" s="16"/>
      <c r="B1492" s="16"/>
      <c r="C1492" s="16"/>
      <c r="D1492" s="16"/>
      <c r="E1492" s="16"/>
      <c r="F1492" s="16"/>
      <c r="G1492" s="16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</row>
    <row r="1493" customFormat="false" ht="12.75" hidden="false" customHeight="false" outlineLevel="0" collapsed="false">
      <c r="A1493" s="16"/>
      <c r="B1493" s="16"/>
      <c r="C1493" s="16"/>
      <c r="D1493" s="16"/>
      <c r="E1493" s="16"/>
      <c r="F1493" s="16"/>
      <c r="G1493" s="16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  <c r="AB1493" s="17"/>
      <c r="AC1493" s="17"/>
    </row>
    <row r="1494" customFormat="false" ht="12.75" hidden="false" customHeight="false" outlineLevel="0" collapsed="false">
      <c r="A1494" s="16"/>
      <c r="B1494" s="16"/>
      <c r="C1494" s="16"/>
      <c r="D1494" s="16"/>
      <c r="E1494" s="16"/>
      <c r="F1494" s="16"/>
      <c r="G1494" s="16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  <c r="AB1494" s="17"/>
      <c r="AC1494" s="17"/>
    </row>
    <row r="1495" customFormat="false" ht="12.75" hidden="false" customHeight="false" outlineLevel="0" collapsed="false">
      <c r="A1495" s="16"/>
      <c r="B1495" s="16"/>
      <c r="C1495" s="16"/>
      <c r="D1495" s="16"/>
      <c r="E1495" s="16"/>
      <c r="F1495" s="16"/>
      <c r="G1495" s="16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</row>
    <row r="1496" customFormat="false" ht="12.75" hidden="false" customHeight="false" outlineLevel="0" collapsed="false">
      <c r="A1496" s="16"/>
      <c r="B1496" s="16"/>
      <c r="C1496" s="16"/>
      <c r="D1496" s="16"/>
      <c r="E1496" s="16"/>
      <c r="F1496" s="16"/>
      <c r="G1496" s="16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</row>
    <row r="1497" customFormat="false" ht="12.75" hidden="false" customHeight="false" outlineLevel="0" collapsed="false">
      <c r="A1497" s="16"/>
      <c r="B1497" s="16"/>
      <c r="C1497" s="16"/>
      <c r="D1497" s="16"/>
      <c r="E1497" s="16"/>
      <c r="F1497" s="16"/>
      <c r="G1497" s="16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</row>
    <row r="1498" customFormat="false" ht="12.75" hidden="false" customHeight="false" outlineLevel="0" collapsed="false">
      <c r="A1498" s="16"/>
      <c r="B1498" s="16"/>
      <c r="C1498" s="16"/>
      <c r="D1498" s="16"/>
      <c r="E1498" s="16"/>
      <c r="F1498" s="16"/>
      <c r="G1498" s="16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</row>
    <row r="1499" customFormat="false" ht="12.75" hidden="false" customHeight="false" outlineLevel="0" collapsed="false">
      <c r="A1499" s="16"/>
      <c r="B1499" s="16"/>
      <c r="C1499" s="16"/>
      <c r="D1499" s="16"/>
      <c r="E1499" s="16"/>
      <c r="F1499" s="16"/>
      <c r="G1499" s="16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</row>
    <row r="1500" customFormat="false" ht="12.75" hidden="false" customHeight="false" outlineLevel="0" collapsed="false">
      <c r="A1500" s="16"/>
      <c r="B1500" s="16"/>
      <c r="C1500" s="16"/>
      <c r="D1500" s="16"/>
      <c r="E1500" s="16"/>
      <c r="F1500" s="16"/>
      <c r="G1500" s="16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</row>
    <row r="1501" customFormat="false" ht="12.75" hidden="false" customHeight="false" outlineLevel="0" collapsed="false">
      <c r="A1501" s="16"/>
      <c r="B1501" s="16"/>
      <c r="C1501" s="16"/>
      <c r="D1501" s="16"/>
      <c r="E1501" s="16"/>
      <c r="F1501" s="16"/>
      <c r="G1501" s="16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</row>
    <row r="1502" customFormat="false" ht="12.75" hidden="false" customHeight="false" outlineLevel="0" collapsed="false">
      <c r="A1502" s="16"/>
      <c r="B1502" s="16"/>
      <c r="C1502" s="16"/>
      <c r="D1502" s="16"/>
      <c r="E1502" s="16"/>
      <c r="F1502" s="16"/>
      <c r="G1502" s="16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</row>
    <row r="1503" customFormat="false" ht="12.75" hidden="false" customHeight="false" outlineLevel="0" collapsed="false">
      <c r="A1503" s="16"/>
      <c r="B1503" s="16"/>
      <c r="C1503" s="16"/>
      <c r="D1503" s="16"/>
      <c r="E1503" s="16"/>
      <c r="F1503" s="16"/>
      <c r="G1503" s="16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</row>
    <row r="1504" customFormat="false" ht="12.75" hidden="false" customHeight="false" outlineLevel="0" collapsed="false">
      <c r="A1504" s="16"/>
      <c r="B1504" s="16"/>
      <c r="C1504" s="16"/>
      <c r="D1504" s="16"/>
      <c r="E1504" s="16"/>
      <c r="F1504" s="16"/>
      <c r="G1504" s="16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</row>
    <row r="1505" customFormat="false" ht="12.75" hidden="false" customHeight="false" outlineLevel="0" collapsed="false">
      <c r="A1505" s="16"/>
      <c r="B1505" s="16"/>
      <c r="C1505" s="16"/>
      <c r="D1505" s="16"/>
      <c r="E1505" s="16"/>
      <c r="F1505" s="16"/>
      <c r="G1505" s="16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</row>
    <row r="1506" customFormat="false" ht="12.75" hidden="false" customHeight="false" outlineLevel="0" collapsed="false">
      <c r="A1506" s="16"/>
      <c r="B1506" s="16"/>
      <c r="C1506" s="16"/>
      <c r="D1506" s="16"/>
      <c r="E1506" s="16"/>
      <c r="F1506" s="16"/>
      <c r="G1506" s="16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</row>
    <row r="1507" customFormat="false" ht="12.75" hidden="false" customHeight="false" outlineLevel="0" collapsed="false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</row>
  </sheetData>
  <mergeCells count="77">
    <mergeCell ref="A2:E2"/>
    <mergeCell ref="B9:D9"/>
    <mergeCell ref="B10:D10"/>
    <mergeCell ref="B11:D11"/>
    <mergeCell ref="E11:E12"/>
    <mergeCell ref="B12:D12"/>
    <mergeCell ref="B13:D13"/>
    <mergeCell ref="A30:G30"/>
    <mergeCell ref="B32:G32"/>
    <mergeCell ref="G33:G37"/>
    <mergeCell ref="G38:G42"/>
    <mergeCell ref="B44:G44"/>
    <mergeCell ref="B45:E46"/>
    <mergeCell ref="F45:G45"/>
    <mergeCell ref="F46:G46"/>
    <mergeCell ref="B48:G48"/>
    <mergeCell ref="B49:E50"/>
    <mergeCell ref="F49:G49"/>
    <mergeCell ref="F50:G50"/>
    <mergeCell ref="B51:E52"/>
    <mergeCell ref="F51:G51"/>
    <mergeCell ref="F52:G52"/>
    <mergeCell ref="A54:G54"/>
    <mergeCell ref="B56:G56"/>
    <mergeCell ref="B57:G57"/>
    <mergeCell ref="A60:G60"/>
    <mergeCell ref="B62:G62"/>
    <mergeCell ref="B66:G66"/>
    <mergeCell ref="B85:G85"/>
    <mergeCell ref="B121:G121"/>
    <mergeCell ref="F123:G123"/>
    <mergeCell ref="B136:G136"/>
    <mergeCell ref="B157:G157"/>
    <mergeCell ref="B184:G184"/>
    <mergeCell ref="F186:G186"/>
    <mergeCell ref="B194:G194"/>
    <mergeCell ref="F229:G229"/>
    <mergeCell ref="D273:E273"/>
    <mergeCell ref="F293:G293"/>
    <mergeCell ref="F294:G294"/>
    <mergeCell ref="F295:G295"/>
    <mergeCell ref="F296:G296"/>
    <mergeCell ref="F304:G304"/>
    <mergeCell ref="F305:G305"/>
    <mergeCell ref="F306:G306"/>
    <mergeCell ref="F307:G307"/>
    <mergeCell ref="F310:G310"/>
    <mergeCell ref="F326:G326"/>
    <mergeCell ref="F336:G336"/>
    <mergeCell ref="F338:G338"/>
    <mergeCell ref="F359:G359"/>
    <mergeCell ref="F361:G361"/>
    <mergeCell ref="F366:G366"/>
    <mergeCell ref="F367:G367"/>
    <mergeCell ref="F371:G371"/>
    <mergeCell ref="F372:G372"/>
    <mergeCell ref="F380:G380"/>
    <mergeCell ref="F382:G382"/>
    <mergeCell ref="F387:G387"/>
    <mergeCell ref="F388:G388"/>
    <mergeCell ref="F389:G389"/>
    <mergeCell ref="F392:G392"/>
    <mergeCell ref="F393:G393"/>
    <mergeCell ref="F394:G394"/>
    <mergeCell ref="F397:G397"/>
    <mergeCell ref="F398:G398"/>
    <mergeCell ref="F399:G399"/>
    <mergeCell ref="F403:G403"/>
    <mergeCell ref="F405:G405"/>
    <mergeCell ref="F415:G415"/>
    <mergeCell ref="F425:G425"/>
    <mergeCell ref="F426:G426"/>
    <mergeCell ref="F427:G427"/>
    <mergeCell ref="F434:G434"/>
    <mergeCell ref="F439:G439"/>
    <mergeCell ref="F444:G444"/>
    <mergeCell ref="F451:G451"/>
  </mergeCells>
  <printOptions headings="false" gridLines="false" gridLinesSet="true" horizontalCentered="true" verticalCentered="false"/>
  <pageMargins left="0" right="0" top="0" bottom="0" header="0.511811023622047" footer="0.511811023622047"/>
  <pageSetup paperSize="13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7" manualBreakCount="7">
    <brk id="82" man="true" max="16383" min="0"/>
    <brk id="154" man="true" max="16383" min="0"/>
    <brk id="211" man="true" max="16383" min="0"/>
    <brk id="247" man="true" max="16383" min="0"/>
    <brk id="316" man="true" max="16383" min="0"/>
    <brk id="406" man="true" max="16383" min="0"/>
    <brk id="446" man="true" max="16383" min="0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432"/>
  <sheetViews>
    <sheetView showFormulas="false" showGridLines="true" showRowColHeaders="true" showZeros="true" rightToLeft="false" tabSelected="false" showOutlineSymbols="true" defaultGridColor="true" view="normal" topLeftCell="A36" colorId="64" zoomScale="75" zoomScaleNormal="75" zoomScalePageLayoutView="100" workbookViewId="0">
      <selection pane="topLeft" activeCell="E64" activeCellId="0" sqref="E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85"/>
    <col collapsed="false" customWidth="true" hidden="false" outlineLevel="0" max="4" min="4" style="0" width="16.99"/>
    <col collapsed="false" customWidth="true" hidden="false" outlineLevel="0" max="7" min="7" style="0" width="10.28"/>
  </cols>
  <sheetData>
    <row r="1" customFormat="false" ht="15.75" hidden="false" customHeight="false" outlineLevel="0" collapsed="false">
      <c r="A1" s="292" t="s">
        <v>282</v>
      </c>
      <c r="B1" s="17"/>
      <c r="C1" s="17"/>
      <c r="D1" s="17"/>
      <c r="E1" s="17"/>
      <c r="F1" s="17"/>
      <c r="G1" s="17"/>
    </row>
    <row r="2" customFormat="false" ht="15.75" hidden="false" customHeight="false" outlineLevel="0" collapsed="false">
      <c r="A2" s="292" t="s">
        <v>283</v>
      </c>
      <c r="B2" s="17"/>
      <c r="C2" s="17"/>
      <c r="D2" s="17"/>
      <c r="E2" s="17"/>
      <c r="F2" s="17"/>
      <c r="G2" s="17"/>
    </row>
    <row r="3" customFormat="false" ht="15.75" hidden="false" customHeight="false" outlineLevel="0" collapsed="false">
      <c r="A3" s="292" t="s">
        <v>284</v>
      </c>
      <c r="B3" s="17"/>
      <c r="C3" s="17"/>
      <c r="D3" s="17"/>
      <c r="E3" s="17"/>
      <c r="F3" s="17"/>
      <c r="G3" s="17"/>
    </row>
    <row r="4" customFormat="false" ht="12.75" hidden="false" customHeight="false" outlineLevel="0" collapsed="false">
      <c r="A4" s="17"/>
      <c r="B4" s="17"/>
      <c r="C4" s="17"/>
      <c r="D4" s="17"/>
      <c r="E4" s="17"/>
      <c r="F4" s="17"/>
      <c r="G4" s="17"/>
    </row>
    <row r="5" customFormat="false" ht="12.75" hidden="false" customHeight="false" outlineLevel="0" collapsed="false">
      <c r="A5" s="17"/>
      <c r="B5" s="17"/>
      <c r="C5" s="17"/>
      <c r="D5" s="17"/>
      <c r="E5" s="17"/>
      <c r="F5" s="17"/>
      <c r="G5" s="17"/>
    </row>
    <row r="6" customFormat="false" ht="12.75" hidden="false" customHeight="false" outlineLevel="0" collapsed="false">
      <c r="A6" s="136" t="s">
        <v>285</v>
      </c>
      <c r="B6" s="293"/>
      <c r="C6" s="293"/>
      <c r="D6" s="293"/>
      <c r="E6" s="293"/>
      <c r="F6" s="139"/>
      <c r="G6" s="294" t="n">
        <v>2001</v>
      </c>
      <c r="H6" s="294" t="n">
        <f aca="false">+G6+1</f>
        <v>2002</v>
      </c>
      <c r="I6" s="294" t="n">
        <f aca="false">+H6+1</f>
        <v>2003</v>
      </c>
      <c r="J6" s="294" t="n">
        <f aca="false">+I6+1</f>
        <v>2004</v>
      </c>
      <c r="K6" s="294" t="n">
        <f aca="false">+J6+1</f>
        <v>2005</v>
      </c>
      <c r="L6" s="294" t="n">
        <f aca="false">+K6+1</f>
        <v>2006</v>
      </c>
      <c r="M6" s="294" t="n">
        <f aca="false">+L6+1</f>
        <v>2007</v>
      </c>
      <c r="N6" s="294" t="n">
        <f aca="false">+M6+1</f>
        <v>2008</v>
      </c>
      <c r="O6" s="294" t="n">
        <f aca="false">+N6+1</f>
        <v>2009</v>
      </c>
      <c r="P6" s="294" t="n">
        <f aca="false">+O6+1</f>
        <v>2010</v>
      </c>
      <c r="Q6" s="294" t="n">
        <f aca="false">+P6+1</f>
        <v>2011</v>
      </c>
      <c r="R6" s="294" t="n">
        <f aca="false">+Q6+1</f>
        <v>2012</v>
      </c>
      <c r="S6" s="294" t="n">
        <f aca="false">+R6+1</f>
        <v>2013</v>
      </c>
      <c r="T6" s="294" t="n">
        <f aca="false">+S6+1</f>
        <v>2014</v>
      </c>
      <c r="U6" s="294" t="n">
        <f aca="false">+T6+1</f>
        <v>2015</v>
      </c>
      <c r="V6" s="294" t="n">
        <f aca="false">+U6+1</f>
        <v>2016</v>
      </c>
      <c r="W6" s="294" t="n">
        <f aca="false">+V6+1</f>
        <v>2017</v>
      </c>
      <c r="X6" s="294" t="n">
        <f aca="false">+W6+1</f>
        <v>2018</v>
      </c>
      <c r="Y6" s="294" t="n">
        <f aca="false">+X6+1</f>
        <v>2019</v>
      </c>
      <c r="Z6" s="294" t="n">
        <f aca="false">+Y6+1</f>
        <v>2020</v>
      </c>
      <c r="AA6" s="295" t="n">
        <f aca="false">+Z6+1</f>
        <v>2021</v>
      </c>
    </row>
    <row r="7" customFormat="false" ht="12.75" hidden="false" customHeight="false" outlineLevel="0" collapsed="false">
      <c r="A7" s="16"/>
      <c r="B7" s="16"/>
      <c r="C7" s="16"/>
      <c r="D7" s="16"/>
      <c r="E7" s="16"/>
      <c r="F7" s="17"/>
      <c r="G7" s="17"/>
    </row>
    <row r="9" customFormat="false" ht="15.75" hidden="false" customHeight="false" outlineLevel="0" collapsed="false">
      <c r="A9" s="296" t="s">
        <v>52</v>
      </c>
    </row>
    <row r="10" customFormat="false" ht="12.75" hidden="false" customHeight="false" outlineLevel="0" collapsed="false">
      <c r="A10" s="297" t="s">
        <v>286</v>
      </c>
      <c r="C10" s="298" t="s">
        <v>80</v>
      </c>
      <c r="E10" s="299" t="n">
        <v>2001</v>
      </c>
      <c r="F10" s="299" t="n">
        <v>2002</v>
      </c>
      <c r="G10" s="299" t="n">
        <v>2003</v>
      </c>
      <c r="H10" s="299" t="n">
        <v>2004</v>
      </c>
      <c r="I10" s="299" t="n">
        <v>2005</v>
      </c>
      <c r="J10" s="299" t="n">
        <v>2006</v>
      </c>
      <c r="K10" s="299" t="n">
        <v>2007</v>
      </c>
      <c r="L10" s="299" t="n">
        <v>2008</v>
      </c>
      <c r="M10" s="299" t="n">
        <v>2009</v>
      </c>
      <c r="N10" s="299" t="n">
        <v>2010</v>
      </c>
      <c r="O10" s="299" t="n">
        <v>2011</v>
      </c>
      <c r="P10" s="299" t="n">
        <v>2012</v>
      </c>
      <c r="Q10" s="299" t="n">
        <v>2013</v>
      </c>
      <c r="R10" s="299" t="n">
        <v>2014</v>
      </c>
      <c r="S10" s="299" t="n">
        <v>2015</v>
      </c>
      <c r="T10" s="299" t="n">
        <v>2016</v>
      </c>
      <c r="U10" s="299" t="n">
        <v>2017</v>
      </c>
    </row>
    <row r="11" customFormat="false" ht="12.75" hidden="false" customHeight="false" outlineLevel="0" collapsed="false">
      <c r="A11" s="0" t="s">
        <v>287</v>
      </c>
      <c r="B11" s="0" t="s">
        <v>288</v>
      </c>
      <c r="C11" s="300" t="n">
        <f aca="false">SUM(E11:U11)</f>
        <v>5474.24408489758</v>
      </c>
      <c r="D11" s="0" t="s">
        <v>289</v>
      </c>
      <c r="E11" s="300" t="n">
        <v>649.433357328233</v>
      </c>
      <c r="F11" s="300" t="n">
        <v>553.253232359398</v>
      </c>
      <c r="G11" s="300" t="n">
        <v>474.812047541176</v>
      </c>
      <c r="H11" s="300" t="n">
        <v>450.687583491552</v>
      </c>
      <c r="I11" s="300" t="n">
        <v>455.959785754088</v>
      </c>
      <c r="J11" s="300" t="n">
        <v>459.86096688803</v>
      </c>
      <c r="K11" s="300" t="n">
        <v>469.058637336703</v>
      </c>
      <c r="L11" s="300" t="n">
        <v>474.034504492743</v>
      </c>
      <c r="M11" s="300" t="n">
        <v>493.295918828595</v>
      </c>
      <c r="N11" s="300" t="n">
        <v>491.307669320265</v>
      </c>
      <c r="O11" s="300" t="n">
        <v>502.540381556794</v>
      </c>
      <c r="P11" s="300" t="n">
        <v>0</v>
      </c>
      <c r="Q11" s="300" t="n">
        <v>0</v>
      </c>
      <c r="R11" s="300" t="n">
        <v>0</v>
      </c>
      <c r="S11" s="300" t="n">
        <v>0</v>
      </c>
      <c r="T11" s="300" t="n">
        <v>0</v>
      </c>
      <c r="U11" s="300" t="n">
        <v>0</v>
      </c>
    </row>
    <row r="12" customFormat="false" ht="12.75" hidden="false" customHeight="false" outlineLevel="0" collapsed="false">
      <c r="A12" s="301" t="s">
        <v>290</v>
      </c>
      <c r="B12" s="0" t="s">
        <v>291</v>
      </c>
      <c r="C12" s="300" t="n">
        <f aca="false">SUM(E12:U12)</f>
        <v>25033.4743821318</v>
      </c>
      <c r="D12" s="0" t="s">
        <v>289</v>
      </c>
      <c r="E12" s="300" t="n">
        <v>0</v>
      </c>
      <c r="F12" s="300" t="n">
        <v>0</v>
      </c>
      <c r="G12" s="300" t="n">
        <v>0</v>
      </c>
      <c r="H12" s="300" t="n">
        <v>0</v>
      </c>
      <c r="I12" s="300" t="n">
        <v>0</v>
      </c>
      <c r="J12" s="300" t="n">
        <v>0</v>
      </c>
      <c r="K12" s="300" t="n">
        <v>0</v>
      </c>
      <c r="L12" s="300" t="n">
        <v>0</v>
      </c>
      <c r="M12" s="300" t="n">
        <v>0</v>
      </c>
      <c r="N12" s="300" t="n">
        <v>0</v>
      </c>
      <c r="O12" s="300" t="n">
        <v>0</v>
      </c>
      <c r="P12" s="300" t="n">
        <v>4857.36744278265</v>
      </c>
      <c r="Q12" s="300" t="n">
        <v>4927.96505061689</v>
      </c>
      <c r="R12" s="300" t="n">
        <v>4971.90845648596</v>
      </c>
      <c r="S12" s="300" t="n">
        <v>5136.41907608428</v>
      </c>
      <c r="T12" s="300" t="n">
        <v>5139.81435616197</v>
      </c>
      <c r="U12" s="300" t="n">
        <v>0</v>
      </c>
    </row>
    <row r="13" customFormat="false" ht="12.75" hidden="false" customHeight="false" outlineLevel="0" collapsed="false">
      <c r="A13" s="0" t="s">
        <v>292</v>
      </c>
      <c r="B13" s="0" t="s">
        <v>293</v>
      </c>
      <c r="C13" s="300" t="n">
        <f aca="false">SUM(E13:U13)</f>
        <v>13222.1884011373</v>
      </c>
      <c r="D13" s="0" t="s">
        <v>294</v>
      </c>
      <c r="E13" s="300" t="n">
        <v>0</v>
      </c>
      <c r="F13" s="300" t="n">
        <v>0</v>
      </c>
      <c r="G13" s="300" t="n">
        <v>0</v>
      </c>
      <c r="H13" s="300" t="n">
        <v>0</v>
      </c>
      <c r="I13" s="300" t="n">
        <v>0</v>
      </c>
      <c r="J13" s="300" t="n">
        <v>0</v>
      </c>
      <c r="K13" s="300" t="n">
        <v>0</v>
      </c>
      <c r="L13" s="300" t="n">
        <v>0</v>
      </c>
      <c r="M13" s="300" t="n">
        <v>0</v>
      </c>
      <c r="N13" s="300" t="n">
        <v>0</v>
      </c>
      <c r="O13" s="300" t="n">
        <v>0</v>
      </c>
      <c r="P13" s="300" t="n">
        <v>0</v>
      </c>
      <c r="Q13" s="300" t="n">
        <v>0</v>
      </c>
      <c r="R13" s="300" t="n">
        <v>0</v>
      </c>
      <c r="S13" s="300" t="n">
        <v>0</v>
      </c>
      <c r="T13" s="300" t="n">
        <v>0</v>
      </c>
      <c r="U13" s="300" t="n">
        <v>13222.1884011373</v>
      </c>
    </row>
    <row r="14" customFormat="false" ht="13.5" hidden="false" customHeight="false" outlineLevel="0" collapsed="false">
      <c r="C14" s="302" t="n">
        <f aca="false">+C11+C12+C13</f>
        <v>43729.9068681666</v>
      </c>
      <c r="E14" s="302" t="n">
        <f aca="false">+E13+E12+E11</f>
        <v>649.433357328233</v>
      </c>
      <c r="F14" s="302" t="n">
        <f aca="false">+F13+F12+F11</f>
        <v>553.253232359398</v>
      </c>
      <c r="G14" s="302" t="n">
        <f aca="false">+G13+G12+G11</f>
        <v>474.812047541176</v>
      </c>
      <c r="H14" s="302" t="n">
        <f aca="false">+H13+H12+H11</f>
        <v>450.687583491552</v>
      </c>
      <c r="I14" s="302" t="n">
        <f aca="false">+I13+I12+I11</f>
        <v>455.959785754088</v>
      </c>
      <c r="J14" s="302" t="n">
        <f aca="false">+J13+J12+J11</f>
        <v>459.86096688803</v>
      </c>
      <c r="K14" s="302" t="n">
        <f aca="false">+K13+K12+K11</f>
        <v>469.058637336703</v>
      </c>
      <c r="L14" s="302" t="n">
        <f aca="false">+L13+L12+L11</f>
        <v>474.034504492743</v>
      </c>
      <c r="M14" s="302" t="n">
        <f aca="false">+M13+M12+M11</f>
        <v>493.295918828595</v>
      </c>
      <c r="N14" s="302" t="n">
        <f aca="false">+N13+N12+N11</f>
        <v>491.307669320265</v>
      </c>
      <c r="O14" s="302" t="n">
        <f aca="false">+O13+O12+O11</f>
        <v>502.540381556794</v>
      </c>
      <c r="P14" s="302" t="n">
        <f aca="false">+P13+P12+P11</f>
        <v>4857.36744278265</v>
      </c>
      <c r="Q14" s="302" t="n">
        <f aca="false">+Q13+Q12+Q11</f>
        <v>4927.96505061689</v>
      </c>
      <c r="R14" s="302" t="n">
        <f aca="false">+R13+R12+R11</f>
        <v>4971.90845648596</v>
      </c>
      <c r="S14" s="302" t="n">
        <f aca="false">+S13+S12+S11</f>
        <v>5136.41907608428</v>
      </c>
      <c r="T14" s="302" t="n">
        <f aca="false">+T13+T12+T11</f>
        <v>5139.81435616197</v>
      </c>
      <c r="U14" s="302" t="n">
        <f aca="false">+U13+U12+U11</f>
        <v>13222.1884011373</v>
      </c>
    </row>
    <row r="15" customFormat="false" ht="13.5" hidden="false" customHeight="false" outlineLevel="0" collapsed="false">
      <c r="C15" s="300"/>
    </row>
    <row r="16" customFormat="false" ht="12.75" hidden="false" customHeight="false" outlineLevel="0" collapsed="false">
      <c r="A16" s="297" t="s">
        <v>295</v>
      </c>
      <c r="C16" s="298" t="s">
        <v>80</v>
      </c>
      <c r="E16" s="299" t="n">
        <v>2001</v>
      </c>
      <c r="F16" s="299" t="n">
        <v>2002</v>
      </c>
      <c r="G16" s="299" t="n">
        <v>2003</v>
      </c>
      <c r="H16" s="299" t="n">
        <v>2004</v>
      </c>
      <c r="I16" s="299" t="n">
        <v>2005</v>
      </c>
      <c r="J16" s="299" t="n">
        <v>2006</v>
      </c>
      <c r="K16" s="299" t="n">
        <v>2007</v>
      </c>
      <c r="L16" s="299" t="n">
        <v>2008</v>
      </c>
      <c r="M16" s="299" t="n">
        <v>2009</v>
      </c>
      <c r="N16" s="299" t="n">
        <v>2010</v>
      </c>
      <c r="O16" s="299" t="n">
        <v>2011</v>
      </c>
      <c r="P16" s="299" t="n">
        <v>2012</v>
      </c>
      <c r="Q16" s="299" t="n">
        <v>2013</v>
      </c>
      <c r="R16" s="299" t="n">
        <v>2014</v>
      </c>
      <c r="S16" s="299" t="n">
        <v>2015</v>
      </c>
      <c r="T16" s="299" t="n">
        <v>2016</v>
      </c>
      <c r="U16" s="299" t="n">
        <v>2017</v>
      </c>
    </row>
    <row r="17" customFormat="false" ht="12.75" hidden="false" customHeight="false" outlineLevel="0" collapsed="false">
      <c r="A17" s="0" t="s">
        <v>287</v>
      </c>
      <c r="B17" s="0" t="s">
        <v>288</v>
      </c>
      <c r="C17" s="300" t="n">
        <f aca="false">SUM(E17:U17)</f>
        <v>7239.13333785981</v>
      </c>
      <c r="D17" s="0" t="s">
        <v>289</v>
      </c>
      <c r="E17" s="300" t="n">
        <v>736.052150347669</v>
      </c>
      <c r="F17" s="300" t="n">
        <v>664.031765913842</v>
      </c>
      <c r="G17" s="300" t="n">
        <v>624.508565135852</v>
      </c>
      <c r="H17" s="300" t="n">
        <v>604.343768789908</v>
      </c>
      <c r="I17" s="300" t="n">
        <v>613.320544100303</v>
      </c>
      <c r="J17" s="300" t="n">
        <v>643.773455489831</v>
      </c>
      <c r="K17" s="300" t="n">
        <v>654.062073827208</v>
      </c>
      <c r="L17" s="300" t="n">
        <v>657.847535153714</v>
      </c>
      <c r="M17" s="300" t="n">
        <v>674.841616220666</v>
      </c>
      <c r="N17" s="300" t="n">
        <v>679.790478399035</v>
      </c>
      <c r="O17" s="300" t="n">
        <v>686.561384481783</v>
      </c>
      <c r="P17" s="300" t="n">
        <v>0</v>
      </c>
      <c r="Q17" s="300" t="n">
        <v>0</v>
      </c>
      <c r="R17" s="300" t="n">
        <v>0</v>
      </c>
      <c r="S17" s="300" t="n">
        <v>0</v>
      </c>
      <c r="T17" s="300" t="n">
        <v>0</v>
      </c>
      <c r="U17" s="300" t="n">
        <v>0</v>
      </c>
    </row>
    <row r="18" customFormat="false" ht="12.75" hidden="false" customHeight="false" outlineLevel="0" collapsed="false">
      <c r="A18" s="301" t="s">
        <v>290</v>
      </c>
      <c r="B18" s="0" t="s">
        <v>291</v>
      </c>
      <c r="C18" s="300" t="n">
        <f aca="false">SUM(E18:U18)</f>
        <v>32908.9354571641</v>
      </c>
      <c r="D18" s="0" t="s">
        <v>289</v>
      </c>
      <c r="E18" s="300" t="n">
        <v>0</v>
      </c>
      <c r="F18" s="300" t="n">
        <v>0</v>
      </c>
      <c r="G18" s="300" t="n">
        <v>0</v>
      </c>
      <c r="H18" s="300" t="n">
        <v>0</v>
      </c>
      <c r="I18" s="300" t="n">
        <v>0</v>
      </c>
      <c r="J18" s="300" t="n">
        <v>0</v>
      </c>
      <c r="K18" s="300" t="n">
        <v>0</v>
      </c>
      <c r="L18" s="300" t="n">
        <v>0</v>
      </c>
      <c r="M18" s="300" t="n">
        <v>0</v>
      </c>
      <c r="N18" s="300" t="n">
        <v>0</v>
      </c>
      <c r="O18" s="300" t="n">
        <v>0</v>
      </c>
      <c r="P18" s="300" t="n">
        <v>6544.53979156737</v>
      </c>
      <c r="Q18" s="300" t="n">
        <v>6567.33040441028</v>
      </c>
      <c r="R18" s="300" t="n">
        <v>6548.61437927262</v>
      </c>
      <c r="S18" s="300" t="n">
        <v>6657.1193284584</v>
      </c>
      <c r="T18" s="300" t="n">
        <v>6591.3315534554</v>
      </c>
      <c r="U18" s="300" t="n">
        <v>0</v>
      </c>
    </row>
    <row r="19" customFormat="false" ht="12.75" hidden="false" customHeight="false" outlineLevel="0" collapsed="false">
      <c r="A19" s="0" t="s">
        <v>292</v>
      </c>
      <c r="B19" s="0" t="s">
        <v>293</v>
      </c>
      <c r="C19" s="300" t="n">
        <f aca="false">SUM(E19:U19)</f>
        <v>17469.2078777519</v>
      </c>
      <c r="D19" s="0" t="s">
        <v>294</v>
      </c>
      <c r="E19" s="300" t="n">
        <v>0</v>
      </c>
      <c r="F19" s="300" t="n">
        <v>0</v>
      </c>
      <c r="G19" s="300" t="n">
        <v>0</v>
      </c>
      <c r="H19" s="300" t="n">
        <v>0</v>
      </c>
      <c r="I19" s="300" t="n">
        <v>0</v>
      </c>
      <c r="J19" s="300" t="n">
        <v>0</v>
      </c>
      <c r="K19" s="300" t="n">
        <v>0</v>
      </c>
      <c r="L19" s="300" t="n">
        <v>0</v>
      </c>
      <c r="M19" s="300" t="n">
        <v>0</v>
      </c>
      <c r="N19" s="300" t="n">
        <v>0</v>
      </c>
      <c r="O19" s="300" t="n">
        <v>0</v>
      </c>
      <c r="P19" s="300" t="n">
        <v>0</v>
      </c>
      <c r="Q19" s="300" t="n">
        <v>0</v>
      </c>
      <c r="R19" s="300" t="n">
        <v>0</v>
      </c>
      <c r="S19" s="300" t="n">
        <v>0</v>
      </c>
      <c r="T19" s="300" t="n">
        <v>0</v>
      </c>
      <c r="U19" s="300" t="n">
        <v>17469.2078777519</v>
      </c>
    </row>
    <row r="20" customFormat="false" ht="13.5" hidden="false" customHeight="false" outlineLevel="0" collapsed="false">
      <c r="C20" s="302" t="n">
        <f aca="false">+C17+C18+C19</f>
        <v>57617.2766727757</v>
      </c>
      <c r="E20" s="302" t="n">
        <f aca="false">+E19+E18+E17</f>
        <v>736.052150347669</v>
      </c>
      <c r="F20" s="302" t="n">
        <f aca="false">+F19+F18+F17</f>
        <v>664.031765913842</v>
      </c>
      <c r="G20" s="302" t="n">
        <f aca="false">+G19+G18+G17</f>
        <v>624.508565135852</v>
      </c>
      <c r="H20" s="302" t="n">
        <f aca="false">+H19+H18+H17</f>
        <v>604.343768789908</v>
      </c>
      <c r="I20" s="302" t="n">
        <f aca="false">+I19+I18+I17</f>
        <v>613.320544100303</v>
      </c>
      <c r="J20" s="302" t="n">
        <f aca="false">+J19+J18+J17</f>
        <v>643.773455489831</v>
      </c>
      <c r="K20" s="302" t="n">
        <f aca="false">+K19+K18+K17</f>
        <v>654.062073827208</v>
      </c>
      <c r="L20" s="302" t="n">
        <f aca="false">+L19+L18+L17</f>
        <v>657.847535153714</v>
      </c>
      <c r="M20" s="302" t="n">
        <f aca="false">+M19+M18+M17</f>
        <v>674.841616220666</v>
      </c>
      <c r="N20" s="302" t="n">
        <f aca="false">+N19+N18+N17</f>
        <v>679.790478399035</v>
      </c>
      <c r="O20" s="302" t="n">
        <f aca="false">+O19+O18+O17</f>
        <v>686.561384481783</v>
      </c>
      <c r="P20" s="302" t="n">
        <f aca="false">+P19+P18+P17</f>
        <v>6544.53979156737</v>
      </c>
      <c r="Q20" s="302" t="n">
        <f aca="false">+Q19+Q18+Q17</f>
        <v>6567.33040441028</v>
      </c>
      <c r="R20" s="302" t="n">
        <f aca="false">+R19+R18+R17</f>
        <v>6548.61437927262</v>
      </c>
      <c r="S20" s="302" t="n">
        <f aca="false">+S19+S18+S17</f>
        <v>6657.1193284584</v>
      </c>
      <c r="T20" s="302" t="n">
        <f aca="false">+T19+T18+T17</f>
        <v>6591.3315534554</v>
      </c>
      <c r="U20" s="302" t="n">
        <f aca="false">+U19+U18+U17</f>
        <v>17469.2078777519</v>
      </c>
    </row>
    <row r="21" customFormat="false" ht="13.5" hidden="false" customHeight="false" outlineLevel="0" collapsed="false"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4"/>
      <c r="U21" s="304"/>
    </row>
    <row r="23" customFormat="false" ht="12.75" hidden="false" customHeight="false" outlineLevel="0" collapsed="false">
      <c r="D23" s="305" t="n">
        <f aca="false">NPV(0.11,E20:U20)</f>
        <v>14763.4353898004</v>
      </c>
    </row>
    <row r="24" customFormat="false" ht="12.75" hidden="false" customHeight="false" outlineLevel="0" collapsed="false">
      <c r="A24" s="0" t="s">
        <v>296</v>
      </c>
    </row>
    <row r="25" customFormat="false" ht="12.75" hidden="false" customHeight="false" outlineLevel="0" collapsed="false">
      <c r="A25" s="0" t="s">
        <v>297</v>
      </c>
    </row>
    <row r="26" customFormat="false" ht="12.75" hidden="false" customHeight="false" outlineLevel="0" collapsed="false">
      <c r="A26" s="0" t="s">
        <v>298</v>
      </c>
    </row>
    <row r="27" customFormat="false" ht="12.75" hidden="false" customHeight="false" outlineLevel="0" collapsed="false">
      <c r="A27" s="0" t="s">
        <v>299</v>
      </c>
    </row>
    <row r="28" customFormat="false" ht="12.75" hidden="false" customHeight="false" outlineLevel="0" collapsed="false">
      <c r="A28" s="0" t="s">
        <v>300</v>
      </c>
    </row>
    <row r="29" customFormat="false" ht="12.75" hidden="false" customHeight="false" outlineLevel="0" collapsed="false">
      <c r="A29" s="0" t="s">
        <v>301</v>
      </c>
    </row>
    <row r="30" customFormat="false" ht="12.75" hidden="false" customHeight="false" outlineLevel="0" collapsed="false">
      <c r="A30" s="0" t="s">
        <v>302</v>
      </c>
    </row>
    <row r="31" customFormat="false" ht="12.75" hidden="false" customHeight="false" outlineLevel="0" collapsed="false">
      <c r="A31" s="0" t="s">
        <v>303</v>
      </c>
    </row>
    <row r="32" customFormat="false" ht="12.75" hidden="false" customHeight="false" outlineLevel="0" collapsed="false">
      <c r="A32" s="0" t="s">
        <v>304</v>
      </c>
    </row>
    <row r="33" customFormat="false" ht="12.75" hidden="false" customHeight="false" outlineLevel="0" collapsed="false">
      <c r="A33" s="0" t="s">
        <v>305</v>
      </c>
      <c r="B33" s="0" t="n">
        <v>1418</v>
      </c>
    </row>
    <row r="35" customFormat="false" ht="15.75" hidden="false" customHeight="false" outlineLevel="0" collapsed="false">
      <c r="A35" s="296" t="s">
        <v>54</v>
      </c>
    </row>
    <row r="36" customFormat="false" ht="12.75" hidden="false" customHeight="false" outlineLevel="0" collapsed="false">
      <c r="A36" s="297" t="s">
        <v>286</v>
      </c>
      <c r="C36" s="298" t="s">
        <v>80</v>
      </c>
      <c r="D36" s="306"/>
      <c r="E36" s="299" t="n">
        <v>2001</v>
      </c>
      <c r="F36" s="299" t="n">
        <v>2002</v>
      </c>
      <c r="G36" s="299" t="n">
        <v>2003</v>
      </c>
      <c r="H36" s="299" t="n">
        <v>2004</v>
      </c>
      <c r="I36" s="299" t="n">
        <v>2005</v>
      </c>
      <c r="J36" s="299" t="n">
        <v>2006</v>
      </c>
      <c r="K36" s="299" t="n">
        <v>2007</v>
      </c>
      <c r="L36" s="299" t="n">
        <v>2008</v>
      </c>
      <c r="M36" s="299" t="n">
        <v>2009</v>
      </c>
      <c r="N36" s="299" t="n">
        <v>2010</v>
      </c>
      <c r="O36" s="299" t="n">
        <v>2011</v>
      </c>
      <c r="P36" s="299" t="n">
        <v>2012</v>
      </c>
      <c r="Q36" s="299" t="n">
        <v>2013</v>
      </c>
      <c r="R36" s="299" t="n">
        <v>2014</v>
      </c>
      <c r="S36" s="299" t="n">
        <v>2015</v>
      </c>
      <c r="T36" s="299" t="n">
        <v>2016</v>
      </c>
      <c r="U36" s="299" t="n">
        <v>2017</v>
      </c>
    </row>
    <row r="37" customFormat="false" ht="12.75" hidden="false" customHeight="false" outlineLevel="0" collapsed="false">
      <c r="A37" s="0" t="s">
        <v>287</v>
      </c>
      <c r="B37" s="0" t="s">
        <v>306</v>
      </c>
      <c r="C37" s="307" t="n">
        <f aca="false">SUM(E37:U37)</f>
        <v>24124.1089043162</v>
      </c>
      <c r="D37" s="300" t="s">
        <v>289</v>
      </c>
      <c r="E37" s="300" t="n">
        <v>2295.63051120644</v>
      </c>
      <c r="F37" s="300" t="n">
        <v>2105.22940789149</v>
      </c>
      <c r="G37" s="300" t="n">
        <v>2043.974836798</v>
      </c>
      <c r="H37" s="300" t="n">
        <v>2026.02927425088</v>
      </c>
      <c r="I37" s="300" t="n">
        <v>2080.79818290198</v>
      </c>
      <c r="J37" s="300" t="n">
        <v>2160.37557522939</v>
      </c>
      <c r="K37" s="300" t="n">
        <v>2195.71397683568</v>
      </c>
      <c r="L37" s="300" t="n">
        <v>2231.7584676506</v>
      </c>
      <c r="M37" s="300" t="n">
        <v>2311.88564178599</v>
      </c>
      <c r="N37" s="300" t="n">
        <v>2323.8847464425</v>
      </c>
      <c r="O37" s="300" t="n">
        <v>2348.82828332327</v>
      </c>
      <c r="P37" s="300" t="n">
        <v>0</v>
      </c>
      <c r="Q37" s="300" t="n">
        <v>0</v>
      </c>
      <c r="R37" s="300" t="n">
        <v>0</v>
      </c>
      <c r="S37" s="300" t="n">
        <v>0</v>
      </c>
      <c r="T37" s="300" t="n">
        <v>0</v>
      </c>
      <c r="U37" s="300" t="n">
        <v>0</v>
      </c>
    </row>
    <row r="38" customFormat="false" ht="12.75" hidden="false" customHeight="false" outlineLevel="0" collapsed="false">
      <c r="A38" s="301" t="s">
        <v>307</v>
      </c>
      <c r="B38" s="0" t="s">
        <v>308</v>
      </c>
      <c r="C38" s="300" t="n">
        <f aca="false">SUM(E38:U38)</f>
        <v>94449.7650200316</v>
      </c>
      <c r="D38" s="300" t="s">
        <v>309</v>
      </c>
      <c r="E38" s="300" t="n">
        <v>0</v>
      </c>
      <c r="F38" s="300" t="n">
        <v>0</v>
      </c>
      <c r="G38" s="300" t="n">
        <v>0</v>
      </c>
      <c r="H38" s="300" t="n">
        <v>0</v>
      </c>
      <c r="I38" s="300" t="n">
        <v>0</v>
      </c>
      <c r="J38" s="300" t="n">
        <v>0</v>
      </c>
      <c r="K38" s="300" t="n">
        <v>0</v>
      </c>
      <c r="L38" s="300" t="n">
        <v>0</v>
      </c>
      <c r="M38" s="300" t="n">
        <v>0</v>
      </c>
      <c r="N38" s="300" t="n">
        <v>0</v>
      </c>
      <c r="O38" s="300" t="n">
        <v>0</v>
      </c>
      <c r="P38" s="300" t="n">
        <v>15451.0450919228</v>
      </c>
      <c r="Q38" s="300" t="n">
        <v>15568.7224099204</v>
      </c>
      <c r="R38" s="300" t="n">
        <v>15547.3683300586</v>
      </c>
      <c r="S38" s="300" t="n">
        <v>15966.2798562525</v>
      </c>
      <c r="T38" s="300" t="n">
        <v>15894.9837848091</v>
      </c>
      <c r="U38" s="300" t="n">
        <v>16021.3655470682</v>
      </c>
    </row>
    <row r="39" customFormat="false" ht="13.5" hidden="false" customHeight="false" outlineLevel="0" collapsed="false">
      <c r="C39" s="302" t="n">
        <f aca="false">+C37+C38</f>
        <v>118573.873924348</v>
      </c>
      <c r="D39" s="308"/>
      <c r="E39" s="302" t="n">
        <f aca="false">+E37+E38</f>
        <v>2295.63051120644</v>
      </c>
      <c r="F39" s="302" t="n">
        <f aca="false">+F37+F38</f>
        <v>2105.22940789149</v>
      </c>
      <c r="G39" s="302" t="n">
        <f aca="false">+G37+G38</f>
        <v>2043.974836798</v>
      </c>
      <c r="H39" s="302" t="n">
        <f aca="false">+H37+H38</f>
        <v>2026.02927425088</v>
      </c>
      <c r="I39" s="302" t="n">
        <f aca="false">+I37+I38</f>
        <v>2080.79818290198</v>
      </c>
      <c r="J39" s="302" t="n">
        <f aca="false">+J37+J38</f>
        <v>2160.37557522939</v>
      </c>
      <c r="K39" s="302" t="n">
        <f aca="false">+K37+K38</f>
        <v>2195.71397683568</v>
      </c>
      <c r="L39" s="302" t="n">
        <f aca="false">+L37+L38</f>
        <v>2231.7584676506</v>
      </c>
      <c r="M39" s="302" t="n">
        <f aca="false">+M37+M38</f>
        <v>2311.88564178599</v>
      </c>
      <c r="N39" s="302" t="n">
        <f aca="false">+N37+N38</f>
        <v>2323.8847464425</v>
      </c>
      <c r="O39" s="302" t="n">
        <f aca="false">+O37+O38</f>
        <v>2348.82828332327</v>
      </c>
      <c r="P39" s="302" t="n">
        <f aca="false">+P37+P38</f>
        <v>15451.0450919228</v>
      </c>
      <c r="Q39" s="302" t="n">
        <f aca="false">+Q37+Q38</f>
        <v>15568.7224099204</v>
      </c>
      <c r="R39" s="302" t="n">
        <f aca="false">+R37+R38</f>
        <v>15547.3683300586</v>
      </c>
      <c r="S39" s="302" t="n">
        <f aca="false">+S37+S38</f>
        <v>15966.2798562525</v>
      </c>
      <c r="T39" s="302" t="n">
        <f aca="false">+T37+T38</f>
        <v>15894.9837848091</v>
      </c>
      <c r="U39" s="302" t="n">
        <f aca="false">+U37+U38</f>
        <v>16021.3655470682</v>
      </c>
    </row>
    <row r="40" customFormat="false" ht="13.5" hidden="false" customHeight="false" outlineLevel="0" collapsed="false">
      <c r="C40" s="300"/>
      <c r="D40" s="300"/>
    </row>
    <row r="41" customFormat="false" ht="12.75" hidden="false" customHeight="false" outlineLevel="0" collapsed="false">
      <c r="A41" s="297" t="s">
        <v>295</v>
      </c>
      <c r="C41" s="298" t="s">
        <v>80</v>
      </c>
      <c r="D41" s="306"/>
      <c r="E41" s="299" t="n">
        <v>2001</v>
      </c>
      <c r="F41" s="299" t="n">
        <v>2002</v>
      </c>
      <c r="G41" s="299" t="n">
        <v>2003</v>
      </c>
      <c r="H41" s="299" t="n">
        <v>2004</v>
      </c>
      <c r="I41" s="299" t="n">
        <v>2005</v>
      </c>
      <c r="J41" s="299" t="n">
        <v>2006</v>
      </c>
      <c r="K41" s="299" t="n">
        <v>2007</v>
      </c>
      <c r="L41" s="299" t="n">
        <v>2008</v>
      </c>
      <c r="M41" s="299" t="n">
        <v>2009</v>
      </c>
      <c r="N41" s="299" t="n">
        <v>2010</v>
      </c>
      <c r="O41" s="299" t="n">
        <v>2011</v>
      </c>
      <c r="P41" s="299" t="n">
        <v>2012</v>
      </c>
      <c r="Q41" s="299" t="n">
        <v>2013</v>
      </c>
      <c r="R41" s="299" t="n">
        <v>2014</v>
      </c>
      <c r="S41" s="299" t="n">
        <v>2015</v>
      </c>
      <c r="T41" s="299" t="n">
        <v>2016</v>
      </c>
      <c r="U41" s="299" t="n">
        <v>2017</v>
      </c>
    </row>
    <row r="42" customFormat="false" ht="12.75" hidden="false" customHeight="false" outlineLevel="0" collapsed="false">
      <c r="A42" s="0" t="s">
        <v>287</v>
      </c>
      <c r="B42" s="0" t="s">
        <v>306</v>
      </c>
      <c r="C42" s="300" t="n">
        <f aca="false">SUM(E42:U42)</f>
        <v>29748.5760757439</v>
      </c>
      <c r="D42" s="0" t="s">
        <v>289</v>
      </c>
      <c r="E42" s="300" t="n">
        <v>2543.44218819648</v>
      </c>
      <c r="F42" s="300" t="n">
        <v>2427.05258903789</v>
      </c>
      <c r="G42" s="300" t="n">
        <v>2422.2327241442</v>
      </c>
      <c r="H42" s="300" t="n">
        <v>2443.11728774872</v>
      </c>
      <c r="I42" s="300" t="n">
        <v>2527.29657435312</v>
      </c>
      <c r="J42" s="300" t="n">
        <v>2705.92898641747</v>
      </c>
      <c r="K42" s="300" t="n">
        <v>2821.71517417739</v>
      </c>
      <c r="L42" s="300" t="n">
        <v>2872.72701596786</v>
      </c>
      <c r="M42" s="300" t="n">
        <v>2964.76346052196</v>
      </c>
      <c r="N42" s="300" t="n">
        <v>3004.98460994572</v>
      </c>
      <c r="O42" s="300" t="n">
        <v>3015.31546523305</v>
      </c>
      <c r="P42" s="300" t="n">
        <v>0</v>
      </c>
      <c r="Q42" s="300" t="n">
        <v>0</v>
      </c>
      <c r="R42" s="300" t="n">
        <v>0</v>
      </c>
      <c r="S42" s="300" t="n">
        <v>0</v>
      </c>
      <c r="T42" s="300" t="n">
        <v>0</v>
      </c>
      <c r="U42" s="300" t="n">
        <v>0</v>
      </c>
    </row>
    <row r="43" customFormat="false" ht="12.75" hidden="false" customHeight="false" outlineLevel="0" collapsed="false">
      <c r="A43" s="301" t="s">
        <v>307</v>
      </c>
      <c r="B43" s="0" t="s">
        <v>308</v>
      </c>
      <c r="C43" s="300" t="n">
        <f aca="false">SUM(E43:U43)</f>
        <v>121174.92933628</v>
      </c>
      <c r="D43" s="0" t="s">
        <v>309</v>
      </c>
      <c r="E43" s="300" t="n">
        <v>0</v>
      </c>
      <c r="F43" s="300" t="n">
        <v>0</v>
      </c>
      <c r="G43" s="300" t="n">
        <v>0</v>
      </c>
      <c r="H43" s="300" t="n">
        <v>0</v>
      </c>
      <c r="I43" s="300" t="n">
        <v>0</v>
      </c>
      <c r="J43" s="300" t="n">
        <v>0</v>
      </c>
      <c r="K43" s="300" t="n">
        <v>0</v>
      </c>
      <c r="L43" s="300" t="n">
        <v>0</v>
      </c>
      <c r="M43" s="300" t="n">
        <v>0</v>
      </c>
      <c r="N43" s="300" t="n">
        <v>0</v>
      </c>
      <c r="O43" s="300" t="n">
        <v>0</v>
      </c>
      <c r="P43" s="300" t="n">
        <v>20278.583448167</v>
      </c>
      <c r="Q43" s="300" t="n">
        <v>20231.5944493146</v>
      </c>
      <c r="R43" s="300" t="n">
        <v>20064.7257297302</v>
      </c>
      <c r="S43" s="300" t="n">
        <v>20354.9782544864</v>
      </c>
      <c r="T43" s="300" t="n">
        <v>20133.8054065422</v>
      </c>
      <c r="U43" s="300" t="n">
        <v>20111.2420480396</v>
      </c>
    </row>
    <row r="44" customFormat="false" ht="13.5" hidden="false" customHeight="false" outlineLevel="0" collapsed="false">
      <c r="C44" s="302" t="n">
        <f aca="false">+C42+C43</f>
        <v>150923.505412024</v>
      </c>
      <c r="E44" s="302" t="n">
        <f aca="false">+E43+E42</f>
        <v>2543.44218819648</v>
      </c>
      <c r="F44" s="302" t="n">
        <f aca="false">+F43+F42</f>
        <v>2427.05258903789</v>
      </c>
      <c r="G44" s="302" t="n">
        <f aca="false">+G43+G42</f>
        <v>2422.2327241442</v>
      </c>
      <c r="H44" s="302" t="n">
        <f aca="false">+H43+H42</f>
        <v>2443.11728774872</v>
      </c>
      <c r="I44" s="302" t="n">
        <f aca="false">+I43+I42</f>
        <v>2527.29657435312</v>
      </c>
      <c r="J44" s="302" t="n">
        <f aca="false">+J43+J42</f>
        <v>2705.92898641747</v>
      </c>
      <c r="K44" s="302" t="n">
        <f aca="false">+K43+K42</f>
        <v>2821.71517417739</v>
      </c>
      <c r="L44" s="302" t="n">
        <f aca="false">+L43+L42</f>
        <v>2872.72701596786</v>
      </c>
      <c r="M44" s="302" t="n">
        <f aca="false">+M43+M42</f>
        <v>2964.76346052196</v>
      </c>
      <c r="N44" s="302" t="n">
        <f aca="false">+N43+N42</f>
        <v>3004.98460994572</v>
      </c>
      <c r="O44" s="302" t="n">
        <f aca="false">+O43+O42</f>
        <v>3015.31546523305</v>
      </c>
      <c r="P44" s="302" t="n">
        <f aca="false">+P43+P42</f>
        <v>20278.583448167</v>
      </c>
      <c r="Q44" s="302" t="n">
        <f aca="false">+Q43+Q42</f>
        <v>20231.5944493146</v>
      </c>
      <c r="R44" s="302" t="n">
        <f aca="false">+R43+R42</f>
        <v>20064.7257297302</v>
      </c>
      <c r="S44" s="302" t="n">
        <f aca="false">+S43+S42</f>
        <v>20354.9782544864</v>
      </c>
      <c r="T44" s="302" t="n">
        <f aca="false">+T43+T42</f>
        <v>20133.8054065422</v>
      </c>
      <c r="U44" s="302" t="n">
        <f aca="false">+U43+U42</f>
        <v>20111.2420480396</v>
      </c>
    </row>
    <row r="45" customFormat="false" ht="13.5" hidden="false" customHeight="false" outlineLevel="0" collapsed="false">
      <c r="C45" s="300"/>
      <c r="D45" s="300"/>
    </row>
    <row r="46" customFormat="false" ht="12.75" hidden="false" customHeight="false" outlineLevel="0" collapsed="false">
      <c r="D46" s="305" t="n">
        <f aca="false">NPV(0.11,E43:U43)</f>
        <v>27118.1236441402</v>
      </c>
    </row>
    <row r="47" customFormat="false" ht="12.75" hidden="false" customHeight="false" outlineLevel="0" collapsed="false">
      <c r="A47" s="0" t="s">
        <v>310</v>
      </c>
    </row>
    <row r="48" customFormat="false" ht="12.75" hidden="false" customHeight="false" outlineLevel="0" collapsed="false">
      <c r="A48" s="0" t="s">
        <v>311</v>
      </c>
    </row>
    <row r="49" customFormat="false" ht="12.75" hidden="false" customHeight="false" outlineLevel="0" collapsed="false">
      <c r="A49" s="0" t="s">
        <v>298</v>
      </c>
    </row>
    <row r="50" customFormat="false" ht="12.75" hidden="false" customHeight="false" outlineLevel="0" collapsed="false">
      <c r="A50" s="0" t="s">
        <v>299</v>
      </c>
    </row>
    <row r="51" customFormat="false" ht="12.75" hidden="false" customHeight="false" outlineLevel="0" collapsed="false">
      <c r="A51" s="0" t="s">
        <v>300</v>
      </c>
    </row>
    <row r="52" customFormat="false" ht="12.75" hidden="false" customHeight="false" outlineLevel="0" collapsed="false">
      <c r="A52" s="0" t="s">
        <v>301</v>
      </c>
    </row>
    <row r="53" customFormat="false" ht="12.75" hidden="false" customHeight="false" outlineLevel="0" collapsed="false">
      <c r="A53" s="0" t="s">
        <v>303</v>
      </c>
    </row>
    <row r="54" customFormat="false" ht="12.75" hidden="false" customHeight="false" outlineLevel="0" collapsed="false">
      <c r="A54" s="0" t="s">
        <v>304</v>
      </c>
    </row>
    <row r="55" customFormat="false" ht="12.75" hidden="false" customHeight="false" outlineLevel="0" collapsed="false">
      <c r="A55" s="0" t="s">
        <v>305</v>
      </c>
      <c r="B55" s="0" t="n">
        <v>1745</v>
      </c>
    </row>
    <row r="60" customFormat="false" ht="15.75" hidden="false" customHeight="false" outlineLevel="0" collapsed="false">
      <c r="A60" s="296" t="s">
        <v>54</v>
      </c>
    </row>
    <row r="61" customFormat="false" ht="12.75" hidden="false" customHeight="false" outlineLevel="0" collapsed="false">
      <c r="A61" s="297" t="s">
        <v>286</v>
      </c>
      <c r="C61" s="298" t="s">
        <v>80</v>
      </c>
      <c r="D61" s="306"/>
      <c r="E61" s="299" t="n">
        <v>2001</v>
      </c>
      <c r="F61" s="299" t="n">
        <v>2002</v>
      </c>
      <c r="G61" s="299" t="n">
        <v>2003</v>
      </c>
      <c r="H61" s="299" t="n">
        <v>2004</v>
      </c>
      <c r="I61" s="299" t="n">
        <v>2005</v>
      </c>
      <c r="J61" s="299" t="n">
        <v>2006</v>
      </c>
      <c r="K61" s="299" t="n">
        <v>2007</v>
      </c>
      <c r="L61" s="299" t="n">
        <v>2008</v>
      </c>
      <c r="M61" s="299" t="n">
        <v>2009</v>
      </c>
      <c r="N61" s="299" t="n">
        <v>2010</v>
      </c>
      <c r="O61" s="299" t="n">
        <v>2011</v>
      </c>
      <c r="P61" s="299" t="n">
        <v>2012</v>
      </c>
      <c r="Q61" s="299" t="n">
        <v>2013</v>
      </c>
      <c r="R61" s="299" t="n">
        <v>2014</v>
      </c>
      <c r="S61" s="299" t="n">
        <v>2015</v>
      </c>
      <c r="T61" s="299" t="n">
        <v>2016</v>
      </c>
      <c r="U61" s="299" t="n">
        <v>2017</v>
      </c>
    </row>
    <row r="62" customFormat="false" ht="12.75" hidden="false" customHeight="false" outlineLevel="0" collapsed="false">
      <c r="A62" s="0" t="s">
        <v>287</v>
      </c>
      <c r="B62" s="0" t="s">
        <v>306</v>
      </c>
      <c r="C62" s="308" t="n">
        <v>20068958.1452436</v>
      </c>
      <c r="D62" s="0" t="s">
        <v>312</v>
      </c>
      <c r="E62" s="308" t="n">
        <v>1782292.82263532</v>
      </c>
      <c r="F62" s="308" t="n">
        <v>1713819.35817734</v>
      </c>
      <c r="G62" s="308" t="n">
        <v>1667802.06210534</v>
      </c>
      <c r="H62" s="308" t="n">
        <v>1647322.55057511</v>
      </c>
      <c r="I62" s="308" t="n">
        <v>1700681.69195144</v>
      </c>
      <c r="J62" s="308" t="n">
        <v>1776047.58532923</v>
      </c>
      <c r="K62" s="308" t="n">
        <v>1833977.26227935</v>
      </c>
      <c r="L62" s="308" t="n">
        <v>1886606.71932665</v>
      </c>
      <c r="M62" s="308" t="n">
        <v>1991663.7963991</v>
      </c>
      <c r="N62" s="308" t="n">
        <v>2015622.858192</v>
      </c>
      <c r="O62" s="308" t="n">
        <v>2053121.43827267</v>
      </c>
      <c r="P62" s="308" t="n">
        <v>0</v>
      </c>
      <c r="Q62" s="308" t="n">
        <v>0</v>
      </c>
      <c r="R62" s="308" t="n">
        <v>0</v>
      </c>
      <c r="S62" s="308" t="n">
        <v>0</v>
      </c>
      <c r="T62" s="308" t="n">
        <v>0</v>
      </c>
      <c r="U62" s="308" t="n">
        <v>0</v>
      </c>
    </row>
    <row r="63" customFormat="false" ht="12.75" hidden="false" customHeight="false" outlineLevel="0" collapsed="false">
      <c r="A63" s="301"/>
      <c r="C63" s="300" t="n">
        <v>27135380.9056</v>
      </c>
      <c r="D63" s="0" t="s">
        <v>313</v>
      </c>
      <c r="E63" s="308" t="n">
        <v>1840963.8688</v>
      </c>
      <c r="F63" s="308" t="n">
        <v>2136766.5088</v>
      </c>
      <c r="G63" s="308" t="n">
        <v>2232389.0096</v>
      </c>
      <c r="H63" s="308" t="n">
        <v>2201247.6752</v>
      </c>
      <c r="I63" s="308" t="n">
        <v>2419051.728</v>
      </c>
      <c r="J63" s="308" t="n">
        <v>2615777.576</v>
      </c>
      <c r="K63" s="308" t="n">
        <v>2681313.3184</v>
      </c>
      <c r="L63" s="308" t="n">
        <v>2723827.992</v>
      </c>
      <c r="M63" s="308" t="n">
        <v>2763604.3552</v>
      </c>
      <c r="N63" s="308" t="n">
        <v>2739001.848</v>
      </c>
      <c r="O63" s="308" t="n">
        <v>2781437.0256</v>
      </c>
      <c r="P63" s="308" t="n">
        <v>0</v>
      </c>
      <c r="Q63" s="308" t="n">
        <v>0</v>
      </c>
      <c r="R63" s="308" t="n">
        <v>0</v>
      </c>
      <c r="S63" s="308" t="n">
        <v>0</v>
      </c>
      <c r="T63" s="308" t="n">
        <v>0</v>
      </c>
      <c r="U63" s="308" t="n">
        <v>0</v>
      </c>
    </row>
    <row r="64" customFormat="false" ht="12.75" hidden="false" customHeight="false" outlineLevel="0" collapsed="false">
      <c r="C64" s="300" t="n">
        <v>22369828.2656</v>
      </c>
      <c r="D64" s="0" t="s">
        <v>314</v>
      </c>
      <c r="E64" s="308" t="n">
        <v>1558414.1088</v>
      </c>
      <c r="F64" s="308" t="n">
        <v>1775030.8288</v>
      </c>
      <c r="G64" s="308" t="n">
        <v>1832860.0496</v>
      </c>
      <c r="H64" s="308" t="n">
        <v>1801718.7152</v>
      </c>
      <c r="I64" s="308" t="n">
        <v>1979929.808</v>
      </c>
      <c r="J64" s="308" t="n">
        <v>2142461.736</v>
      </c>
      <c r="K64" s="308" t="n">
        <v>2198999.0784</v>
      </c>
      <c r="L64" s="308" t="n">
        <v>2237914.392</v>
      </c>
      <c r="M64" s="308" t="n">
        <v>2275891.0752</v>
      </c>
      <c r="N64" s="308" t="n">
        <v>2262086.648</v>
      </c>
      <c r="O64" s="308" t="n">
        <v>2304521.8256</v>
      </c>
      <c r="P64" s="308" t="n">
        <v>0</v>
      </c>
      <c r="Q64" s="308" t="n">
        <v>0</v>
      </c>
      <c r="R64" s="308" t="n">
        <v>0</v>
      </c>
      <c r="S64" s="308" t="n">
        <v>0</v>
      </c>
      <c r="T64" s="308" t="n">
        <v>0</v>
      </c>
      <c r="U64" s="308" t="n">
        <v>0</v>
      </c>
    </row>
    <row r="65" customFormat="false" ht="12.75" hidden="false" customHeight="false" outlineLevel="0" collapsed="false">
      <c r="C65" s="300" t="n">
        <v>4765552.64</v>
      </c>
      <c r="D65" s="0" t="s">
        <v>315</v>
      </c>
      <c r="E65" s="308" t="n">
        <v>282549.76</v>
      </c>
      <c r="F65" s="308" t="n">
        <v>361735.68</v>
      </c>
      <c r="G65" s="308" t="n">
        <v>399528.96</v>
      </c>
      <c r="H65" s="308" t="n">
        <v>399528.96</v>
      </c>
      <c r="I65" s="308" t="n">
        <v>439121.92</v>
      </c>
      <c r="J65" s="308" t="n">
        <v>473315.84</v>
      </c>
      <c r="K65" s="308" t="n">
        <v>482314.24</v>
      </c>
      <c r="L65" s="308" t="n">
        <v>485913.6</v>
      </c>
      <c r="M65" s="308" t="n">
        <v>487713.28</v>
      </c>
      <c r="N65" s="308" t="n">
        <v>476915.2</v>
      </c>
      <c r="O65" s="308" t="n">
        <v>476915.2</v>
      </c>
      <c r="P65" s="308" t="n">
        <v>0</v>
      </c>
      <c r="Q65" s="308" t="n">
        <v>0</v>
      </c>
      <c r="R65" s="308" t="n">
        <v>0</v>
      </c>
      <c r="S65" s="308" t="n">
        <v>0</v>
      </c>
      <c r="T65" s="308" t="n">
        <v>0</v>
      </c>
      <c r="U65" s="308" t="n">
        <v>0</v>
      </c>
    </row>
    <row r="66" customFormat="false" ht="13.5" hidden="false" customHeight="false" outlineLevel="0" collapsed="false">
      <c r="C66" s="302" t="n">
        <v>20068958.1452436</v>
      </c>
      <c r="D66" s="300" t="s">
        <v>80</v>
      </c>
      <c r="E66" s="302" t="n">
        <v>1782292.82263532</v>
      </c>
      <c r="F66" s="302" t="n">
        <v>1713819.35817734</v>
      </c>
      <c r="G66" s="302" t="n">
        <v>1667802.06210534</v>
      </c>
      <c r="H66" s="302" t="n">
        <v>1647322.55057512</v>
      </c>
      <c r="I66" s="302" t="n">
        <v>1700681.69195144</v>
      </c>
      <c r="J66" s="302" t="n">
        <v>1776047.58532923</v>
      </c>
      <c r="K66" s="302" t="n">
        <v>1833977.26227935</v>
      </c>
      <c r="L66" s="302" t="n">
        <v>1886606.71932665</v>
      </c>
      <c r="M66" s="302" t="n">
        <v>1991663.79639911</v>
      </c>
      <c r="N66" s="302" t="n">
        <v>2015622.858192</v>
      </c>
      <c r="O66" s="302" t="n">
        <v>2053121.43827267</v>
      </c>
      <c r="P66" s="302" t="n">
        <v>0</v>
      </c>
      <c r="Q66" s="302" t="n">
        <v>0</v>
      </c>
      <c r="R66" s="302" t="n">
        <v>0</v>
      </c>
      <c r="S66" s="302" t="n">
        <v>0</v>
      </c>
      <c r="T66" s="302" t="n">
        <v>0</v>
      </c>
      <c r="U66" s="302" t="n">
        <v>0</v>
      </c>
    </row>
    <row r="67" customFormat="false" ht="13.5" hidden="false" customHeight="false" outlineLevel="0" collapsed="false">
      <c r="C67" s="300"/>
      <c r="D67" s="300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</row>
    <row r="68" customFormat="false" ht="12.75" hidden="false" customHeight="false" outlineLevel="0" collapsed="false">
      <c r="A68" s="297" t="s">
        <v>48</v>
      </c>
      <c r="C68" s="298" t="s">
        <v>80</v>
      </c>
      <c r="D68" s="306"/>
      <c r="E68" s="299" t="n">
        <v>2001</v>
      </c>
      <c r="F68" s="299" t="n">
        <v>2002</v>
      </c>
      <c r="G68" s="299" t="n">
        <v>2003</v>
      </c>
      <c r="H68" s="299" t="n">
        <v>2004</v>
      </c>
      <c r="I68" s="299" t="n">
        <v>2005</v>
      </c>
      <c r="J68" s="299" t="n">
        <v>2006</v>
      </c>
      <c r="K68" s="299" t="n">
        <v>2007</v>
      </c>
      <c r="L68" s="299" t="n">
        <v>2008</v>
      </c>
      <c r="M68" s="299" t="n">
        <v>2009</v>
      </c>
      <c r="N68" s="299" t="n">
        <v>2010</v>
      </c>
      <c r="O68" s="299" t="n">
        <v>2011</v>
      </c>
      <c r="P68" s="299" t="n">
        <v>2012</v>
      </c>
      <c r="Q68" s="299" t="n">
        <v>2013</v>
      </c>
      <c r="R68" s="299" t="n">
        <v>2014</v>
      </c>
      <c r="S68" s="299" t="n">
        <v>2015</v>
      </c>
      <c r="T68" s="299" t="n">
        <v>2016</v>
      </c>
      <c r="U68" s="299" t="n">
        <v>2017</v>
      </c>
    </row>
    <row r="69" customFormat="false" ht="12.75" hidden="false" customHeight="false" outlineLevel="0" collapsed="false">
      <c r="A69" s="0" t="s">
        <v>287</v>
      </c>
      <c r="B69" s="0" t="s">
        <v>306</v>
      </c>
      <c r="C69" s="308" t="n">
        <v>22748339.870101</v>
      </c>
      <c r="D69" s="0" t="s">
        <v>312</v>
      </c>
      <c r="E69" s="308" t="n">
        <v>1909425.75018371</v>
      </c>
      <c r="F69" s="308" t="n">
        <v>1888500.51601909</v>
      </c>
      <c r="G69" s="308" t="n">
        <v>1862059.04596673</v>
      </c>
      <c r="H69" s="308" t="n">
        <v>1858104.03858944</v>
      </c>
      <c r="I69" s="308" t="n">
        <v>1927273.98108333</v>
      </c>
      <c r="J69" s="308" t="n">
        <v>2014409.24824112</v>
      </c>
      <c r="K69" s="308" t="n">
        <v>2110506.26678278</v>
      </c>
      <c r="L69" s="308" t="n">
        <v>2175645.73911455</v>
      </c>
      <c r="M69" s="308" t="n">
        <v>2297998.62147305</v>
      </c>
      <c r="N69" s="308" t="n">
        <v>2333686.96526019</v>
      </c>
      <c r="O69" s="308" t="n">
        <v>2370729.69738697</v>
      </c>
      <c r="P69" s="308" t="n">
        <v>0</v>
      </c>
      <c r="Q69" s="308" t="n">
        <v>0</v>
      </c>
      <c r="R69" s="308" t="n">
        <v>0</v>
      </c>
      <c r="S69" s="308" t="n">
        <v>0</v>
      </c>
      <c r="T69" s="308" t="n">
        <v>0</v>
      </c>
      <c r="U69" s="308" t="n">
        <v>0</v>
      </c>
    </row>
    <row r="70" customFormat="false" ht="12.75" hidden="false" customHeight="false" outlineLevel="0" collapsed="false">
      <c r="A70" s="301"/>
      <c r="C70" s="300" t="n">
        <v>30506708.5296</v>
      </c>
      <c r="D70" s="0" t="s">
        <v>313</v>
      </c>
      <c r="E70" s="308" t="n">
        <v>2097564.6448</v>
      </c>
      <c r="F70" s="308" t="n">
        <v>2365889.6368</v>
      </c>
      <c r="G70" s="308" t="n">
        <v>2383071.4736</v>
      </c>
      <c r="H70" s="308" t="n">
        <v>2769713.0832</v>
      </c>
      <c r="I70" s="308" t="n">
        <v>2764699.4848</v>
      </c>
      <c r="J70" s="308" t="n">
        <v>2753480.0608</v>
      </c>
      <c r="K70" s="308" t="n">
        <v>2988345.992</v>
      </c>
      <c r="L70" s="308" t="n">
        <v>3054161.1712</v>
      </c>
      <c r="M70" s="308" t="n">
        <v>3087374.0528</v>
      </c>
      <c r="N70" s="308" t="n">
        <v>3097414.4736</v>
      </c>
      <c r="O70" s="308" t="n">
        <v>3144994.456</v>
      </c>
      <c r="P70" s="308" t="n">
        <v>0</v>
      </c>
      <c r="Q70" s="308" t="n">
        <v>0</v>
      </c>
      <c r="R70" s="308" t="n">
        <v>0</v>
      </c>
      <c r="S70" s="308" t="n">
        <v>0</v>
      </c>
      <c r="T70" s="308" t="n">
        <v>0</v>
      </c>
      <c r="U70" s="308" t="n">
        <v>0</v>
      </c>
    </row>
    <row r="71" customFormat="false" ht="12.75" hidden="false" customHeight="false" outlineLevel="0" collapsed="false">
      <c r="C71" s="300" t="n">
        <v>25145461.8096</v>
      </c>
      <c r="D71" s="0" t="s">
        <v>314</v>
      </c>
      <c r="E71" s="308" t="n">
        <v>1775421.9248</v>
      </c>
      <c r="F71" s="308" t="n">
        <v>1964560.9968</v>
      </c>
      <c r="G71" s="308" t="n">
        <v>1956547.3136</v>
      </c>
      <c r="H71" s="308" t="n">
        <v>2267602.3632</v>
      </c>
      <c r="I71" s="308" t="n">
        <v>2262588.7648</v>
      </c>
      <c r="J71" s="308" t="n">
        <v>2254968.7008</v>
      </c>
      <c r="K71" s="308" t="n">
        <v>2450241.672</v>
      </c>
      <c r="L71" s="308" t="n">
        <v>2508858.1312</v>
      </c>
      <c r="M71" s="308" t="n">
        <v>2542071.0128</v>
      </c>
      <c r="N71" s="308" t="n">
        <v>2557510.4736</v>
      </c>
      <c r="O71" s="308" t="n">
        <v>2605090.456</v>
      </c>
      <c r="P71" s="308" t="n">
        <v>0</v>
      </c>
      <c r="Q71" s="308" t="n">
        <v>0</v>
      </c>
      <c r="R71" s="308" t="n">
        <v>0</v>
      </c>
      <c r="S71" s="308" t="n">
        <v>0</v>
      </c>
      <c r="T71" s="308" t="n">
        <v>0</v>
      </c>
      <c r="U71" s="308" t="n">
        <v>0</v>
      </c>
    </row>
    <row r="72" customFormat="false" ht="12.75" hidden="false" customHeight="false" outlineLevel="0" collapsed="false">
      <c r="C72" s="300" t="n">
        <v>5361246.72</v>
      </c>
      <c r="D72" s="0" t="s">
        <v>315</v>
      </c>
      <c r="E72" s="308" t="n">
        <v>322142.72</v>
      </c>
      <c r="F72" s="308" t="n">
        <v>401328.64</v>
      </c>
      <c r="G72" s="308" t="n">
        <v>426524.16</v>
      </c>
      <c r="H72" s="308" t="n">
        <v>502110.72</v>
      </c>
      <c r="I72" s="308" t="n">
        <v>502110.72</v>
      </c>
      <c r="J72" s="308" t="n">
        <v>498511.36</v>
      </c>
      <c r="K72" s="308" t="n">
        <v>538104.32</v>
      </c>
      <c r="L72" s="308" t="n">
        <v>545303.04</v>
      </c>
      <c r="M72" s="308" t="n">
        <v>545303.04</v>
      </c>
      <c r="N72" s="308" t="n">
        <v>539904</v>
      </c>
      <c r="O72" s="308" t="n">
        <v>539904</v>
      </c>
      <c r="P72" s="308" t="n">
        <v>0</v>
      </c>
      <c r="Q72" s="308" t="n">
        <v>0</v>
      </c>
      <c r="R72" s="308" t="n">
        <v>0</v>
      </c>
      <c r="S72" s="308" t="n">
        <v>0</v>
      </c>
      <c r="T72" s="308" t="n">
        <v>0</v>
      </c>
      <c r="U72" s="308" t="n">
        <v>0</v>
      </c>
    </row>
    <row r="73" customFormat="false" ht="13.5" hidden="false" customHeight="false" outlineLevel="0" collapsed="false">
      <c r="C73" s="302" t="n">
        <v>22748339.870101</v>
      </c>
      <c r="D73" s="300" t="s">
        <v>80</v>
      </c>
      <c r="E73" s="302" t="n">
        <v>1909425.75018372</v>
      </c>
      <c r="F73" s="302" t="n">
        <v>1888500.51601909</v>
      </c>
      <c r="G73" s="302" t="n">
        <v>1862059.04596673</v>
      </c>
      <c r="H73" s="302" t="n">
        <v>1858104.03858944</v>
      </c>
      <c r="I73" s="302" t="n">
        <v>1927273.98108333</v>
      </c>
      <c r="J73" s="302" t="n">
        <v>2014409.24824112</v>
      </c>
      <c r="K73" s="302" t="n">
        <v>2110506.26678278</v>
      </c>
      <c r="L73" s="302" t="n">
        <v>2175645.73911455</v>
      </c>
      <c r="M73" s="302" t="n">
        <v>2297998.62147305</v>
      </c>
      <c r="N73" s="302" t="n">
        <v>2333686.96526019</v>
      </c>
      <c r="O73" s="302" t="n">
        <v>2370729.69738697</v>
      </c>
      <c r="P73" s="302" t="n">
        <v>0</v>
      </c>
      <c r="Q73" s="302" t="n">
        <v>0</v>
      </c>
      <c r="R73" s="302" t="n">
        <v>0</v>
      </c>
      <c r="S73" s="302" t="n">
        <v>0</v>
      </c>
      <c r="T73" s="302" t="n">
        <v>0</v>
      </c>
      <c r="U73" s="302" t="n">
        <v>0</v>
      </c>
    </row>
    <row r="74" customFormat="false" ht="13.5" hidden="false" customHeight="false" outlineLevel="0" collapsed="false">
      <c r="C74" s="300"/>
      <c r="D74" s="300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</row>
    <row r="75" customFormat="false" ht="12.75" hidden="false" customHeight="false" outlineLevel="0" collapsed="false">
      <c r="C75" s="300"/>
      <c r="D75" s="300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</row>
    <row r="76" customFormat="false" ht="12.75" hidden="false" customHeight="false" outlineLevel="0" collapsed="false">
      <c r="A76" s="0" t="s">
        <v>316</v>
      </c>
      <c r="C76" s="300"/>
      <c r="D76" s="300" t="s">
        <v>317</v>
      </c>
      <c r="E76" s="308" t="n">
        <f aca="false">E70+E69</f>
        <v>4006990.39498372</v>
      </c>
      <c r="F76" s="308" t="n">
        <f aca="false">F70+F69</f>
        <v>4254390.15281909</v>
      </c>
      <c r="G76" s="308" t="n">
        <f aca="false">G70+G69</f>
        <v>4245130.51956673</v>
      </c>
      <c r="H76" s="308" t="n">
        <f aca="false">H70+H69</f>
        <v>4627817.12178944</v>
      </c>
      <c r="I76" s="308" t="n">
        <f aca="false">I70+I69</f>
        <v>4691973.46588333</v>
      </c>
      <c r="J76" s="308" t="n">
        <f aca="false">J70+J69</f>
        <v>4767889.30904112</v>
      </c>
      <c r="K76" s="308" t="n">
        <f aca="false">K70+K69</f>
        <v>5098852.25878278</v>
      </c>
      <c r="L76" s="308" t="n">
        <f aca="false">L70+L69</f>
        <v>5229806.91031455</v>
      </c>
      <c r="M76" s="308" t="n">
        <f aca="false">M70+M69</f>
        <v>5385372.67427305</v>
      </c>
      <c r="N76" s="308" t="n">
        <f aca="false">N70+N69</f>
        <v>5431101.43886019</v>
      </c>
      <c r="O76" s="308" t="n">
        <f aca="false">O70+O69</f>
        <v>5515724.15338697</v>
      </c>
      <c r="P76" s="308"/>
      <c r="Q76" s="308"/>
      <c r="R76" s="308"/>
      <c r="S76" s="308"/>
      <c r="T76" s="308"/>
      <c r="U76" s="308"/>
    </row>
    <row r="77" customFormat="false" ht="12.75" hidden="false" customHeight="false" outlineLevel="0" collapsed="false">
      <c r="A77" s="0" t="s">
        <v>311</v>
      </c>
      <c r="C77" s="300"/>
      <c r="D77" s="300" t="s">
        <v>318</v>
      </c>
      <c r="E77" s="308" t="n">
        <f aca="false">E76/1000</f>
        <v>4006.99039498372</v>
      </c>
      <c r="F77" s="308" t="n">
        <f aca="false">F76/1000</f>
        <v>4254.39015281909</v>
      </c>
      <c r="G77" s="308" t="n">
        <f aca="false">G76/1000</f>
        <v>4245.13051956673</v>
      </c>
      <c r="H77" s="308" t="n">
        <f aca="false">H76/1000</f>
        <v>4627.81712178944</v>
      </c>
      <c r="I77" s="308" t="n">
        <f aca="false">I76/1000</f>
        <v>4691.97346588333</v>
      </c>
      <c r="J77" s="308" t="n">
        <f aca="false">J76/1000</f>
        <v>4767.88930904112</v>
      </c>
      <c r="K77" s="308" t="n">
        <f aca="false">K76/1000</f>
        <v>5098.85225878278</v>
      </c>
      <c r="L77" s="308" t="n">
        <f aca="false">L76/1000</f>
        <v>5229.80691031455</v>
      </c>
      <c r="M77" s="308" t="n">
        <f aca="false">M76/1000</f>
        <v>5385.37267427305</v>
      </c>
      <c r="N77" s="308" t="n">
        <f aca="false">N76/1000</f>
        <v>5431.10143886019</v>
      </c>
      <c r="O77" s="308" t="n">
        <f aca="false">O76/1000</f>
        <v>5515.72415338697</v>
      </c>
      <c r="P77" s="308"/>
      <c r="Q77" s="308"/>
      <c r="R77" s="308"/>
      <c r="S77" s="308"/>
      <c r="T77" s="308"/>
      <c r="U77" s="308"/>
    </row>
    <row r="78" customFormat="false" ht="12.75" hidden="false" customHeight="false" outlineLevel="0" collapsed="false">
      <c r="A78" s="0" t="s">
        <v>298</v>
      </c>
      <c r="D78" s="0" t="s">
        <v>314</v>
      </c>
      <c r="E78" s="309" t="n">
        <f aca="false">E71/1000</f>
        <v>1775.4219248</v>
      </c>
      <c r="F78" s="309" t="n">
        <f aca="false">F71/1000</f>
        <v>1964.5609968</v>
      </c>
      <c r="G78" s="309" t="n">
        <f aca="false">G71/1000</f>
        <v>1956.5473136</v>
      </c>
      <c r="H78" s="309" t="n">
        <f aca="false">H71/1000</f>
        <v>2267.6023632</v>
      </c>
      <c r="I78" s="309" t="n">
        <f aca="false">I71/1000</f>
        <v>2262.5887648</v>
      </c>
      <c r="J78" s="309" t="n">
        <f aca="false">J71/1000</f>
        <v>2254.9687008</v>
      </c>
      <c r="K78" s="309" t="n">
        <f aca="false">K71/1000</f>
        <v>2450.241672</v>
      </c>
      <c r="L78" s="309" t="n">
        <f aca="false">L71/1000</f>
        <v>2508.8581312</v>
      </c>
      <c r="M78" s="309" t="n">
        <f aca="false">M71/1000</f>
        <v>2542.0710128</v>
      </c>
      <c r="N78" s="309" t="n">
        <f aca="false">N71/1000</f>
        <v>2557.5104736</v>
      </c>
      <c r="O78" s="309" t="n">
        <f aca="false">O71/1000</f>
        <v>2605.090456</v>
      </c>
    </row>
    <row r="79" customFormat="false" ht="12.75" hidden="false" customHeight="false" outlineLevel="0" collapsed="false">
      <c r="A79" s="0" t="s">
        <v>299</v>
      </c>
      <c r="D79" s="0" t="s">
        <v>315</v>
      </c>
      <c r="E79" s="309" t="n">
        <f aca="false">E72/1000</f>
        <v>322.14272</v>
      </c>
      <c r="F79" s="309" t="n">
        <f aca="false">F72/1000</f>
        <v>401.32864</v>
      </c>
      <c r="G79" s="309" t="n">
        <f aca="false">G72/1000</f>
        <v>426.52416</v>
      </c>
      <c r="H79" s="309" t="n">
        <f aca="false">H72/1000</f>
        <v>502.11072</v>
      </c>
      <c r="I79" s="309" t="n">
        <f aca="false">I72/1000</f>
        <v>502.11072</v>
      </c>
      <c r="J79" s="309" t="n">
        <f aca="false">J72/1000</f>
        <v>498.51136</v>
      </c>
      <c r="K79" s="309" t="n">
        <f aca="false">K72/1000</f>
        <v>538.10432</v>
      </c>
      <c r="L79" s="309" t="n">
        <f aca="false">L72/1000</f>
        <v>545.30304</v>
      </c>
      <c r="M79" s="309" t="n">
        <f aca="false">M72/1000</f>
        <v>545.30304</v>
      </c>
      <c r="N79" s="309" t="n">
        <f aca="false">N72/1000</f>
        <v>539.904</v>
      </c>
      <c r="O79" s="309" t="n">
        <f aca="false">O72/1000</f>
        <v>539.904</v>
      </c>
    </row>
    <row r="80" customFormat="false" ht="12.75" hidden="false" customHeight="false" outlineLevel="0" collapsed="false">
      <c r="A80" s="0" t="s">
        <v>300</v>
      </c>
    </row>
    <row r="81" customFormat="false" ht="12.75" hidden="false" customHeight="false" outlineLevel="0" collapsed="false">
      <c r="A81" s="0" t="s">
        <v>301</v>
      </c>
    </row>
    <row r="82" customFormat="false" ht="12.75" hidden="false" customHeight="false" outlineLevel="0" collapsed="false">
      <c r="A82" s="0" t="s">
        <v>303</v>
      </c>
    </row>
    <row r="83" customFormat="false" ht="12.75" hidden="false" customHeight="false" outlineLevel="0" collapsed="false">
      <c r="A83" s="0" t="s">
        <v>304</v>
      </c>
    </row>
    <row r="84" customFormat="false" ht="12.75" hidden="false" customHeight="false" outlineLevel="0" collapsed="false">
      <c r="A84" s="0" t="s">
        <v>319</v>
      </c>
    </row>
    <row r="85" customFormat="false" ht="12.75" hidden="false" customHeight="false" outlineLevel="0" collapsed="false">
      <c r="A85" s="16"/>
      <c r="B85" s="16"/>
      <c r="C85" s="16"/>
      <c r="D85" s="16"/>
      <c r="E85" s="16"/>
      <c r="F85" s="17"/>
      <c r="G85" s="17"/>
    </row>
    <row r="86" customFormat="false" ht="12.75" hidden="false" customHeight="false" outlineLevel="0" collapsed="false">
      <c r="A86" s="16"/>
      <c r="B86" s="16"/>
      <c r="C86" s="16"/>
      <c r="D86" s="16"/>
      <c r="E86" s="16"/>
      <c r="F86" s="17"/>
      <c r="G86" s="17"/>
    </row>
    <row r="87" customFormat="false" ht="12.75" hidden="false" customHeight="false" outlineLevel="0" collapsed="false">
      <c r="A87" s="16"/>
      <c r="B87" s="16"/>
      <c r="C87" s="16"/>
      <c r="D87" s="16"/>
      <c r="E87" s="16"/>
      <c r="F87" s="17"/>
      <c r="G87" s="17"/>
    </row>
    <row r="88" customFormat="false" ht="12.75" hidden="false" customHeight="false" outlineLevel="0" collapsed="false">
      <c r="A88" s="16"/>
      <c r="B88" s="16"/>
      <c r="C88" s="16"/>
      <c r="D88" s="16"/>
      <c r="E88" s="16"/>
      <c r="F88" s="17"/>
      <c r="G88" s="17"/>
    </row>
    <row r="89" customFormat="false" ht="12.75" hidden="false" customHeight="false" outlineLevel="0" collapsed="false">
      <c r="A89" s="16"/>
      <c r="B89" s="16"/>
      <c r="C89" s="16"/>
      <c r="D89" s="16"/>
      <c r="E89" s="16"/>
      <c r="F89" s="17"/>
      <c r="G89" s="17"/>
    </row>
    <row r="90" customFormat="false" ht="12.75" hidden="false" customHeight="false" outlineLevel="0" collapsed="false">
      <c r="A90" s="16"/>
      <c r="B90" s="16"/>
      <c r="C90" s="16"/>
      <c r="D90" s="16"/>
      <c r="E90" s="16"/>
      <c r="F90" s="17"/>
      <c r="G90" s="17"/>
    </row>
    <row r="91" customFormat="false" ht="12.75" hidden="false" customHeight="false" outlineLevel="0" collapsed="false">
      <c r="A91" s="16"/>
      <c r="B91" s="16"/>
      <c r="C91" s="16"/>
      <c r="D91" s="16"/>
      <c r="E91" s="16"/>
      <c r="F91" s="17"/>
      <c r="G91" s="17"/>
    </row>
    <row r="92" customFormat="false" ht="12.75" hidden="false" customHeight="false" outlineLevel="0" collapsed="false">
      <c r="A92" s="16"/>
      <c r="B92" s="16"/>
      <c r="C92" s="16"/>
      <c r="D92" s="16"/>
      <c r="E92" s="16"/>
      <c r="F92" s="17"/>
      <c r="G92" s="17"/>
    </row>
    <row r="93" customFormat="false" ht="12.75" hidden="false" customHeight="false" outlineLevel="0" collapsed="false">
      <c r="A93" s="16"/>
      <c r="B93" s="16"/>
      <c r="C93" s="16"/>
      <c r="D93" s="16"/>
      <c r="E93" s="16"/>
      <c r="F93" s="17"/>
      <c r="G93" s="17" t="n">
        <v>3.7</v>
      </c>
      <c r="H93" s="17" t="n">
        <v>3.85</v>
      </c>
      <c r="I93" s="17" t="n">
        <v>4.02</v>
      </c>
      <c r="J93" s="17" t="n">
        <v>4.07</v>
      </c>
      <c r="K93" s="17" t="n">
        <v>4.21</v>
      </c>
      <c r="L93" s="17" t="n">
        <v>4.33</v>
      </c>
      <c r="M93" s="17" t="n">
        <v>4.45</v>
      </c>
      <c r="N93" s="17" t="n">
        <v>4.6</v>
      </c>
      <c r="O93" s="17" t="n">
        <v>4.76</v>
      </c>
      <c r="P93" s="17" t="n">
        <v>4.81</v>
      </c>
      <c r="Q93" s="17" t="n">
        <v>4.96</v>
      </c>
    </row>
    <row r="94" customFormat="false" ht="12.75" hidden="false" customHeight="false" outlineLevel="0" collapsed="false">
      <c r="A94" s="16"/>
      <c r="B94" s="16"/>
      <c r="C94" s="16"/>
      <c r="D94" s="16"/>
      <c r="E94" s="16"/>
      <c r="F94" s="170" t="n">
        <f aca="false">AVERAGE(H94:Q94)</f>
        <v>0.0297929125581007</v>
      </c>
      <c r="G94" s="17"/>
      <c r="H94" s="64" t="n">
        <f aca="false">(H93-G93)/G93</f>
        <v>0.0405405405405405</v>
      </c>
      <c r="I94" s="64" t="n">
        <f aca="false">(I93-H93)/H93</f>
        <v>0.044155844155844</v>
      </c>
      <c r="J94" s="64" t="n">
        <f aca="false">(J93-I93)/I93</f>
        <v>0.0124378109452738</v>
      </c>
      <c r="K94" s="64" t="n">
        <f aca="false">(K93-J93)/J93</f>
        <v>0.0343980343980343</v>
      </c>
      <c r="L94" s="64" t="n">
        <f aca="false">(L93-K93)/K93</f>
        <v>0.0285035629453682</v>
      </c>
      <c r="M94" s="64" t="n">
        <f aca="false">(M93-L93)/L93</f>
        <v>0.0277136258660508</v>
      </c>
      <c r="N94" s="64" t="n">
        <f aca="false">(N93-M93)/M93</f>
        <v>0.0337078651685392</v>
      </c>
      <c r="O94" s="64" t="n">
        <f aca="false">(O93-N93)/N93</f>
        <v>0.0347826086956522</v>
      </c>
      <c r="P94" s="64" t="n">
        <f aca="false">(P93-O93)/O93</f>
        <v>0.0105042016806722</v>
      </c>
      <c r="Q94" s="64" t="n">
        <f aca="false">(Q93-P93)/P93</f>
        <v>0.0311850311850313</v>
      </c>
    </row>
    <row r="95" customFormat="false" ht="12.75" hidden="false" customHeight="false" outlineLevel="0" collapsed="false">
      <c r="A95" s="16"/>
      <c r="B95" s="16"/>
      <c r="C95" s="16"/>
      <c r="D95" s="16"/>
      <c r="E95" s="16"/>
      <c r="F95" s="17"/>
      <c r="G95" s="17"/>
    </row>
    <row r="96" customFormat="false" ht="12.75" hidden="false" customHeight="false" outlineLevel="0" collapsed="false">
      <c r="A96" s="16"/>
      <c r="B96" s="16"/>
      <c r="C96" s="16"/>
      <c r="D96" s="16"/>
      <c r="E96" s="16"/>
      <c r="F96" s="17"/>
      <c r="G96" s="17"/>
    </row>
    <row r="97" customFormat="false" ht="12.75" hidden="false" customHeight="false" outlineLevel="0" collapsed="false">
      <c r="A97" s="16"/>
      <c r="B97" s="16"/>
      <c r="C97" s="16"/>
      <c r="D97" s="16"/>
      <c r="E97" s="16"/>
      <c r="F97" s="17"/>
      <c r="G97" s="17"/>
    </row>
    <row r="98" customFormat="false" ht="12.75" hidden="false" customHeight="false" outlineLevel="0" collapsed="false">
      <c r="A98" s="16"/>
      <c r="B98" s="16"/>
      <c r="C98" s="16"/>
      <c r="D98" s="16"/>
      <c r="E98" s="16"/>
      <c r="F98" s="17"/>
      <c r="G98" s="17"/>
    </row>
    <row r="99" customFormat="false" ht="12.75" hidden="false" customHeight="false" outlineLevel="0" collapsed="false">
      <c r="A99" s="16"/>
      <c r="B99" s="16"/>
      <c r="C99" s="16"/>
      <c r="D99" s="16"/>
      <c r="E99" s="16"/>
      <c r="F99" s="17"/>
      <c r="G99" s="17"/>
    </row>
    <row r="100" customFormat="false" ht="12.75" hidden="false" customHeight="false" outlineLevel="0" collapsed="false">
      <c r="A100" s="16"/>
      <c r="B100" s="16"/>
      <c r="C100" s="16"/>
      <c r="D100" s="16"/>
      <c r="E100" s="16"/>
      <c r="F100" s="17"/>
      <c r="G100" s="17"/>
    </row>
    <row r="101" customFormat="false" ht="12.75" hidden="false" customHeight="false" outlineLevel="0" collapsed="false">
      <c r="A101" s="16"/>
      <c r="B101" s="16"/>
      <c r="C101" s="16"/>
      <c r="D101" s="16"/>
      <c r="E101" s="16"/>
      <c r="F101" s="17"/>
      <c r="G101" s="17"/>
    </row>
    <row r="102" customFormat="false" ht="12.75" hidden="false" customHeight="false" outlineLevel="0" collapsed="false">
      <c r="A102" s="16"/>
      <c r="B102" s="16"/>
      <c r="C102" s="16"/>
      <c r="D102" s="16"/>
      <c r="E102" s="16"/>
      <c r="F102" s="17"/>
      <c r="G102" s="17"/>
    </row>
    <row r="103" customFormat="false" ht="12.75" hidden="false" customHeight="false" outlineLevel="0" collapsed="false">
      <c r="A103" s="16"/>
      <c r="B103" s="16"/>
      <c r="C103" s="16"/>
      <c r="D103" s="16"/>
      <c r="E103" s="16"/>
      <c r="F103" s="17"/>
      <c r="G103" s="17"/>
    </row>
    <row r="104" customFormat="false" ht="12.75" hidden="false" customHeight="false" outlineLevel="0" collapsed="false">
      <c r="A104" s="16"/>
      <c r="B104" s="16"/>
      <c r="C104" s="16"/>
      <c r="D104" s="16"/>
      <c r="E104" s="16"/>
      <c r="F104" s="17"/>
      <c r="G104" s="17"/>
    </row>
    <row r="105" customFormat="false" ht="12.75" hidden="false" customHeight="false" outlineLevel="0" collapsed="false">
      <c r="A105" s="16"/>
      <c r="B105" s="16"/>
      <c r="C105" s="16"/>
      <c r="D105" s="16"/>
      <c r="E105" s="16"/>
      <c r="F105" s="17"/>
      <c r="G105" s="17"/>
    </row>
    <row r="106" customFormat="false" ht="12.75" hidden="false" customHeight="false" outlineLevel="0" collapsed="false">
      <c r="A106" s="16"/>
      <c r="B106" s="16"/>
      <c r="C106" s="16"/>
      <c r="D106" s="16"/>
      <c r="E106" s="16"/>
      <c r="F106" s="17"/>
      <c r="G106" s="17"/>
    </row>
    <row r="107" customFormat="false" ht="12.75" hidden="false" customHeight="false" outlineLevel="0" collapsed="false">
      <c r="A107" s="16"/>
      <c r="B107" s="16"/>
      <c r="C107" s="16"/>
      <c r="D107" s="16"/>
      <c r="E107" s="16"/>
      <c r="F107" s="17"/>
      <c r="G107" s="17"/>
    </row>
    <row r="108" customFormat="false" ht="12.75" hidden="false" customHeight="false" outlineLevel="0" collapsed="false">
      <c r="A108" s="16"/>
      <c r="B108" s="16"/>
      <c r="C108" s="16"/>
      <c r="D108" s="16"/>
      <c r="E108" s="16"/>
      <c r="F108" s="17"/>
      <c r="G108" s="17"/>
    </row>
    <row r="109" customFormat="false" ht="12.75" hidden="false" customHeight="false" outlineLevel="0" collapsed="false">
      <c r="A109" s="16"/>
      <c r="B109" s="16"/>
      <c r="C109" s="16"/>
      <c r="D109" s="16"/>
      <c r="E109" s="16"/>
      <c r="F109" s="17"/>
      <c r="G109" s="17"/>
    </row>
    <row r="110" customFormat="false" ht="12.75" hidden="false" customHeight="false" outlineLevel="0" collapsed="false">
      <c r="A110" s="16"/>
      <c r="B110" s="16"/>
      <c r="C110" s="16"/>
      <c r="D110" s="16"/>
      <c r="E110" s="16"/>
      <c r="F110" s="17"/>
      <c r="G110" s="17"/>
    </row>
    <row r="111" customFormat="false" ht="12.75" hidden="false" customHeight="false" outlineLevel="0" collapsed="false">
      <c r="A111" s="16"/>
      <c r="B111" s="16"/>
      <c r="C111" s="16"/>
      <c r="D111" s="16"/>
      <c r="E111" s="16"/>
      <c r="F111" s="17"/>
      <c r="G111" s="17"/>
    </row>
    <row r="112" customFormat="false" ht="12.75" hidden="false" customHeight="false" outlineLevel="0" collapsed="false">
      <c r="A112" s="16"/>
      <c r="B112" s="16"/>
      <c r="C112" s="16"/>
      <c r="D112" s="16"/>
      <c r="E112" s="16"/>
      <c r="F112" s="17"/>
      <c r="G112" s="17"/>
    </row>
    <row r="113" customFormat="false" ht="12.75" hidden="false" customHeight="false" outlineLevel="0" collapsed="false">
      <c r="A113" s="16"/>
      <c r="B113" s="16"/>
      <c r="C113" s="16"/>
      <c r="D113" s="16"/>
      <c r="E113" s="16"/>
      <c r="F113" s="17"/>
      <c r="G113" s="17"/>
    </row>
    <row r="114" customFormat="false" ht="12.75" hidden="false" customHeight="false" outlineLevel="0" collapsed="false">
      <c r="A114" s="16"/>
      <c r="B114" s="16"/>
      <c r="C114" s="16"/>
      <c r="D114" s="16"/>
      <c r="E114" s="16"/>
      <c r="F114" s="17"/>
      <c r="G114" s="17"/>
    </row>
    <row r="115" customFormat="false" ht="12.75" hidden="false" customHeight="false" outlineLevel="0" collapsed="false">
      <c r="A115" s="16"/>
      <c r="B115" s="16"/>
      <c r="C115" s="16"/>
      <c r="D115" s="16"/>
      <c r="E115" s="16"/>
      <c r="F115" s="17"/>
      <c r="G115" s="17"/>
    </row>
    <row r="116" customFormat="false" ht="12.75" hidden="false" customHeight="false" outlineLevel="0" collapsed="false">
      <c r="A116" s="16"/>
      <c r="B116" s="16"/>
      <c r="C116" s="16"/>
      <c r="D116" s="16"/>
      <c r="E116" s="16"/>
      <c r="F116" s="17"/>
      <c r="G116" s="17"/>
    </row>
    <row r="117" customFormat="false" ht="12.75" hidden="false" customHeight="false" outlineLevel="0" collapsed="false">
      <c r="A117" s="16"/>
      <c r="B117" s="16"/>
      <c r="C117" s="16"/>
      <c r="D117" s="16"/>
      <c r="E117" s="16"/>
      <c r="F117" s="17"/>
      <c r="G117" s="17"/>
    </row>
    <row r="118" customFormat="false" ht="12.75" hidden="false" customHeight="false" outlineLevel="0" collapsed="false">
      <c r="A118" s="16"/>
      <c r="B118" s="16"/>
      <c r="C118" s="16"/>
      <c r="D118" s="16"/>
      <c r="E118" s="16"/>
      <c r="F118" s="17"/>
      <c r="G118" s="17"/>
    </row>
    <row r="119" customFormat="false" ht="12.75" hidden="false" customHeight="false" outlineLevel="0" collapsed="false">
      <c r="A119" s="16"/>
      <c r="B119" s="16"/>
      <c r="C119" s="16"/>
      <c r="D119" s="16"/>
      <c r="E119" s="16"/>
      <c r="F119" s="17"/>
      <c r="G119" s="17"/>
    </row>
    <row r="120" customFormat="false" ht="12.75" hidden="false" customHeight="false" outlineLevel="0" collapsed="false">
      <c r="A120" s="16"/>
      <c r="B120" s="16"/>
      <c r="C120" s="16"/>
      <c r="D120" s="16"/>
      <c r="E120" s="16"/>
      <c r="F120" s="17"/>
      <c r="G120" s="17"/>
    </row>
    <row r="121" customFormat="false" ht="12.75" hidden="false" customHeight="false" outlineLevel="0" collapsed="false">
      <c r="A121" s="16"/>
      <c r="B121" s="16"/>
      <c r="C121" s="16"/>
      <c r="D121" s="16"/>
      <c r="E121" s="16"/>
      <c r="F121" s="17"/>
      <c r="G121" s="17"/>
    </row>
    <row r="122" customFormat="false" ht="12.75" hidden="false" customHeight="false" outlineLevel="0" collapsed="false">
      <c r="A122" s="16"/>
      <c r="B122" s="16"/>
      <c r="C122" s="16"/>
      <c r="D122" s="16"/>
      <c r="E122" s="16"/>
      <c r="F122" s="17"/>
      <c r="G122" s="17"/>
    </row>
    <row r="123" customFormat="false" ht="12.75" hidden="false" customHeight="false" outlineLevel="0" collapsed="false">
      <c r="A123" s="16"/>
      <c r="B123" s="16"/>
      <c r="C123" s="16"/>
      <c r="D123" s="16"/>
      <c r="E123" s="16"/>
      <c r="F123" s="17"/>
      <c r="G123" s="17"/>
    </row>
    <row r="124" customFormat="false" ht="12.75" hidden="false" customHeight="false" outlineLevel="0" collapsed="false">
      <c r="A124" s="16"/>
      <c r="B124" s="16"/>
      <c r="C124" s="16"/>
      <c r="D124" s="16"/>
      <c r="E124" s="16"/>
      <c r="F124" s="17"/>
      <c r="G124" s="17"/>
    </row>
    <row r="125" customFormat="false" ht="12.75" hidden="false" customHeight="false" outlineLevel="0" collapsed="false">
      <c r="A125" s="16"/>
      <c r="B125" s="16"/>
      <c r="C125" s="16"/>
      <c r="D125" s="16"/>
      <c r="E125" s="16"/>
      <c r="F125" s="17"/>
      <c r="G125" s="17"/>
    </row>
    <row r="126" customFormat="false" ht="12.75" hidden="false" customHeight="false" outlineLevel="0" collapsed="false">
      <c r="A126" s="16"/>
      <c r="B126" s="16"/>
      <c r="C126" s="16"/>
      <c r="D126" s="16"/>
      <c r="E126" s="16"/>
      <c r="F126" s="17"/>
      <c r="G126" s="17"/>
    </row>
    <row r="127" customFormat="false" ht="12.75" hidden="false" customHeight="false" outlineLevel="0" collapsed="false">
      <c r="A127" s="16"/>
      <c r="B127" s="16"/>
      <c r="C127" s="16"/>
      <c r="D127" s="16"/>
      <c r="E127" s="16"/>
      <c r="F127" s="17"/>
      <c r="G127" s="17"/>
    </row>
    <row r="128" customFormat="false" ht="12.75" hidden="false" customHeight="false" outlineLevel="0" collapsed="false">
      <c r="A128" s="16"/>
      <c r="B128" s="16"/>
      <c r="C128" s="16"/>
      <c r="D128" s="16"/>
      <c r="E128" s="16"/>
      <c r="F128" s="17"/>
      <c r="G128" s="17"/>
    </row>
    <row r="129" customFormat="false" ht="12.75" hidden="false" customHeight="false" outlineLevel="0" collapsed="false">
      <c r="A129" s="16"/>
      <c r="B129" s="16"/>
      <c r="C129" s="16"/>
      <c r="D129" s="16"/>
      <c r="E129" s="16"/>
      <c r="F129" s="17"/>
      <c r="G129" s="17"/>
    </row>
    <row r="130" customFormat="false" ht="12.75" hidden="false" customHeight="false" outlineLevel="0" collapsed="false">
      <c r="A130" s="16"/>
      <c r="B130" s="16"/>
      <c r="C130" s="16"/>
      <c r="D130" s="16"/>
      <c r="E130" s="16"/>
      <c r="F130" s="17"/>
      <c r="G130" s="17"/>
    </row>
    <row r="131" customFormat="false" ht="12.75" hidden="false" customHeight="false" outlineLevel="0" collapsed="false">
      <c r="A131" s="16"/>
      <c r="B131" s="16"/>
      <c r="C131" s="16"/>
      <c r="D131" s="16"/>
      <c r="E131" s="16"/>
      <c r="F131" s="17"/>
      <c r="G131" s="17"/>
    </row>
    <row r="132" customFormat="false" ht="12.75" hidden="false" customHeight="false" outlineLevel="0" collapsed="false">
      <c r="A132" s="16"/>
      <c r="B132" s="16"/>
      <c r="C132" s="16"/>
      <c r="D132" s="16"/>
      <c r="E132" s="16"/>
      <c r="F132" s="17"/>
      <c r="G132" s="17"/>
    </row>
    <row r="133" customFormat="false" ht="12.75" hidden="false" customHeight="false" outlineLevel="0" collapsed="false">
      <c r="A133" s="16"/>
      <c r="B133" s="16"/>
      <c r="C133" s="16"/>
      <c r="D133" s="16"/>
      <c r="E133" s="16"/>
      <c r="F133" s="17"/>
      <c r="G133" s="17"/>
    </row>
    <row r="134" customFormat="false" ht="12.75" hidden="false" customHeight="false" outlineLevel="0" collapsed="false">
      <c r="A134" s="16"/>
      <c r="B134" s="16"/>
      <c r="C134" s="16"/>
      <c r="D134" s="16"/>
      <c r="E134" s="16"/>
      <c r="F134" s="17"/>
      <c r="G134" s="17"/>
    </row>
    <row r="135" customFormat="false" ht="12.75" hidden="false" customHeight="false" outlineLevel="0" collapsed="false">
      <c r="A135" s="16"/>
      <c r="B135" s="16"/>
      <c r="C135" s="16"/>
      <c r="D135" s="16"/>
      <c r="E135" s="16"/>
      <c r="F135" s="17"/>
      <c r="G135" s="17"/>
    </row>
    <row r="136" customFormat="false" ht="12.75" hidden="false" customHeight="false" outlineLevel="0" collapsed="false">
      <c r="A136" s="16"/>
      <c r="B136" s="16"/>
      <c r="C136" s="16"/>
      <c r="D136" s="16"/>
      <c r="E136" s="16"/>
      <c r="F136" s="17"/>
      <c r="G136" s="17"/>
    </row>
    <row r="137" customFormat="false" ht="12.75" hidden="false" customHeight="false" outlineLevel="0" collapsed="false">
      <c r="A137" s="16"/>
      <c r="B137" s="16"/>
      <c r="C137" s="16"/>
      <c r="D137" s="16"/>
      <c r="E137" s="16"/>
      <c r="F137" s="17"/>
      <c r="G137" s="17"/>
    </row>
    <row r="138" customFormat="false" ht="12.75" hidden="false" customHeight="false" outlineLevel="0" collapsed="false">
      <c r="A138" s="16"/>
      <c r="B138" s="16"/>
      <c r="C138" s="16"/>
      <c r="D138" s="16"/>
      <c r="E138" s="16"/>
      <c r="F138" s="17"/>
      <c r="G138" s="17"/>
    </row>
    <row r="139" customFormat="false" ht="12.75" hidden="false" customHeight="false" outlineLevel="0" collapsed="false">
      <c r="A139" s="16"/>
      <c r="B139" s="16"/>
      <c r="C139" s="16"/>
      <c r="D139" s="16"/>
      <c r="E139" s="16"/>
      <c r="F139" s="17"/>
      <c r="G139" s="17"/>
    </row>
    <row r="140" customFormat="false" ht="12.75" hidden="false" customHeight="false" outlineLevel="0" collapsed="false">
      <c r="A140" s="16"/>
      <c r="B140" s="16"/>
      <c r="C140" s="16"/>
      <c r="D140" s="16"/>
      <c r="E140" s="16"/>
      <c r="F140" s="17"/>
      <c r="G140" s="17"/>
    </row>
    <row r="141" customFormat="false" ht="12.75" hidden="false" customHeight="false" outlineLevel="0" collapsed="false">
      <c r="A141" s="16"/>
      <c r="B141" s="16"/>
      <c r="C141" s="16"/>
      <c r="D141" s="16"/>
      <c r="E141" s="16"/>
      <c r="F141" s="17"/>
      <c r="G141" s="17"/>
    </row>
    <row r="142" customFormat="false" ht="12.75" hidden="false" customHeight="false" outlineLevel="0" collapsed="false">
      <c r="A142" s="16"/>
      <c r="B142" s="16"/>
      <c r="C142" s="16"/>
      <c r="D142" s="16"/>
      <c r="E142" s="16"/>
      <c r="F142" s="17"/>
      <c r="G142" s="17"/>
    </row>
    <row r="143" customFormat="false" ht="12.75" hidden="false" customHeight="false" outlineLevel="0" collapsed="false">
      <c r="A143" s="16"/>
      <c r="B143" s="16"/>
      <c r="C143" s="16"/>
      <c r="D143" s="16"/>
      <c r="E143" s="16"/>
      <c r="F143" s="17"/>
      <c r="G143" s="17"/>
    </row>
    <row r="144" customFormat="false" ht="12.75" hidden="false" customHeight="false" outlineLevel="0" collapsed="false">
      <c r="A144" s="16"/>
      <c r="B144" s="16"/>
      <c r="C144" s="16"/>
      <c r="D144" s="16"/>
      <c r="E144" s="16"/>
      <c r="F144" s="17"/>
      <c r="G144" s="17"/>
    </row>
    <row r="145" customFormat="false" ht="12.75" hidden="false" customHeight="false" outlineLevel="0" collapsed="false">
      <c r="A145" s="16"/>
      <c r="B145" s="16"/>
      <c r="C145" s="16"/>
      <c r="D145" s="16"/>
      <c r="E145" s="16"/>
      <c r="F145" s="17"/>
      <c r="G145" s="17"/>
    </row>
    <row r="146" customFormat="false" ht="12.75" hidden="false" customHeight="false" outlineLevel="0" collapsed="false">
      <c r="A146" s="16"/>
      <c r="B146" s="16"/>
      <c r="C146" s="16"/>
      <c r="D146" s="16"/>
      <c r="E146" s="16"/>
      <c r="F146" s="17"/>
      <c r="G146" s="17"/>
    </row>
    <row r="147" customFormat="false" ht="12.75" hidden="false" customHeight="false" outlineLevel="0" collapsed="false">
      <c r="A147" s="16"/>
      <c r="B147" s="16"/>
      <c r="C147" s="16"/>
      <c r="D147" s="16"/>
      <c r="E147" s="16"/>
      <c r="F147" s="17"/>
      <c r="G147" s="17"/>
    </row>
    <row r="148" customFormat="false" ht="12.75" hidden="false" customHeight="false" outlineLevel="0" collapsed="false">
      <c r="A148" s="17"/>
      <c r="B148" s="17"/>
      <c r="C148" s="17"/>
      <c r="D148" s="17"/>
      <c r="E148" s="17"/>
      <c r="F148" s="17"/>
      <c r="G148" s="17"/>
    </row>
    <row r="149" customFormat="false" ht="12.75" hidden="false" customHeight="false" outlineLevel="0" collapsed="false">
      <c r="A149" s="17"/>
      <c r="B149" s="17"/>
      <c r="C149" s="17"/>
      <c r="D149" s="17"/>
      <c r="E149" s="17"/>
      <c r="F149" s="17"/>
      <c r="G149" s="17"/>
    </row>
    <row r="150" customFormat="false" ht="12.75" hidden="false" customHeight="false" outlineLevel="0" collapsed="false">
      <c r="A150" s="17"/>
      <c r="B150" s="17"/>
      <c r="C150" s="17"/>
      <c r="D150" s="17"/>
      <c r="E150" s="17"/>
      <c r="F150" s="17"/>
      <c r="G150" s="17"/>
    </row>
    <row r="151" customFormat="false" ht="12.75" hidden="false" customHeight="false" outlineLevel="0" collapsed="false">
      <c r="A151" s="17"/>
      <c r="B151" s="17"/>
      <c r="C151" s="17"/>
      <c r="D151" s="17"/>
      <c r="E151" s="17"/>
      <c r="F151" s="17"/>
      <c r="G151" s="17"/>
    </row>
    <row r="152" customFormat="false" ht="12.75" hidden="false" customHeight="false" outlineLevel="0" collapsed="false">
      <c r="A152" s="17"/>
      <c r="B152" s="17"/>
      <c r="C152" s="17"/>
      <c r="D152" s="17"/>
      <c r="E152" s="17"/>
      <c r="F152" s="17"/>
      <c r="G152" s="17"/>
    </row>
    <row r="153" customFormat="false" ht="12.75" hidden="false" customHeight="false" outlineLevel="0" collapsed="false">
      <c r="A153" s="17"/>
      <c r="B153" s="17"/>
      <c r="C153" s="17"/>
      <c r="D153" s="17"/>
      <c r="E153" s="17"/>
      <c r="F153" s="17"/>
      <c r="G153" s="17"/>
    </row>
    <row r="154" customFormat="false" ht="12.75" hidden="false" customHeight="false" outlineLevel="0" collapsed="false">
      <c r="A154" s="17"/>
      <c r="B154" s="17"/>
      <c r="C154" s="17"/>
      <c r="D154" s="17"/>
      <c r="E154" s="17"/>
      <c r="F154" s="17"/>
      <c r="G154" s="17"/>
    </row>
    <row r="155" customFormat="false" ht="12.75" hidden="false" customHeight="false" outlineLevel="0" collapsed="false">
      <c r="A155" s="17"/>
      <c r="B155" s="17"/>
      <c r="C155" s="17"/>
      <c r="D155" s="17"/>
      <c r="E155" s="17"/>
      <c r="F155" s="17"/>
      <c r="G155" s="17"/>
    </row>
    <row r="156" customFormat="false" ht="12.75" hidden="false" customHeight="false" outlineLevel="0" collapsed="false">
      <c r="A156" s="17"/>
      <c r="B156" s="17"/>
      <c r="C156" s="17"/>
      <c r="D156" s="17"/>
      <c r="E156" s="17"/>
      <c r="F156" s="17"/>
      <c r="G156" s="17"/>
    </row>
    <row r="157" customFormat="false" ht="12.75" hidden="false" customHeight="false" outlineLevel="0" collapsed="false">
      <c r="A157" s="17"/>
      <c r="B157" s="17"/>
      <c r="C157" s="17"/>
      <c r="D157" s="17"/>
      <c r="E157" s="17"/>
      <c r="F157" s="17"/>
      <c r="G157" s="17"/>
    </row>
    <row r="158" customFormat="false" ht="12.75" hidden="false" customHeight="false" outlineLevel="0" collapsed="false">
      <c r="A158" s="17"/>
      <c r="B158" s="17"/>
      <c r="C158" s="17"/>
      <c r="D158" s="17"/>
      <c r="E158" s="17"/>
      <c r="F158" s="17"/>
      <c r="G158" s="17"/>
    </row>
    <row r="159" customFormat="false" ht="12.75" hidden="false" customHeight="false" outlineLevel="0" collapsed="false">
      <c r="A159" s="17"/>
      <c r="B159" s="17"/>
      <c r="C159" s="17"/>
      <c r="D159" s="17"/>
      <c r="E159" s="17"/>
      <c r="F159" s="17"/>
      <c r="G159" s="17"/>
    </row>
    <row r="160" customFormat="false" ht="12.75" hidden="false" customHeight="false" outlineLevel="0" collapsed="false">
      <c r="A160" s="17"/>
      <c r="B160" s="17"/>
      <c r="C160" s="17"/>
      <c r="D160" s="17"/>
      <c r="E160" s="17"/>
      <c r="F160" s="17"/>
      <c r="G160" s="17"/>
    </row>
    <row r="161" customFormat="false" ht="12.75" hidden="false" customHeight="false" outlineLevel="0" collapsed="false">
      <c r="A161" s="17"/>
      <c r="B161" s="17"/>
      <c r="C161" s="17"/>
      <c r="D161" s="17"/>
      <c r="E161" s="17"/>
      <c r="F161" s="17"/>
      <c r="G161" s="17"/>
    </row>
    <row r="162" customFormat="false" ht="12.75" hidden="false" customHeight="false" outlineLevel="0" collapsed="false">
      <c r="A162" s="17"/>
      <c r="B162" s="17"/>
      <c r="C162" s="17"/>
      <c r="D162" s="17"/>
      <c r="E162" s="17"/>
      <c r="F162" s="17"/>
      <c r="G162" s="17"/>
    </row>
    <row r="163" customFormat="false" ht="12.75" hidden="false" customHeight="false" outlineLevel="0" collapsed="false">
      <c r="A163" s="17"/>
      <c r="B163" s="17"/>
      <c r="C163" s="17"/>
      <c r="D163" s="17"/>
      <c r="E163" s="17"/>
      <c r="F163" s="17"/>
      <c r="G163" s="17"/>
    </row>
    <row r="164" customFormat="false" ht="12.75" hidden="false" customHeight="false" outlineLevel="0" collapsed="false">
      <c r="A164" s="17"/>
      <c r="B164" s="17"/>
      <c r="C164" s="17"/>
      <c r="D164" s="17"/>
      <c r="E164" s="17"/>
      <c r="F164" s="17"/>
      <c r="G164" s="17"/>
    </row>
    <row r="165" customFormat="false" ht="12.75" hidden="false" customHeight="false" outlineLevel="0" collapsed="false">
      <c r="A165" s="17"/>
      <c r="B165" s="17"/>
      <c r="C165" s="17"/>
      <c r="D165" s="17"/>
      <c r="E165" s="17"/>
      <c r="F165" s="17"/>
      <c r="G165" s="17"/>
    </row>
    <row r="166" customFormat="false" ht="12.75" hidden="false" customHeight="false" outlineLevel="0" collapsed="false">
      <c r="A166" s="17"/>
      <c r="B166" s="17"/>
      <c r="C166" s="17"/>
      <c r="D166" s="17"/>
      <c r="E166" s="17"/>
      <c r="F166" s="17"/>
      <c r="G166" s="17"/>
    </row>
    <row r="167" customFormat="false" ht="12.75" hidden="false" customHeight="false" outlineLevel="0" collapsed="false">
      <c r="A167" s="17"/>
      <c r="B167" s="17"/>
      <c r="C167" s="17"/>
      <c r="D167" s="17"/>
      <c r="E167" s="17"/>
      <c r="F167" s="17"/>
      <c r="G167" s="17"/>
    </row>
    <row r="168" customFormat="false" ht="12.75" hidden="false" customHeight="false" outlineLevel="0" collapsed="false">
      <c r="A168" s="17"/>
      <c r="B168" s="17"/>
      <c r="C168" s="17"/>
      <c r="D168" s="17"/>
      <c r="E168" s="17"/>
      <c r="F168" s="17"/>
      <c r="G168" s="17"/>
    </row>
    <row r="169" customFormat="false" ht="12.75" hidden="false" customHeight="false" outlineLevel="0" collapsed="false">
      <c r="A169" s="17"/>
      <c r="B169" s="17"/>
      <c r="C169" s="17"/>
      <c r="D169" s="17"/>
      <c r="E169" s="17"/>
      <c r="F169" s="17"/>
      <c r="G169" s="17"/>
    </row>
    <row r="170" customFormat="false" ht="12.75" hidden="false" customHeight="false" outlineLevel="0" collapsed="false">
      <c r="A170" s="17"/>
      <c r="B170" s="17"/>
      <c r="C170" s="17"/>
      <c r="D170" s="17"/>
      <c r="E170" s="17"/>
      <c r="F170" s="17"/>
      <c r="G170" s="17"/>
    </row>
    <row r="171" customFormat="false" ht="12.75" hidden="false" customHeight="false" outlineLevel="0" collapsed="false">
      <c r="A171" s="17"/>
      <c r="B171" s="17"/>
      <c r="C171" s="17"/>
      <c r="D171" s="17"/>
      <c r="E171" s="17"/>
      <c r="F171" s="17"/>
      <c r="G171" s="17"/>
    </row>
    <row r="172" customFormat="false" ht="12.75" hidden="false" customHeight="false" outlineLevel="0" collapsed="false">
      <c r="A172" s="17"/>
      <c r="B172" s="17"/>
      <c r="C172" s="17"/>
      <c r="D172" s="17"/>
      <c r="E172" s="17"/>
      <c r="F172" s="17"/>
      <c r="G172" s="17"/>
    </row>
    <row r="173" customFormat="false" ht="12.75" hidden="false" customHeight="false" outlineLevel="0" collapsed="false">
      <c r="A173" s="17"/>
      <c r="B173" s="17"/>
      <c r="C173" s="17"/>
      <c r="D173" s="17"/>
      <c r="E173" s="17"/>
      <c r="F173" s="17"/>
      <c r="G173" s="17"/>
    </row>
    <row r="174" customFormat="false" ht="12.75" hidden="false" customHeight="false" outlineLevel="0" collapsed="false">
      <c r="A174" s="17"/>
      <c r="B174" s="17"/>
      <c r="C174" s="17"/>
      <c r="D174" s="17"/>
      <c r="E174" s="17"/>
      <c r="F174" s="17"/>
      <c r="G174" s="17"/>
    </row>
    <row r="175" customFormat="false" ht="12.75" hidden="false" customHeight="false" outlineLevel="0" collapsed="false">
      <c r="A175" s="17"/>
      <c r="B175" s="17"/>
      <c r="C175" s="17"/>
      <c r="D175" s="17"/>
      <c r="E175" s="17"/>
      <c r="F175" s="17"/>
      <c r="G175" s="17"/>
    </row>
    <row r="176" customFormat="false" ht="12.75" hidden="false" customHeight="false" outlineLevel="0" collapsed="false">
      <c r="A176" s="17"/>
      <c r="B176" s="17"/>
      <c r="C176" s="17"/>
      <c r="D176" s="17"/>
      <c r="E176" s="17"/>
      <c r="F176" s="17"/>
      <c r="G176" s="17"/>
    </row>
    <row r="177" customFormat="false" ht="12.75" hidden="false" customHeight="false" outlineLevel="0" collapsed="false">
      <c r="A177" s="17"/>
      <c r="B177" s="17"/>
      <c r="C177" s="17"/>
      <c r="D177" s="17"/>
      <c r="E177" s="17"/>
      <c r="F177" s="17"/>
      <c r="G177" s="17"/>
    </row>
    <row r="178" customFormat="false" ht="12.75" hidden="false" customHeight="false" outlineLevel="0" collapsed="false">
      <c r="A178" s="17"/>
      <c r="B178" s="17"/>
      <c r="C178" s="17"/>
      <c r="D178" s="17"/>
      <c r="E178" s="17"/>
      <c r="F178" s="17"/>
      <c r="G178" s="17"/>
    </row>
    <row r="179" customFormat="false" ht="12.75" hidden="false" customHeight="false" outlineLevel="0" collapsed="false">
      <c r="A179" s="17"/>
      <c r="B179" s="17"/>
      <c r="C179" s="17"/>
      <c r="D179" s="17"/>
      <c r="E179" s="17"/>
      <c r="F179" s="17"/>
      <c r="G179" s="17"/>
    </row>
    <row r="180" customFormat="false" ht="12.75" hidden="false" customHeight="false" outlineLevel="0" collapsed="false">
      <c r="A180" s="17"/>
      <c r="B180" s="17"/>
      <c r="C180" s="17"/>
      <c r="D180" s="17"/>
      <c r="E180" s="17"/>
      <c r="F180" s="17"/>
      <c r="G180" s="17"/>
    </row>
    <row r="181" customFormat="false" ht="12.75" hidden="false" customHeight="false" outlineLevel="0" collapsed="false">
      <c r="A181" s="17"/>
      <c r="B181" s="17"/>
      <c r="C181" s="17"/>
      <c r="D181" s="17"/>
      <c r="E181" s="17"/>
      <c r="F181" s="17"/>
      <c r="G181" s="17"/>
    </row>
    <row r="182" customFormat="false" ht="12.75" hidden="false" customHeight="false" outlineLevel="0" collapsed="false">
      <c r="A182" s="17"/>
      <c r="B182" s="17"/>
      <c r="C182" s="17"/>
      <c r="D182" s="17"/>
      <c r="E182" s="17"/>
      <c r="F182" s="17"/>
      <c r="G182" s="17"/>
    </row>
    <row r="183" customFormat="false" ht="12.75" hidden="false" customHeight="false" outlineLevel="0" collapsed="false">
      <c r="A183" s="17"/>
      <c r="B183" s="17"/>
      <c r="C183" s="17"/>
      <c r="D183" s="17"/>
      <c r="E183" s="17"/>
      <c r="F183" s="17"/>
      <c r="G183" s="17"/>
    </row>
    <row r="184" customFormat="false" ht="12.75" hidden="false" customHeight="false" outlineLevel="0" collapsed="false">
      <c r="A184" s="17"/>
      <c r="B184" s="17"/>
      <c r="C184" s="17"/>
      <c r="D184" s="17"/>
      <c r="E184" s="17"/>
      <c r="F184" s="17"/>
      <c r="G184" s="17"/>
    </row>
    <row r="185" customFormat="false" ht="12.75" hidden="false" customHeight="false" outlineLevel="0" collapsed="false">
      <c r="A185" s="17"/>
      <c r="B185" s="17"/>
      <c r="C185" s="17"/>
      <c r="D185" s="17"/>
      <c r="E185" s="17"/>
      <c r="F185" s="17"/>
      <c r="G185" s="17"/>
    </row>
    <row r="186" customFormat="false" ht="12.75" hidden="false" customHeight="false" outlineLevel="0" collapsed="false">
      <c r="A186" s="17"/>
      <c r="B186" s="17"/>
      <c r="C186" s="17"/>
      <c r="D186" s="17"/>
      <c r="E186" s="17"/>
      <c r="F186" s="17"/>
      <c r="G186" s="17"/>
    </row>
    <row r="187" customFormat="false" ht="12.75" hidden="false" customHeight="false" outlineLevel="0" collapsed="false">
      <c r="A187" s="17"/>
      <c r="B187" s="17"/>
      <c r="C187" s="17"/>
      <c r="D187" s="17"/>
      <c r="E187" s="17"/>
      <c r="F187" s="17"/>
      <c r="G187" s="17"/>
    </row>
    <row r="188" customFormat="false" ht="12.75" hidden="false" customHeight="false" outlineLevel="0" collapsed="false">
      <c r="A188" s="17"/>
      <c r="B188" s="17"/>
      <c r="C188" s="17"/>
      <c r="D188" s="17"/>
      <c r="E188" s="17"/>
      <c r="F188" s="17"/>
      <c r="G188" s="17"/>
    </row>
    <row r="189" customFormat="false" ht="12.75" hidden="false" customHeight="false" outlineLevel="0" collapsed="false">
      <c r="A189" s="17"/>
      <c r="B189" s="17"/>
      <c r="C189" s="17"/>
      <c r="D189" s="17"/>
      <c r="E189" s="17"/>
      <c r="F189" s="17"/>
      <c r="G189" s="17"/>
    </row>
    <row r="190" customFormat="false" ht="12.75" hidden="false" customHeight="false" outlineLevel="0" collapsed="false">
      <c r="A190" s="17"/>
      <c r="B190" s="17"/>
      <c r="C190" s="17"/>
      <c r="D190" s="17"/>
      <c r="E190" s="17"/>
      <c r="F190" s="17"/>
      <c r="G190" s="17"/>
    </row>
    <row r="191" customFormat="false" ht="12.75" hidden="false" customHeight="false" outlineLevel="0" collapsed="false">
      <c r="A191" s="17"/>
      <c r="B191" s="17"/>
      <c r="C191" s="17"/>
      <c r="D191" s="17"/>
      <c r="E191" s="17"/>
      <c r="F191" s="17"/>
      <c r="G191" s="17"/>
    </row>
    <row r="192" customFormat="false" ht="12.75" hidden="false" customHeight="false" outlineLevel="0" collapsed="false">
      <c r="A192" s="17"/>
      <c r="B192" s="17"/>
      <c r="C192" s="17"/>
      <c r="D192" s="17"/>
      <c r="E192" s="17"/>
      <c r="F192" s="17"/>
      <c r="G192" s="17"/>
    </row>
    <row r="193" customFormat="false" ht="12.75" hidden="false" customHeight="false" outlineLevel="0" collapsed="false">
      <c r="A193" s="17"/>
      <c r="B193" s="17"/>
      <c r="C193" s="17"/>
      <c r="D193" s="17"/>
      <c r="E193" s="17"/>
      <c r="F193" s="17"/>
      <c r="G193" s="17"/>
    </row>
    <row r="194" customFormat="false" ht="12.75" hidden="false" customHeight="false" outlineLevel="0" collapsed="false">
      <c r="A194" s="17"/>
      <c r="B194" s="17"/>
      <c r="C194" s="17"/>
      <c r="D194" s="17"/>
      <c r="E194" s="17"/>
      <c r="F194" s="17"/>
      <c r="G194" s="17"/>
    </row>
    <row r="195" customFormat="false" ht="12.75" hidden="false" customHeight="false" outlineLevel="0" collapsed="false">
      <c r="A195" s="17"/>
      <c r="B195" s="17"/>
      <c r="C195" s="17"/>
      <c r="D195" s="17"/>
      <c r="E195" s="17"/>
      <c r="F195" s="17"/>
      <c r="G195" s="17"/>
    </row>
    <row r="196" customFormat="false" ht="12.75" hidden="false" customHeight="false" outlineLevel="0" collapsed="false">
      <c r="A196" s="17"/>
      <c r="B196" s="17"/>
      <c r="C196" s="17"/>
      <c r="D196" s="17"/>
      <c r="E196" s="17"/>
      <c r="F196" s="17"/>
      <c r="G196" s="17"/>
    </row>
    <row r="197" customFormat="false" ht="12.75" hidden="false" customHeight="false" outlineLevel="0" collapsed="false">
      <c r="A197" s="17"/>
      <c r="B197" s="17"/>
      <c r="C197" s="17"/>
      <c r="D197" s="17"/>
      <c r="E197" s="17"/>
      <c r="F197" s="17"/>
      <c r="G197" s="17"/>
    </row>
    <row r="198" customFormat="false" ht="12.75" hidden="false" customHeight="false" outlineLevel="0" collapsed="false">
      <c r="A198" s="17"/>
      <c r="B198" s="17"/>
      <c r="C198" s="17"/>
      <c r="D198" s="17"/>
      <c r="E198" s="17"/>
      <c r="F198" s="17"/>
      <c r="G198" s="17"/>
    </row>
    <row r="199" customFormat="false" ht="12.75" hidden="false" customHeight="false" outlineLevel="0" collapsed="false">
      <c r="A199" s="17"/>
      <c r="B199" s="17"/>
      <c r="C199" s="17"/>
      <c r="D199" s="17"/>
      <c r="E199" s="17"/>
      <c r="F199" s="17"/>
      <c r="G199" s="17"/>
    </row>
    <row r="200" customFormat="false" ht="12.75" hidden="false" customHeight="false" outlineLevel="0" collapsed="false">
      <c r="A200" s="17"/>
      <c r="B200" s="17"/>
      <c r="C200" s="17"/>
      <c r="D200" s="17"/>
      <c r="E200" s="17"/>
      <c r="F200" s="17"/>
      <c r="G200" s="17"/>
    </row>
    <row r="201" customFormat="false" ht="12.75" hidden="false" customHeight="false" outlineLevel="0" collapsed="false">
      <c r="A201" s="17"/>
      <c r="B201" s="17"/>
      <c r="C201" s="17"/>
      <c r="D201" s="17"/>
      <c r="E201" s="17"/>
      <c r="F201" s="17"/>
      <c r="G201" s="17"/>
    </row>
    <row r="202" customFormat="false" ht="12.75" hidden="false" customHeight="false" outlineLevel="0" collapsed="false">
      <c r="A202" s="17"/>
      <c r="B202" s="17"/>
      <c r="C202" s="17"/>
      <c r="D202" s="17"/>
      <c r="E202" s="17"/>
      <c r="F202" s="17"/>
      <c r="G202" s="17"/>
    </row>
    <row r="203" customFormat="false" ht="12.75" hidden="false" customHeight="false" outlineLevel="0" collapsed="false">
      <c r="A203" s="17"/>
      <c r="B203" s="17"/>
      <c r="C203" s="17"/>
      <c r="D203" s="17"/>
      <c r="E203" s="17"/>
      <c r="F203" s="17"/>
      <c r="G203" s="17"/>
    </row>
    <row r="204" customFormat="false" ht="12.75" hidden="false" customHeight="false" outlineLevel="0" collapsed="false">
      <c r="A204" s="17"/>
      <c r="B204" s="17"/>
      <c r="C204" s="17"/>
      <c r="D204" s="17"/>
      <c r="E204" s="17"/>
      <c r="F204" s="17"/>
      <c r="G204" s="17"/>
    </row>
    <row r="205" customFormat="false" ht="12.75" hidden="false" customHeight="false" outlineLevel="0" collapsed="false">
      <c r="A205" s="17"/>
      <c r="B205" s="17"/>
      <c r="C205" s="17"/>
      <c r="D205" s="17"/>
      <c r="E205" s="17"/>
      <c r="F205" s="17"/>
      <c r="G205" s="17"/>
    </row>
    <row r="206" customFormat="false" ht="12.75" hidden="false" customHeight="false" outlineLevel="0" collapsed="false">
      <c r="A206" s="17"/>
      <c r="B206" s="17"/>
      <c r="C206" s="17"/>
      <c r="D206" s="17"/>
      <c r="E206" s="17"/>
      <c r="F206" s="17"/>
      <c r="G206" s="17"/>
    </row>
    <row r="207" customFormat="false" ht="12.75" hidden="false" customHeight="false" outlineLevel="0" collapsed="false">
      <c r="A207" s="17"/>
      <c r="B207" s="17"/>
      <c r="C207" s="17"/>
      <c r="D207" s="17"/>
      <c r="E207" s="17"/>
      <c r="F207" s="17"/>
      <c r="G207" s="17"/>
    </row>
    <row r="208" customFormat="false" ht="12.75" hidden="false" customHeight="false" outlineLevel="0" collapsed="false">
      <c r="A208" s="17"/>
      <c r="B208" s="17"/>
      <c r="C208" s="17"/>
      <c r="D208" s="17"/>
      <c r="E208" s="17"/>
      <c r="F208" s="17"/>
      <c r="G208" s="17"/>
    </row>
    <row r="209" customFormat="false" ht="12.75" hidden="false" customHeight="false" outlineLevel="0" collapsed="false">
      <c r="A209" s="17"/>
      <c r="B209" s="17"/>
      <c r="C209" s="17"/>
      <c r="D209" s="17"/>
      <c r="E209" s="17"/>
      <c r="F209" s="17"/>
      <c r="G209" s="17"/>
    </row>
    <row r="210" customFormat="false" ht="12.75" hidden="false" customHeight="false" outlineLevel="0" collapsed="false">
      <c r="A210" s="17"/>
      <c r="B210" s="17"/>
      <c r="C210" s="17"/>
      <c r="D210" s="17"/>
      <c r="E210" s="17"/>
      <c r="F210" s="17"/>
      <c r="G210" s="17"/>
    </row>
    <row r="211" customFormat="false" ht="12.75" hidden="false" customHeight="false" outlineLevel="0" collapsed="false">
      <c r="A211" s="17"/>
      <c r="B211" s="17"/>
      <c r="C211" s="17"/>
      <c r="D211" s="17"/>
      <c r="E211" s="17"/>
      <c r="F211" s="17"/>
      <c r="G211" s="17"/>
    </row>
    <row r="212" customFormat="false" ht="12.75" hidden="false" customHeight="false" outlineLevel="0" collapsed="false">
      <c r="A212" s="17"/>
      <c r="B212" s="17"/>
      <c r="C212" s="17"/>
      <c r="D212" s="17"/>
      <c r="E212" s="17"/>
      <c r="F212" s="17"/>
      <c r="G212" s="17"/>
    </row>
    <row r="213" customFormat="false" ht="12.75" hidden="false" customHeight="false" outlineLevel="0" collapsed="false">
      <c r="A213" s="17"/>
      <c r="B213" s="17"/>
      <c r="C213" s="17"/>
      <c r="D213" s="17"/>
      <c r="E213" s="17"/>
      <c r="F213" s="17"/>
      <c r="G213" s="17"/>
    </row>
    <row r="214" customFormat="false" ht="12.75" hidden="false" customHeight="false" outlineLevel="0" collapsed="false">
      <c r="A214" s="17"/>
      <c r="B214" s="17"/>
      <c r="C214" s="17"/>
      <c r="D214" s="17"/>
      <c r="E214" s="17"/>
      <c r="F214" s="17"/>
      <c r="G214" s="17"/>
    </row>
    <row r="215" customFormat="false" ht="12.75" hidden="false" customHeight="false" outlineLevel="0" collapsed="false">
      <c r="A215" s="17"/>
      <c r="B215" s="17"/>
      <c r="C215" s="17"/>
      <c r="D215" s="17"/>
      <c r="E215" s="17"/>
      <c r="F215" s="17"/>
      <c r="G215" s="17"/>
    </row>
    <row r="216" customFormat="false" ht="12.75" hidden="false" customHeight="false" outlineLevel="0" collapsed="false">
      <c r="A216" s="17"/>
      <c r="B216" s="17"/>
      <c r="C216" s="17"/>
      <c r="D216" s="17"/>
      <c r="E216" s="17"/>
      <c r="F216" s="17"/>
      <c r="G216" s="17"/>
    </row>
    <row r="217" customFormat="false" ht="12.75" hidden="false" customHeight="false" outlineLevel="0" collapsed="false">
      <c r="A217" s="17"/>
      <c r="B217" s="17"/>
      <c r="C217" s="17"/>
      <c r="D217" s="17"/>
      <c r="E217" s="17"/>
      <c r="F217" s="17"/>
      <c r="G217" s="17"/>
    </row>
    <row r="218" customFormat="false" ht="12.75" hidden="false" customHeight="false" outlineLevel="0" collapsed="false">
      <c r="A218" s="17"/>
      <c r="B218" s="17"/>
      <c r="C218" s="17"/>
      <c r="D218" s="17"/>
      <c r="E218" s="17"/>
      <c r="F218" s="17"/>
      <c r="G218" s="17"/>
    </row>
    <row r="219" customFormat="false" ht="12.75" hidden="false" customHeight="false" outlineLevel="0" collapsed="false">
      <c r="A219" s="17"/>
      <c r="B219" s="17"/>
      <c r="C219" s="17"/>
      <c r="D219" s="17"/>
      <c r="E219" s="17"/>
      <c r="F219" s="17"/>
      <c r="G219" s="17"/>
    </row>
    <row r="220" customFormat="false" ht="12.75" hidden="false" customHeight="false" outlineLevel="0" collapsed="false">
      <c r="A220" s="17"/>
      <c r="B220" s="17"/>
      <c r="C220" s="17"/>
      <c r="D220" s="17"/>
      <c r="E220" s="17"/>
      <c r="F220" s="17"/>
      <c r="G220" s="17"/>
    </row>
    <row r="221" customFormat="false" ht="12.75" hidden="false" customHeight="false" outlineLevel="0" collapsed="false">
      <c r="A221" s="17"/>
      <c r="B221" s="17"/>
      <c r="C221" s="17"/>
      <c r="D221" s="17"/>
      <c r="E221" s="17"/>
      <c r="F221" s="17"/>
      <c r="G221" s="17"/>
    </row>
    <row r="222" customFormat="false" ht="12.75" hidden="false" customHeight="false" outlineLevel="0" collapsed="false">
      <c r="A222" s="17"/>
      <c r="B222" s="17"/>
      <c r="C222" s="17"/>
      <c r="D222" s="17"/>
      <c r="E222" s="17"/>
      <c r="F222" s="17"/>
      <c r="G222" s="17"/>
    </row>
    <row r="223" customFormat="false" ht="12.75" hidden="false" customHeight="false" outlineLevel="0" collapsed="false">
      <c r="A223" s="17"/>
      <c r="B223" s="17"/>
      <c r="C223" s="17"/>
      <c r="D223" s="17"/>
      <c r="E223" s="17"/>
      <c r="F223" s="17"/>
      <c r="G223" s="17"/>
    </row>
    <row r="224" customFormat="false" ht="12.75" hidden="false" customHeight="false" outlineLevel="0" collapsed="false">
      <c r="A224" s="17"/>
      <c r="B224" s="17"/>
      <c r="C224" s="17"/>
      <c r="D224" s="17"/>
      <c r="E224" s="17"/>
      <c r="F224" s="17"/>
      <c r="G224" s="17"/>
    </row>
    <row r="225" customFormat="false" ht="12.75" hidden="false" customHeight="false" outlineLevel="0" collapsed="false">
      <c r="A225" s="17"/>
      <c r="B225" s="17"/>
      <c r="C225" s="17"/>
      <c r="D225" s="17"/>
      <c r="E225" s="17"/>
      <c r="F225" s="17"/>
      <c r="G225" s="17"/>
    </row>
    <row r="226" customFormat="false" ht="12.75" hidden="false" customHeight="false" outlineLevel="0" collapsed="false">
      <c r="A226" s="17"/>
      <c r="B226" s="17"/>
      <c r="C226" s="17"/>
      <c r="D226" s="17"/>
      <c r="E226" s="17"/>
      <c r="F226" s="17"/>
      <c r="G226" s="17"/>
    </row>
    <row r="227" customFormat="false" ht="12.75" hidden="false" customHeight="false" outlineLevel="0" collapsed="false">
      <c r="A227" s="17"/>
      <c r="B227" s="17"/>
      <c r="C227" s="17"/>
      <c r="D227" s="17"/>
      <c r="E227" s="17"/>
      <c r="F227" s="17"/>
      <c r="G227" s="17"/>
    </row>
    <row r="228" customFormat="false" ht="12.75" hidden="false" customHeight="false" outlineLevel="0" collapsed="false">
      <c r="A228" s="17"/>
      <c r="B228" s="17"/>
      <c r="C228" s="17"/>
      <c r="D228" s="17"/>
      <c r="E228" s="17"/>
      <c r="F228" s="17"/>
      <c r="G228" s="17"/>
    </row>
    <row r="229" customFormat="false" ht="12.75" hidden="false" customHeight="false" outlineLevel="0" collapsed="false">
      <c r="A229" s="17"/>
      <c r="B229" s="17"/>
      <c r="C229" s="17"/>
      <c r="D229" s="17"/>
      <c r="E229" s="17"/>
      <c r="F229" s="17"/>
      <c r="G229" s="17"/>
    </row>
    <row r="230" customFormat="false" ht="12.75" hidden="false" customHeight="false" outlineLevel="0" collapsed="false">
      <c r="A230" s="17"/>
      <c r="B230" s="17"/>
      <c r="C230" s="17"/>
      <c r="D230" s="17"/>
      <c r="E230" s="17"/>
      <c r="F230" s="17"/>
      <c r="G230" s="17"/>
    </row>
    <row r="231" customFormat="false" ht="12.75" hidden="false" customHeight="false" outlineLevel="0" collapsed="false">
      <c r="A231" s="17"/>
      <c r="B231" s="17"/>
      <c r="C231" s="17"/>
      <c r="D231" s="17"/>
      <c r="E231" s="17"/>
      <c r="F231" s="17"/>
      <c r="G231" s="17"/>
    </row>
    <row r="232" customFormat="false" ht="12.75" hidden="false" customHeight="false" outlineLevel="0" collapsed="false">
      <c r="A232" s="17"/>
      <c r="B232" s="17"/>
      <c r="C232" s="17"/>
      <c r="D232" s="17"/>
      <c r="E232" s="17"/>
      <c r="F232" s="17"/>
      <c r="G232" s="17"/>
    </row>
    <row r="233" customFormat="false" ht="12.75" hidden="false" customHeight="false" outlineLevel="0" collapsed="false">
      <c r="A233" s="17"/>
      <c r="B233" s="17"/>
      <c r="C233" s="17"/>
      <c r="D233" s="17"/>
      <c r="E233" s="17"/>
      <c r="F233" s="17"/>
      <c r="G233" s="17"/>
    </row>
    <row r="234" customFormat="false" ht="12.75" hidden="false" customHeight="false" outlineLevel="0" collapsed="false">
      <c r="A234" s="17"/>
      <c r="B234" s="17"/>
      <c r="C234" s="17"/>
      <c r="D234" s="17"/>
      <c r="E234" s="17"/>
      <c r="F234" s="17"/>
      <c r="G234" s="17"/>
    </row>
    <row r="235" customFormat="false" ht="12.75" hidden="false" customHeight="false" outlineLevel="0" collapsed="false">
      <c r="A235" s="17"/>
      <c r="B235" s="17"/>
      <c r="C235" s="17"/>
      <c r="D235" s="17"/>
      <c r="E235" s="17"/>
      <c r="F235" s="17"/>
      <c r="G235" s="17"/>
    </row>
    <row r="236" customFormat="false" ht="12.75" hidden="false" customHeight="false" outlineLevel="0" collapsed="false">
      <c r="A236" s="17"/>
      <c r="B236" s="17"/>
      <c r="C236" s="17"/>
      <c r="D236" s="17"/>
      <c r="E236" s="17"/>
      <c r="F236" s="17"/>
      <c r="G236" s="17"/>
    </row>
    <row r="237" customFormat="false" ht="12.75" hidden="false" customHeight="false" outlineLevel="0" collapsed="false">
      <c r="A237" s="17"/>
      <c r="B237" s="17"/>
      <c r="C237" s="17"/>
      <c r="D237" s="17"/>
      <c r="E237" s="17"/>
      <c r="F237" s="17"/>
      <c r="G237" s="17"/>
    </row>
    <row r="238" customFormat="false" ht="12.75" hidden="false" customHeight="false" outlineLevel="0" collapsed="false">
      <c r="A238" s="17"/>
      <c r="B238" s="17"/>
      <c r="C238" s="17"/>
      <c r="D238" s="17"/>
      <c r="E238" s="17"/>
      <c r="F238" s="17"/>
      <c r="G238" s="17"/>
    </row>
    <row r="239" customFormat="false" ht="12.75" hidden="false" customHeight="false" outlineLevel="0" collapsed="false">
      <c r="A239" s="17"/>
      <c r="B239" s="17"/>
      <c r="C239" s="17"/>
      <c r="D239" s="17"/>
      <c r="E239" s="17"/>
      <c r="F239" s="17"/>
      <c r="G239" s="17"/>
    </row>
    <row r="240" customFormat="false" ht="12.75" hidden="false" customHeight="false" outlineLevel="0" collapsed="false">
      <c r="A240" s="17"/>
      <c r="B240" s="17"/>
      <c r="C240" s="17"/>
      <c r="D240" s="17"/>
      <c r="E240" s="17"/>
      <c r="F240" s="17"/>
      <c r="G240" s="17"/>
    </row>
    <row r="241" customFormat="false" ht="12.75" hidden="false" customHeight="false" outlineLevel="0" collapsed="false">
      <c r="A241" s="17"/>
      <c r="B241" s="17"/>
      <c r="C241" s="17"/>
      <c r="D241" s="17"/>
      <c r="E241" s="17"/>
      <c r="F241" s="17"/>
      <c r="G241" s="17"/>
    </row>
    <row r="242" customFormat="false" ht="12.75" hidden="false" customHeight="false" outlineLevel="0" collapsed="false">
      <c r="A242" s="17"/>
      <c r="B242" s="17"/>
      <c r="C242" s="17"/>
      <c r="D242" s="17"/>
      <c r="E242" s="17"/>
      <c r="F242" s="17"/>
      <c r="G242" s="17"/>
    </row>
    <row r="243" customFormat="false" ht="12.75" hidden="false" customHeight="false" outlineLevel="0" collapsed="false">
      <c r="A243" s="17"/>
      <c r="B243" s="17"/>
      <c r="C243" s="17"/>
      <c r="D243" s="17"/>
      <c r="E243" s="17"/>
      <c r="F243" s="17"/>
      <c r="G243" s="17"/>
    </row>
    <row r="244" customFormat="false" ht="12.75" hidden="false" customHeight="false" outlineLevel="0" collapsed="false">
      <c r="A244" s="17"/>
      <c r="B244" s="17"/>
      <c r="C244" s="17"/>
      <c r="D244" s="17"/>
      <c r="E244" s="17"/>
      <c r="F244" s="17"/>
      <c r="G244" s="17"/>
    </row>
    <row r="245" customFormat="false" ht="12.75" hidden="false" customHeight="false" outlineLevel="0" collapsed="false">
      <c r="A245" s="17"/>
      <c r="B245" s="17"/>
      <c r="C245" s="17"/>
      <c r="D245" s="17"/>
      <c r="E245" s="17"/>
      <c r="F245" s="17"/>
      <c r="G245" s="17"/>
    </row>
    <row r="246" customFormat="false" ht="12.75" hidden="false" customHeight="false" outlineLevel="0" collapsed="false">
      <c r="A246" s="17"/>
      <c r="B246" s="17"/>
      <c r="C246" s="17"/>
      <c r="D246" s="17"/>
      <c r="E246" s="17"/>
      <c r="F246" s="17"/>
      <c r="G246" s="17"/>
    </row>
    <row r="247" customFormat="false" ht="12.75" hidden="false" customHeight="false" outlineLevel="0" collapsed="false">
      <c r="A247" s="17"/>
      <c r="B247" s="17"/>
      <c r="C247" s="17"/>
      <c r="D247" s="17"/>
      <c r="E247" s="17"/>
      <c r="F247" s="17"/>
      <c r="G247" s="17"/>
    </row>
    <row r="248" customFormat="false" ht="12.75" hidden="false" customHeight="false" outlineLevel="0" collapsed="false">
      <c r="A248" s="17"/>
      <c r="B248" s="17"/>
      <c r="C248" s="17"/>
      <c r="D248" s="17"/>
      <c r="E248" s="17"/>
      <c r="F248" s="17"/>
      <c r="G248" s="17"/>
    </row>
    <row r="249" customFormat="false" ht="12.75" hidden="false" customHeight="false" outlineLevel="0" collapsed="false">
      <c r="A249" s="17"/>
      <c r="B249" s="17"/>
      <c r="C249" s="17"/>
      <c r="D249" s="17"/>
      <c r="E249" s="17"/>
      <c r="F249" s="17"/>
      <c r="G249" s="17"/>
    </row>
    <row r="250" customFormat="false" ht="12.75" hidden="false" customHeight="false" outlineLevel="0" collapsed="false">
      <c r="A250" s="17"/>
      <c r="B250" s="17"/>
      <c r="C250" s="17"/>
      <c r="D250" s="17"/>
      <c r="E250" s="17"/>
      <c r="F250" s="17"/>
      <c r="G250" s="17"/>
    </row>
    <row r="251" customFormat="false" ht="12.75" hidden="false" customHeight="false" outlineLevel="0" collapsed="false">
      <c r="A251" s="17"/>
      <c r="B251" s="17"/>
      <c r="C251" s="17"/>
      <c r="D251" s="17"/>
      <c r="E251" s="17"/>
      <c r="F251" s="17"/>
      <c r="G251" s="17"/>
    </row>
    <row r="252" customFormat="false" ht="12.75" hidden="false" customHeight="false" outlineLevel="0" collapsed="false">
      <c r="A252" s="17"/>
      <c r="B252" s="17"/>
      <c r="C252" s="17"/>
      <c r="D252" s="17"/>
      <c r="E252" s="17"/>
      <c r="F252" s="17"/>
      <c r="G252" s="17"/>
    </row>
    <row r="253" customFormat="false" ht="12.75" hidden="false" customHeight="false" outlineLevel="0" collapsed="false">
      <c r="A253" s="17"/>
      <c r="B253" s="17"/>
      <c r="C253" s="17"/>
      <c r="D253" s="17"/>
      <c r="E253" s="17"/>
      <c r="F253" s="17"/>
      <c r="G253" s="17"/>
    </row>
    <row r="254" customFormat="false" ht="12.75" hidden="false" customHeight="false" outlineLevel="0" collapsed="false">
      <c r="A254" s="17"/>
      <c r="B254" s="17"/>
      <c r="C254" s="17"/>
      <c r="D254" s="17"/>
      <c r="E254" s="17"/>
      <c r="F254" s="17"/>
      <c r="G254" s="17"/>
    </row>
    <row r="255" customFormat="false" ht="12.75" hidden="false" customHeight="false" outlineLevel="0" collapsed="false">
      <c r="A255" s="17"/>
      <c r="B255" s="17"/>
      <c r="C255" s="17"/>
      <c r="D255" s="17"/>
      <c r="E255" s="17"/>
      <c r="F255" s="17"/>
      <c r="G255" s="17"/>
    </row>
    <row r="256" customFormat="false" ht="12.75" hidden="false" customHeight="false" outlineLevel="0" collapsed="false">
      <c r="A256" s="17"/>
      <c r="B256" s="17"/>
      <c r="C256" s="17"/>
      <c r="D256" s="17"/>
      <c r="E256" s="17"/>
      <c r="F256" s="17"/>
      <c r="G256" s="17"/>
    </row>
    <row r="257" customFormat="false" ht="12.75" hidden="false" customHeight="false" outlineLevel="0" collapsed="false">
      <c r="A257" s="17"/>
      <c r="B257" s="17"/>
      <c r="C257" s="17"/>
      <c r="D257" s="17"/>
      <c r="E257" s="17"/>
      <c r="F257" s="17"/>
      <c r="G257" s="17"/>
    </row>
    <row r="258" customFormat="false" ht="12.75" hidden="false" customHeight="false" outlineLevel="0" collapsed="false">
      <c r="A258" s="17"/>
      <c r="B258" s="17"/>
      <c r="C258" s="17"/>
      <c r="D258" s="17"/>
      <c r="E258" s="17"/>
      <c r="F258" s="17"/>
      <c r="G258" s="17"/>
    </row>
    <row r="259" customFormat="false" ht="12.75" hidden="false" customHeight="false" outlineLevel="0" collapsed="false">
      <c r="A259" s="17"/>
      <c r="B259" s="17"/>
      <c r="C259" s="17"/>
      <c r="D259" s="17"/>
      <c r="E259" s="17"/>
      <c r="F259" s="17"/>
      <c r="G259" s="17"/>
    </row>
    <row r="260" customFormat="false" ht="12.75" hidden="false" customHeight="false" outlineLevel="0" collapsed="false">
      <c r="A260" s="17"/>
      <c r="B260" s="17"/>
      <c r="C260" s="17"/>
      <c r="D260" s="17"/>
      <c r="E260" s="17"/>
      <c r="F260" s="17"/>
      <c r="G260" s="17"/>
    </row>
    <row r="261" customFormat="false" ht="12.75" hidden="false" customHeight="false" outlineLevel="0" collapsed="false">
      <c r="A261" s="17"/>
      <c r="B261" s="17"/>
      <c r="C261" s="17"/>
      <c r="D261" s="17"/>
      <c r="E261" s="17"/>
      <c r="F261" s="17"/>
      <c r="G261" s="17"/>
    </row>
    <row r="262" customFormat="false" ht="12.75" hidden="false" customHeight="false" outlineLevel="0" collapsed="false">
      <c r="A262" s="17"/>
      <c r="B262" s="17"/>
      <c r="C262" s="17"/>
      <c r="D262" s="17"/>
      <c r="E262" s="17"/>
      <c r="F262" s="17"/>
      <c r="G262" s="17"/>
    </row>
    <row r="263" customFormat="false" ht="12.75" hidden="false" customHeight="false" outlineLevel="0" collapsed="false">
      <c r="A263" s="17"/>
      <c r="B263" s="17"/>
      <c r="C263" s="17"/>
      <c r="D263" s="17"/>
      <c r="E263" s="17"/>
      <c r="F263" s="17"/>
      <c r="G263" s="17"/>
    </row>
    <row r="264" customFormat="false" ht="12.75" hidden="false" customHeight="false" outlineLevel="0" collapsed="false">
      <c r="A264" s="17"/>
      <c r="B264" s="17"/>
      <c r="C264" s="17"/>
      <c r="D264" s="17"/>
      <c r="E264" s="17"/>
      <c r="F264" s="17"/>
      <c r="G264" s="17"/>
    </row>
    <row r="265" customFormat="false" ht="12.75" hidden="false" customHeight="false" outlineLevel="0" collapsed="false">
      <c r="A265" s="17"/>
      <c r="B265" s="17"/>
      <c r="C265" s="17"/>
      <c r="D265" s="17"/>
      <c r="E265" s="17"/>
      <c r="F265" s="17"/>
      <c r="G265" s="17"/>
    </row>
    <row r="266" customFormat="false" ht="12.75" hidden="false" customHeight="false" outlineLevel="0" collapsed="false">
      <c r="A266" s="17"/>
      <c r="B266" s="17"/>
      <c r="C266" s="17"/>
      <c r="D266" s="17"/>
      <c r="E266" s="17"/>
      <c r="F266" s="17"/>
      <c r="G266" s="17"/>
    </row>
    <row r="267" customFormat="false" ht="12.75" hidden="false" customHeight="false" outlineLevel="0" collapsed="false">
      <c r="A267" s="17"/>
      <c r="B267" s="17"/>
      <c r="C267" s="17"/>
      <c r="D267" s="17"/>
      <c r="E267" s="17"/>
      <c r="F267" s="17"/>
      <c r="G267" s="17"/>
    </row>
    <row r="268" customFormat="false" ht="12.75" hidden="false" customHeight="false" outlineLevel="0" collapsed="false">
      <c r="A268" s="17"/>
      <c r="B268" s="17"/>
      <c r="C268" s="17"/>
      <c r="D268" s="17"/>
      <c r="E268" s="17"/>
      <c r="F268" s="17"/>
      <c r="G268" s="17"/>
    </row>
    <row r="269" customFormat="false" ht="12.75" hidden="false" customHeight="false" outlineLevel="0" collapsed="false">
      <c r="A269" s="17"/>
      <c r="B269" s="17"/>
      <c r="C269" s="17"/>
      <c r="D269" s="17"/>
      <c r="E269" s="17"/>
      <c r="F269" s="17"/>
      <c r="G269" s="17"/>
    </row>
    <row r="270" customFormat="false" ht="12.75" hidden="false" customHeight="false" outlineLevel="0" collapsed="false">
      <c r="A270" s="17"/>
      <c r="B270" s="17"/>
      <c r="C270" s="17"/>
      <c r="D270" s="17"/>
      <c r="E270" s="17"/>
      <c r="F270" s="17"/>
      <c r="G270" s="17"/>
    </row>
    <row r="271" customFormat="false" ht="12.75" hidden="false" customHeight="false" outlineLevel="0" collapsed="false">
      <c r="A271" s="17"/>
      <c r="B271" s="17"/>
      <c r="C271" s="17"/>
      <c r="D271" s="17"/>
      <c r="E271" s="17"/>
      <c r="F271" s="17"/>
      <c r="G271" s="17"/>
    </row>
    <row r="272" customFormat="false" ht="12.75" hidden="false" customHeight="false" outlineLevel="0" collapsed="false">
      <c r="A272" s="17"/>
      <c r="B272" s="17"/>
      <c r="C272" s="17"/>
      <c r="D272" s="17"/>
      <c r="E272" s="17"/>
      <c r="F272" s="17"/>
      <c r="G272" s="17"/>
    </row>
    <row r="273" customFormat="false" ht="12.75" hidden="false" customHeight="false" outlineLevel="0" collapsed="false">
      <c r="A273" s="17"/>
      <c r="B273" s="17"/>
      <c r="C273" s="17"/>
      <c r="D273" s="17"/>
      <c r="E273" s="17"/>
      <c r="F273" s="17"/>
      <c r="G273" s="17"/>
    </row>
    <row r="274" customFormat="false" ht="12.75" hidden="false" customHeight="false" outlineLevel="0" collapsed="false">
      <c r="A274" s="17"/>
      <c r="B274" s="17"/>
      <c r="C274" s="17"/>
      <c r="D274" s="17"/>
      <c r="E274" s="17"/>
      <c r="F274" s="17"/>
      <c r="G274" s="17"/>
    </row>
    <row r="275" customFormat="false" ht="12.75" hidden="false" customHeight="false" outlineLevel="0" collapsed="false">
      <c r="A275" s="17"/>
      <c r="B275" s="17"/>
      <c r="C275" s="17"/>
      <c r="D275" s="17"/>
      <c r="E275" s="17"/>
      <c r="F275" s="17"/>
      <c r="G275" s="17"/>
    </row>
    <row r="276" customFormat="false" ht="12.75" hidden="false" customHeight="false" outlineLevel="0" collapsed="false">
      <c r="A276" s="17"/>
      <c r="B276" s="17"/>
      <c r="C276" s="17"/>
      <c r="D276" s="17"/>
      <c r="E276" s="17"/>
      <c r="F276" s="17"/>
      <c r="G276" s="17"/>
    </row>
    <row r="277" customFormat="false" ht="12.75" hidden="false" customHeight="false" outlineLevel="0" collapsed="false">
      <c r="A277" s="17"/>
      <c r="B277" s="17"/>
      <c r="C277" s="17"/>
      <c r="D277" s="17"/>
      <c r="E277" s="17"/>
      <c r="F277" s="17"/>
      <c r="G277" s="17"/>
    </row>
    <row r="278" customFormat="false" ht="12.75" hidden="false" customHeight="false" outlineLevel="0" collapsed="false">
      <c r="A278" s="17"/>
      <c r="B278" s="17"/>
      <c r="C278" s="17"/>
      <c r="D278" s="17"/>
      <c r="E278" s="17"/>
      <c r="F278" s="17"/>
      <c r="G278" s="17"/>
    </row>
    <row r="279" customFormat="false" ht="12.75" hidden="false" customHeight="false" outlineLevel="0" collapsed="false">
      <c r="A279" s="17"/>
      <c r="B279" s="17"/>
      <c r="C279" s="17"/>
      <c r="D279" s="17"/>
      <c r="E279" s="17"/>
      <c r="F279" s="17"/>
      <c r="G279" s="17"/>
    </row>
    <row r="280" customFormat="false" ht="12.75" hidden="false" customHeight="false" outlineLevel="0" collapsed="false">
      <c r="A280" s="17"/>
      <c r="B280" s="17"/>
      <c r="C280" s="17"/>
      <c r="D280" s="17"/>
      <c r="E280" s="17"/>
      <c r="F280" s="17"/>
      <c r="G280" s="17"/>
    </row>
    <row r="281" customFormat="false" ht="12.75" hidden="false" customHeight="false" outlineLevel="0" collapsed="false">
      <c r="A281" s="17"/>
      <c r="B281" s="17"/>
      <c r="C281" s="17"/>
      <c r="D281" s="17"/>
      <c r="E281" s="17"/>
      <c r="F281" s="17"/>
      <c r="G281" s="17"/>
    </row>
    <row r="282" customFormat="false" ht="12.75" hidden="false" customHeight="false" outlineLevel="0" collapsed="false">
      <c r="A282" s="17"/>
      <c r="B282" s="17"/>
      <c r="C282" s="17"/>
      <c r="D282" s="17"/>
      <c r="E282" s="17"/>
      <c r="F282" s="17"/>
      <c r="G282" s="17"/>
    </row>
    <row r="283" customFormat="false" ht="12.75" hidden="false" customHeight="false" outlineLevel="0" collapsed="false">
      <c r="A283" s="17"/>
      <c r="B283" s="17"/>
      <c r="C283" s="17"/>
      <c r="D283" s="17"/>
      <c r="E283" s="17"/>
      <c r="F283" s="17"/>
      <c r="G283" s="17"/>
    </row>
    <row r="284" customFormat="false" ht="12.75" hidden="false" customHeight="false" outlineLevel="0" collapsed="false">
      <c r="A284" s="17"/>
      <c r="B284" s="17"/>
      <c r="C284" s="17"/>
      <c r="D284" s="17"/>
      <c r="E284" s="17"/>
      <c r="F284" s="17"/>
      <c r="G284" s="17"/>
    </row>
    <row r="285" customFormat="false" ht="12.75" hidden="false" customHeight="false" outlineLevel="0" collapsed="false">
      <c r="A285" s="17"/>
      <c r="B285" s="17"/>
      <c r="C285" s="17"/>
      <c r="D285" s="17"/>
      <c r="E285" s="17"/>
      <c r="F285" s="17"/>
      <c r="G285" s="17"/>
    </row>
    <row r="286" customFormat="false" ht="12.75" hidden="false" customHeight="false" outlineLevel="0" collapsed="false">
      <c r="A286" s="17"/>
      <c r="B286" s="17"/>
      <c r="C286" s="17"/>
      <c r="D286" s="17"/>
      <c r="E286" s="17"/>
      <c r="F286" s="17"/>
      <c r="G286" s="17"/>
    </row>
    <row r="287" customFormat="false" ht="12.75" hidden="false" customHeight="false" outlineLevel="0" collapsed="false">
      <c r="A287" s="17"/>
      <c r="B287" s="17"/>
      <c r="C287" s="17"/>
      <c r="D287" s="17"/>
      <c r="E287" s="17"/>
      <c r="F287" s="17"/>
      <c r="G287" s="17"/>
    </row>
    <row r="288" customFormat="false" ht="12.75" hidden="false" customHeight="false" outlineLevel="0" collapsed="false">
      <c r="A288" s="17"/>
      <c r="B288" s="17"/>
      <c r="C288" s="17"/>
      <c r="D288" s="17"/>
      <c r="E288" s="17"/>
      <c r="F288" s="17"/>
      <c r="G288" s="17"/>
    </row>
    <row r="289" customFormat="false" ht="12.75" hidden="false" customHeight="false" outlineLevel="0" collapsed="false">
      <c r="A289" s="17"/>
      <c r="B289" s="17"/>
      <c r="C289" s="17"/>
      <c r="D289" s="17"/>
      <c r="E289" s="17"/>
      <c r="F289" s="17"/>
      <c r="G289" s="17"/>
    </row>
    <row r="290" customFormat="false" ht="12.75" hidden="false" customHeight="false" outlineLevel="0" collapsed="false">
      <c r="A290" s="17"/>
      <c r="B290" s="17"/>
      <c r="C290" s="17"/>
      <c r="D290" s="17"/>
      <c r="E290" s="17"/>
      <c r="F290" s="17"/>
      <c r="G290" s="17"/>
    </row>
    <row r="291" customFormat="false" ht="12.75" hidden="false" customHeight="false" outlineLevel="0" collapsed="false">
      <c r="A291" s="17"/>
      <c r="B291" s="17"/>
      <c r="C291" s="17"/>
      <c r="D291" s="17"/>
      <c r="E291" s="17"/>
      <c r="F291" s="17"/>
      <c r="G291" s="17"/>
    </row>
    <row r="292" customFormat="false" ht="12.75" hidden="false" customHeight="false" outlineLevel="0" collapsed="false">
      <c r="A292" s="17"/>
      <c r="B292" s="17"/>
      <c r="C292" s="17"/>
      <c r="D292" s="17"/>
      <c r="E292" s="17"/>
      <c r="F292" s="17"/>
      <c r="G292" s="17"/>
    </row>
    <row r="293" customFormat="false" ht="12.75" hidden="false" customHeight="false" outlineLevel="0" collapsed="false">
      <c r="A293" s="17"/>
      <c r="B293" s="17"/>
      <c r="C293" s="17"/>
      <c r="D293" s="17"/>
      <c r="E293" s="17"/>
      <c r="F293" s="17"/>
      <c r="G293" s="17"/>
    </row>
    <row r="294" customFormat="false" ht="12.75" hidden="false" customHeight="false" outlineLevel="0" collapsed="false">
      <c r="A294" s="17"/>
      <c r="B294" s="17"/>
      <c r="C294" s="17"/>
      <c r="D294" s="17"/>
      <c r="E294" s="17"/>
      <c r="F294" s="17"/>
      <c r="G294" s="17"/>
    </row>
    <row r="295" customFormat="false" ht="12.75" hidden="false" customHeight="false" outlineLevel="0" collapsed="false">
      <c r="A295" s="17"/>
      <c r="B295" s="17"/>
      <c r="C295" s="17"/>
      <c r="D295" s="17"/>
      <c r="E295" s="17"/>
      <c r="F295" s="17"/>
      <c r="G295" s="17"/>
    </row>
    <row r="296" customFormat="false" ht="12.75" hidden="false" customHeight="false" outlineLevel="0" collapsed="false">
      <c r="A296" s="17"/>
      <c r="B296" s="17"/>
      <c r="C296" s="17"/>
      <c r="D296" s="17"/>
      <c r="E296" s="17"/>
      <c r="F296" s="17"/>
      <c r="G296" s="17"/>
    </row>
    <row r="297" customFormat="false" ht="12.75" hidden="false" customHeight="false" outlineLevel="0" collapsed="false">
      <c r="A297" s="17"/>
      <c r="B297" s="17"/>
      <c r="C297" s="17"/>
      <c r="D297" s="17"/>
      <c r="E297" s="17"/>
      <c r="F297" s="17"/>
      <c r="G297" s="17"/>
    </row>
    <row r="298" customFormat="false" ht="12.75" hidden="false" customHeight="false" outlineLevel="0" collapsed="false">
      <c r="A298" s="17"/>
      <c r="B298" s="17"/>
      <c r="C298" s="17"/>
      <c r="D298" s="17"/>
      <c r="E298" s="17"/>
      <c r="F298" s="17"/>
      <c r="G298" s="17"/>
    </row>
    <row r="299" customFormat="false" ht="12.75" hidden="false" customHeight="false" outlineLevel="0" collapsed="false">
      <c r="A299" s="17"/>
      <c r="B299" s="17"/>
      <c r="C299" s="17"/>
      <c r="D299" s="17"/>
      <c r="E299" s="17"/>
      <c r="F299" s="17"/>
      <c r="G299" s="17"/>
    </row>
    <row r="300" customFormat="false" ht="12.75" hidden="false" customHeight="false" outlineLevel="0" collapsed="false">
      <c r="A300" s="17"/>
      <c r="B300" s="17"/>
      <c r="C300" s="17"/>
      <c r="D300" s="17"/>
      <c r="E300" s="17"/>
      <c r="F300" s="17"/>
      <c r="G300" s="17"/>
    </row>
    <row r="301" customFormat="false" ht="12.75" hidden="false" customHeight="false" outlineLevel="0" collapsed="false">
      <c r="A301" s="17"/>
      <c r="B301" s="17"/>
      <c r="C301" s="17"/>
      <c r="D301" s="17"/>
      <c r="E301" s="17"/>
      <c r="F301" s="17"/>
      <c r="G301" s="17"/>
    </row>
    <row r="302" customFormat="false" ht="12.75" hidden="false" customHeight="false" outlineLevel="0" collapsed="false">
      <c r="A302" s="17"/>
      <c r="B302" s="17"/>
      <c r="C302" s="17"/>
      <c r="D302" s="17"/>
      <c r="E302" s="17"/>
      <c r="F302" s="17"/>
      <c r="G302" s="17"/>
    </row>
    <row r="303" customFormat="false" ht="12.75" hidden="false" customHeight="false" outlineLevel="0" collapsed="false">
      <c r="A303" s="17"/>
      <c r="B303" s="17"/>
      <c r="C303" s="17"/>
      <c r="D303" s="17"/>
      <c r="E303" s="17"/>
      <c r="F303" s="17"/>
      <c r="G303" s="17"/>
    </row>
    <row r="304" customFormat="false" ht="12.75" hidden="false" customHeight="false" outlineLevel="0" collapsed="false">
      <c r="A304" s="17"/>
      <c r="B304" s="17"/>
      <c r="C304" s="17"/>
      <c r="D304" s="17"/>
      <c r="E304" s="17"/>
      <c r="F304" s="17"/>
      <c r="G304" s="17"/>
    </row>
    <row r="305" customFormat="false" ht="12.75" hidden="false" customHeight="false" outlineLevel="0" collapsed="false">
      <c r="A305" s="17"/>
      <c r="B305" s="17"/>
      <c r="C305" s="17"/>
      <c r="D305" s="17"/>
      <c r="E305" s="17"/>
      <c r="F305" s="17"/>
      <c r="G305" s="17"/>
    </row>
    <row r="306" customFormat="false" ht="12.75" hidden="false" customHeight="false" outlineLevel="0" collapsed="false">
      <c r="A306" s="17"/>
      <c r="B306" s="17"/>
      <c r="C306" s="17"/>
      <c r="D306" s="17"/>
      <c r="E306" s="17"/>
      <c r="F306" s="17"/>
      <c r="G306" s="17"/>
    </row>
    <row r="307" customFormat="false" ht="12.75" hidden="false" customHeight="false" outlineLevel="0" collapsed="false">
      <c r="A307" s="17"/>
      <c r="B307" s="17"/>
      <c r="C307" s="17"/>
      <c r="D307" s="17"/>
      <c r="E307" s="17"/>
      <c r="F307" s="17"/>
      <c r="G307" s="17"/>
    </row>
    <row r="308" customFormat="false" ht="12.75" hidden="false" customHeight="false" outlineLevel="0" collapsed="false">
      <c r="A308" s="17"/>
      <c r="B308" s="17"/>
      <c r="C308" s="17"/>
      <c r="D308" s="17"/>
      <c r="E308" s="17"/>
      <c r="F308" s="17"/>
      <c r="G308" s="17"/>
    </row>
    <row r="309" customFormat="false" ht="12.75" hidden="false" customHeight="false" outlineLevel="0" collapsed="false">
      <c r="A309" s="17"/>
      <c r="B309" s="17"/>
      <c r="C309" s="17"/>
      <c r="D309" s="17"/>
      <c r="E309" s="17"/>
      <c r="F309" s="17"/>
      <c r="G309" s="17"/>
    </row>
    <row r="310" customFormat="false" ht="12.75" hidden="false" customHeight="false" outlineLevel="0" collapsed="false">
      <c r="A310" s="17"/>
      <c r="B310" s="17"/>
      <c r="C310" s="17"/>
      <c r="D310" s="17"/>
      <c r="E310" s="17"/>
      <c r="F310" s="17"/>
      <c r="G310" s="17"/>
    </row>
    <row r="311" customFormat="false" ht="12.75" hidden="false" customHeight="false" outlineLevel="0" collapsed="false">
      <c r="A311" s="17"/>
      <c r="B311" s="17"/>
      <c r="C311" s="17"/>
      <c r="D311" s="17"/>
      <c r="E311" s="17"/>
      <c r="F311" s="17"/>
      <c r="G311" s="17"/>
    </row>
    <row r="312" customFormat="false" ht="12.75" hidden="false" customHeight="false" outlineLevel="0" collapsed="false">
      <c r="A312" s="17"/>
      <c r="B312" s="17"/>
      <c r="C312" s="17"/>
      <c r="D312" s="17"/>
      <c r="E312" s="17"/>
      <c r="F312" s="17"/>
      <c r="G312" s="17"/>
    </row>
    <row r="313" customFormat="false" ht="12.75" hidden="false" customHeight="false" outlineLevel="0" collapsed="false">
      <c r="A313" s="17"/>
      <c r="B313" s="17"/>
      <c r="C313" s="17"/>
      <c r="D313" s="17"/>
      <c r="E313" s="17"/>
      <c r="F313" s="17"/>
      <c r="G313" s="17"/>
    </row>
    <row r="314" customFormat="false" ht="12.75" hidden="false" customHeight="false" outlineLevel="0" collapsed="false">
      <c r="A314" s="17"/>
      <c r="B314" s="17"/>
      <c r="C314" s="17"/>
      <c r="D314" s="17"/>
      <c r="E314" s="17"/>
      <c r="F314" s="17"/>
      <c r="G314" s="17"/>
    </row>
    <row r="315" customFormat="false" ht="12.75" hidden="false" customHeight="false" outlineLevel="0" collapsed="false">
      <c r="A315" s="17"/>
      <c r="B315" s="17"/>
      <c r="C315" s="17"/>
      <c r="D315" s="17"/>
      <c r="E315" s="17"/>
      <c r="F315" s="17"/>
      <c r="G315" s="17"/>
    </row>
    <row r="316" customFormat="false" ht="12.75" hidden="false" customHeight="false" outlineLevel="0" collapsed="false">
      <c r="A316" s="17"/>
      <c r="B316" s="17"/>
      <c r="C316" s="17"/>
      <c r="D316" s="17"/>
      <c r="E316" s="17"/>
      <c r="F316" s="17"/>
      <c r="G316" s="17"/>
    </row>
    <row r="317" customFormat="false" ht="12.75" hidden="false" customHeight="false" outlineLevel="0" collapsed="false">
      <c r="A317" s="17"/>
      <c r="B317" s="17"/>
      <c r="C317" s="17"/>
      <c r="D317" s="17"/>
      <c r="E317" s="17"/>
      <c r="F317" s="17"/>
      <c r="G317" s="17"/>
    </row>
    <row r="318" customFormat="false" ht="12.75" hidden="false" customHeight="false" outlineLevel="0" collapsed="false">
      <c r="A318" s="17"/>
      <c r="B318" s="17"/>
      <c r="C318" s="17"/>
      <c r="D318" s="17"/>
      <c r="E318" s="17"/>
      <c r="F318" s="17"/>
      <c r="G318" s="17"/>
    </row>
    <row r="319" customFormat="false" ht="12.75" hidden="false" customHeight="false" outlineLevel="0" collapsed="false">
      <c r="A319" s="17"/>
      <c r="B319" s="17"/>
      <c r="C319" s="17"/>
      <c r="D319" s="17"/>
      <c r="E319" s="17"/>
      <c r="F319" s="17"/>
      <c r="G319" s="17"/>
    </row>
    <row r="320" customFormat="false" ht="12.75" hidden="false" customHeight="false" outlineLevel="0" collapsed="false">
      <c r="A320" s="17"/>
      <c r="B320" s="17"/>
      <c r="C320" s="17"/>
      <c r="D320" s="17"/>
      <c r="E320" s="17"/>
      <c r="F320" s="17"/>
      <c r="G320" s="17"/>
    </row>
    <row r="321" customFormat="false" ht="12.75" hidden="false" customHeight="false" outlineLevel="0" collapsed="false">
      <c r="A321" s="17"/>
      <c r="B321" s="17"/>
      <c r="C321" s="17"/>
      <c r="D321" s="17"/>
      <c r="E321" s="17"/>
      <c r="F321" s="17"/>
      <c r="G321" s="17"/>
    </row>
    <row r="322" customFormat="false" ht="12.75" hidden="false" customHeight="false" outlineLevel="0" collapsed="false">
      <c r="A322" s="17"/>
      <c r="B322" s="17"/>
      <c r="C322" s="17"/>
      <c r="D322" s="17"/>
      <c r="E322" s="17"/>
      <c r="F322" s="17"/>
      <c r="G322" s="17"/>
    </row>
    <row r="323" customFormat="false" ht="12.75" hidden="false" customHeight="false" outlineLevel="0" collapsed="false">
      <c r="A323" s="17"/>
      <c r="B323" s="17"/>
      <c r="C323" s="17"/>
      <c r="D323" s="17"/>
      <c r="E323" s="17"/>
      <c r="F323" s="17"/>
      <c r="G323" s="17"/>
    </row>
    <row r="324" customFormat="false" ht="12.75" hidden="false" customHeight="false" outlineLevel="0" collapsed="false">
      <c r="A324" s="17"/>
      <c r="B324" s="17"/>
      <c r="C324" s="17"/>
      <c r="D324" s="17"/>
      <c r="E324" s="17"/>
      <c r="F324" s="17"/>
      <c r="G324" s="17"/>
    </row>
    <row r="325" customFormat="false" ht="12.75" hidden="false" customHeight="false" outlineLevel="0" collapsed="false">
      <c r="A325" s="17"/>
      <c r="B325" s="17"/>
      <c r="C325" s="17"/>
      <c r="D325" s="17"/>
      <c r="E325" s="17"/>
      <c r="F325" s="17"/>
      <c r="G325" s="17"/>
    </row>
    <row r="326" customFormat="false" ht="12.75" hidden="false" customHeight="false" outlineLevel="0" collapsed="false">
      <c r="A326" s="17"/>
      <c r="B326" s="17"/>
      <c r="C326" s="17"/>
      <c r="D326" s="17"/>
      <c r="E326" s="17"/>
      <c r="F326" s="17"/>
      <c r="G326" s="17"/>
    </row>
    <row r="327" customFormat="false" ht="12.75" hidden="false" customHeight="false" outlineLevel="0" collapsed="false">
      <c r="A327" s="17"/>
      <c r="B327" s="17"/>
      <c r="C327" s="17"/>
      <c r="D327" s="17"/>
      <c r="E327" s="17"/>
      <c r="F327" s="17"/>
      <c r="G327" s="17"/>
    </row>
    <row r="328" customFormat="false" ht="12.75" hidden="false" customHeight="false" outlineLevel="0" collapsed="false">
      <c r="A328" s="17"/>
      <c r="B328" s="17"/>
      <c r="C328" s="17"/>
      <c r="D328" s="17"/>
      <c r="E328" s="17"/>
      <c r="F328" s="17"/>
      <c r="G328" s="17"/>
    </row>
    <row r="329" customFormat="false" ht="12.75" hidden="false" customHeight="false" outlineLevel="0" collapsed="false">
      <c r="A329" s="17"/>
      <c r="B329" s="17"/>
      <c r="C329" s="17"/>
      <c r="D329" s="17"/>
      <c r="E329" s="17"/>
      <c r="F329" s="17"/>
      <c r="G329" s="17"/>
    </row>
    <row r="330" customFormat="false" ht="12.75" hidden="false" customHeight="false" outlineLevel="0" collapsed="false">
      <c r="A330" s="17"/>
      <c r="B330" s="17"/>
      <c r="C330" s="17"/>
      <c r="D330" s="17"/>
      <c r="E330" s="17"/>
      <c r="F330" s="17"/>
      <c r="G330" s="17"/>
    </row>
    <row r="331" customFormat="false" ht="12.75" hidden="false" customHeight="false" outlineLevel="0" collapsed="false">
      <c r="A331" s="17"/>
      <c r="B331" s="17"/>
      <c r="C331" s="17"/>
      <c r="D331" s="17"/>
      <c r="E331" s="17"/>
      <c r="F331" s="17"/>
      <c r="G331" s="17"/>
    </row>
    <row r="332" customFormat="false" ht="12.75" hidden="false" customHeight="false" outlineLevel="0" collapsed="false">
      <c r="A332" s="17"/>
      <c r="B332" s="17"/>
      <c r="C332" s="17"/>
      <c r="D332" s="17"/>
      <c r="E332" s="17"/>
      <c r="F332" s="17"/>
      <c r="G332" s="17"/>
    </row>
    <row r="333" customFormat="false" ht="12.75" hidden="false" customHeight="false" outlineLevel="0" collapsed="false">
      <c r="A333" s="17"/>
      <c r="B333" s="17"/>
      <c r="C333" s="17"/>
      <c r="D333" s="17"/>
      <c r="E333" s="17"/>
      <c r="F333" s="17"/>
      <c r="G333" s="17"/>
    </row>
    <row r="334" customFormat="false" ht="12.75" hidden="false" customHeight="false" outlineLevel="0" collapsed="false">
      <c r="A334" s="17"/>
      <c r="B334" s="17"/>
      <c r="C334" s="17"/>
      <c r="D334" s="17"/>
      <c r="E334" s="17"/>
      <c r="F334" s="17"/>
      <c r="G334" s="17"/>
    </row>
    <row r="335" customFormat="false" ht="12.75" hidden="false" customHeight="false" outlineLevel="0" collapsed="false">
      <c r="A335" s="17"/>
      <c r="B335" s="17"/>
      <c r="C335" s="17"/>
      <c r="D335" s="17"/>
      <c r="E335" s="17"/>
      <c r="F335" s="17"/>
      <c r="G335" s="17"/>
    </row>
    <row r="336" customFormat="false" ht="12.75" hidden="false" customHeight="false" outlineLevel="0" collapsed="false">
      <c r="A336" s="17"/>
      <c r="B336" s="17"/>
      <c r="C336" s="17"/>
      <c r="D336" s="17"/>
      <c r="E336" s="17"/>
      <c r="F336" s="17"/>
      <c r="G336" s="17"/>
    </row>
    <row r="337" customFormat="false" ht="12.75" hidden="false" customHeight="false" outlineLevel="0" collapsed="false">
      <c r="A337" s="17"/>
      <c r="B337" s="17"/>
      <c r="C337" s="17"/>
      <c r="D337" s="17"/>
      <c r="E337" s="17"/>
      <c r="F337" s="17"/>
      <c r="G337" s="17"/>
    </row>
    <row r="338" customFormat="false" ht="12.75" hidden="false" customHeight="false" outlineLevel="0" collapsed="false">
      <c r="A338" s="17"/>
      <c r="B338" s="17"/>
      <c r="C338" s="17"/>
      <c r="D338" s="17"/>
      <c r="E338" s="17"/>
      <c r="F338" s="17"/>
      <c r="G338" s="17"/>
    </row>
    <row r="339" customFormat="false" ht="12.75" hidden="false" customHeight="false" outlineLevel="0" collapsed="false">
      <c r="A339" s="17"/>
      <c r="B339" s="17"/>
      <c r="C339" s="17"/>
      <c r="D339" s="17"/>
      <c r="E339" s="17"/>
      <c r="F339" s="17"/>
      <c r="G339" s="17"/>
    </row>
    <row r="340" customFormat="false" ht="12.75" hidden="false" customHeight="false" outlineLevel="0" collapsed="false">
      <c r="A340" s="17"/>
      <c r="B340" s="17"/>
      <c r="C340" s="17"/>
      <c r="D340" s="17"/>
      <c r="E340" s="17"/>
      <c r="F340" s="17"/>
      <c r="G340" s="17"/>
    </row>
    <row r="341" customFormat="false" ht="12.75" hidden="false" customHeight="false" outlineLevel="0" collapsed="false">
      <c r="A341" s="17"/>
      <c r="B341" s="17"/>
      <c r="C341" s="17"/>
      <c r="D341" s="17"/>
      <c r="E341" s="17"/>
      <c r="F341" s="17"/>
      <c r="G341" s="17"/>
    </row>
    <row r="342" customFormat="false" ht="12.75" hidden="false" customHeight="false" outlineLevel="0" collapsed="false">
      <c r="A342" s="17"/>
      <c r="B342" s="17"/>
      <c r="C342" s="17"/>
      <c r="D342" s="17"/>
      <c r="E342" s="17"/>
      <c r="F342" s="17"/>
      <c r="G342" s="17"/>
    </row>
    <row r="343" customFormat="false" ht="12.75" hidden="false" customHeight="false" outlineLevel="0" collapsed="false">
      <c r="A343" s="17"/>
      <c r="B343" s="17"/>
      <c r="C343" s="17"/>
      <c r="D343" s="17"/>
      <c r="E343" s="17"/>
      <c r="F343" s="17"/>
      <c r="G343" s="17"/>
    </row>
    <row r="344" customFormat="false" ht="12.75" hidden="false" customHeight="false" outlineLevel="0" collapsed="false">
      <c r="A344" s="17"/>
      <c r="B344" s="17"/>
      <c r="C344" s="17"/>
      <c r="D344" s="17"/>
      <c r="E344" s="17"/>
      <c r="F344" s="17"/>
      <c r="G344" s="17"/>
    </row>
    <row r="345" customFormat="false" ht="12.75" hidden="false" customHeight="false" outlineLevel="0" collapsed="false">
      <c r="A345" s="17"/>
      <c r="B345" s="17"/>
      <c r="C345" s="17"/>
      <c r="D345" s="17"/>
      <c r="E345" s="17"/>
      <c r="F345" s="17"/>
      <c r="G345" s="17"/>
    </row>
    <row r="346" customFormat="false" ht="12.75" hidden="false" customHeight="false" outlineLevel="0" collapsed="false">
      <c r="A346" s="17"/>
      <c r="B346" s="17"/>
      <c r="C346" s="17"/>
      <c r="D346" s="17"/>
      <c r="E346" s="17"/>
      <c r="F346" s="17"/>
      <c r="G346" s="17"/>
    </row>
    <row r="347" customFormat="false" ht="12.75" hidden="false" customHeight="false" outlineLevel="0" collapsed="false">
      <c r="A347" s="17"/>
      <c r="B347" s="17"/>
      <c r="C347" s="17"/>
      <c r="D347" s="17"/>
      <c r="E347" s="17"/>
      <c r="F347" s="17"/>
      <c r="G347" s="17"/>
    </row>
    <row r="348" customFormat="false" ht="12.75" hidden="false" customHeight="false" outlineLevel="0" collapsed="false">
      <c r="A348" s="17"/>
      <c r="B348" s="17"/>
      <c r="C348" s="17"/>
      <c r="D348" s="17"/>
      <c r="E348" s="17"/>
      <c r="F348" s="17"/>
      <c r="G348" s="17"/>
    </row>
    <row r="349" customFormat="false" ht="12.75" hidden="false" customHeight="false" outlineLevel="0" collapsed="false">
      <c r="A349" s="17"/>
      <c r="B349" s="17"/>
      <c r="C349" s="17"/>
      <c r="D349" s="17"/>
      <c r="E349" s="17"/>
      <c r="F349" s="17"/>
      <c r="G349" s="17"/>
    </row>
    <row r="350" customFormat="false" ht="12.75" hidden="false" customHeight="false" outlineLevel="0" collapsed="false">
      <c r="A350" s="17"/>
      <c r="B350" s="17"/>
      <c r="C350" s="17"/>
      <c r="D350" s="17"/>
      <c r="E350" s="17"/>
      <c r="F350" s="17"/>
      <c r="G350" s="17"/>
    </row>
    <row r="351" customFormat="false" ht="12.75" hidden="false" customHeight="false" outlineLevel="0" collapsed="false">
      <c r="A351" s="17"/>
      <c r="B351" s="17"/>
      <c r="C351" s="17"/>
      <c r="D351" s="17"/>
      <c r="E351" s="17"/>
      <c r="F351" s="17"/>
      <c r="G351" s="17"/>
    </row>
    <row r="352" customFormat="false" ht="12.75" hidden="false" customHeight="false" outlineLevel="0" collapsed="false">
      <c r="A352" s="17"/>
      <c r="B352" s="17"/>
      <c r="C352" s="17"/>
      <c r="D352" s="17"/>
      <c r="E352" s="17"/>
      <c r="F352" s="17"/>
      <c r="G352" s="17"/>
    </row>
    <row r="353" customFormat="false" ht="12.75" hidden="false" customHeight="false" outlineLevel="0" collapsed="false">
      <c r="A353" s="17"/>
      <c r="B353" s="17"/>
      <c r="C353" s="17"/>
      <c r="D353" s="17"/>
      <c r="E353" s="17"/>
      <c r="F353" s="17"/>
      <c r="G353" s="17"/>
    </row>
    <row r="354" customFormat="false" ht="12.75" hidden="false" customHeight="false" outlineLevel="0" collapsed="false">
      <c r="A354" s="17"/>
      <c r="B354" s="17"/>
      <c r="C354" s="17"/>
      <c r="D354" s="17"/>
      <c r="E354" s="17"/>
      <c r="F354" s="17"/>
      <c r="G354" s="17"/>
    </row>
    <row r="355" customFormat="false" ht="12.75" hidden="false" customHeight="false" outlineLevel="0" collapsed="false">
      <c r="A355" s="17"/>
      <c r="B355" s="17"/>
      <c r="C355" s="17"/>
      <c r="D355" s="17"/>
      <c r="E355" s="17"/>
      <c r="F355" s="17"/>
      <c r="G355" s="17"/>
    </row>
    <row r="356" customFormat="false" ht="12.75" hidden="false" customHeight="false" outlineLevel="0" collapsed="false">
      <c r="A356" s="17"/>
      <c r="B356" s="17"/>
      <c r="C356" s="17"/>
      <c r="D356" s="17"/>
      <c r="E356" s="17"/>
      <c r="F356" s="17"/>
      <c r="G356" s="17"/>
    </row>
    <row r="357" customFormat="false" ht="12.75" hidden="false" customHeight="false" outlineLevel="0" collapsed="false">
      <c r="A357" s="17"/>
      <c r="B357" s="17"/>
      <c r="C357" s="17"/>
      <c r="D357" s="17"/>
      <c r="E357" s="17"/>
      <c r="F357" s="17"/>
      <c r="G357" s="17"/>
    </row>
    <row r="358" customFormat="false" ht="12.75" hidden="false" customHeight="false" outlineLevel="0" collapsed="false">
      <c r="A358" s="17"/>
      <c r="B358" s="17"/>
      <c r="C358" s="17"/>
      <c r="D358" s="17"/>
      <c r="E358" s="17"/>
      <c r="F358" s="17"/>
      <c r="G358" s="17"/>
    </row>
    <row r="359" customFormat="false" ht="12.75" hidden="false" customHeight="false" outlineLevel="0" collapsed="false">
      <c r="A359" s="17"/>
      <c r="B359" s="17"/>
      <c r="C359" s="17"/>
      <c r="D359" s="17"/>
      <c r="E359" s="17"/>
      <c r="F359" s="17"/>
      <c r="G359" s="17"/>
    </row>
    <row r="360" customFormat="false" ht="12.75" hidden="false" customHeight="false" outlineLevel="0" collapsed="false">
      <c r="A360" s="17"/>
      <c r="B360" s="17"/>
      <c r="C360" s="17"/>
      <c r="D360" s="17"/>
      <c r="E360" s="17"/>
      <c r="F360" s="17"/>
      <c r="G360" s="17"/>
    </row>
    <row r="361" customFormat="false" ht="12.75" hidden="false" customHeight="false" outlineLevel="0" collapsed="false">
      <c r="A361" s="17"/>
      <c r="B361" s="17"/>
      <c r="C361" s="17"/>
      <c r="D361" s="17"/>
      <c r="E361" s="17"/>
      <c r="F361" s="17"/>
      <c r="G361" s="17"/>
    </row>
    <row r="362" customFormat="false" ht="12.75" hidden="false" customHeight="false" outlineLevel="0" collapsed="false">
      <c r="A362" s="17"/>
      <c r="B362" s="17"/>
      <c r="C362" s="17"/>
      <c r="D362" s="17"/>
      <c r="E362" s="17"/>
      <c r="F362" s="17"/>
      <c r="G362" s="17"/>
    </row>
    <row r="363" customFormat="false" ht="12.75" hidden="false" customHeight="false" outlineLevel="0" collapsed="false">
      <c r="A363" s="17"/>
      <c r="B363" s="17"/>
      <c r="C363" s="17"/>
      <c r="D363" s="17"/>
      <c r="E363" s="17"/>
      <c r="F363" s="17"/>
      <c r="G363" s="17"/>
    </row>
    <row r="364" customFormat="false" ht="12.75" hidden="false" customHeight="false" outlineLevel="0" collapsed="false">
      <c r="A364" s="17"/>
      <c r="B364" s="17"/>
      <c r="C364" s="17"/>
      <c r="D364" s="17"/>
      <c r="E364" s="17"/>
      <c r="F364" s="17"/>
      <c r="G364" s="17"/>
    </row>
    <row r="365" customFormat="false" ht="12.75" hidden="false" customHeight="false" outlineLevel="0" collapsed="false">
      <c r="A365" s="17"/>
      <c r="B365" s="17"/>
      <c r="C365" s="17"/>
      <c r="D365" s="17"/>
      <c r="E365" s="17"/>
      <c r="F365" s="17"/>
      <c r="G365" s="17"/>
    </row>
    <row r="366" customFormat="false" ht="12.75" hidden="false" customHeight="false" outlineLevel="0" collapsed="false">
      <c r="A366" s="17"/>
      <c r="B366" s="17"/>
      <c r="C366" s="17"/>
      <c r="D366" s="17"/>
      <c r="E366" s="17"/>
      <c r="F366" s="17"/>
      <c r="G366" s="17"/>
    </row>
    <row r="367" customFormat="false" ht="12.75" hidden="false" customHeight="false" outlineLevel="0" collapsed="false">
      <c r="A367" s="17"/>
      <c r="B367" s="17"/>
      <c r="C367" s="17"/>
      <c r="D367" s="17"/>
      <c r="E367" s="17"/>
      <c r="F367" s="17"/>
      <c r="G367" s="17"/>
    </row>
    <row r="368" customFormat="false" ht="12.75" hidden="false" customHeight="false" outlineLevel="0" collapsed="false">
      <c r="A368" s="17"/>
      <c r="B368" s="17"/>
      <c r="C368" s="17"/>
      <c r="D368" s="17"/>
      <c r="E368" s="17"/>
      <c r="F368" s="17"/>
      <c r="G368" s="17"/>
    </row>
    <row r="369" customFormat="false" ht="12.75" hidden="false" customHeight="false" outlineLevel="0" collapsed="false">
      <c r="A369" s="17"/>
      <c r="B369" s="17"/>
      <c r="C369" s="17"/>
      <c r="D369" s="17"/>
      <c r="E369" s="17"/>
      <c r="F369" s="17"/>
      <c r="G369" s="17"/>
    </row>
    <row r="370" customFormat="false" ht="12.75" hidden="false" customHeight="false" outlineLevel="0" collapsed="false">
      <c r="A370" s="17"/>
      <c r="B370" s="17"/>
      <c r="C370" s="17"/>
      <c r="D370" s="17"/>
      <c r="E370" s="17"/>
      <c r="F370" s="17"/>
      <c r="G370" s="17"/>
    </row>
    <row r="371" customFormat="false" ht="12.75" hidden="false" customHeight="false" outlineLevel="0" collapsed="false">
      <c r="A371" s="17"/>
      <c r="B371" s="17"/>
      <c r="C371" s="17"/>
      <c r="D371" s="17"/>
      <c r="E371" s="17"/>
      <c r="F371" s="17"/>
      <c r="G371" s="17"/>
    </row>
    <row r="372" customFormat="false" ht="12.75" hidden="false" customHeight="false" outlineLevel="0" collapsed="false">
      <c r="A372" s="17"/>
      <c r="B372" s="17"/>
      <c r="C372" s="17"/>
      <c r="D372" s="17"/>
      <c r="E372" s="17"/>
      <c r="F372" s="17"/>
      <c r="G372" s="17"/>
    </row>
    <row r="373" customFormat="false" ht="12.75" hidden="false" customHeight="false" outlineLevel="0" collapsed="false">
      <c r="A373" s="17"/>
      <c r="B373" s="17"/>
      <c r="C373" s="17"/>
      <c r="D373" s="17"/>
      <c r="E373" s="17"/>
      <c r="F373" s="17"/>
      <c r="G373" s="17"/>
    </row>
    <row r="374" customFormat="false" ht="12.75" hidden="false" customHeight="false" outlineLevel="0" collapsed="false">
      <c r="A374" s="17"/>
      <c r="B374" s="17"/>
      <c r="C374" s="17"/>
      <c r="D374" s="17"/>
      <c r="E374" s="17"/>
      <c r="F374" s="17"/>
      <c r="G374" s="17"/>
    </row>
    <row r="375" customFormat="false" ht="12.75" hidden="false" customHeight="false" outlineLevel="0" collapsed="false">
      <c r="A375" s="17"/>
      <c r="B375" s="17"/>
      <c r="C375" s="17"/>
      <c r="D375" s="17"/>
      <c r="E375" s="17"/>
      <c r="F375" s="17"/>
      <c r="G375" s="17"/>
    </row>
    <row r="376" customFormat="false" ht="12.75" hidden="false" customHeight="false" outlineLevel="0" collapsed="false">
      <c r="A376" s="17"/>
      <c r="B376" s="17"/>
      <c r="C376" s="17"/>
      <c r="D376" s="17"/>
      <c r="E376" s="17"/>
      <c r="F376" s="17"/>
      <c r="G376" s="17"/>
    </row>
    <row r="377" customFormat="false" ht="12.75" hidden="false" customHeight="false" outlineLevel="0" collapsed="false">
      <c r="A377" s="17"/>
      <c r="B377" s="17"/>
      <c r="C377" s="17"/>
      <c r="D377" s="17"/>
      <c r="E377" s="17"/>
      <c r="F377" s="17"/>
      <c r="G377" s="17"/>
    </row>
    <row r="378" customFormat="false" ht="12.75" hidden="false" customHeight="false" outlineLevel="0" collapsed="false">
      <c r="A378" s="17"/>
      <c r="B378" s="17"/>
      <c r="C378" s="17"/>
      <c r="D378" s="17"/>
      <c r="E378" s="17"/>
      <c r="F378" s="17"/>
      <c r="G378" s="17"/>
    </row>
    <row r="379" customFormat="false" ht="12.75" hidden="false" customHeight="false" outlineLevel="0" collapsed="false">
      <c r="A379" s="17"/>
      <c r="B379" s="17"/>
      <c r="C379" s="17"/>
      <c r="D379" s="17"/>
      <c r="E379" s="17"/>
      <c r="F379" s="17"/>
      <c r="G379" s="17"/>
    </row>
    <row r="380" customFormat="false" ht="12.75" hidden="false" customHeight="false" outlineLevel="0" collapsed="false">
      <c r="A380" s="17"/>
      <c r="B380" s="17"/>
      <c r="C380" s="17"/>
      <c r="D380" s="17"/>
      <c r="E380" s="17"/>
      <c r="F380" s="17"/>
      <c r="G380" s="17"/>
    </row>
    <row r="381" customFormat="false" ht="12.75" hidden="false" customHeight="false" outlineLevel="0" collapsed="false">
      <c r="A381" s="17"/>
      <c r="B381" s="17"/>
      <c r="C381" s="17"/>
      <c r="D381" s="17"/>
      <c r="E381" s="17"/>
      <c r="F381" s="17"/>
      <c r="G381" s="17"/>
    </row>
    <row r="382" customFormat="false" ht="12.75" hidden="false" customHeight="false" outlineLevel="0" collapsed="false">
      <c r="A382" s="17"/>
      <c r="B382" s="17"/>
      <c r="C382" s="17"/>
      <c r="D382" s="17"/>
      <c r="E382" s="17"/>
      <c r="F382" s="17"/>
      <c r="G382" s="17"/>
    </row>
    <row r="383" customFormat="false" ht="12.75" hidden="false" customHeight="false" outlineLevel="0" collapsed="false">
      <c r="A383" s="17"/>
      <c r="B383" s="17"/>
      <c r="C383" s="17"/>
      <c r="D383" s="17"/>
      <c r="E383" s="17"/>
      <c r="F383" s="17"/>
      <c r="G383" s="17"/>
    </row>
    <row r="384" customFormat="false" ht="12.75" hidden="false" customHeight="false" outlineLevel="0" collapsed="false">
      <c r="A384" s="17"/>
      <c r="B384" s="17"/>
      <c r="C384" s="17"/>
      <c r="D384" s="17"/>
      <c r="E384" s="17"/>
      <c r="F384" s="17"/>
      <c r="G384" s="17"/>
    </row>
    <row r="385" customFormat="false" ht="12.75" hidden="false" customHeight="false" outlineLevel="0" collapsed="false">
      <c r="A385" s="17"/>
      <c r="B385" s="17"/>
      <c r="C385" s="17"/>
      <c r="D385" s="17"/>
      <c r="E385" s="17"/>
      <c r="F385" s="17"/>
      <c r="G385" s="17"/>
    </row>
    <row r="386" customFormat="false" ht="12.75" hidden="false" customHeight="false" outlineLevel="0" collapsed="false">
      <c r="A386" s="17"/>
      <c r="B386" s="17"/>
      <c r="C386" s="17"/>
      <c r="D386" s="17"/>
      <c r="E386" s="17"/>
      <c r="F386" s="17"/>
      <c r="G386" s="17"/>
    </row>
    <row r="387" customFormat="false" ht="12.75" hidden="false" customHeight="false" outlineLevel="0" collapsed="false">
      <c r="A387" s="17"/>
      <c r="B387" s="17"/>
      <c r="C387" s="17"/>
      <c r="D387" s="17"/>
      <c r="E387" s="17"/>
      <c r="F387" s="17"/>
      <c r="G387" s="17"/>
    </row>
    <row r="388" customFormat="false" ht="12.75" hidden="false" customHeight="false" outlineLevel="0" collapsed="false">
      <c r="A388" s="17"/>
      <c r="B388" s="17"/>
      <c r="C388" s="17"/>
      <c r="D388" s="17"/>
      <c r="E388" s="17"/>
      <c r="F388" s="17"/>
      <c r="G388" s="17"/>
    </row>
    <row r="389" customFormat="false" ht="12.75" hidden="false" customHeight="false" outlineLevel="0" collapsed="false">
      <c r="A389" s="17"/>
      <c r="B389" s="17"/>
      <c r="C389" s="17"/>
      <c r="D389" s="17"/>
      <c r="E389" s="17"/>
      <c r="F389" s="17"/>
      <c r="G389" s="17"/>
    </row>
    <row r="390" customFormat="false" ht="12.75" hidden="false" customHeight="false" outlineLevel="0" collapsed="false">
      <c r="A390" s="17"/>
      <c r="B390" s="17"/>
      <c r="C390" s="17"/>
      <c r="D390" s="17"/>
      <c r="E390" s="17"/>
      <c r="F390" s="17"/>
      <c r="G390" s="17"/>
    </row>
    <row r="391" customFormat="false" ht="12.75" hidden="false" customHeight="false" outlineLevel="0" collapsed="false">
      <c r="A391" s="17"/>
      <c r="B391" s="17"/>
      <c r="C391" s="17"/>
      <c r="D391" s="17"/>
      <c r="E391" s="17"/>
      <c r="F391" s="17"/>
      <c r="G391" s="17"/>
    </row>
    <row r="392" customFormat="false" ht="12.75" hidden="false" customHeight="false" outlineLevel="0" collapsed="false">
      <c r="A392" s="17"/>
      <c r="B392" s="17"/>
      <c r="C392" s="17"/>
      <c r="D392" s="17"/>
      <c r="E392" s="17"/>
      <c r="F392" s="17"/>
      <c r="G392" s="17"/>
    </row>
    <row r="393" customFormat="false" ht="12.75" hidden="false" customHeight="false" outlineLevel="0" collapsed="false">
      <c r="A393" s="17"/>
      <c r="B393" s="17"/>
      <c r="C393" s="17"/>
      <c r="D393" s="17"/>
      <c r="E393" s="17"/>
      <c r="F393" s="17"/>
      <c r="G393" s="17"/>
    </row>
    <row r="394" customFormat="false" ht="12.75" hidden="false" customHeight="false" outlineLevel="0" collapsed="false">
      <c r="A394" s="17"/>
      <c r="B394" s="17"/>
      <c r="C394" s="17"/>
      <c r="D394" s="17"/>
      <c r="E394" s="17"/>
      <c r="F394" s="17"/>
      <c r="G394" s="17"/>
    </row>
    <row r="395" customFormat="false" ht="12.75" hidden="false" customHeight="false" outlineLevel="0" collapsed="false">
      <c r="A395" s="17"/>
      <c r="B395" s="17"/>
      <c r="C395" s="17"/>
      <c r="D395" s="17"/>
      <c r="E395" s="17"/>
      <c r="F395" s="17"/>
      <c r="G395" s="17"/>
    </row>
    <row r="396" customFormat="false" ht="12.75" hidden="false" customHeight="false" outlineLevel="0" collapsed="false">
      <c r="A396" s="17"/>
      <c r="B396" s="17"/>
      <c r="C396" s="17"/>
      <c r="D396" s="17"/>
      <c r="E396" s="17"/>
      <c r="F396" s="17"/>
      <c r="G396" s="17"/>
    </row>
    <row r="397" customFormat="false" ht="12.75" hidden="false" customHeight="false" outlineLevel="0" collapsed="false">
      <c r="A397" s="17"/>
      <c r="B397" s="17"/>
      <c r="C397" s="17"/>
      <c r="D397" s="17"/>
      <c r="E397" s="17"/>
      <c r="F397" s="17"/>
      <c r="G397" s="17"/>
    </row>
    <row r="398" customFormat="false" ht="12.75" hidden="false" customHeight="false" outlineLevel="0" collapsed="false">
      <c r="A398" s="17"/>
      <c r="B398" s="17"/>
      <c r="C398" s="17"/>
      <c r="D398" s="17"/>
      <c r="E398" s="17"/>
      <c r="F398" s="17"/>
      <c r="G398" s="17"/>
    </row>
    <row r="399" customFormat="false" ht="12.75" hidden="false" customHeight="false" outlineLevel="0" collapsed="false">
      <c r="A399" s="17"/>
      <c r="B399" s="17"/>
      <c r="C399" s="17"/>
      <c r="D399" s="17"/>
      <c r="E399" s="17"/>
      <c r="F399" s="17"/>
      <c r="G399" s="17"/>
    </row>
    <row r="400" customFormat="false" ht="12.75" hidden="false" customHeight="false" outlineLevel="0" collapsed="false">
      <c r="A400" s="17"/>
      <c r="B400" s="17"/>
      <c r="C400" s="17"/>
      <c r="D400" s="17"/>
      <c r="E400" s="17"/>
      <c r="F400" s="17"/>
      <c r="G400" s="17"/>
    </row>
    <row r="401" customFormat="false" ht="12.75" hidden="false" customHeight="false" outlineLevel="0" collapsed="false">
      <c r="A401" s="17"/>
      <c r="B401" s="17"/>
      <c r="C401" s="17"/>
      <c r="D401" s="17"/>
      <c r="E401" s="17"/>
      <c r="F401" s="17"/>
      <c r="G401" s="17"/>
    </row>
    <row r="402" customFormat="false" ht="12.75" hidden="false" customHeight="false" outlineLevel="0" collapsed="false">
      <c r="A402" s="17"/>
      <c r="B402" s="17"/>
      <c r="C402" s="17"/>
      <c r="D402" s="17"/>
      <c r="E402" s="17"/>
      <c r="F402" s="17"/>
      <c r="G402" s="17"/>
    </row>
    <row r="403" customFormat="false" ht="12.75" hidden="false" customHeight="false" outlineLevel="0" collapsed="false">
      <c r="A403" s="17"/>
      <c r="B403" s="17"/>
      <c r="C403" s="17"/>
      <c r="D403" s="17"/>
      <c r="E403" s="17"/>
      <c r="F403" s="17"/>
      <c r="G403" s="17"/>
    </row>
    <row r="404" customFormat="false" ht="12.75" hidden="false" customHeight="false" outlineLevel="0" collapsed="false">
      <c r="A404" s="17"/>
      <c r="B404" s="17"/>
      <c r="C404" s="17"/>
      <c r="D404" s="17"/>
      <c r="E404" s="17"/>
      <c r="F404" s="17"/>
      <c r="G404" s="17"/>
    </row>
    <row r="405" customFormat="false" ht="12.75" hidden="false" customHeight="false" outlineLevel="0" collapsed="false">
      <c r="A405" s="17"/>
      <c r="B405" s="17"/>
      <c r="C405" s="17"/>
      <c r="D405" s="17"/>
      <c r="E405" s="17"/>
      <c r="F405" s="17"/>
      <c r="G405" s="17"/>
    </row>
    <row r="406" customFormat="false" ht="12.75" hidden="false" customHeight="false" outlineLevel="0" collapsed="false">
      <c r="A406" s="17"/>
      <c r="B406" s="17"/>
      <c r="C406" s="17"/>
      <c r="D406" s="17"/>
      <c r="E406" s="17"/>
      <c r="F406" s="17"/>
      <c r="G406" s="17"/>
    </row>
    <row r="407" customFormat="false" ht="12.75" hidden="false" customHeight="false" outlineLevel="0" collapsed="false">
      <c r="A407" s="17"/>
      <c r="B407" s="17"/>
      <c r="C407" s="17"/>
      <c r="D407" s="17"/>
      <c r="E407" s="17"/>
      <c r="F407" s="17"/>
      <c r="G407" s="17"/>
    </row>
    <row r="408" customFormat="false" ht="12.75" hidden="false" customHeight="false" outlineLevel="0" collapsed="false">
      <c r="A408" s="17"/>
      <c r="B408" s="17"/>
      <c r="C408" s="17"/>
      <c r="D408" s="17"/>
      <c r="E408" s="17"/>
      <c r="F408" s="17"/>
      <c r="G408" s="17"/>
    </row>
    <row r="409" customFormat="false" ht="12.75" hidden="false" customHeight="false" outlineLevel="0" collapsed="false">
      <c r="A409" s="17"/>
      <c r="B409" s="17"/>
      <c r="C409" s="17"/>
      <c r="D409" s="17"/>
      <c r="E409" s="17"/>
      <c r="F409" s="17"/>
      <c r="G409" s="17"/>
    </row>
    <row r="410" customFormat="false" ht="12.75" hidden="false" customHeight="false" outlineLevel="0" collapsed="false">
      <c r="A410" s="17"/>
      <c r="B410" s="17"/>
      <c r="C410" s="17"/>
      <c r="D410" s="17"/>
      <c r="E410" s="17"/>
      <c r="F410" s="17"/>
      <c r="G410" s="17"/>
    </row>
    <row r="411" customFormat="false" ht="12.75" hidden="false" customHeight="false" outlineLevel="0" collapsed="false">
      <c r="A411" s="17"/>
      <c r="B411" s="17"/>
      <c r="C411" s="17"/>
      <c r="D411" s="17"/>
      <c r="E411" s="17"/>
      <c r="F411" s="17"/>
      <c r="G411" s="17"/>
    </row>
    <row r="412" customFormat="false" ht="12.75" hidden="false" customHeight="false" outlineLevel="0" collapsed="false">
      <c r="A412" s="17"/>
      <c r="B412" s="17"/>
      <c r="C412" s="17"/>
      <c r="D412" s="17"/>
      <c r="E412" s="17"/>
      <c r="F412" s="17"/>
      <c r="G412" s="17"/>
    </row>
    <row r="413" customFormat="false" ht="12.75" hidden="false" customHeight="false" outlineLevel="0" collapsed="false">
      <c r="A413" s="17"/>
      <c r="B413" s="17"/>
      <c r="C413" s="17"/>
      <c r="D413" s="17"/>
      <c r="E413" s="17"/>
      <c r="F413" s="17"/>
      <c r="G413" s="17"/>
    </row>
    <row r="414" customFormat="false" ht="12.75" hidden="false" customHeight="false" outlineLevel="0" collapsed="false">
      <c r="A414" s="17"/>
      <c r="B414" s="17"/>
      <c r="C414" s="17"/>
      <c r="D414" s="17"/>
      <c r="E414" s="17"/>
      <c r="F414" s="17"/>
      <c r="G414" s="17"/>
    </row>
    <row r="415" customFormat="false" ht="12.75" hidden="false" customHeight="false" outlineLevel="0" collapsed="false">
      <c r="A415" s="17"/>
      <c r="B415" s="17"/>
      <c r="C415" s="17"/>
      <c r="D415" s="17"/>
      <c r="E415" s="17"/>
      <c r="F415" s="17"/>
      <c r="G415" s="17"/>
    </row>
    <row r="416" customFormat="false" ht="12.75" hidden="false" customHeight="false" outlineLevel="0" collapsed="false">
      <c r="A416" s="17"/>
      <c r="B416" s="17"/>
      <c r="C416" s="17"/>
      <c r="D416" s="17"/>
      <c r="E416" s="17"/>
      <c r="F416" s="17"/>
      <c r="G416" s="17"/>
    </row>
    <row r="417" customFormat="false" ht="12.75" hidden="false" customHeight="false" outlineLevel="0" collapsed="false">
      <c r="A417" s="17"/>
      <c r="B417" s="17"/>
      <c r="C417" s="17"/>
      <c r="D417" s="17"/>
      <c r="E417" s="17"/>
      <c r="F417" s="17"/>
      <c r="G417" s="17"/>
    </row>
    <row r="418" customFormat="false" ht="12.75" hidden="false" customHeight="false" outlineLevel="0" collapsed="false">
      <c r="A418" s="17"/>
      <c r="B418" s="17"/>
      <c r="C418" s="17"/>
      <c r="D418" s="17"/>
      <c r="E418" s="17"/>
      <c r="F418" s="17"/>
      <c r="G418" s="17"/>
    </row>
    <row r="419" customFormat="false" ht="12.75" hidden="false" customHeight="false" outlineLevel="0" collapsed="false">
      <c r="A419" s="17"/>
      <c r="B419" s="17"/>
      <c r="C419" s="17"/>
      <c r="D419" s="17"/>
      <c r="E419" s="17"/>
      <c r="F419" s="17"/>
      <c r="G419" s="17"/>
    </row>
    <row r="420" customFormat="false" ht="12.75" hidden="false" customHeight="false" outlineLevel="0" collapsed="false">
      <c r="A420" s="17"/>
      <c r="B420" s="17"/>
      <c r="C420" s="17"/>
      <c r="D420" s="17"/>
      <c r="E420" s="17"/>
      <c r="F420" s="17"/>
      <c r="G420" s="17"/>
    </row>
    <row r="421" customFormat="false" ht="12.75" hidden="false" customHeight="false" outlineLevel="0" collapsed="false">
      <c r="A421" s="17"/>
      <c r="B421" s="17"/>
      <c r="C421" s="17"/>
      <c r="D421" s="17"/>
      <c r="E421" s="17"/>
      <c r="F421" s="17"/>
      <c r="G421" s="17"/>
    </row>
    <row r="422" customFormat="false" ht="12.75" hidden="false" customHeight="false" outlineLevel="0" collapsed="false">
      <c r="A422" s="17"/>
      <c r="B422" s="17"/>
      <c r="C422" s="17"/>
      <c r="D422" s="17"/>
      <c r="E422" s="17"/>
      <c r="F422" s="17"/>
      <c r="G422" s="17"/>
    </row>
    <row r="423" customFormat="false" ht="12.75" hidden="false" customHeight="false" outlineLevel="0" collapsed="false">
      <c r="A423" s="17"/>
      <c r="B423" s="17"/>
      <c r="C423" s="17"/>
      <c r="D423" s="17"/>
      <c r="E423" s="17"/>
      <c r="F423" s="17"/>
      <c r="G423" s="17"/>
    </row>
    <row r="424" customFormat="false" ht="12.75" hidden="false" customHeight="false" outlineLevel="0" collapsed="false">
      <c r="A424" s="17"/>
      <c r="B424" s="17"/>
      <c r="C424" s="17"/>
      <c r="D424" s="17"/>
      <c r="E424" s="17"/>
      <c r="F424" s="17"/>
      <c r="G424" s="17"/>
    </row>
    <row r="425" customFormat="false" ht="12.75" hidden="false" customHeight="false" outlineLevel="0" collapsed="false">
      <c r="A425" s="17"/>
      <c r="B425" s="17"/>
      <c r="C425" s="17"/>
      <c r="D425" s="17"/>
      <c r="E425" s="17"/>
      <c r="F425" s="17"/>
      <c r="G425" s="17"/>
    </row>
    <row r="426" customFormat="false" ht="12.75" hidden="false" customHeight="false" outlineLevel="0" collapsed="false">
      <c r="A426" s="17"/>
      <c r="B426" s="17"/>
      <c r="C426" s="17"/>
      <c r="D426" s="17"/>
      <c r="E426" s="17"/>
      <c r="F426" s="17"/>
      <c r="G426" s="17"/>
    </row>
    <row r="427" customFormat="false" ht="12.75" hidden="false" customHeight="false" outlineLevel="0" collapsed="false">
      <c r="A427" s="17"/>
      <c r="B427" s="17"/>
      <c r="C427" s="17"/>
      <c r="D427" s="17"/>
      <c r="E427" s="17"/>
      <c r="F427" s="17"/>
      <c r="G427" s="17"/>
    </row>
    <row r="428" customFormat="false" ht="12.75" hidden="false" customHeight="false" outlineLevel="0" collapsed="false">
      <c r="A428" s="17"/>
      <c r="B428" s="17"/>
      <c r="C428" s="17"/>
      <c r="D428" s="17"/>
      <c r="E428" s="17"/>
      <c r="F428" s="17"/>
      <c r="G428" s="17"/>
    </row>
    <row r="429" customFormat="false" ht="12.75" hidden="false" customHeight="false" outlineLevel="0" collapsed="false">
      <c r="A429" s="17"/>
      <c r="B429" s="17"/>
      <c r="C429" s="17"/>
      <c r="D429" s="17"/>
      <c r="E429" s="17"/>
      <c r="F429" s="17"/>
      <c r="G429" s="17"/>
    </row>
    <row r="430" customFormat="false" ht="12.75" hidden="false" customHeight="false" outlineLevel="0" collapsed="false">
      <c r="A430" s="17"/>
      <c r="B430" s="17"/>
      <c r="C430" s="17"/>
      <c r="D430" s="17"/>
      <c r="E430" s="17"/>
      <c r="F430" s="17"/>
      <c r="G430" s="17"/>
    </row>
    <row r="431" customFormat="false" ht="12.75" hidden="false" customHeight="false" outlineLevel="0" collapsed="false">
      <c r="A431" s="17"/>
      <c r="B431" s="17"/>
      <c r="C431" s="17"/>
      <c r="D431" s="17"/>
      <c r="E431" s="17"/>
      <c r="F431" s="17"/>
      <c r="G431" s="17"/>
    </row>
    <row r="432" customFormat="false" ht="12.75" hidden="false" customHeight="false" outlineLevel="0" collapsed="false">
      <c r="A432" s="17"/>
      <c r="B432" s="17"/>
      <c r="C432" s="17"/>
      <c r="D432" s="17"/>
      <c r="E432" s="17"/>
      <c r="F432" s="17"/>
      <c r="G432" s="17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26" activeCellId="0" sqref="B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04" width="34.28"/>
    <col collapsed="false" customWidth="true" hidden="false" outlineLevel="0" max="19" min="2" style="304" width="17.42"/>
    <col collapsed="false" customWidth="true" hidden="false" outlineLevel="0" max="23" min="20" style="304" width="6.99"/>
    <col collapsed="false" customWidth="false" hidden="false" outlineLevel="0" max="257" min="24" style="304" width="9.14"/>
  </cols>
  <sheetData>
    <row r="1" customFormat="false" ht="18" hidden="false" customHeight="false" outlineLevel="0" collapsed="false">
      <c r="A1" s="310" t="s">
        <v>320</v>
      </c>
      <c r="B1" s="311"/>
    </row>
    <row r="2" customFormat="false" ht="15.75" hidden="false" customHeight="false" outlineLevel="0" collapsed="false">
      <c r="A2" s="296" t="s">
        <v>321</v>
      </c>
      <c r="B2" s="312" t="s">
        <v>322</v>
      </c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313"/>
      <c r="U2" s="313"/>
      <c r="V2" s="313"/>
      <c r="W2" s="313"/>
    </row>
    <row r="3" customFormat="false" ht="12.75" hidden="false" customHeight="false" outlineLevel="0" collapsed="false">
      <c r="A3" s="0"/>
      <c r="B3" s="314" t="n">
        <v>2001</v>
      </c>
      <c r="C3" s="315" t="n">
        <v>2002</v>
      </c>
      <c r="D3" s="315" t="n">
        <v>2003</v>
      </c>
      <c r="E3" s="315" t="n">
        <v>2004</v>
      </c>
      <c r="F3" s="315" t="n">
        <v>2005</v>
      </c>
      <c r="G3" s="315" t="n">
        <v>2006</v>
      </c>
      <c r="H3" s="315" t="n">
        <v>2007</v>
      </c>
      <c r="I3" s="315" t="n">
        <v>2008</v>
      </c>
      <c r="J3" s="315" t="n">
        <v>2009</v>
      </c>
      <c r="K3" s="315" t="n">
        <v>2010</v>
      </c>
      <c r="L3" s="315" t="n">
        <v>2011</v>
      </c>
      <c r="M3" s="315" t="n">
        <v>2012</v>
      </c>
      <c r="N3" s="315" t="n">
        <v>2013</v>
      </c>
      <c r="O3" s="315" t="n">
        <v>2014</v>
      </c>
      <c r="P3" s="315" t="n">
        <v>2015</v>
      </c>
      <c r="Q3" s="315" t="n">
        <v>2016</v>
      </c>
      <c r="R3" s="315" t="n">
        <v>2017</v>
      </c>
      <c r="S3" s="315" t="n">
        <v>2018</v>
      </c>
    </row>
    <row r="4" customFormat="false" ht="12.75" hidden="false" customHeight="false" outlineLevel="0" collapsed="false">
      <c r="A4" s="316" t="s">
        <v>97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317"/>
      <c r="U4" s="317"/>
      <c r="V4" s="317"/>
      <c r="W4" s="317"/>
    </row>
    <row r="5" customFormat="false" ht="12.75" hidden="false" customHeight="false" outlineLevel="0" collapsed="false">
      <c r="A5" s="318" t="s">
        <v>323</v>
      </c>
      <c r="B5" s="317" t="n">
        <v>3.40266500540915</v>
      </c>
      <c r="C5" s="317" t="n">
        <v>2.96040131944097</v>
      </c>
      <c r="D5" s="317" t="n">
        <v>2.8348604616823</v>
      </c>
      <c r="E5" s="317" t="n">
        <v>2.82186624075821</v>
      </c>
      <c r="F5" s="317" t="n">
        <v>2.84693181158051</v>
      </c>
      <c r="G5" s="317" t="n">
        <v>2.93248175798598</v>
      </c>
      <c r="H5" s="317" t="n">
        <v>3.00120382650625</v>
      </c>
      <c r="I5" s="317" t="n">
        <v>3.02915031781196</v>
      </c>
      <c r="J5" s="317" t="n">
        <v>3.18755113908014</v>
      </c>
      <c r="K5" s="317" t="n">
        <v>3.19185555909292</v>
      </c>
      <c r="L5" s="317" t="n">
        <v>3.26235294719421</v>
      </c>
      <c r="M5" s="317" t="n">
        <v>3.38492745401674</v>
      </c>
      <c r="N5" s="317" t="n">
        <v>3.44433108707412</v>
      </c>
      <c r="O5" s="317" t="n">
        <v>3.46358671789699</v>
      </c>
      <c r="P5" s="317" t="n">
        <v>3.62336888699318</v>
      </c>
      <c r="Q5" s="317" t="n">
        <v>3.60868098360193</v>
      </c>
      <c r="R5" s="317" t="n">
        <v>3.67848541598731</v>
      </c>
      <c r="S5" s="317" t="n">
        <v>3.8086365126362</v>
      </c>
      <c r="T5" s="319"/>
      <c r="U5" s="319"/>
      <c r="V5" s="319"/>
      <c r="W5" s="319"/>
    </row>
    <row r="6" customFormat="false" ht="12.75" hidden="false" customHeight="false" outlineLevel="0" collapsed="false">
      <c r="A6" s="318" t="s">
        <v>324</v>
      </c>
      <c r="B6" s="303" t="n">
        <v>13768713.1578493</v>
      </c>
      <c r="C6" s="303" t="n">
        <v>13301993.7765576</v>
      </c>
      <c r="D6" s="303" t="n">
        <v>13239756.7644751</v>
      </c>
      <c r="E6" s="303" t="n">
        <v>13350460.9099387</v>
      </c>
      <c r="F6" s="303" t="n">
        <v>13479460.447319</v>
      </c>
      <c r="G6" s="303" t="n">
        <v>13570042.2447875</v>
      </c>
      <c r="H6" s="303" t="n">
        <v>13661993.7669545</v>
      </c>
      <c r="I6" s="303" t="n">
        <v>13777605.0831542</v>
      </c>
      <c r="J6" s="303" t="n">
        <v>14341211.3080116</v>
      </c>
      <c r="K6" s="303" t="n">
        <v>14317828.9688175</v>
      </c>
      <c r="L6" s="303" t="n">
        <v>14552263.9416977</v>
      </c>
      <c r="M6" s="303" t="n">
        <v>14626453.9959331</v>
      </c>
      <c r="N6" s="303" t="n">
        <v>14584481.3605964</v>
      </c>
      <c r="O6" s="303" t="n">
        <v>14679088.9053008</v>
      </c>
      <c r="P6" s="303" t="n">
        <v>15146076.3443013</v>
      </c>
      <c r="Q6" s="303" t="n">
        <v>15104676.245764</v>
      </c>
      <c r="R6" s="303" t="n">
        <v>15264907.060695</v>
      </c>
      <c r="S6" s="303" t="n">
        <v>15275381.2468887</v>
      </c>
      <c r="T6" s="319"/>
      <c r="U6" s="319"/>
      <c r="V6" s="319"/>
      <c r="W6" s="319"/>
    </row>
    <row r="7" customFormat="false" ht="12.75" hidden="false" customHeight="false" outlineLevel="0" collapsed="false">
      <c r="A7" s="318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19"/>
      <c r="U7" s="319"/>
      <c r="V7" s="319"/>
      <c r="W7" s="319"/>
    </row>
    <row r="8" customFormat="false" ht="12.75" hidden="false" customHeight="false" outlineLevel="0" collapsed="false">
      <c r="A8" s="318" t="s">
        <v>325</v>
      </c>
      <c r="B8" s="303" t="n">
        <v>12249594.019473</v>
      </c>
      <c r="C8" s="303" t="n">
        <v>10657444.7499875</v>
      </c>
      <c r="D8" s="303" t="n">
        <v>10205497.6620563</v>
      </c>
      <c r="E8" s="303" t="n">
        <v>10158718.4667295</v>
      </c>
      <c r="F8" s="303" t="n">
        <v>10248954.5216898</v>
      </c>
      <c r="G8" s="303" t="n">
        <v>10556934.3287495</v>
      </c>
      <c r="H8" s="303" t="n">
        <v>10804333.7754225</v>
      </c>
      <c r="I8" s="303" t="n">
        <v>10904941.144123</v>
      </c>
      <c r="J8" s="303" t="n">
        <v>11475184.1006885</v>
      </c>
      <c r="K8" s="303" t="n">
        <v>11490680.0127345</v>
      </c>
      <c r="L8" s="303" t="n">
        <v>11744470.6098992</v>
      </c>
      <c r="M8" s="303" t="n">
        <v>12185738.8344603</v>
      </c>
      <c r="N8" s="303" t="n">
        <v>12399591.9134668</v>
      </c>
      <c r="O8" s="303" t="n">
        <v>12468912.1844292</v>
      </c>
      <c r="P8" s="303" t="n">
        <v>13044127.9931755</v>
      </c>
      <c r="Q8" s="303" t="n">
        <v>12991251.5409669</v>
      </c>
      <c r="R8" s="303" t="n">
        <v>13242547.4975543</v>
      </c>
      <c r="S8" s="303" t="n">
        <v>13711091.4454903</v>
      </c>
      <c r="T8" s="319"/>
      <c r="U8" s="319"/>
      <c r="V8" s="319"/>
      <c r="W8" s="319"/>
    </row>
    <row r="9" customFormat="false" ht="12.75" hidden="false" customHeight="false" outlineLevel="0" collapsed="false">
      <c r="A9" s="0" t="s">
        <v>326</v>
      </c>
      <c r="B9" s="320" t="n">
        <v>3.29483591238023</v>
      </c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0"/>
    </row>
    <row r="10" customFormat="false" ht="12.75" hidden="false" customHeight="false" outlineLevel="0" collapsed="false">
      <c r="A10" s="0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0"/>
    </row>
    <row r="11" customFormat="false" ht="12.75" hidden="false" customHeight="false" outlineLevel="0" collapsed="false">
      <c r="A11" s="316" t="s">
        <v>103</v>
      </c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</row>
    <row r="12" customFormat="false" ht="12.75" hidden="false" customHeight="false" outlineLevel="0" collapsed="false">
      <c r="A12" s="318" t="s">
        <v>327</v>
      </c>
      <c r="B12" s="303" t="n">
        <v>10497897.6208857</v>
      </c>
      <c r="C12" s="303" t="n">
        <v>10042833.3685962</v>
      </c>
      <c r="D12" s="303" t="n">
        <v>10011452.9806561</v>
      </c>
      <c r="E12" s="303" t="n">
        <v>10118958.2996232</v>
      </c>
      <c r="F12" s="303" t="n">
        <v>10248564.5611574</v>
      </c>
      <c r="G12" s="303" t="n">
        <v>10354072.3371185</v>
      </c>
      <c r="H12" s="303" t="n">
        <v>10465456.2525262</v>
      </c>
      <c r="I12" s="303" t="n">
        <v>10599650.2787645</v>
      </c>
      <c r="J12" s="303" t="n">
        <v>11080773.125712</v>
      </c>
      <c r="K12" s="303" t="n">
        <v>11109372.4153154</v>
      </c>
      <c r="L12" s="303" t="n">
        <v>11342232.1477274</v>
      </c>
      <c r="M12" s="303" t="n">
        <v>11450014.6325991</v>
      </c>
      <c r="N12" s="303" t="n">
        <v>11466511.2831333</v>
      </c>
      <c r="O12" s="303" t="n">
        <v>11589814.9219976</v>
      </c>
      <c r="P12" s="303" t="n">
        <v>12008964.7224225</v>
      </c>
      <c r="Q12" s="303" t="n">
        <v>12027127.6896959</v>
      </c>
      <c r="R12" s="303" t="n">
        <v>12204528.6460374</v>
      </c>
      <c r="S12" s="303" t="n">
        <v>12260703.6261431</v>
      </c>
    </row>
    <row r="13" customFormat="false" ht="12.75" hidden="false" customHeight="false" outlineLevel="0" collapsed="false">
      <c r="A13" s="0" t="s">
        <v>328</v>
      </c>
      <c r="B13" s="303" t="n">
        <v>2191948.40429626</v>
      </c>
      <c r="C13" s="303" t="n">
        <v>2184137.67907205</v>
      </c>
      <c r="D13" s="303" t="n">
        <v>2163459.00511859</v>
      </c>
      <c r="E13" s="303" t="n">
        <v>2165602.70981711</v>
      </c>
      <c r="F13" s="303" t="n">
        <v>2165196.11151585</v>
      </c>
      <c r="G13" s="303" t="n">
        <v>2155193.41513341</v>
      </c>
      <c r="H13" s="303" t="n">
        <v>2142170.72923926</v>
      </c>
      <c r="I13" s="303" t="n">
        <v>2129717.46149717</v>
      </c>
      <c r="J13" s="303" t="n">
        <v>2184993.98398752</v>
      </c>
      <c r="K13" s="303" t="n">
        <v>2150158.31471549</v>
      </c>
      <c r="L13" s="303" t="n">
        <v>2151213.96759215</v>
      </c>
      <c r="M13" s="303" t="n">
        <v>2128701.88340472</v>
      </c>
      <c r="N13" s="303" t="n">
        <v>2089518.48818824</v>
      </c>
      <c r="O13" s="303" t="n">
        <v>2070287.70091437</v>
      </c>
      <c r="P13" s="303" t="n">
        <v>2102346.26073102</v>
      </c>
      <c r="Q13" s="303" t="n">
        <v>2062429.86508498</v>
      </c>
      <c r="R13" s="303" t="n">
        <v>2050923.23512037</v>
      </c>
      <c r="S13" s="303" t="n">
        <v>2020296.68918455</v>
      </c>
    </row>
    <row r="14" customFormat="false" ht="12.75" hidden="false" customHeight="false" outlineLevel="0" collapsed="false">
      <c r="A14" s="318" t="s">
        <v>329</v>
      </c>
      <c r="B14" s="303" t="n">
        <v>1078867.13266733</v>
      </c>
      <c r="C14" s="303" t="n">
        <v>1075022.72888932</v>
      </c>
      <c r="D14" s="303" t="n">
        <v>1064844.77870043</v>
      </c>
      <c r="E14" s="303" t="n">
        <v>1065899.90049839</v>
      </c>
      <c r="F14" s="303" t="n">
        <v>1065699.77464572</v>
      </c>
      <c r="G14" s="303" t="n">
        <v>1060776.49253565</v>
      </c>
      <c r="H14" s="303" t="n">
        <v>1054366.78518911</v>
      </c>
      <c r="I14" s="303" t="n">
        <v>1048237.34289252</v>
      </c>
      <c r="J14" s="303" t="n">
        <v>1075444.19831215</v>
      </c>
      <c r="K14" s="303" t="n">
        <v>1058298.23878664</v>
      </c>
      <c r="L14" s="303" t="n">
        <v>1058817.82637816</v>
      </c>
      <c r="M14" s="303" t="n">
        <v>1047737.47992929</v>
      </c>
      <c r="N14" s="303" t="n">
        <v>1028451.58927488</v>
      </c>
      <c r="O14" s="303" t="n">
        <v>1018986.28238881</v>
      </c>
      <c r="P14" s="303" t="n">
        <v>1034765.36114771</v>
      </c>
      <c r="Q14" s="303" t="n">
        <v>1015118.6909831</v>
      </c>
      <c r="R14" s="303" t="n">
        <v>1009455.17953718</v>
      </c>
      <c r="S14" s="303" t="n">
        <v>994380.931561034</v>
      </c>
    </row>
    <row r="15" customFormat="false" ht="12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</row>
    <row r="16" customFormat="false" ht="12.75" hidden="false" customHeight="false" outlineLevel="0" collapsed="false">
      <c r="A16" s="0" t="s">
        <v>330</v>
      </c>
      <c r="B16" s="303" t="n">
        <v>15656323.7186334</v>
      </c>
      <c r="C16" s="303" t="n">
        <v>15428559.9542683</v>
      </c>
      <c r="D16" s="303" t="n">
        <v>15436244.6329221</v>
      </c>
      <c r="E16" s="303" t="n">
        <v>15764905.3756929</v>
      </c>
      <c r="F16" s="303" t="n">
        <v>16549785.0379941</v>
      </c>
      <c r="G16" s="303" t="n">
        <v>18127103.5094893</v>
      </c>
      <c r="H16" s="303" t="n">
        <v>19156672.1890083</v>
      </c>
      <c r="I16" s="303" t="n">
        <v>19737119.4726145</v>
      </c>
      <c r="J16" s="303" t="n">
        <v>20626924.1885178</v>
      </c>
      <c r="K16" s="303" t="n">
        <v>21032896.1865091</v>
      </c>
      <c r="L16" s="303" t="n">
        <v>21246987.7647287</v>
      </c>
      <c r="M16" s="303" t="n">
        <v>21485272.3027514</v>
      </c>
      <c r="N16" s="303" t="n">
        <v>21488939.5439324</v>
      </c>
      <c r="O16" s="303" t="n">
        <v>21377815.0890766</v>
      </c>
      <c r="P16" s="303" t="n">
        <v>21750770.7788446</v>
      </c>
      <c r="Q16" s="303" t="n">
        <v>21459475.4067856</v>
      </c>
      <c r="R16" s="303" t="n">
        <v>21448480.708008</v>
      </c>
      <c r="S16" s="303" t="n">
        <f aca="false">S8</f>
        <v>13711091.4454903</v>
      </c>
    </row>
    <row r="17" customFormat="false" ht="12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</row>
    <row r="18" customFormat="false" ht="12.75" hidden="false" customHeight="false" outlineLevel="0" collapsed="false">
      <c r="A18" s="0" t="s">
        <v>331</v>
      </c>
      <c r="B18" s="303" t="n">
        <v>0</v>
      </c>
      <c r="C18" s="303" t="n">
        <v>0</v>
      </c>
      <c r="D18" s="303" t="n">
        <v>0</v>
      </c>
      <c r="E18" s="303" t="n">
        <v>0</v>
      </c>
      <c r="F18" s="303" t="n">
        <v>0</v>
      </c>
      <c r="G18" s="303" t="n">
        <v>0</v>
      </c>
      <c r="H18" s="303" t="n">
        <v>0</v>
      </c>
      <c r="I18" s="303" t="n">
        <v>0</v>
      </c>
      <c r="J18" s="303" t="n">
        <v>0</v>
      </c>
      <c r="K18" s="303" t="n">
        <v>0</v>
      </c>
      <c r="L18" s="303" t="n">
        <v>0</v>
      </c>
      <c r="M18" s="303" t="n">
        <v>0</v>
      </c>
      <c r="N18" s="303" t="n">
        <v>0</v>
      </c>
      <c r="O18" s="303" t="n">
        <v>0</v>
      </c>
      <c r="P18" s="303" t="n">
        <v>0</v>
      </c>
      <c r="Q18" s="303" t="n">
        <v>0</v>
      </c>
      <c r="R18" s="303" t="n">
        <v>0</v>
      </c>
      <c r="S18" s="303" t="n">
        <v>0</v>
      </c>
      <c r="T18" s="319"/>
      <c r="U18" s="319"/>
      <c r="V18" s="319"/>
      <c r="W18" s="319"/>
    </row>
    <row r="19" customFormat="false" ht="12.75" hidden="false" customHeight="false" outlineLevel="0" collapsed="false"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</row>
    <row r="20" customFormat="false" ht="12.75" hidden="false" customHeight="false" outlineLevel="0" collapsed="false">
      <c r="A20" s="304" t="s">
        <v>332</v>
      </c>
      <c r="B20" s="319" t="n">
        <f aca="false">NPV(0.14,B16:$S$16)</f>
        <v>114910268.032416</v>
      </c>
      <c r="C20" s="319" t="n">
        <f aca="false">NPV(0.14,C16:$S$16)</f>
        <v>115341381.838321</v>
      </c>
      <c r="D20" s="319" t="n">
        <f aca="false">NPV(0.14,D16:$S$16)</f>
        <v>116060615.341417</v>
      </c>
      <c r="E20" s="319" t="n">
        <f aca="false">NPV(0.14,E16:$S$16)</f>
        <v>116872856.856294</v>
      </c>
      <c r="F20" s="319" t="n">
        <f aca="false">NPV(0.14,F16:$S$16)</f>
        <v>117470151.440482</v>
      </c>
      <c r="G20" s="319" t="n">
        <f aca="false">NPV(0.14,G16:$S$16)</f>
        <v>117366187.604155</v>
      </c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</row>
    <row r="21" customFormat="false" ht="12.75" hidden="false" customHeight="false" outlineLevel="0" collapsed="false"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</row>
    <row r="22" customFormat="false" ht="12.75" hidden="false" customHeight="false" outlineLevel="0" collapsed="false">
      <c r="A22" s="322" t="s">
        <v>333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</row>
    <row r="23" customFormat="false" ht="12.75" hidden="false" customHeight="false" outlineLevel="0" collapsed="false">
      <c r="A23" s="323" t="s">
        <v>105</v>
      </c>
      <c r="B23" s="147" t="n">
        <v>1500</v>
      </c>
      <c r="C23" s="319" t="n">
        <f aca="false">B23*(1+Model!J28)</f>
        <v>1545.04025570997</v>
      </c>
      <c r="D23" s="319" t="n">
        <f aca="false">C23*(1+Model!K28)</f>
        <v>1589.88410125558</v>
      </c>
      <c r="E23" s="319" t="n">
        <f aca="false">D23*(1+Model!L28)</f>
        <v>1635.23267152794</v>
      </c>
      <c r="F23" s="319" t="n">
        <f aca="false">E23*(1+Model!M28)</f>
        <v>1681.05519312542</v>
      </c>
      <c r="G23" s="319" t="n">
        <f aca="false">F23*(1+Model!N28)</f>
        <v>1726.81382779497</v>
      </c>
      <c r="H23" s="319" t="n">
        <f aca="false">G23*(1+Model!O28)</f>
        <v>1772.95268203128</v>
      </c>
      <c r="I23" s="319" t="n">
        <f aca="false">H23*(1+Model!P28)</f>
        <v>1819.4359003887</v>
      </c>
      <c r="J23" s="319" t="n">
        <f aca="false">I23*(1+Model!Q28)</f>
        <v>1866.40846913603</v>
      </c>
      <c r="K23" s="319" t="n">
        <f aca="false">J23*(1+Model!R28)</f>
        <v>1913.84558381473</v>
      </c>
      <c r="L23" s="319" t="n">
        <f aca="false">K23*(1+Model!S28)</f>
        <v>1962.10479940952</v>
      </c>
      <c r="M23" s="319" t="n">
        <f aca="false">L23*(1+Model!T28)</f>
        <v>2011.1876729765</v>
      </c>
      <c r="N23" s="319" t="n">
        <f aca="false">M23*(1+Model!U28)</f>
        <v>2062.10299095623</v>
      </c>
      <c r="O23" s="319" t="n">
        <f aca="false">N23*(1+Model!V28)</f>
        <v>2115.13387052443</v>
      </c>
      <c r="P23" s="319" t="n">
        <f aca="false">O23*(1+Model!W28)</f>
        <v>2170.37641208959</v>
      </c>
      <c r="Q23" s="319" t="n">
        <f aca="false">P23*(1+Model!X28)</f>
        <v>2228.36684470224</v>
      </c>
      <c r="R23" s="319" t="n">
        <f aca="false">Q23*(1+Model!Y28)</f>
        <v>2288.80006515936</v>
      </c>
      <c r="S23" s="319" t="n">
        <f aca="false">R23*(1+Model!Z28)</f>
        <v>2351.56042588006</v>
      </c>
      <c r="T23" s="319"/>
      <c r="U23" s="319"/>
      <c r="V23" s="319"/>
      <c r="W23" s="319"/>
    </row>
    <row r="24" customFormat="false" ht="12.75" hidden="false" customHeight="false" outlineLevel="0" collapsed="false">
      <c r="A24" s="323" t="s">
        <v>107</v>
      </c>
      <c r="B24" s="147" t="n">
        <v>812</v>
      </c>
      <c r="C24" s="319" t="n">
        <f aca="false">B24*(1+Model!J29)</f>
        <v>812</v>
      </c>
      <c r="D24" s="319" t="n">
        <f aca="false">C24*(1+Model!K29)</f>
        <v>812</v>
      </c>
      <c r="E24" s="319" t="n">
        <f aca="false">D24*(1+Model!L29)</f>
        <v>812</v>
      </c>
      <c r="F24" s="319" t="n">
        <f aca="false">E24*(1+Model!M29)</f>
        <v>812</v>
      </c>
      <c r="G24" s="319" t="n">
        <f aca="false">F24*(1+Model!N29)</f>
        <v>812</v>
      </c>
      <c r="H24" s="319" t="n">
        <f aca="false">G24*(1+Model!O29)</f>
        <v>812</v>
      </c>
      <c r="I24" s="319" t="n">
        <f aca="false">H24*(1+Model!P29)</f>
        <v>812</v>
      </c>
      <c r="J24" s="319" t="n">
        <f aca="false">I24*(1+Model!Q29)</f>
        <v>812</v>
      </c>
      <c r="K24" s="319" t="n">
        <f aca="false">J24*(1+Model!R29)</f>
        <v>812</v>
      </c>
      <c r="L24" s="319" t="n">
        <f aca="false">K24*(1+Model!S29)</f>
        <v>812</v>
      </c>
      <c r="M24" s="319" t="n">
        <f aca="false">L24*(1+Model!T29)</f>
        <v>812</v>
      </c>
      <c r="N24" s="319" t="n">
        <f aca="false">M24*(1+Model!U29)</f>
        <v>812</v>
      </c>
      <c r="O24" s="319" t="n">
        <f aca="false">N24*(1+Model!V29)</f>
        <v>812</v>
      </c>
      <c r="P24" s="319" t="n">
        <f aca="false">O24*(1+Model!W29)</f>
        <v>812</v>
      </c>
      <c r="Q24" s="319" t="n">
        <f aca="false">P24*(1+Model!X29)</f>
        <v>812</v>
      </c>
      <c r="R24" s="319" t="n">
        <f aca="false">Q24*(1+Model!Y29)</f>
        <v>812</v>
      </c>
      <c r="S24" s="319" t="n">
        <f aca="false">R24*(1+Model!Z29)</f>
        <v>812</v>
      </c>
      <c r="T24" s="319"/>
      <c r="U24" s="319"/>
      <c r="V24" s="319"/>
      <c r="W24" s="319"/>
    </row>
    <row r="25" customFormat="false" ht="12.75" hidden="false" customHeight="false" outlineLevel="0" collapsed="false">
      <c r="A25" s="323" t="s">
        <v>108</v>
      </c>
      <c r="B25" s="147" t="n">
        <f aca="false">Model!I143</f>
        <v>706</v>
      </c>
      <c r="C25" s="319" t="n">
        <f aca="false">B25*(1+Model!J28)</f>
        <v>727.198947020826</v>
      </c>
      <c r="D25" s="319" t="n">
        <f aca="false">C25*(1+Model!K28)</f>
        <v>748.305450324291</v>
      </c>
      <c r="E25" s="319" t="n">
        <f aca="false">D25*(1+Model!L28)</f>
        <v>769.649510732482</v>
      </c>
      <c r="F25" s="319" t="n">
        <f aca="false">E25*(1+Model!M28)</f>
        <v>791.216644231031</v>
      </c>
      <c r="G25" s="319" t="n">
        <f aca="false">F25*(1+Model!N28)</f>
        <v>812.753708282165</v>
      </c>
      <c r="H25" s="319" t="n">
        <f aca="false">G25*(1+Model!O28)</f>
        <v>834.469729009388</v>
      </c>
      <c r="I25" s="319" t="n">
        <f aca="false">H25*(1+Model!P28)</f>
        <v>856.347830449616</v>
      </c>
      <c r="J25" s="319" t="n">
        <f aca="false">I25*(1+Model!Q28)</f>
        <v>878.456252806694</v>
      </c>
      <c r="K25" s="319" t="n">
        <f aca="false">J25*(1+Model!R28)</f>
        <v>900.7833214488</v>
      </c>
      <c r="L25" s="319" t="n">
        <f aca="false">K25*(1+Model!S28)</f>
        <v>923.497325588749</v>
      </c>
      <c r="M25" s="319" t="n">
        <f aca="false">L25*(1+Model!T28)</f>
        <v>946.598998080938</v>
      </c>
      <c r="N25" s="319" t="n">
        <f aca="false">M25*(1+Model!U28)</f>
        <v>970.563141076734</v>
      </c>
      <c r="O25" s="319" t="n">
        <f aca="false">N25*(1+Model!V28)</f>
        <v>995.5230083935</v>
      </c>
      <c r="P25" s="319" t="n">
        <f aca="false">O25*(1+Model!W28)</f>
        <v>1021.52383129017</v>
      </c>
      <c r="Q25" s="319" t="n">
        <f aca="false">P25*(1+Model!X28)</f>
        <v>1048.81799490652</v>
      </c>
      <c r="R25" s="319" t="n">
        <f aca="false">Q25*(1+Model!Y28)</f>
        <v>1077.261897335</v>
      </c>
      <c r="S25" s="319" t="n">
        <f aca="false">R25*(1+Model!Z28)</f>
        <v>1106.80110711421</v>
      </c>
      <c r="T25" s="319"/>
      <c r="U25" s="319"/>
      <c r="V25" s="319"/>
      <c r="W25" s="319"/>
    </row>
    <row r="26" customFormat="false" ht="12.75" hidden="false" customHeight="false" outlineLevel="0" collapsed="false">
      <c r="A26" s="323" t="s">
        <v>109</v>
      </c>
      <c r="B26" s="147" t="n">
        <v>870</v>
      </c>
      <c r="C26" s="319" t="n">
        <f aca="false">B26*(1+Model!J31)</f>
        <v>870</v>
      </c>
      <c r="D26" s="319" t="n">
        <f aca="false">C26*(1+Model!K31)</f>
        <v>870</v>
      </c>
      <c r="E26" s="319" t="n">
        <f aca="false">D26*(1+Model!L31)</f>
        <v>870</v>
      </c>
      <c r="F26" s="319" t="n">
        <f aca="false">E26*(1+Model!M31)</f>
        <v>870</v>
      </c>
      <c r="G26" s="319" t="n">
        <f aca="false">F26*(1+Model!N31)</f>
        <v>870</v>
      </c>
      <c r="H26" s="319" t="n">
        <f aca="false">G26*(1+Model!O31)</f>
        <v>870</v>
      </c>
      <c r="I26" s="319" t="n">
        <f aca="false">H26*(1+Model!P31)</f>
        <v>870</v>
      </c>
      <c r="J26" s="319" t="n">
        <f aca="false">I26*(1+Model!Q31)</f>
        <v>870</v>
      </c>
      <c r="K26" s="319" t="n">
        <f aca="false">J26*(1+Model!R31)</f>
        <v>870</v>
      </c>
      <c r="L26" s="319" t="n">
        <f aca="false">K26*(1+Model!S31)</f>
        <v>870</v>
      </c>
      <c r="M26" s="319" t="n">
        <f aca="false">L26*(1+Model!T31)</f>
        <v>870</v>
      </c>
      <c r="N26" s="319" t="n">
        <f aca="false">M26*(1+Model!U31)</f>
        <v>870</v>
      </c>
      <c r="O26" s="319" t="n">
        <f aca="false">N26*(1+Model!V31)</f>
        <v>870</v>
      </c>
      <c r="P26" s="319" t="n">
        <f aca="false">O26*(1+Model!W31)</f>
        <v>870</v>
      </c>
      <c r="Q26" s="319" t="n">
        <f aca="false">P26*(1+Model!X31)</f>
        <v>870</v>
      </c>
      <c r="R26" s="319" t="n">
        <f aca="false">Q26*(1+Model!Y31)</f>
        <v>870</v>
      </c>
      <c r="S26" s="319" t="n">
        <f aca="false">R26*(1+Model!Z31)</f>
        <v>870</v>
      </c>
      <c r="T26" s="319"/>
      <c r="U26" s="319"/>
      <c r="V26" s="319"/>
      <c r="W26" s="319"/>
    </row>
    <row r="27" customFormat="false" ht="12.75" hidden="false" customHeight="false" outlineLevel="0" collapsed="false">
      <c r="A27" s="323" t="s">
        <v>110</v>
      </c>
      <c r="B27" s="147" t="n">
        <v>0</v>
      </c>
      <c r="C27" s="319" t="n">
        <f aca="false">B27*(1+Model!J32)</f>
        <v>0</v>
      </c>
      <c r="D27" s="319" t="n">
        <f aca="false">C27*(1+Model!K32)</f>
        <v>0</v>
      </c>
      <c r="E27" s="319" t="n">
        <f aca="false">D27*(1+Model!L32)</f>
        <v>0</v>
      </c>
      <c r="F27" s="319" t="n">
        <f aca="false">E27*(1+Model!M32)</f>
        <v>0</v>
      </c>
      <c r="G27" s="319" t="n">
        <f aca="false">F27*(1+Model!N32)</f>
        <v>0</v>
      </c>
      <c r="H27" s="319" t="n">
        <f aca="false">G27*(1+Model!O32)</f>
        <v>0</v>
      </c>
      <c r="I27" s="319" t="n">
        <f aca="false">H27*(1+Model!P32)</f>
        <v>0</v>
      </c>
      <c r="J27" s="319" t="n">
        <f aca="false">I27*(1+Model!Q32)</f>
        <v>0</v>
      </c>
      <c r="K27" s="319" t="n">
        <f aca="false">J27*(1+Model!R32)</f>
        <v>0</v>
      </c>
      <c r="L27" s="319" t="n">
        <f aca="false">K27*(1+Model!S32)</f>
        <v>0</v>
      </c>
      <c r="M27" s="319" t="n">
        <f aca="false">L27*(1+Model!T32)</f>
        <v>0</v>
      </c>
      <c r="N27" s="319" t="n">
        <f aca="false">M27*(1+Model!U32)</f>
        <v>0</v>
      </c>
      <c r="O27" s="319" t="n">
        <f aca="false">N27*(1+Model!V32)</f>
        <v>0</v>
      </c>
      <c r="P27" s="319" t="n">
        <f aca="false">O27*(1+Model!W32)</f>
        <v>0</v>
      </c>
      <c r="Q27" s="319" t="n">
        <f aca="false">P27*(1+Model!X32)</f>
        <v>0</v>
      </c>
      <c r="R27" s="319" t="n">
        <f aca="false">Q27*(1+Model!Y32)</f>
        <v>0</v>
      </c>
      <c r="S27" s="319" t="n">
        <f aca="false">R27*(1+Model!Z32)</f>
        <v>0</v>
      </c>
      <c r="T27" s="319"/>
      <c r="U27" s="319"/>
      <c r="V27" s="319"/>
      <c r="W27" s="319"/>
    </row>
    <row r="28" customFormat="false" ht="12.75" hidden="false" customHeight="false" outlineLevel="0" collapsed="false">
      <c r="A28" s="323" t="s">
        <v>111</v>
      </c>
      <c r="B28" s="153" t="n">
        <v>0</v>
      </c>
      <c r="C28" s="324" t="n">
        <f aca="false">B28*(1+Model!J33)</f>
        <v>0</v>
      </c>
      <c r="D28" s="324" t="n">
        <f aca="false">C28*(1+Model!K33)</f>
        <v>0</v>
      </c>
      <c r="E28" s="324" t="n">
        <f aca="false">D28*(1+Model!L33)</f>
        <v>0</v>
      </c>
      <c r="F28" s="324" t="n">
        <f aca="false">E28*(1+Model!M33)</f>
        <v>0</v>
      </c>
      <c r="G28" s="324" t="n">
        <f aca="false">F28*(1+Model!N33)</f>
        <v>0</v>
      </c>
      <c r="H28" s="324" t="n">
        <f aca="false">G28*(1+Model!O33)</f>
        <v>0</v>
      </c>
      <c r="I28" s="324" t="n">
        <f aca="false">H28*(1+Model!P33)</f>
        <v>0</v>
      </c>
      <c r="J28" s="324" t="n">
        <f aca="false">I28*(1+Model!Q33)</f>
        <v>0</v>
      </c>
      <c r="K28" s="324" t="n">
        <f aca="false">J28*(1+Model!R33)</f>
        <v>0</v>
      </c>
      <c r="L28" s="324" t="n">
        <f aca="false">K28*(1+Model!S33)</f>
        <v>0</v>
      </c>
      <c r="M28" s="324" t="n">
        <f aca="false">L28*(1+Model!T33)</f>
        <v>0</v>
      </c>
      <c r="N28" s="324" t="n">
        <f aca="false">M28*(1+Model!U33)</f>
        <v>0</v>
      </c>
      <c r="O28" s="324" t="n">
        <f aca="false">N28*(1+Model!V33)</f>
        <v>0</v>
      </c>
      <c r="P28" s="324" t="n">
        <f aca="false">O28*(1+Model!W33)</f>
        <v>0</v>
      </c>
      <c r="Q28" s="324" t="n">
        <f aca="false">P28*(1+Model!X33)</f>
        <v>0</v>
      </c>
      <c r="R28" s="324" t="n">
        <f aca="false">Q28*(1+Model!Y33)</f>
        <v>0</v>
      </c>
      <c r="S28" s="324" t="n">
        <f aca="false">R28*(1+Model!Z33)</f>
        <v>0</v>
      </c>
      <c r="T28" s="319"/>
      <c r="U28" s="319"/>
      <c r="V28" s="319"/>
      <c r="W28" s="319"/>
    </row>
    <row r="29" customFormat="false" ht="12.75" hidden="false" customHeight="false" outlineLevel="0" collapsed="false">
      <c r="A29" s="304" t="s">
        <v>334</v>
      </c>
      <c r="B29" s="325" t="n">
        <f aca="false">SUM(B23:B28)</f>
        <v>3888</v>
      </c>
      <c r="C29" s="325" t="n">
        <f aca="false">SUM(C23:C28)</f>
        <v>3954.2392027308</v>
      </c>
      <c r="D29" s="325" t="n">
        <f aca="false">SUM(D23:D28)</f>
        <v>4020.18955157987</v>
      </c>
      <c r="E29" s="325" t="n">
        <f aca="false">SUM(E23:E28)</f>
        <v>4086.88218226042</v>
      </c>
      <c r="F29" s="325" t="n">
        <f aca="false">SUM(F23:F28)</f>
        <v>4154.27183735645</v>
      </c>
      <c r="G29" s="325" t="n">
        <f aca="false">SUM(G23:G28)</f>
        <v>4221.56753607713</v>
      </c>
      <c r="H29" s="325" t="n">
        <f aca="false">SUM(H23:H28)</f>
        <v>4289.42241104067</v>
      </c>
      <c r="I29" s="325" t="n">
        <f aca="false">SUM(I23:I28)</f>
        <v>4357.78373083832</v>
      </c>
      <c r="J29" s="325" t="n">
        <f aca="false">SUM(J23:J28)</f>
        <v>4426.86472194273</v>
      </c>
      <c r="K29" s="325" t="n">
        <f aca="false">SUM(K23:K28)</f>
        <v>4496.62890526353</v>
      </c>
      <c r="L29" s="325" t="n">
        <f aca="false">SUM(L23:L28)</f>
        <v>4567.60212499827</v>
      </c>
      <c r="M29" s="325" t="n">
        <f aca="false">SUM(M23:M28)</f>
        <v>4639.78667105743</v>
      </c>
      <c r="N29" s="325" t="n">
        <f aca="false">SUM(N23:N28)</f>
        <v>4714.66613203297</v>
      </c>
      <c r="O29" s="325" t="n">
        <f aca="false">SUM(O23:O28)</f>
        <v>4792.65687891794</v>
      </c>
      <c r="P29" s="325" t="n">
        <f aca="false">SUM(P23:P28)</f>
        <v>4873.90024337976</v>
      </c>
      <c r="Q29" s="325" t="n">
        <f aca="false">SUM(Q23:Q28)</f>
        <v>4959.18483960876</v>
      </c>
      <c r="R29" s="325" t="n">
        <f aca="false">SUM(R23:R28)</f>
        <v>5048.06196249436</v>
      </c>
      <c r="S29" s="325" t="n">
        <f aca="false">SUM(S23:S28)</f>
        <v>5140.36153299427</v>
      </c>
      <c r="T29" s="319"/>
      <c r="U29" s="319"/>
      <c r="V29" s="319"/>
      <c r="W29" s="319"/>
    </row>
    <row r="30" customFormat="false" ht="12.75" hidden="false" customHeight="false" outlineLevel="0" collapsed="false"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</row>
    <row r="31" customFormat="false" ht="12.75" hidden="false" customHeight="false" outlineLevel="0" collapsed="false">
      <c r="A31" s="304" t="s">
        <v>114</v>
      </c>
      <c r="B31" s="319" t="n">
        <v>0</v>
      </c>
      <c r="C31" s="319" t="n">
        <f aca="false">C16-(C29*1000)</f>
        <v>11474320.7515375</v>
      </c>
      <c r="D31" s="319" t="n">
        <f aca="false">D16-(D29*1000)</f>
        <v>11416055.0813422</v>
      </c>
      <c r="E31" s="319" t="n">
        <f aca="false">E16-(E29*1000)</f>
        <v>11678023.1934324</v>
      </c>
      <c r="F31" s="319" t="n">
        <f aca="false">F16-(F29*1000)</f>
        <v>12395513.2006377</v>
      </c>
      <c r="G31" s="319" t="n">
        <f aca="false">G16-(G29*1000)</f>
        <v>13905535.9734121</v>
      </c>
      <c r="H31" s="319" t="n">
        <f aca="false">H16-(H29*1000)</f>
        <v>14867249.7779676</v>
      </c>
      <c r="I31" s="319" t="n">
        <f aca="false">I16-(I29*1000)</f>
        <v>15379335.7417762</v>
      </c>
      <c r="J31" s="319" t="n">
        <f aca="false">J16-(J29*1000)</f>
        <v>16200059.4665751</v>
      </c>
      <c r="K31" s="319" t="n">
        <f aca="false">K16-(K29*1000)</f>
        <v>16536267.2812456</v>
      </c>
      <c r="L31" s="319" t="n">
        <f aca="false">L16-(L29*1000)</f>
        <v>16679385.6397304</v>
      </c>
      <c r="M31" s="319" t="n">
        <f aca="false">M16-(M29*1000)</f>
        <v>16845485.6316939</v>
      </c>
      <c r="N31" s="319" t="n">
        <f aca="false">N16-(N29*1000)</f>
        <v>16774273.4118994</v>
      </c>
      <c r="O31" s="319" t="n">
        <f aca="false">O16-(O29*1000)</f>
        <v>16585158.2101586</v>
      </c>
      <c r="P31" s="319" t="n">
        <f aca="false">P16-(P29*1000)</f>
        <v>16876870.5354648</v>
      </c>
      <c r="Q31" s="319" t="n">
        <f aca="false">Q16-(Q29*1000)</f>
        <v>16500290.5671769</v>
      </c>
      <c r="R31" s="319" t="n">
        <f aca="false">R16-(R29*1000)</f>
        <v>16400418.7455136</v>
      </c>
      <c r="S31" s="319" t="n">
        <f aca="false">S16-(S29*1000)</f>
        <v>8570729.91249604</v>
      </c>
      <c r="T31" s="319"/>
      <c r="U31" s="319"/>
      <c r="V31" s="319"/>
      <c r="W31" s="319"/>
    </row>
    <row r="32" customFormat="false" ht="12.75" hidden="false" customHeight="false" outlineLevel="0" collapsed="false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</row>
    <row r="33" customFormat="false" ht="13.5" hidden="false" customHeight="false" outlineLevel="0" collapsed="false">
      <c r="A33" s="304" t="s">
        <v>335</v>
      </c>
      <c r="B33" s="319" t="n">
        <f aca="false">B20/300000</f>
        <v>383.03422677472</v>
      </c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</row>
    <row r="34" customFormat="false" ht="13.5" hidden="false" customHeight="false" outlineLevel="0" collapsed="false">
      <c r="A34" s="326" t="s">
        <v>336</v>
      </c>
      <c r="B34" s="327" t="n">
        <f aca="false">NPV(0.14,B$31:$S31)/1000*0.5</f>
        <v>38556.7842001125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</row>
    <row r="35" customFormat="false" ht="12.75" hidden="false" customHeight="false" outlineLevel="0" collapsed="false">
      <c r="A35" s="326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</row>
    <row r="36" customFormat="false" ht="12.75" hidden="false" customHeight="false" outlineLevel="0" collapsed="false">
      <c r="A36" s="328" t="s">
        <v>241</v>
      </c>
    </row>
    <row r="37" customFormat="false" ht="12.75" hidden="false" customHeight="false" outlineLevel="0" collapsed="false">
      <c r="A37" s="0" t="s">
        <v>316</v>
      </c>
    </row>
    <row r="38" customFormat="false" ht="12.75" hidden="false" customHeight="false" outlineLevel="0" collapsed="false">
      <c r="A38" s="0" t="s">
        <v>311</v>
      </c>
    </row>
    <row r="39" customFormat="false" ht="12.75" hidden="false" customHeight="false" outlineLevel="0" collapsed="false">
      <c r="A39" s="0" t="s">
        <v>298</v>
      </c>
    </row>
    <row r="40" customFormat="false" ht="12.75" hidden="false" customHeight="false" outlineLevel="0" collapsed="false">
      <c r="A40" s="0" t="s">
        <v>299</v>
      </c>
    </row>
    <row r="41" customFormat="false" ht="12.75" hidden="false" customHeight="false" outlineLevel="0" collapsed="false">
      <c r="A41" s="0" t="s">
        <v>300</v>
      </c>
    </row>
    <row r="42" customFormat="false" ht="12.75" hidden="false" customHeight="false" outlineLevel="0" collapsed="false">
      <c r="A42" s="0" t="s">
        <v>301</v>
      </c>
    </row>
    <row r="43" customFormat="false" ht="12.75" hidden="false" customHeight="false" outlineLevel="0" collapsed="false">
      <c r="A43" s="0" t="s">
        <v>303</v>
      </c>
    </row>
    <row r="44" customFormat="false" ht="12.75" hidden="false" customHeight="false" outlineLevel="0" collapsed="false">
      <c r="A44" s="0" t="s">
        <v>304</v>
      </c>
    </row>
    <row r="45" customFormat="false" ht="12.75" hidden="false" customHeight="false" outlineLevel="0" collapsed="false">
      <c r="A45" s="304" t="s">
        <v>3</v>
      </c>
    </row>
    <row r="46" customFormat="false" ht="12.75" hidden="false" customHeight="false" outlineLevel="0" collapsed="false">
      <c r="A46" s="304" t="s">
        <v>3</v>
      </c>
    </row>
    <row r="47" customFormat="false" ht="12.75" hidden="false" customHeight="false" outlineLevel="0" collapsed="false">
      <c r="A47" s="304" t="s">
        <v>3</v>
      </c>
    </row>
    <row r="48" customFormat="false" ht="12.75" hidden="false" customHeight="false" outlineLevel="0" collapsed="false">
      <c r="A48" s="304" t="s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21.84765625" defaultRowHeight="12.75" customHeight="true" zeroHeight="false" outlineLevelRow="0" outlineLevelCol="0"/>
  <cols>
    <col collapsed="false" customWidth="true" hidden="false" outlineLevel="0" max="1" min="1" style="304" width="43.85"/>
    <col collapsed="false" customWidth="true" hidden="false" outlineLevel="0" max="2" min="2" style="304" width="19.28"/>
    <col collapsed="false" customWidth="true" hidden="false" outlineLevel="0" max="3" min="3" style="304" width="18.41"/>
    <col collapsed="false" customWidth="true" hidden="false" outlineLevel="0" max="4" min="4" style="304" width="17.7"/>
    <col collapsed="false" customWidth="true" hidden="false" outlineLevel="0" max="5" min="5" style="304" width="16.99"/>
    <col collapsed="false" customWidth="true" hidden="false" outlineLevel="0" max="7" min="6" style="304" width="17.99"/>
    <col collapsed="false" customWidth="true" hidden="false" outlineLevel="0" max="8" min="8" style="304" width="18.85"/>
    <col collapsed="false" customWidth="true" hidden="false" outlineLevel="0" max="9" min="9" style="304" width="18.99"/>
    <col collapsed="false" customWidth="false" hidden="false" outlineLevel="0" max="257" min="10" style="304" width="21.84"/>
  </cols>
  <sheetData>
    <row r="1" customFormat="false" ht="18" hidden="false" customHeight="false" outlineLevel="0" collapsed="false">
      <c r="A1" s="310" t="s">
        <v>337</v>
      </c>
    </row>
    <row r="2" customFormat="false" ht="13.5" hidden="false" customHeight="true" outlineLevel="0" collapsed="false">
      <c r="A2" s="296" t="s">
        <v>321</v>
      </c>
      <c r="B2" s="312" t="s">
        <v>322</v>
      </c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</row>
    <row r="3" customFormat="false" ht="12.75" hidden="false" customHeight="false" outlineLevel="0" collapsed="false">
      <c r="A3" s="0"/>
      <c r="B3" s="314" t="n">
        <v>2001</v>
      </c>
      <c r="C3" s="315" t="n">
        <v>2002</v>
      </c>
      <c r="D3" s="315" t="n">
        <v>2003</v>
      </c>
      <c r="E3" s="315" t="n">
        <v>2004</v>
      </c>
      <c r="F3" s="315" t="n">
        <v>2005</v>
      </c>
      <c r="G3" s="315" t="n">
        <v>2006</v>
      </c>
      <c r="H3" s="315" t="n">
        <v>2007</v>
      </c>
      <c r="I3" s="315" t="n">
        <v>2008</v>
      </c>
      <c r="J3" s="315" t="n">
        <v>2009</v>
      </c>
      <c r="K3" s="315" t="n">
        <v>2010</v>
      </c>
      <c r="L3" s="315" t="n">
        <v>2011</v>
      </c>
      <c r="M3" s="315" t="n">
        <v>2012</v>
      </c>
      <c r="N3" s="315" t="n">
        <v>2013</v>
      </c>
      <c r="O3" s="315" t="n">
        <v>2014</v>
      </c>
      <c r="P3" s="315" t="n">
        <v>2015</v>
      </c>
      <c r="Q3" s="315" t="n">
        <v>2016</v>
      </c>
      <c r="R3" s="315" t="n">
        <v>2017</v>
      </c>
      <c r="S3" s="315" t="n">
        <v>2018</v>
      </c>
    </row>
    <row r="4" customFormat="false" ht="12.75" hidden="false" customHeight="false" outlineLevel="0" collapsed="false">
      <c r="A4" s="316" t="s">
        <v>97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</row>
    <row r="5" customFormat="false" ht="12.75" hidden="false" customHeight="false" outlineLevel="0" collapsed="false">
      <c r="A5" s="318" t="s">
        <v>323</v>
      </c>
      <c r="B5" s="317" t="n">
        <v>3.3758421434044</v>
      </c>
      <c r="C5" s="317" t="n">
        <v>2.64622595370373</v>
      </c>
      <c r="D5" s="317" t="n">
        <v>2.16251153416262</v>
      </c>
      <c r="E5" s="317" t="n">
        <v>2.04522140590057</v>
      </c>
      <c r="F5" s="317" t="n">
        <v>2.00284346187274</v>
      </c>
      <c r="G5" s="317" t="n">
        <v>2.00933519570717</v>
      </c>
      <c r="H5" s="317" t="n">
        <v>2.06078376488853</v>
      </c>
      <c r="I5" s="317" t="n">
        <v>2.10028637384822</v>
      </c>
      <c r="J5" s="317" t="n">
        <v>2.23944453449003</v>
      </c>
      <c r="K5" s="317" t="n">
        <v>2.22398772964656</v>
      </c>
      <c r="L5" s="317" t="n">
        <v>2.29967820600636</v>
      </c>
      <c r="M5" s="317" t="n">
        <v>2.42725833485117</v>
      </c>
      <c r="N5" s="317" t="n">
        <v>2.55033192811599</v>
      </c>
      <c r="O5" s="317" t="n">
        <v>2.57467252930889</v>
      </c>
      <c r="P5" s="317" t="n">
        <v>2.73053962837822</v>
      </c>
      <c r="Q5" s="317" t="n">
        <v>2.72752053529986</v>
      </c>
      <c r="R5" s="317" t="n">
        <v>2.81526261129391</v>
      </c>
      <c r="S5" s="317" t="n">
        <v>2.96002859867832</v>
      </c>
      <c r="T5" s="304" t="e">
        <f aca="false"/>
        <v>#DIV/0!</v>
      </c>
      <c r="U5" s="304" t="e">
        <f aca="false"/>
        <v>#DIV/0!</v>
      </c>
      <c r="V5" s="304" t="e">
        <f aca="false"/>
        <v>#DIV/0!</v>
      </c>
      <c r="W5" s="304" t="e">
        <f aca="false"/>
        <v>#DIV/0!</v>
      </c>
    </row>
    <row r="6" customFormat="false" ht="12.75" hidden="false" customHeight="false" outlineLevel="0" collapsed="false">
      <c r="A6" s="318" t="s">
        <v>324</v>
      </c>
      <c r="B6" s="303" t="n">
        <v>14332413.6348451</v>
      </c>
      <c r="C6" s="303" t="n">
        <v>13915686.4537604</v>
      </c>
      <c r="D6" s="303" t="n">
        <v>14017937.8535085</v>
      </c>
      <c r="E6" s="303" t="n">
        <v>13824990.7552052</v>
      </c>
      <c r="F6" s="303" t="n">
        <v>13820274.2446399</v>
      </c>
      <c r="G6" s="303" t="n">
        <v>13735980.8761766</v>
      </c>
      <c r="H6" s="303" t="n">
        <v>13905331.4911292</v>
      </c>
      <c r="I6" s="303" t="n">
        <v>14014738.6591349</v>
      </c>
      <c r="J6" s="303" t="n">
        <v>14347297.1013077</v>
      </c>
      <c r="K6" s="303" t="n">
        <v>14039293.1802479</v>
      </c>
      <c r="L6" s="303" t="n">
        <v>14496150.5884711</v>
      </c>
      <c r="M6" s="303" t="n">
        <v>14898717.8016391</v>
      </c>
      <c r="N6" s="303" t="n">
        <v>15495414.5271741</v>
      </c>
      <c r="O6" s="303" t="n">
        <v>15299619.0462502</v>
      </c>
      <c r="P6" s="303" t="n">
        <v>15855699.6763086</v>
      </c>
      <c r="Q6" s="303" t="n">
        <v>15963155.2999783</v>
      </c>
      <c r="R6" s="303" t="n">
        <v>16261145.1490536</v>
      </c>
      <c r="S6" s="303" t="n">
        <v>16658619.6737532</v>
      </c>
      <c r="T6" s="304" t="n">
        <v>0</v>
      </c>
      <c r="U6" s="304" t="n">
        <v>0</v>
      </c>
      <c r="V6" s="304" t="n">
        <v>0</v>
      </c>
      <c r="W6" s="304" t="n">
        <v>0</v>
      </c>
    </row>
    <row r="7" customFormat="false" ht="12.75" hidden="false" customHeight="false" outlineLevel="0" collapsed="false">
      <c r="A7" s="318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</row>
    <row r="8" customFormat="false" ht="12.75" hidden="false" customHeight="false" outlineLevel="0" collapsed="false">
      <c r="A8" s="318" t="s">
        <v>325</v>
      </c>
      <c r="B8" s="303" t="n">
        <v>12153031.7162558</v>
      </c>
      <c r="C8" s="303" t="n">
        <v>9526413.43333343</v>
      </c>
      <c r="D8" s="303" t="n">
        <v>7785041.52298542</v>
      </c>
      <c r="E8" s="303" t="n">
        <v>7362797.06124205</v>
      </c>
      <c r="F8" s="303" t="n">
        <v>7210236.46274186</v>
      </c>
      <c r="G8" s="303" t="n">
        <v>7233606.70454581</v>
      </c>
      <c r="H8" s="303" t="n">
        <v>7418821.55359872</v>
      </c>
      <c r="I8" s="303" t="n">
        <v>7561030.94585358</v>
      </c>
      <c r="J8" s="303" t="n">
        <v>8062000.32416412</v>
      </c>
      <c r="K8" s="303" t="n">
        <v>8006355.82672761</v>
      </c>
      <c r="L8" s="303" t="n">
        <v>8278841.5416229</v>
      </c>
      <c r="M8" s="303" t="n">
        <v>8738130.00546423</v>
      </c>
      <c r="N8" s="303" t="n">
        <v>9181194.94121756</v>
      </c>
      <c r="O8" s="303" t="n">
        <v>9268821.10551199</v>
      </c>
      <c r="P8" s="303" t="n">
        <v>9829942.66216158</v>
      </c>
      <c r="Q8" s="303" t="n">
        <v>9819073.92707948</v>
      </c>
      <c r="R8" s="303" t="n">
        <v>10134945.4006581</v>
      </c>
      <c r="S8" s="303" t="n">
        <v>10656102.9552419</v>
      </c>
    </row>
    <row r="9" customFormat="false" ht="12.75" hidden="false" customHeight="false" outlineLevel="0" collapsed="false">
      <c r="A9" s="0" t="s">
        <v>326</v>
      </c>
      <c r="B9" s="320" t="n">
        <v>2.47615630814407</v>
      </c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0"/>
    </row>
    <row r="10" customFormat="false" ht="12.75" hidden="false" customHeight="false" outlineLevel="0" collapsed="false">
      <c r="A10" s="0"/>
      <c r="B10" s="329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</row>
    <row r="11" customFormat="false" ht="12.75" hidden="false" customHeight="false" outlineLevel="0" collapsed="false">
      <c r="A11" s="316" t="s">
        <v>103</v>
      </c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</row>
    <row r="12" customFormat="false" ht="12.75" hidden="false" customHeight="false" outlineLevel="0" collapsed="false">
      <c r="A12" s="318" t="s">
        <v>327</v>
      </c>
      <c r="B12" s="303" t="n">
        <v>10868257.9971426</v>
      </c>
      <c r="C12" s="303" t="n">
        <v>10420195.4712732</v>
      </c>
      <c r="D12" s="303" t="n">
        <v>10611579.1262598</v>
      </c>
      <c r="E12" s="303" t="n">
        <v>10480221.4070845</v>
      </c>
      <c r="F12" s="303" t="n">
        <v>10507263.3204212</v>
      </c>
      <c r="G12" s="303" t="n">
        <v>10480336.4311605</v>
      </c>
      <c r="H12" s="303" t="n">
        <v>10649941.3702149</v>
      </c>
      <c r="I12" s="303" t="n">
        <v>10780335.5854365</v>
      </c>
      <c r="J12" s="303" t="n">
        <v>11070621.3604715</v>
      </c>
      <c r="K12" s="303" t="n">
        <v>10872305.735035</v>
      </c>
      <c r="L12" s="303" t="n">
        <v>11279326.206049</v>
      </c>
      <c r="M12" s="303" t="n">
        <v>11645617.5731917</v>
      </c>
      <c r="N12" s="303" t="n">
        <v>12139465.7558526</v>
      </c>
      <c r="O12" s="303" t="n">
        <v>12065060.8154897</v>
      </c>
      <c r="P12" s="303" t="n">
        <v>12552520.3556157</v>
      </c>
      <c r="Q12" s="303" t="n">
        <v>12694049.7971302</v>
      </c>
      <c r="R12" s="303" t="n">
        <v>12985718.1912154</v>
      </c>
      <c r="S12" s="303" t="n">
        <v>13359761.5335322</v>
      </c>
      <c r="T12" s="304" t="n">
        <v>0</v>
      </c>
      <c r="U12" s="304" t="n">
        <v>0</v>
      </c>
      <c r="V12" s="304" t="n">
        <v>0</v>
      </c>
      <c r="W12" s="304" t="n">
        <v>0</v>
      </c>
    </row>
    <row r="13" customFormat="false" ht="12.75" hidden="false" customHeight="false" outlineLevel="0" collapsed="false">
      <c r="A13" s="0" t="s">
        <v>328</v>
      </c>
      <c r="B13" s="303" t="n">
        <v>2417112.31572431</v>
      </c>
      <c r="C13" s="303" t="n">
        <v>2438976.53191951</v>
      </c>
      <c r="D13" s="303" t="n">
        <v>2376784.55950343</v>
      </c>
      <c r="E13" s="303" t="n">
        <v>2333810.61076164</v>
      </c>
      <c r="F13" s="303" t="n">
        <v>2311651.19139086</v>
      </c>
      <c r="G13" s="303" t="n">
        <v>2271623.76829203</v>
      </c>
      <c r="H13" s="303" t="n">
        <v>2271446.31381744</v>
      </c>
      <c r="I13" s="303" t="n">
        <v>2256802.61543854</v>
      </c>
      <c r="J13" s="303" t="n">
        <v>2286298.34110543</v>
      </c>
      <c r="K13" s="303" t="n">
        <v>2209763.40504299</v>
      </c>
      <c r="L13" s="303" t="n">
        <v>2244537.0951727</v>
      </c>
      <c r="M13" s="303" t="n">
        <v>2269848.5428561</v>
      </c>
      <c r="N13" s="303" t="n">
        <v>2341611.04594045</v>
      </c>
      <c r="O13" s="303" t="n">
        <v>2256910.87617642</v>
      </c>
      <c r="P13" s="303" t="n">
        <v>2304791.1965029</v>
      </c>
      <c r="Q13" s="303" t="n">
        <v>2281016.21253276</v>
      </c>
      <c r="R13" s="303" t="n">
        <v>2285427.0035907</v>
      </c>
      <c r="S13" s="303" t="n">
        <v>2301776.09567331</v>
      </c>
      <c r="T13" s="304" t="n">
        <v>0</v>
      </c>
      <c r="U13" s="304" t="n">
        <v>0</v>
      </c>
      <c r="V13" s="304" t="n">
        <v>0</v>
      </c>
      <c r="W13" s="304" t="n">
        <v>0</v>
      </c>
    </row>
    <row r="14" customFormat="false" ht="12.75" hidden="false" customHeight="false" outlineLevel="0" collapsed="false">
      <c r="A14" s="318" t="s">
        <v>329</v>
      </c>
      <c r="B14" s="303" t="n">
        <v>1047043.32197818</v>
      </c>
      <c r="C14" s="303" t="n">
        <v>1056514.45056768</v>
      </c>
      <c r="D14" s="303" t="n">
        <v>1029574.16774536</v>
      </c>
      <c r="E14" s="303" t="n">
        <v>1010958.73735911</v>
      </c>
      <c r="F14" s="303" t="n">
        <v>1001359.73282789</v>
      </c>
      <c r="G14" s="303" t="n">
        <v>984020.676724057</v>
      </c>
      <c r="H14" s="303" t="n">
        <v>983943.80709687</v>
      </c>
      <c r="I14" s="303" t="n">
        <v>977600.458259934</v>
      </c>
      <c r="J14" s="303" t="n">
        <v>990377.399730759</v>
      </c>
      <c r="K14" s="303" t="n">
        <v>957224.040169894</v>
      </c>
      <c r="L14" s="303" t="n">
        <v>972287.287249473</v>
      </c>
      <c r="M14" s="303" t="n">
        <v>983251.68559129</v>
      </c>
      <c r="N14" s="303" t="n">
        <v>1014337.72538104</v>
      </c>
      <c r="O14" s="303" t="n">
        <v>977647.354584073</v>
      </c>
      <c r="P14" s="303" t="n">
        <v>998388.124189969</v>
      </c>
      <c r="Q14" s="303" t="n">
        <v>988089.290315298</v>
      </c>
      <c r="R14" s="303" t="n">
        <v>989999.954247546</v>
      </c>
      <c r="S14" s="303" t="n">
        <v>997082.044547671</v>
      </c>
      <c r="T14" s="304" t="n">
        <v>0</v>
      </c>
      <c r="U14" s="304" t="n">
        <v>0</v>
      </c>
      <c r="V14" s="304" t="n">
        <v>0</v>
      </c>
      <c r="W14" s="304" t="n">
        <v>0</v>
      </c>
    </row>
    <row r="15" customFormat="false" ht="12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</row>
    <row r="16" customFormat="false" ht="12.75" hidden="false" customHeight="false" outlineLevel="0" collapsed="false">
      <c r="A16" s="0" t="s">
        <v>331</v>
      </c>
      <c r="B16" s="303" t="n">
        <v>0</v>
      </c>
      <c r="C16" s="303" t="n">
        <v>0</v>
      </c>
      <c r="D16" s="303" t="n">
        <v>-2.56113708019257E-009</v>
      </c>
      <c r="E16" s="303" t="n">
        <v>2.3283064365387E-009</v>
      </c>
      <c r="F16" s="303" t="n">
        <v>0</v>
      </c>
      <c r="G16" s="303" t="n">
        <v>0</v>
      </c>
      <c r="H16" s="303" t="n">
        <v>1.86264514923096E-009</v>
      </c>
      <c r="I16" s="303" t="n">
        <v>1.39698386192322E-009</v>
      </c>
      <c r="J16" s="303" t="n">
        <v>1.51339918375015E-009</v>
      </c>
      <c r="K16" s="303" t="n">
        <v>-1.28056854009628E-009</v>
      </c>
      <c r="L16" s="303" t="n">
        <v>-9.31322574615479E-010</v>
      </c>
      <c r="M16" s="303" t="n">
        <v>0</v>
      </c>
      <c r="N16" s="303" t="n">
        <v>2.44472175836563E-009</v>
      </c>
      <c r="O16" s="303" t="n">
        <v>0</v>
      </c>
      <c r="P16" s="303" t="n">
        <v>2.56113708019257E-009</v>
      </c>
      <c r="Q16" s="303" t="n">
        <v>-1.16415321826935E-009</v>
      </c>
      <c r="R16" s="303" t="n">
        <v>1.39698386192322E-009</v>
      </c>
      <c r="S16" s="303" t="n">
        <v>0</v>
      </c>
      <c r="T16" s="304" t="n">
        <v>0</v>
      </c>
      <c r="U16" s="304" t="n">
        <v>0</v>
      </c>
      <c r="V16" s="304" t="n">
        <v>0</v>
      </c>
      <c r="W16" s="304" t="n">
        <v>0</v>
      </c>
    </row>
    <row r="17" customFormat="false" ht="12.75" hidden="false" customHeight="false" outlineLevel="0" collapsed="false">
      <c r="A17" s="0"/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</row>
    <row r="18" customFormat="false" ht="12.75" hidden="false" customHeight="false" outlineLevel="0" collapsed="false">
      <c r="A18" s="0" t="s">
        <v>330</v>
      </c>
      <c r="B18" s="303" t="n">
        <v>17431106.5424861</v>
      </c>
      <c r="C18" s="303" t="n">
        <v>15854941.030911</v>
      </c>
      <c r="D18" s="303" t="n">
        <v>14942349.6744365</v>
      </c>
      <c r="E18" s="303" t="n">
        <v>14457181.2714127</v>
      </c>
      <c r="F18" s="303" t="n">
        <v>14702386.1236781</v>
      </c>
      <c r="G18" s="303" t="n">
        <v>15654794.4677686</v>
      </c>
      <c r="H18" s="303" t="n">
        <v>15936999.4159294</v>
      </c>
      <c r="I18" s="303" t="n">
        <v>16126032.7423842</v>
      </c>
      <c r="J18" s="303" t="n">
        <v>16614425.0848638</v>
      </c>
      <c r="K18" s="303" t="n">
        <v>16779877.8509487</v>
      </c>
      <c r="L18" s="303" t="n">
        <v>16955188.9295201</v>
      </c>
      <c r="M18" s="303" t="n">
        <v>17200567.2339562</v>
      </c>
      <c r="N18" s="303" t="n">
        <v>17300139.1737849</v>
      </c>
      <c r="O18" s="303" t="n">
        <v>17297236.4920535</v>
      </c>
      <c r="P18" s="303" t="n">
        <v>17627130.1850314</v>
      </c>
      <c r="Q18" s="303" t="n">
        <v>17417319.8499342</v>
      </c>
      <c r="R18" s="303" t="n">
        <v>17483359.340759</v>
      </c>
      <c r="S18" s="303" t="n">
        <f aca="false">S8</f>
        <v>10656102.9552419</v>
      </c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</row>
    <row r="20" customFormat="false" ht="12.75" hidden="false" customHeight="false" outlineLevel="0" collapsed="false">
      <c r="A20" s="304" t="s">
        <v>332</v>
      </c>
      <c r="B20" s="319" t="n">
        <f aca="false">NPV(0.14,B18:$S$18)</f>
        <v>103558023.702547</v>
      </c>
      <c r="C20" s="319" t="n">
        <f aca="false">NPV(0.14,C18:$S$18)</f>
        <v>100625040.478418</v>
      </c>
      <c r="D20" s="319" t="n">
        <f aca="false">NPV(0.14,D18:$S$18)</f>
        <v>98857605.1144852</v>
      </c>
      <c r="E20" s="319" t="n">
        <f aca="false">NPV(0.14,E18:$S$18)</f>
        <v>97755320.1560766</v>
      </c>
      <c r="F20" s="319" t="n">
        <f aca="false">NPV(0.14,F18:$S$18)</f>
        <v>96983883.7065147</v>
      </c>
      <c r="G20" s="319" t="n">
        <f aca="false">NPV(0.14,G18:$S$18)</f>
        <v>95859241.3017486</v>
      </c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</row>
    <row r="21" customFormat="false" ht="12.75" hidden="false" customHeight="false" outlineLevel="0" collapsed="false">
      <c r="B21" s="319"/>
      <c r="C21" s="319"/>
      <c r="D21" s="319"/>
      <c r="E21" s="319"/>
      <c r="F21" s="319"/>
      <c r="G21" s="319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</row>
    <row r="22" customFormat="false" ht="12.75" hidden="false" customHeight="false" outlineLevel="0" collapsed="false">
      <c r="A22" s="322" t="s">
        <v>333</v>
      </c>
      <c r="B22" s="319"/>
      <c r="C22" s="319"/>
      <c r="D22" s="319"/>
      <c r="E22" s="319"/>
      <c r="F22" s="319"/>
      <c r="G22" s="319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</row>
    <row r="23" customFormat="false" ht="12.75" hidden="false" customHeight="false" outlineLevel="0" collapsed="false">
      <c r="A23" s="16" t="s">
        <v>105</v>
      </c>
      <c r="B23" s="147" t="n">
        <v>1500</v>
      </c>
      <c r="C23" s="319" t="n">
        <f aca="false">B23*(1+Model!I$28)</f>
        <v>1546.54405692659</v>
      </c>
      <c r="D23" s="319" t="n">
        <f aca="false">C23*(1+Model!J28)</f>
        <v>1592.98188345373</v>
      </c>
      <c r="E23" s="319" t="n">
        <f aca="false">D23*(1+Model!K28)</f>
        <v>1639.21720533258</v>
      </c>
      <c r="F23" s="319" t="n">
        <f aca="false">E23*(1+Model!L28)</f>
        <v>1685.97291322914</v>
      </c>
      <c r="G23" s="319" t="n">
        <f aca="false">F23*(1+Model!M28)</f>
        <v>1733.21727886246</v>
      </c>
      <c r="H23" s="319" t="n">
        <f aca="false">G23*(1+Model!N28)</f>
        <v>1780.39577519664</v>
      </c>
      <c r="I23" s="319" t="n">
        <f aca="false">H23*(1+Model!O28)</f>
        <v>1827.96628907168</v>
      </c>
      <c r="J23" s="319" t="n">
        <f aca="false">I23*(1+Model!P28)</f>
        <v>1875.89185247001</v>
      </c>
      <c r="K23" s="319" t="n">
        <f aca="false">J23*(1+Model!Q28)</f>
        <v>1924.32195049319</v>
      </c>
      <c r="L23" s="319" t="n">
        <f aca="false">K23*(1+Model!R28)</f>
        <v>1973.23100901591</v>
      </c>
      <c r="M23" s="319" t="n">
        <f aca="false">L23*(1+Model!S28)</f>
        <v>2022.98767772929</v>
      </c>
      <c r="N23" s="319" t="n">
        <f aca="false">M23*(1+Model!T28)</f>
        <v>2073.59356200387</v>
      </c>
      <c r="O23" s="319" t="n">
        <f aca="false">N23*(1+Model!U28)</f>
        <v>2126.08875028927</v>
      </c>
      <c r="P23" s="319" t="n">
        <f aca="false">O23*(1+Model!V28)</f>
        <v>2180.76514470913</v>
      </c>
      <c r="Q23" s="319" t="n">
        <f aca="false">P23*(1+Model!W28)</f>
        <v>2237.72182760721</v>
      </c>
      <c r="R23" s="319" t="n">
        <f aca="false">Q23*(1+Model!X28)</f>
        <v>2297.51166688433</v>
      </c>
      <c r="S23" s="319" t="n">
        <f aca="false">R23*(1+Model!Y28)</f>
        <v>2359.82009217692</v>
      </c>
    </row>
    <row r="24" customFormat="false" ht="12.75" hidden="false" customHeight="false" outlineLevel="0" collapsed="false">
      <c r="A24" s="16" t="s">
        <v>107</v>
      </c>
      <c r="B24" s="147" t="n">
        <v>964</v>
      </c>
      <c r="C24" s="319" t="n">
        <f aca="false">B24*(1+Model!I$28)</f>
        <v>993.912313918153</v>
      </c>
      <c r="D24" s="319" t="n">
        <f aca="false">C24*(1+Model!J$28)</f>
        <v>1023.75635709959</v>
      </c>
      <c r="E24" s="319" t="n">
        <f aca="false">D24*(1+Model!K$28)</f>
        <v>1053.47025729374</v>
      </c>
      <c r="F24" s="319" t="n">
        <f aca="false">E24*(1+Model!L$28)</f>
        <v>1083.51859223526</v>
      </c>
      <c r="G24" s="319" t="n">
        <f aca="false">F24*(1+Model!M$28)</f>
        <v>1113.88097121561</v>
      </c>
      <c r="H24" s="319" t="n">
        <f aca="false">G24*(1+Model!N$28)</f>
        <v>1144.20101819304</v>
      </c>
      <c r="I24" s="319" t="n">
        <f aca="false">H24*(1+Model!O$28)</f>
        <v>1174.77300177673</v>
      </c>
      <c r="J24" s="319" t="n">
        <f aca="false">I24*(1+Model!P$28)</f>
        <v>1205.57316385406</v>
      </c>
      <c r="K24" s="319" t="n">
        <f aca="false">J24*(1+Model!Q$28)</f>
        <v>1236.69757351696</v>
      </c>
      <c r="L24" s="319" t="n">
        <f aca="false">K24*(1+Model!R$28)</f>
        <v>1268.12979512756</v>
      </c>
      <c r="M24" s="319" t="n">
        <f aca="false">L24*(1+Model!S$28)</f>
        <v>1300.10674755402</v>
      </c>
      <c r="N24" s="319" t="n">
        <f aca="false">M24*(1+Model!T$28)</f>
        <v>1332.62946251449</v>
      </c>
      <c r="O24" s="319" t="n">
        <f aca="false">N24*(1+Model!U$28)</f>
        <v>1366.3663701859</v>
      </c>
      <c r="P24" s="319" t="n">
        <f aca="false">O24*(1+Model!V$28)</f>
        <v>1401.50506633307</v>
      </c>
      <c r="Q24" s="319" t="n">
        <f aca="false">P24*(1+Model!W$28)</f>
        <v>1438.10922787556</v>
      </c>
      <c r="R24" s="319" t="n">
        <f aca="false">Q24*(1+Model!X$28)</f>
        <v>1476.53416458433</v>
      </c>
      <c r="S24" s="319" t="n">
        <f aca="false">R24*(1+Model!Y$28)</f>
        <v>1516.57771257237</v>
      </c>
    </row>
    <row r="25" customFormat="false" ht="12.75" hidden="false" customHeight="false" outlineLevel="0" collapsed="false">
      <c r="A25" s="16" t="s">
        <v>108</v>
      </c>
      <c r="B25" s="147" t="n">
        <f aca="false">Model!I143</f>
        <v>706</v>
      </c>
      <c r="C25" s="319" t="n">
        <f aca="false">B25*(1+Model!I$28)</f>
        <v>727.90673612678</v>
      </c>
      <c r="D25" s="319" t="n">
        <f aca="false">C25*(1+Model!J$28)</f>
        <v>749.763473145554</v>
      </c>
      <c r="E25" s="319" t="n">
        <f aca="false">D25*(1+Model!K$28)</f>
        <v>771.524897976536</v>
      </c>
      <c r="F25" s="319" t="n">
        <f aca="false">E25*(1+Model!L$28)</f>
        <v>793.531251159849</v>
      </c>
      <c r="G25" s="319" t="n">
        <f aca="false">F25*(1+Model!M$28)</f>
        <v>815.767599251265</v>
      </c>
      <c r="H25" s="319" t="n">
        <f aca="false">G25*(1+Model!N$28)</f>
        <v>837.972944859217</v>
      </c>
      <c r="I25" s="319" t="n">
        <f aca="false">H25*(1+Model!O$28)</f>
        <v>860.362800056405</v>
      </c>
      <c r="J25" s="319" t="n">
        <f aca="false">I25*(1+Model!P$28)</f>
        <v>882.919765229219</v>
      </c>
      <c r="K25" s="319" t="n">
        <f aca="false">J25*(1+Model!Q$28)</f>
        <v>905.714198032127</v>
      </c>
      <c r="L25" s="319" t="n">
        <f aca="false">K25*(1+Model!R$28)</f>
        <v>928.734061576822</v>
      </c>
      <c r="M25" s="319" t="n">
        <f aca="false">L25*(1+Model!S$28)</f>
        <v>952.152866984584</v>
      </c>
      <c r="N25" s="319" t="n">
        <f aca="false">M25*(1+Model!T$28)</f>
        <v>975.971369849824</v>
      </c>
      <c r="O25" s="319" t="n">
        <f aca="false">N25*(1+Model!U$28)</f>
        <v>1000.67910513615</v>
      </c>
      <c r="P25" s="319" t="n">
        <f aca="false">O25*(1+Model!V$28)</f>
        <v>1026.4134614431</v>
      </c>
      <c r="Q25" s="319" t="n">
        <f aca="false">P25*(1+Model!W$28)</f>
        <v>1053.22107352712</v>
      </c>
      <c r="R25" s="319" t="n">
        <f aca="false">Q25*(1+Model!X$28)</f>
        <v>1081.36215788023</v>
      </c>
      <c r="S25" s="319" t="n">
        <f aca="false">R25*(1+Model!Y$28)</f>
        <v>1110.68865671794</v>
      </c>
    </row>
    <row r="26" customFormat="false" ht="12.75" hidden="false" customHeight="false" outlineLevel="0" collapsed="false">
      <c r="A26" s="16" t="s">
        <v>109</v>
      </c>
      <c r="B26" s="147" t="n">
        <f aca="false">IF(B35=1,3936,1960)</f>
        <v>1960</v>
      </c>
      <c r="C26" s="319" t="n">
        <f aca="false">B26*(1+Model!I$28)</f>
        <v>2020.81756771741</v>
      </c>
      <c r="D26" s="319" t="n">
        <f aca="false">C26*(1+Model!J$28)</f>
        <v>2081.49632771287</v>
      </c>
      <c r="E26" s="319" t="n">
        <f aca="false">D26*(1+Model!K$28)</f>
        <v>2141.91048163458</v>
      </c>
      <c r="F26" s="319" t="n">
        <f aca="false">E26*(1+Model!L$28)</f>
        <v>2203.00460661941</v>
      </c>
      <c r="G26" s="319" t="n">
        <f aca="false">F26*(1+Model!M$28)</f>
        <v>2264.73724438028</v>
      </c>
      <c r="H26" s="319" t="n">
        <f aca="false">G26*(1+Model!N$28)</f>
        <v>2326.38381292361</v>
      </c>
      <c r="I26" s="319" t="n">
        <f aca="false">H26*(1+Model!O$28)</f>
        <v>2388.54261772033</v>
      </c>
      <c r="J26" s="319" t="n">
        <f aca="false">I26*(1+Model!P$28)</f>
        <v>2451.16535389415</v>
      </c>
      <c r="K26" s="319" t="n">
        <f aca="false">J26*(1+Model!Q$28)</f>
        <v>2514.44734864443</v>
      </c>
      <c r="L26" s="319" t="n">
        <f aca="false">K26*(1+Model!R$28)</f>
        <v>2578.35518511412</v>
      </c>
      <c r="M26" s="319" t="n">
        <f aca="false">L26*(1+Model!S$28)</f>
        <v>2643.37056556627</v>
      </c>
      <c r="N26" s="319" t="n">
        <f aca="false">M26*(1+Model!T$28)</f>
        <v>2709.49558768506</v>
      </c>
      <c r="O26" s="319" t="n">
        <f aca="false">N26*(1+Model!U$28)</f>
        <v>2778.08930037798</v>
      </c>
      <c r="P26" s="319" t="n">
        <f aca="false">O26*(1+Model!V$28)</f>
        <v>2849.53312241993</v>
      </c>
      <c r="Q26" s="319" t="n">
        <f aca="false">P26*(1+Model!W$28)</f>
        <v>2923.95652140675</v>
      </c>
      <c r="R26" s="319" t="n">
        <f aca="false">Q26*(1+Model!X$28)</f>
        <v>3002.08191139553</v>
      </c>
      <c r="S26" s="319" t="n">
        <f aca="false">R26*(1+Model!Y$28)</f>
        <v>3083.49825377785</v>
      </c>
    </row>
    <row r="27" customFormat="false" ht="12.75" hidden="false" customHeight="false" outlineLevel="0" collapsed="false">
      <c r="A27" s="16" t="s">
        <v>110</v>
      </c>
      <c r="B27" s="147" t="n">
        <v>0</v>
      </c>
      <c r="C27" s="319" t="n">
        <f aca="false">B27*(1+Model!I$28)</f>
        <v>0</v>
      </c>
      <c r="D27" s="319" t="n">
        <f aca="false">C27*(1+Model!J$28)</f>
        <v>0</v>
      </c>
      <c r="E27" s="319" t="n">
        <f aca="false">D27*(1+Model!K$28)</f>
        <v>0</v>
      </c>
      <c r="F27" s="319" t="n">
        <f aca="false">E27*(1+Model!L$28)</f>
        <v>0</v>
      </c>
      <c r="G27" s="319" t="n">
        <f aca="false">F27*(1+Model!M$28)</f>
        <v>0</v>
      </c>
      <c r="H27" s="319" t="n">
        <f aca="false">G27*(1+Model!N$28)</f>
        <v>0</v>
      </c>
      <c r="I27" s="319" t="n">
        <f aca="false">H27*(1+Model!O$28)</f>
        <v>0</v>
      </c>
      <c r="J27" s="319" t="n">
        <f aca="false">I27*(1+Model!P$28)</f>
        <v>0</v>
      </c>
      <c r="K27" s="319" t="n">
        <f aca="false">J27*(1+Model!Q$28)</f>
        <v>0</v>
      </c>
      <c r="L27" s="319" t="n">
        <f aca="false">K27*(1+Model!R$28)</f>
        <v>0</v>
      </c>
      <c r="M27" s="319" t="n">
        <f aca="false">L27*(1+Model!S$28)</f>
        <v>0</v>
      </c>
      <c r="N27" s="319" t="n">
        <f aca="false">M27*(1+Model!T$28)</f>
        <v>0</v>
      </c>
      <c r="O27" s="319" t="n">
        <f aca="false">N27*(1+Model!U$28)</f>
        <v>0</v>
      </c>
      <c r="P27" s="319" t="n">
        <f aca="false">O27*(1+Model!V$28)</f>
        <v>0</v>
      </c>
      <c r="Q27" s="319" t="n">
        <f aca="false">P27*(1+Model!W$28)</f>
        <v>0</v>
      </c>
      <c r="R27" s="319" t="n">
        <f aca="false">Q27*(1+Model!X$28)</f>
        <v>0</v>
      </c>
      <c r="S27" s="319" t="n">
        <f aca="false">R27*(1+Model!Y$28)</f>
        <v>0</v>
      </c>
    </row>
    <row r="28" customFormat="false" ht="12.75" hidden="false" customHeight="false" outlineLevel="0" collapsed="false">
      <c r="A28" s="16" t="s">
        <v>111</v>
      </c>
      <c r="B28" s="153" t="n">
        <v>0</v>
      </c>
      <c r="C28" s="324" t="n">
        <f aca="false">B28*(1+Model!I$28)</f>
        <v>0</v>
      </c>
      <c r="D28" s="324" t="n">
        <f aca="false">C28*(1+Model!J$28)</f>
        <v>0</v>
      </c>
      <c r="E28" s="324" t="n">
        <f aca="false">D28*(1+Model!K$28)</f>
        <v>0</v>
      </c>
      <c r="F28" s="324" t="n">
        <f aca="false">E28*(1+Model!L$28)</f>
        <v>0</v>
      </c>
      <c r="G28" s="324" t="n">
        <f aca="false">F28*(1+Model!M$28)</f>
        <v>0</v>
      </c>
      <c r="H28" s="324" t="n">
        <f aca="false">G28*(1+Model!N$28)</f>
        <v>0</v>
      </c>
      <c r="I28" s="324" t="n">
        <f aca="false">H28*(1+Model!O$28)</f>
        <v>0</v>
      </c>
      <c r="J28" s="324" t="n">
        <f aca="false">I28*(1+Model!P$28)</f>
        <v>0</v>
      </c>
      <c r="K28" s="324" t="n">
        <f aca="false">J28*(1+Model!Q$28)</f>
        <v>0</v>
      </c>
      <c r="L28" s="324" t="n">
        <f aca="false">K28*(1+Model!R$28)</f>
        <v>0</v>
      </c>
      <c r="M28" s="324" t="n">
        <f aca="false">L28*(1+Model!S$28)</f>
        <v>0</v>
      </c>
      <c r="N28" s="324" t="n">
        <f aca="false">M28*(1+Model!T$28)</f>
        <v>0</v>
      </c>
      <c r="O28" s="324" t="n">
        <f aca="false">N28*(1+Model!U$28)</f>
        <v>0</v>
      </c>
      <c r="P28" s="324" t="n">
        <f aca="false">O28*(1+Model!V$28)</f>
        <v>0</v>
      </c>
      <c r="Q28" s="324" t="n">
        <f aca="false">P28*(1+Model!W$28)</f>
        <v>0</v>
      </c>
      <c r="R28" s="324" t="n">
        <f aca="false">Q28*(1+Model!X$28)</f>
        <v>0</v>
      </c>
      <c r="S28" s="324" t="n">
        <f aca="false">R28*(1+Model!Y$28)</f>
        <v>0</v>
      </c>
    </row>
    <row r="29" customFormat="false" ht="12.75" hidden="false" customHeight="false" outlineLevel="0" collapsed="false">
      <c r="A29" s="304" t="s">
        <v>334</v>
      </c>
      <c r="B29" s="325" t="n">
        <f aca="false">SUM(B23:B28)</f>
        <v>5130</v>
      </c>
      <c r="C29" s="325" t="n">
        <f aca="false">SUM(C23:C28)</f>
        <v>5289.18067468892</v>
      </c>
      <c r="D29" s="325" t="n">
        <f aca="false">SUM(D23:D28)</f>
        <v>5447.99804141174</v>
      </c>
      <c r="E29" s="325" t="n">
        <f aca="false">SUM(E23:E28)</f>
        <v>5606.12284223744</v>
      </c>
      <c r="F29" s="325" t="n">
        <f aca="false">SUM(F23:F28)</f>
        <v>5766.02736324367</v>
      </c>
      <c r="G29" s="325" t="n">
        <f aca="false">SUM(G23:G28)</f>
        <v>5927.60309370962</v>
      </c>
      <c r="H29" s="325" t="n">
        <f aca="false">SUM(H23:H28)</f>
        <v>6088.9535511725</v>
      </c>
      <c r="I29" s="325" t="n">
        <f aca="false">SUM(I23:I28)</f>
        <v>6251.64470862515</v>
      </c>
      <c r="J29" s="325" t="n">
        <f aca="false">SUM(J23:J28)</f>
        <v>6415.55013544744</v>
      </c>
      <c r="K29" s="325" t="n">
        <f aca="false">SUM(K23:K28)</f>
        <v>6581.1810706867</v>
      </c>
      <c r="L29" s="325" t="n">
        <f aca="false">SUM(L23:L28)</f>
        <v>6748.45005083441</v>
      </c>
      <c r="M29" s="325" t="n">
        <f aca="false">SUM(M23:M28)</f>
        <v>6918.61785783416</v>
      </c>
      <c r="N29" s="325" t="n">
        <f aca="false">SUM(N23:N28)</f>
        <v>7091.68998205325</v>
      </c>
      <c r="O29" s="325" t="n">
        <f aca="false">SUM(O23:O28)</f>
        <v>7271.22352598929</v>
      </c>
      <c r="P29" s="325" t="n">
        <f aca="false">SUM(P23:P28)</f>
        <v>7458.21679490522</v>
      </c>
      <c r="Q29" s="325" t="n">
        <f aca="false">SUM(Q23:Q28)</f>
        <v>7653.00865041665</v>
      </c>
      <c r="R29" s="325" t="n">
        <f aca="false">SUM(R23:R28)</f>
        <v>7857.48990074441</v>
      </c>
      <c r="S29" s="325" t="n">
        <f aca="false">SUM(S23:S28)</f>
        <v>8070.58471524508</v>
      </c>
    </row>
    <row r="31" customFormat="false" ht="12.75" hidden="false" customHeight="false" outlineLevel="0" collapsed="false">
      <c r="A31" s="304" t="s">
        <v>114</v>
      </c>
      <c r="B31" s="319" t="n">
        <v>0</v>
      </c>
      <c r="C31" s="319" t="n">
        <f aca="false">C18-(C29*1000)</f>
        <v>10565760.356222</v>
      </c>
      <c r="D31" s="319" t="n">
        <f aca="false">D18-(D29*1000)</f>
        <v>9494351.63302476</v>
      </c>
      <c r="E31" s="319" t="n">
        <f aca="false">E18-(E29*1000)</f>
        <v>8851058.42917522</v>
      </c>
      <c r="F31" s="319" t="n">
        <f aca="false">F18-(F29*1000)</f>
        <v>8936358.76043448</v>
      </c>
      <c r="G31" s="319" t="n">
        <f aca="false">G18-(G29*1000)</f>
        <v>9727191.37405899</v>
      </c>
      <c r="H31" s="319" t="n">
        <f aca="false">H18-(H29*1000)</f>
        <v>9848045.86475687</v>
      </c>
      <c r="I31" s="319" t="n">
        <f aca="false">I18-(I29*1000)</f>
        <v>9874388.03375907</v>
      </c>
      <c r="J31" s="319" t="n">
        <f aca="false">J18-(J29*1000)</f>
        <v>10198874.9494164</v>
      </c>
      <c r="K31" s="319" t="n">
        <f aca="false">K18-(K29*1000)</f>
        <v>10198696.780262</v>
      </c>
      <c r="L31" s="319" t="n">
        <f aca="false">L18-(L29*1000)</f>
        <v>10206738.8786857</v>
      </c>
      <c r="M31" s="319" t="n">
        <f aca="false">M18-(M29*1000)</f>
        <v>10281949.3761221</v>
      </c>
      <c r="N31" s="319" t="n">
        <f aca="false">N18-(N29*1000)</f>
        <v>10208449.1917316</v>
      </c>
      <c r="O31" s="319" t="n">
        <f aca="false">O18-(O29*1000)</f>
        <v>10026012.9660642</v>
      </c>
      <c r="P31" s="319" t="n">
        <f aca="false">P18-(P29*1000)</f>
        <v>10168913.3901261</v>
      </c>
      <c r="Q31" s="319" t="n">
        <f aca="false">Q18-(Q29*1000)</f>
        <v>9764311.19951757</v>
      </c>
      <c r="R31" s="319" t="n">
        <f aca="false">R18-(R29*1000)</f>
        <v>9625869.44001457</v>
      </c>
      <c r="S31" s="319" t="n">
        <f aca="false">S18-(S29*1000)</f>
        <v>2585518.23999686</v>
      </c>
    </row>
    <row r="32" customFormat="false" ht="12.75" hidden="false" customHeight="false" outlineLevel="0" collapsed="false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</row>
    <row r="33" customFormat="false" ht="13.5" hidden="false" customHeight="false" outlineLevel="0" collapsed="false">
      <c r="A33" s="304" t="s">
        <v>335</v>
      </c>
      <c r="B33" s="319" t="n">
        <f aca="false">B20/300000</f>
        <v>345.193412341824</v>
      </c>
    </row>
    <row r="34" customFormat="false" ht="13.5" hidden="false" customHeight="false" outlineLevel="0" collapsed="false">
      <c r="A34" s="304" t="s">
        <v>336</v>
      </c>
      <c r="B34" s="330" t="n">
        <f aca="false">NPV(0.14,B$31:$S31)/1000*0.5</f>
        <v>27026.0600597341</v>
      </c>
    </row>
    <row r="35" customFormat="false" ht="13.5" hidden="false" customHeight="false" outlineLevel="0" collapsed="false">
      <c r="A35" s="304" t="s">
        <v>338</v>
      </c>
      <c r="B35" s="331" t="n">
        <v>2</v>
      </c>
    </row>
    <row r="36" customFormat="false" ht="12.75" hidden="false" customHeight="false" outlineLevel="0" collapsed="false">
      <c r="A36" s="304" t="s">
        <v>339</v>
      </c>
    </row>
    <row r="37" customFormat="false" ht="12.75" hidden="false" customHeight="false" outlineLevel="0" collapsed="false">
      <c r="A37" s="304" t="s">
        <v>340</v>
      </c>
    </row>
    <row r="40" customFormat="false" ht="12.75" hidden="false" customHeight="false" outlineLevel="0" collapsed="false">
      <c r="A40" s="328" t="s">
        <v>241</v>
      </c>
    </row>
    <row r="41" customFormat="false" ht="12.75" hidden="false" customHeight="false" outlineLevel="0" collapsed="false">
      <c r="A41" s="0" t="s">
        <v>47</v>
      </c>
    </row>
    <row r="42" customFormat="false" ht="12.75" hidden="false" customHeight="false" outlineLevel="0" collapsed="false">
      <c r="A42" s="0" t="s">
        <v>297</v>
      </c>
    </row>
    <row r="43" customFormat="false" ht="12.75" hidden="false" customHeight="false" outlineLevel="0" collapsed="false">
      <c r="A43" s="0" t="s">
        <v>298</v>
      </c>
    </row>
    <row r="44" customFormat="false" ht="12.75" hidden="false" customHeight="false" outlineLevel="0" collapsed="false">
      <c r="A44" s="0" t="s">
        <v>299</v>
      </c>
    </row>
    <row r="45" customFormat="false" ht="12.75" hidden="false" customHeight="false" outlineLevel="0" collapsed="false">
      <c r="A45" s="0" t="s">
        <v>300</v>
      </c>
    </row>
    <row r="46" customFormat="false" ht="12.75" hidden="false" customHeight="false" outlineLevel="0" collapsed="false">
      <c r="A46" s="0" t="s">
        <v>301</v>
      </c>
    </row>
    <row r="47" customFormat="false" ht="12.75" hidden="false" customHeight="false" outlineLevel="0" collapsed="false">
      <c r="A47" s="0" t="s">
        <v>302</v>
      </c>
    </row>
    <row r="48" customFormat="false" ht="12.75" hidden="false" customHeight="false" outlineLevel="0" collapsed="false">
      <c r="A48" s="0" t="s">
        <v>303</v>
      </c>
    </row>
    <row r="49" customFormat="false" ht="12.75" hidden="false" customHeight="false" outlineLevel="0" collapsed="false">
      <c r="A49" s="0" t="s">
        <v>304</v>
      </c>
    </row>
    <row r="50" customFormat="false" ht="12.75" hidden="false" customHeight="false" outlineLevel="0" collapsed="false">
      <c r="A50" s="304" t="s">
        <v>3</v>
      </c>
    </row>
    <row r="51" customFormat="false" ht="12.75" hidden="false" customHeight="false" outlineLevel="0" collapsed="false">
      <c r="A51" s="304" t="s">
        <v>3</v>
      </c>
    </row>
    <row r="52" customFormat="false" ht="12.75" hidden="false" customHeight="false" outlineLevel="0" collapsed="false">
      <c r="A52" s="304" t="s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13"/>
  <sheetViews>
    <sheetView showFormulas="false" showGridLines="false" showRowColHeaders="true" showZeros="true" rightToLeft="false" tabSelected="true" showOutlineSymbols="true" defaultGridColor="true" view="normal" topLeftCell="A38" colorId="64" zoomScale="100" zoomScaleNormal="100" zoomScalePageLayoutView="100" workbookViewId="0">
      <selection pane="topLeft" activeCell="C54" activeCellId="0" sqref="C54:H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3.7"/>
    <col collapsed="false" customWidth="true" hidden="false" outlineLevel="0" max="3" min="3" style="0" width="13.28"/>
    <col collapsed="false" customWidth="true" hidden="false" outlineLevel="0" max="10" min="4" style="0" width="13.7"/>
  </cols>
  <sheetData>
    <row r="1" customFormat="false" ht="18" hidden="false" customHeight="false" outlineLevel="0" collapsed="false">
      <c r="A1" s="332" t="s">
        <v>341</v>
      </c>
    </row>
    <row r="4" customFormat="false" ht="18" hidden="false" customHeight="false" outlineLevel="0" collapsed="false">
      <c r="A4" s="333" t="s">
        <v>342</v>
      </c>
    </row>
    <row r="5" customFormat="false" ht="13.5" hidden="false" customHeight="false" outlineLevel="0" collapsed="false"/>
    <row r="6" customFormat="false" ht="13.5" hidden="false" customHeight="false" outlineLevel="0" collapsed="false">
      <c r="B6" s="334" t="n">
        <v>37256</v>
      </c>
      <c r="C6" s="335" t="s">
        <v>22</v>
      </c>
      <c r="D6" s="336" t="s">
        <v>130</v>
      </c>
      <c r="E6" s="337" t="s">
        <v>131</v>
      </c>
    </row>
    <row r="7" customFormat="false" ht="13.5" hidden="false" customHeight="false" outlineLevel="0" collapsed="false">
      <c r="B7" s="338" t="n">
        <v>0.12</v>
      </c>
      <c r="C7" s="339" t="n">
        <f aca="false">Model!J233</f>
        <v>152476.401238051</v>
      </c>
      <c r="D7" s="339" t="n">
        <f aca="false">Model!K233</f>
        <v>319440</v>
      </c>
      <c r="E7" s="339" t="n">
        <f aca="false">Model!L233</f>
        <v>471916.401238051</v>
      </c>
    </row>
    <row r="8" customFormat="false" ht="13.5" hidden="false" customHeight="false" outlineLevel="0" collapsed="false">
      <c r="B8" s="338" t="n">
        <v>0.11</v>
      </c>
      <c r="C8" s="339" t="n">
        <f aca="false">Model!J234</f>
        <v>162085.770083557</v>
      </c>
      <c r="D8" s="339" t="n">
        <f aca="false">Model!K234</f>
        <v>319440</v>
      </c>
      <c r="E8" s="339" t="n">
        <f aca="false">Model!L234</f>
        <v>481525.770083557</v>
      </c>
    </row>
    <row r="9" customFormat="false" ht="13.5" hidden="false" customHeight="false" outlineLevel="0" collapsed="false">
      <c r="B9" s="340" t="n">
        <v>0.1</v>
      </c>
      <c r="C9" s="339" t="n">
        <f aca="false">Model!J235</f>
        <v>172691.728253261</v>
      </c>
      <c r="D9" s="339" t="n">
        <f aca="false">Model!K235</f>
        <v>319440</v>
      </c>
      <c r="E9" s="339" t="n">
        <f aca="false">Model!L235</f>
        <v>492131.728253261</v>
      </c>
    </row>
    <row r="11" customFormat="false" ht="12.75" hidden="false" customHeight="false" outlineLevel="0" collapsed="false">
      <c r="A11" s="297" t="s">
        <v>241</v>
      </c>
    </row>
    <row r="12" customFormat="false" ht="12.75" hidden="false" customHeight="false" outlineLevel="0" collapsed="false">
      <c r="A12" s="0" t="s">
        <v>343</v>
      </c>
    </row>
    <row r="13" customFormat="false" ht="12.75" hidden="false" customHeight="false" outlineLevel="0" collapsed="false">
      <c r="A13" s="0" t="s">
        <v>344</v>
      </c>
    </row>
    <row r="14" customFormat="false" ht="12.75" hidden="false" customHeight="false" outlineLevel="0" collapsed="false">
      <c r="A14" s="0" t="s">
        <v>345</v>
      </c>
    </row>
    <row r="15" customFormat="false" ht="12.75" hidden="false" customHeight="false" outlineLevel="0" collapsed="false">
      <c r="A15" s="341"/>
      <c r="B15" s="341"/>
      <c r="C15" s="341"/>
      <c r="D15" s="341"/>
      <c r="E15" s="341"/>
      <c r="F15" s="341"/>
      <c r="G15" s="341"/>
      <c r="H15" s="341"/>
      <c r="I15" s="341"/>
      <c r="J15" s="341"/>
    </row>
    <row r="16" customFormat="false" ht="18" hidden="false" customHeight="false" outlineLevel="0" collapsed="false">
      <c r="A16" s="333" t="s">
        <v>175</v>
      </c>
    </row>
    <row r="18" customFormat="false" ht="13.5" hidden="false" customHeight="false" outlineLevel="0" collapsed="false">
      <c r="E18" s="342" t="n">
        <v>36891</v>
      </c>
      <c r="F18" s="342" t="n">
        <v>37256</v>
      </c>
      <c r="G18" s="342" t="n">
        <v>37621</v>
      </c>
    </row>
    <row r="19" customFormat="false" ht="12.75" hidden="false" customHeight="false" outlineLevel="0" collapsed="false">
      <c r="A19" s="297" t="s">
        <v>8</v>
      </c>
      <c r="B19" s="297"/>
      <c r="C19" s="297"/>
      <c r="D19" s="297"/>
      <c r="E19" s="309" t="n">
        <f aca="false">Model!I449</f>
        <v>789248.972239646</v>
      </c>
      <c r="F19" s="309" t="n">
        <f aca="false">Model!J449</f>
        <v>768750.098579269</v>
      </c>
      <c r="G19" s="309" t="n">
        <f aca="false">Model!K449</f>
        <v>737857.50161013</v>
      </c>
    </row>
    <row r="20" customFormat="false" ht="12.75" hidden="false" customHeight="false" outlineLevel="0" collapsed="false">
      <c r="A20" s="297"/>
      <c r="B20" s="297"/>
      <c r="C20" s="297"/>
      <c r="D20" s="297"/>
      <c r="E20" s="309"/>
      <c r="F20" s="309"/>
      <c r="G20" s="309"/>
    </row>
    <row r="21" customFormat="false" ht="12.75" hidden="false" customHeight="false" outlineLevel="0" collapsed="false">
      <c r="A21" s="297" t="s">
        <v>230</v>
      </c>
      <c r="B21" s="297" t="s">
        <v>26</v>
      </c>
      <c r="C21" s="297"/>
      <c r="D21" s="297"/>
      <c r="E21" s="309" t="n">
        <f aca="false">Model!I451</f>
        <v>-78924.8972239646</v>
      </c>
      <c r="F21" s="309" t="n">
        <f aca="false">Model!J451</f>
        <v>-76875.0098579269</v>
      </c>
      <c r="G21" s="309" t="n">
        <f aca="false">Model!K451</f>
        <v>-73785.750161013</v>
      </c>
    </row>
    <row r="22" customFormat="false" ht="12.75" hidden="false" customHeight="false" outlineLevel="0" collapsed="false">
      <c r="A22" s="297"/>
      <c r="B22" s="297" t="s">
        <v>182</v>
      </c>
      <c r="C22" s="297"/>
      <c r="D22" s="297"/>
      <c r="E22" s="309" t="n">
        <f aca="false">Model!I452</f>
        <v>-36475.8465323991</v>
      </c>
      <c r="F22" s="309" t="n">
        <f aca="false">Model!J452</f>
        <v>-34009.9230426133</v>
      </c>
      <c r="G22" s="309" t="n">
        <f aca="false">Model!K452</f>
        <v>-31456.8902033251</v>
      </c>
    </row>
    <row r="23" customFormat="false" ht="12.75" hidden="false" customHeight="false" outlineLevel="0" collapsed="false">
      <c r="A23" s="297"/>
      <c r="B23" s="297" t="s">
        <v>197</v>
      </c>
      <c r="C23" s="297"/>
      <c r="D23" s="297"/>
      <c r="E23" s="309" t="n">
        <f aca="false">Model!I453</f>
        <v>-119783.499513168</v>
      </c>
      <c r="F23" s="309" t="n">
        <f aca="false">Model!J453</f>
        <v>-121172.964950872</v>
      </c>
      <c r="G23" s="309" t="n">
        <f aca="false">Model!K453</f>
        <v>-119875.384645804</v>
      </c>
    </row>
    <row r="24" customFormat="false" ht="12.75" hidden="false" customHeight="false" outlineLevel="0" collapsed="false">
      <c r="A24" s="297"/>
      <c r="B24" s="297" t="s">
        <v>203</v>
      </c>
      <c r="C24" s="297"/>
      <c r="D24" s="297"/>
      <c r="E24" s="309" t="n">
        <f aca="false">Model!I454</f>
        <v>-10874.2006791287</v>
      </c>
      <c r="F24" s="309" t="n">
        <f aca="false">Model!J454</f>
        <v>-10543.9512341314</v>
      </c>
      <c r="G24" s="309" t="n">
        <f aca="false">Model!K454</f>
        <v>-10185.0097173528</v>
      </c>
    </row>
    <row r="25" customFormat="false" ht="12.75" hidden="false" customHeight="false" outlineLevel="0" collapsed="false">
      <c r="A25" s="297"/>
      <c r="B25" s="297" t="s">
        <v>232</v>
      </c>
      <c r="C25" s="297"/>
      <c r="D25" s="297"/>
      <c r="E25" s="309" t="n">
        <f aca="false">Model!I455</f>
        <v>-309360</v>
      </c>
      <c r="F25" s="309" t="n">
        <f aca="false">Model!J455</f>
        <v>-293616</v>
      </c>
      <c r="G25" s="309" t="n">
        <f aca="false">Model!K455</f>
        <v>-277307</v>
      </c>
    </row>
    <row r="26" customFormat="false" ht="12.75" hidden="false" customHeight="false" outlineLevel="0" collapsed="false">
      <c r="A26" s="297"/>
      <c r="B26" s="297" t="s">
        <v>233</v>
      </c>
      <c r="C26" s="297"/>
      <c r="D26" s="297"/>
      <c r="E26" s="309" t="n">
        <f aca="false">Model!I456</f>
        <v>-35351.4296372471</v>
      </c>
      <c r="F26" s="309" t="n">
        <f aca="false">Model!J456</f>
        <v>-29772.5531332848</v>
      </c>
      <c r="G26" s="309" t="n">
        <f aca="false">Model!K456</f>
        <v>-24261.4985466217</v>
      </c>
    </row>
    <row r="27" customFormat="false" ht="13.5" hidden="false" customHeight="false" outlineLevel="0" collapsed="false">
      <c r="A27" s="297"/>
      <c r="B27" s="297" t="s">
        <v>234</v>
      </c>
      <c r="C27" s="297"/>
      <c r="D27" s="297"/>
      <c r="E27" s="343" t="n">
        <f aca="false">Model!I457</f>
        <v>-17278.3389883308</v>
      </c>
      <c r="F27" s="343" t="n">
        <f aca="false">Model!J457</f>
        <v>-18550.5050894977</v>
      </c>
      <c r="G27" s="343" t="n">
        <f aca="false">Model!K457</f>
        <v>-19822.6711906646</v>
      </c>
    </row>
    <row r="28" customFormat="false" ht="12.75" hidden="false" customHeight="false" outlineLevel="0" collapsed="false">
      <c r="A28" s="297"/>
      <c r="B28" s="297"/>
      <c r="C28" s="297"/>
      <c r="D28" s="297"/>
      <c r="E28" s="309"/>
      <c r="F28" s="309"/>
      <c r="G28" s="309"/>
    </row>
    <row r="29" customFormat="false" ht="12.75" hidden="false" customHeight="false" outlineLevel="0" collapsed="false">
      <c r="A29" s="297" t="s">
        <v>235</v>
      </c>
      <c r="B29" s="297" t="s">
        <v>346</v>
      </c>
      <c r="C29" s="297"/>
      <c r="E29" s="309" t="n">
        <f aca="false">Model!I459</f>
        <v>65582.8442598467</v>
      </c>
      <c r="F29" s="309" t="n">
        <f aca="false">E29</f>
        <v>65582.8442598467</v>
      </c>
      <c r="G29" s="309" t="n">
        <f aca="false">F29</f>
        <v>65582.8442598467</v>
      </c>
    </row>
    <row r="30" customFormat="false" ht="12.75" hidden="false" customHeight="false" outlineLevel="0" collapsed="false">
      <c r="A30" s="297"/>
      <c r="B30" s="297"/>
      <c r="C30" s="297"/>
      <c r="D30" s="297"/>
      <c r="E30" s="309"/>
      <c r="F30" s="309"/>
      <c r="G30" s="309"/>
    </row>
    <row r="31" customFormat="false" ht="12.75" hidden="false" customHeight="false" outlineLevel="0" collapsed="false">
      <c r="A31" s="297" t="s">
        <v>347</v>
      </c>
      <c r="B31" s="297"/>
      <c r="C31" s="297"/>
      <c r="D31" s="297"/>
      <c r="E31" s="309" t="n">
        <f aca="false">E19+SUM(E21:E27)+E29</f>
        <v>246783.603925254</v>
      </c>
      <c r="F31" s="309" t="n">
        <f aca="false">F19+SUM(F21:F27)+F29</f>
        <v>249792.03553079</v>
      </c>
      <c r="G31" s="309" t="n">
        <f aca="false">G19+SUM(G21:G27)+G29</f>
        <v>246746.141405196</v>
      </c>
    </row>
    <row r="33" customFormat="false" ht="13.5" hidden="false" customHeight="false" outlineLevel="0" collapsed="false">
      <c r="A33" s="297" t="s">
        <v>348</v>
      </c>
      <c r="E33" s="344" t="n">
        <f aca="false">C8</f>
        <v>162085.770083557</v>
      </c>
      <c r="F33" s="344" t="n">
        <f aca="false">E33</f>
        <v>162085.770083557</v>
      </c>
      <c r="G33" s="344" t="n">
        <f aca="false">F33</f>
        <v>162085.770083557</v>
      </c>
    </row>
    <row r="35" customFormat="false" ht="12.75" hidden="false" customHeight="false" outlineLevel="0" collapsed="false">
      <c r="A35" s="297" t="s">
        <v>349</v>
      </c>
      <c r="E35" s="345" t="n">
        <f aca="false">E31-E33</f>
        <v>84697.8338416975</v>
      </c>
      <c r="F35" s="345" t="n">
        <f aca="false">F31-F33</f>
        <v>87706.2654472329</v>
      </c>
      <c r="G35" s="345" t="n">
        <f aca="false">G31-G33</f>
        <v>84660.3713216391</v>
      </c>
    </row>
    <row r="36" customFormat="false" ht="12.75" hidden="false" customHeight="false" outlineLevel="0" collapsed="false">
      <c r="A36" s="297"/>
      <c r="E36" s="345"/>
      <c r="F36" s="345"/>
      <c r="G36" s="345"/>
    </row>
    <row r="38" customFormat="false" ht="15" hidden="false" customHeight="false" outlineLevel="0" collapsed="false">
      <c r="A38" s="346" t="s">
        <v>350</v>
      </c>
    </row>
    <row r="39" customFormat="false" ht="12.75" hidden="false" customHeight="false" outlineLevel="0" collapsed="false">
      <c r="A39" s="347" t="s">
        <v>343</v>
      </c>
    </row>
    <row r="40" customFormat="false" ht="12.75" hidden="false" customHeight="false" outlineLevel="0" collapsed="false">
      <c r="A40" s="348" t="s">
        <v>351</v>
      </c>
    </row>
    <row r="41" customFormat="false" ht="12.75" hidden="false" customHeight="false" outlineLevel="0" collapsed="false">
      <c r="A41" s="347" t="s">
        <v>352</v>
      </c>
    </row>
    <row r="42" customFormat="false" ht="12.75" hidden="false" customHeight="false" outlineLevel="0" collapsed="false">
      <c r="A42" s="347" t="s">
        <v>353</v>
      </c>
    </row>
    <row r="43" customFormat="false" ht="12.75" hidden="false" customHeight="false" outlineLevel="0" collapsed="false">
      <c r="A43" s="347" t="s">
        <v>354</v>
      </c>
    </row>
    <row r="44" customFormat="false" ht="12.75" hidden="false" customHeight="false" outlineLevel="0" collapsed="false">
      <c r="A44" s="347" t="s">
        <v>355</v>
      </c>
    </row>
    <row r="45" customFormat="false" ht="12.75" hidden="false" customHeight="false" outlineLevel="0" collapsed="false">
      <c r="A45" s="347" t="s">
        <v>356</v>
      </c>
    </row>
    <row r="46" customFormat="false" ht="12.75" hidden="false" customHeight="false" outlineLevel="0" collapsed="false">
      <c r="A46" s="347" t="s">
        <v>357</v>
      </c>
    </row>
    <row r="48" customFormat="false" ht="20.25" hidden="false" customHeight="true" outlineLevel="0" collapsed="false">
      <c r="A48" s="349" t="s">
        <v>3</v>
      </c>
      <c r="B48" s="349"/>
      <c r="C48" s="349"/>
      <c r="D48" s="349"/>
      <c r="E48" s="349"/>
      <c r="F48" s="349"/>
      <c r="G48" s="349"/>
      <c r="H48" s="349"/>
      <c r="I48" s="349"/>
      <c r="J48" s="349"/>
    </row>
    <row r="49" customFormat="false" ht="12.75" hidden="false" customHeight="false" outlineLevel="0" collapsed="false">
      <c r="A49" s="349"/>
      <c r="B49" s="349"/>
      <c r="C49" s="349"/>
      <c r="D49" s="349"/>
      <c r="E49" s="349"/>
      <c r="F49" s="349"/>
      <c r="G49" s="349"/>
      <c r="H49" s="349"/>
      <c r="I49" s="349"/>
      <c r="J49" s="349"/>
    </row>
    <row r="50" customFormat="false" ht="20.25" hidden="false" customHeight="false" outlineLevel="0" collapsed="false">
      <c r="A50" s="350"/>
      <c r="B50" s="350"/>
      <c r="C50" s="350"/>
      <c r="D50" s="350"/>
      <c r="E50" s="350"/>
      <c r="F50" s="350"/>
      <c r="G50" s="350"/>
      <c r="H50" s="350"/>
      <c r="I50" s="350"/>
      <c r="J50" s="350"/>
    </row>
    <row r="51" customFormat="false" ht="20.25" hidden="false" customHeight="false" outlineLevel="0" collapsed="false">
      <c r="A51" s="349" t="s">
        <v>358</v>
      </c>
      <c r="B51" s="349"/>
      <c r="C51" s="349"/>
      <c r="D51" s="349"/>
      <c r="E51" s="349"/>
      <c r="F51" s="349"/>
      <c r="G51" s="349"/>
      <c r="H51" s="349"/>
      <c r="I51" s="350"/>
      <c r="J51" s="350"/>
    </row>
    <row r="52" customFormat="false" ht="20.25" hidden="false" customHeight="false" outlineLevel="0" collapsed="false">
      <c r="A52" s="350"/>
      <c r="B52" s="350"/>
      <c r="C52" s="350"/>
      <c r="D52" s="350"/>
      <c r="E52" s="350"/>
      <c r="F52" s="350"/>
      <c r="G52" s="350"/>
      <c r="H52" s="350"/>
      <c r="I52" s="350"/>
      <c r="J52" s="350"/>
    </row>
    <row r="53" customFormat="false" ht="21" hidden="false" customHeight="false" outlineLevel="0" collapsed="false">
      <c r="A53" s="350"/>
      <c r="B53" s="350"/>
      <c r="C53" s="351" t="s">
        <v>359</v>
      </c>
      <c r="D53" s="351"/>
      <c r="E53" s="351"/>
      <c r="F53" s="351"/>
      <c r="G53" s="351"/>
      <c r="H53" s="351"/>
      <c r="I53" s="350"/>
      <c r="J53" s="350"/>
    </row>
    <row r="54" customFormat="false" ht="21" hidden="false" customHeight="false" outlineLevel="0" collapsed="false">
      <c r="A54" s="350"/>
      <c r="B54" s="349"/>
      <c r="C54" s="352" t="s">
        <v>360</v>
      </c>
      <c r="D54" s="352"/>
      <c r="E54" s="352"/>
      <c r="F54" s="352"/>
      <c r="G54" s="352"/>
      <c r="H54" s="352"/>
      <c r="I54" s="349"/>
      <c r="J54" s="350"/>
    </row>
    <row r="55" customFormat="false" ht="25.5" hidden="false" customHeight="true" outlineLevel="0" collapsed="false">
      <c r="B55" s="53"/>
      <c r="C55" s="353" t="n">
        <v>0.0733</v>
      </c>
      <c r="D55" s="353" t="n">
        <v>0.075</v>
      </c>
      <c r="E55" s="353" t="n">
        <v>0.0775</v>
      </c>
      <c r="F55" s="353" t="n">
        <v>0.08</v>
      </c>
      <c r="G55" s="353" t="n">
        <v>0.0825</v>
      </c>
      <c r="H55" s="353" t="n">
        <v>0.085</v>
      </c>
      <c r="J55" s="354"/>
    </row>
    <row r="56" customFormat="false" ht="15" hidden="false" customHeight="true" outlineLevel="0" collapsed="false">
      <c r="A56" s="355" t="s">
        <v>361</v>
      </c>
      <c r="B56" s="356" t="n">
        <v>0.1</v>
      </c>
      <c r="C56" s="309" t="n">
        <v>93027</v>
      </c>
      <c r="D56" s="309" t="n">
        <v>86540</v>
      </c>
      <c r="E56" s="309" t="n">
        <v>77166</v>
      </c>
      <c r="F56" s="357" t="n">
        <f aca="false">E35</f>
        <v>84697.8338416975</v>
      </c>
      <c r="G56" s="309" t="n">
        <v>58987</v>
      </c>
      <c r="H56" s="309" t="n">
        <v>50173</v>
      </c>
    </row>
    <row r="57" customFormat="false" ht="12.75" hidden="false" customHeight="false" outlineLevel="0" collapsed="false">
      <c r="A57" s="355"/>
      <c r="B57" s="356" t="n">
        <v>0.11</v>
      </c>
      <c r="C57" s="309" t="n">
        <v>85207</v>
      </c>
      <c r="D57" s="309" t="n">
        <v>78793</v>
      </c>
      <c r="E57" s="309" t="n">
        <v>69523</v>
      </c>
      <c r="F57" s="309" t="n">
        <v>60442</v>
      </c>
      <c r="G57" s="309" t="n">
        <v>51546</v>
      </c>
      <c r="H57" s="309" t="n">
        <v>42829</v>
      </c>
    </row>
    <row r="58" customFormat="false" ht="12.75" hidden="false" customHeight="false" outlineLevel="0" collapsed="false">
      <c r="A58" s="355"/>
      <c r="B58" s="356" t="n">
        <v>0.12</v>
      </c>
      <c r="C58" s="309" t="n">
        <v>77387</v>
      </c>
      <c r="D58" s="309" t="n">
        <v>71045</v>
      </c>
      <c r="E58" s="309" t="n">
        <v>61879</v>
      </c>
      <c r="F58" s="309" t="n">
        <v>52901</v>
      </c>
      <c r="G58" s="309" t="n">
        <v>44104</v>
      </c>
      <c r="H58" s="309" t="n">
        <v>35486</v>
      </c>
    </row>
    <row r="59" customFormat="false" ht="12.75" hidden="false" customHeight="false" outlineLevel="0" collapsed="false">
      <c r="A59" s="355"/>
      <c r="B59" s="356" t="n">
        <v>0.13</v>
      </c>
      <c r="C59" s="309" t="n">
        <v>69567</v>
      </c>
      <c r="D59" s="309" t="n">
        <v>63297</v>
      </c>
      <c r="E59" s="309" t="n">
        <v>54236</v>
      </c>
      <c r="F59" s="309" t="n">
        <v>45359</v>
      </c>
      <c r="G59" s="309" t="n">
        <v>36663</v>
      </c>
      <c r="H59" s="309" t="n">
        <v>28142</v>
      </c>
    </row>
    <row r="60" customFormat="false" ht="12.75" hidden="false" customHeight="false" outlineLevel="0" collapsed="false">
      <c r="A60" s="355"/>
      <c r="B60" s="356" t="n">
        <v>0.14</v>
      </c>
      <c r="C60" s="309" t="n">
        <v>61748</v>
      </c>
      <c r="D60" s="309" t="n">
        <v>55550</v>
      </c>
      <c r="E60" s="309" t="n">
        <v>46592</v>
      </c>
      <c r="F60" s="309" t="n">
        <v>37818</v>
      </c>
      <c r="G60" s="309" t="n">
        <v>29221</v>
      </c>
      <c r="H60" s="309" t="n">
        <v>20798</v>
      </c>
    </row>
    <row r="61" customFormat="false" ht="12.75" hidden="false" customHeight="false" outlineLevel="0" collapsed="false">
      <c r="A61" s="355"/>
      <c r="B61" s="356" t="n">
        <v>0.15</v>
      </c>
      <c r="C61" s="309" t="n">
        <v>53928</v>
      </c>
      <c r="D61" s="309" t="n">
        <v>47802</v>
      </c>
      <c r="E61" s="309" t="n">
        <v>38949</v>
      </c>
      <c r="F61" s="309" t="n">
        <v>30276</v>
      </c>
      <c r="G61" s="309" t="n">
        <v>21780</v>
      </c>
      <c r="H61" s="309" t="n">
        <v>13455</v>
      </c>
    </row>
    <row r="62" customFormat="false" ht="12.75" hidden="false" customHeight="false" outlineLevel="0" collapsed="false">
      <c r="B62" s="53"/>
      <c r="C62" s="53"/>
    </row>
    <row r="66" customFormat="false" ht="12.75" hidden="false" customHeight="false" outlineLevel="0" collapsed="false">
      <c r="B66" s="358" t="s">
        <v>362</v>
      </c>
      <c r="E66" s="358" t="s">
        <v>363</v>
      </c>
      <c r="H66" s="359" t="s">
        <v>364</v>
      </c>
      <c r="I66" s="359"/>
    </row>
    <row r="67" customFormat="false" ht="13.5" hidden="false" customHeight="false" outlineLevel="0" collapsed="false"/>
    <row r="68" customFormat="false" ht="26.25" hidden="false" customHeight="false" outlineLevel="0" collapsed="false">
      <c r="B68" s="360" t="s">
        <v>365</v>
      </c>
      <c r="C68" s="360" t="s">
        <v>366</v>
      </c>
      <c r="E68" s="360" t="s">
        <v>367</v>
      </c>
      <c r="F68" s="360" t="s">
        <v>366</v>
      </c>
      <c r="H68" s="360" t="s">
        <v>368</v>
      </c>
      <c r="I68" s="360" t="s">
        <v>366</v>
      </c>
    </row>
    <row r="69" customFormat="false" ht="12.75" hidden="false" customHeight="false" outlineLevel="0" collapsed="false">
      <c r="B69" s="361" t="n">
        <v>122</v>
      </c>
      <c r="C69" s="362" t="n">
        <v>67894</v>
      </c>
      <c r="E69" s="361" t="s">
        <v>48</v>
      </c>
      <c r="F69" s="363" t="n">
        <v>77469</v>
      </c>
      <c r="H69" s="364" t="n">
        <v>0</v>
      </c>
      <c r="I69" s="362" t="n">
        <v>67894</v>
      </c>
    </row>
    <row r="70" customFormat="false" ht="13.5" hidden="false" customHeight="false" outlineLevel="0" collapsed="false">
      <c r="B70" s="361" t="n">
        <v>150</v>
      </c>
      <c r="C70" s="365" t="n">
        <v>76277</v>
      </c>
      <c r="E70" s="366" t="s">
        <v>49</v>
      </c>
      <c r="F70" s="367" t="n">
        <v>67894</v>
      </c>
      <c r="H70" s="368" t="n">
        <v>0.25</v>
      </c>
      <c r="I70" s="365" t="n">
        <v>56154</v>
      </c>
    </row>
    <row r="71" customFormat="false" ht="12.75" hidden="false" customHeight="false" outlineLevel="0" collapsed="false">
      <c r="B71" s="361" t="n">
        <v>175</v>
      </c>
      <c r="C71" s="365" t="n">
        <v>83777</v>
      </c>
      <c r="H71" s="368" t="n">
        <v>0.5</v>
      </c>
      <c r="I71" s="365" t="n">
        <v>44324</v>
      </c>
    </row>
    <row r="72" customFormat="false" ht="12.75" hidden="false" customHeight="false" outlineLevel="0" collapsed="false">
      <c r="B72" s="361" t="n">
        <v>200</v>
      </c>
      <c r="C72" s="365" t="n">
        <v>91277</v>
      </c>
      <c r="H72" s="368" t="n">
        <v>0.75</v>
      </c>
      <c r="I72" s="365" t="n">
        <v>32493</v>
      </c>
    </row>
    <row r="73" customFormat="false" ht="13.5" hidden="false" customHeight="false" outlineLevel="0" collapsed="false">
      <c r="B73" s="361" t="n">
        <v>225</v>
      </c>
      <c r="C73" s="365" t="n">
        <v>98777</v>
      </c>
      <c r="H73" s="369" t="n">
        <v>1</v>
      </c>
      <c r="I73" s="370" t="n">
        <v>20663</v>
      </c>
    </row>
    <row r="74" customFormat="false" ht="13.5" hidden="false" customHeight="false" outlineLevel="0" collapsed="false">
      <c r="B74" s="366" t="n">
        <v>250</v>
      </c>
      <c r="C74" s="370" t="n">
        <v>106277</v>
      </c>
    </row>
    <row r="78" customFormat="false" ht="12.75" hidden="false" customHeight="false" outlineLevel="0" collapsed="false">
      <c r="A78" s="0" t="s">
        <v>369</v>
      </c>
    </row>
    <row r="79" customFormat="false" ht="12.75" hidden="false" customHeight="false" outlineLevel="0" collapsed="false">
      <c r="A79" s="0" t="s">
        <v>370</v>
      </c>
    </row>
    <row r="84" customFormat="false" ht="13.5" hidden="false" customHeight="false" outlineLevel="0" collapsed="false">
      <c r="G84" s="342" t="n">
        <v>37621</v>
      </c>
    </row>
    <row r="85" customFormat="false" ht="13.5" hidden="false" customHeight="false" outlineLevel="0" collapsed="false">
      <c r="F85" s="342" t="n">
        <v>37256</v>
      </c>
      <c r="G85" s="309" t="n">
        <v>818928.09731461</v>
      </c>
    </row>
    <row r="86" customFormat="false" ht="18" hidden="false" customHeight="false" outlineLevel="0" collapsed="false">
      <c r="A86" s="333" t="s">
        <v>371</v>
      </c>
      <c r="F86" s="309" t="n">
        <v>847494.073771473</v>
      </c>
      <c r="G86" s="309"/>
    </row>
    <row r="87" customFormat="false" ht="12.75" hidden="false" customHeight="false" outlineLevel="0" collapsed="false">
      <c r="F87" s="309"/>
      <c r="G87" s="309" t="n">
        <v>-81892.809731461</v>
      </c>
    </row>
    <row r="88" customFormat="false" ht="12.75" hidden="false" customHeight="false" outlineLevel="0" collapsed="false">
      <c r="F88" s="309" t="n">
        <v>-84749.4073771473</v>
      </c>
      <c r="G88" s="309" t="n">
        <v>-11317.6474633356</v>
      </c>
    </row>
    <row r="89" customFormat="false" ht="13.5" hidden="false" customHeight="false" outlineLevel="0" collapsed="false">
      <c r="E89" s="342" t="n">
        <v>36891</v>
      </c>
      <c r="F89" s="309" t="n">
        <v>-12233.5862257212</v>
      </c>
      <c r="G89" s="309" t="n">
        <v>-116948.158998498</v>
      </c>
    </row>
    <row r="90" customFormat="false" ht="12.75" hidden="false" customHeight="false" outlineLevel="0" collapsed="false">
      <c r="A90" s="297" t="s">
        <v>8</v>
      </c>
      <c r="B90" s="297"/>
      <c r="C90" s="297"/>
      <c r="D90" s="297"/>
      <c r="E90" s="309" t="n">
        <v>867486.68498052</v>
      </c>
      <c r="F90" s="309" t="n">
        <v>-120477.210272138</v>
      </c>
      <c r="G90" s="309" t="n">
        <v>-10185.0097173528</v>
      </c>
    </row>
    <row r="91" customFormat="false" ht="12.75" hidden="false" customHeight="false" outlineLevel="0" collapsed="false">
      <c r="A91" s="297"/>
      <c r="B91" s="297"/>
      <c r="C91" s="297"/>
      <c r="D91" s="297"/>
      <c r="E91" s="309"/>
      <c r="F91" s="309" t="n">
        <v>-10543.9512341314</v>
      </c>
      <c r="G91" s="309" t="n">
        <v>-277307</v>
      </c>
    </row>
    <row r="92" customFormat="false" ht="12.75" hidden="false" customHeight="false" outlineLevel="0" collapsed="false">
      <c r="A92" s="297" t="s">
        <v>230</v>
      </c>
      <c r="B92" s="297" t="s">
        <v>26</v>
      </c>
      <c r="C92" s="297"/>
      <c r="D92" s="297"/>
      <c r="E92" s="309" t="n">
        <v>-86748.668498052</v>
      </c>
      <c r="F92" s="309" t="n">
        <v>-293616</v>
      </c>
      <c r="G92" s="309" t="n">
        <v>-28195.4897350464</v>
      </c>
    </row>
    <row r="93" customFormat="false" ht="13.5" hidden="false" customHeight="false" outlineLevel="0" collapsed="false">
      <c r="A93" s="297"/>
      <c r="B93" s="297" t="s">
        <v>182</v>
      </c>
      <c r="C93" s="297"/>
      <c r="D93" s="297"/>
      <c r="E93" s="309" t="n">
        <v>-13091.4061645991</v>
      </c>
      <c r="F93" s="309" t="n">
        <v>-34490.6412594777</v>
      </c>
      <c r="G93" s="343" t="n">
        <v>-51369.6308862957</v>
      </c>
    </row>
    <row r="94" customFormat="false" ht="13.5" hidden="false" customHeight="false" outlineLevel="0" collapsed="false">
      <c r="A94" s="297"/>
      <c r="B94" s="297" t="s">
        <v>197</v>
      </c>
      <c r="C94" s="297"/>
      <c r="D94" s="297"/>
      <c r="E94" s="309" t="n">
        <v>-121100.036592943</v>
      </c>
      <c r="F94" s="343" t="n">
        <v>-57984.2047090366</v>
      </c>
      <c r="G94" s="309"/>
    </row>
    <row r="95" customFormat="false" ht="12.75" hidden="false" customHeight="false" outlineLevel="0" collapsed="false">
      <c r="A95" s="297"/>
      <c r="B95" s="297" t="s">
        <v>203</v>
      </c>
      <c r="C95" s="297"/>
      <c r="D95" s="297"/>
      <c r="E95" s="309" t="n">
        <v>-10874.2006791287</v>
      </c>
      <c r="F95" s="309"/>
      <c r="G95" s="309" t="n">
        <f aca="false">F96</f>
        <v>90000</v>
      </c>
    </row>
    <row r="96" customFormat="false" ht="12.75" hidden="false" customHeight="false" outlineLevel="0" collapsed="false">
      <c r="A96" s="297"/>
      <c r="B96" s="297" t="s">
        <v>232</v>
      </c>
      <c r="C96" s="297"/>
      <c r="D96" s="297"/>
      <c r="E96" s="309" t="n">
        <v>-309360</v>
      </c>
      <c r="F96" s="309" t="n">
        <f aca="false">E100</f>
        <v>90000</v>
      </c>
      <c r="G96" s="309"/>
    </row>
    <row r="97" customFormat="false" ht="12.75" hidden="false" customHeight="false" outlineLevel="0" collapsed="false">
      <c r="A97" s="297"/>
      <c r="B97" s="297" t="s">
        <v>233</v>
      </c>
      <c r="C97" s="297"/>
      <c r="D97" s="297"/>
      <c r="E97" s="309" t="n">
        <v>-40875.6143957336</v>
      </c>
      <c r="F97" s="309"/>
      <c r="G97" s="309" t="n">
        <f aca="false">SUM(G85:G95)</f>
        <v>331712.35078262</v>
      </c>
    </row>
    <row r="98" customFormat="false" ht="13.5" hidden="false" customHeight="false" outlineLevel="0" collapsed="false">
      <c r="A98" s="297"/>
      <c r="B98" s="297" t="s">
        <v>234</v>
      </c>
      <c r="C98" s="297"/>
      <c r="D98" s="297"/>
      <c r="E98" s="343" t="n">
        <v>-64598.7785317774</v>
      </c>
      <c r="F98" s="309" t="n">
        <f aca="false">SUM(F86:F96)</f>
        <v>323399.07269382</v>
      </c>
    </row>
    <row r="99" customFormat="false" ht="13.5" hidden="false" customHeight="false" outlineLevel="0" collapsed="false">
      <c r="A99" s="297"/>
      <c r="B99" s="297"/>
      <c r="C99" s="297"/>
      <c r="D99" s="297"/>
      <c r="E99" s="309"/>
      <c r="G99" s="344" t="n">
        <f aca="false">F100</f>
        <v>162085.770083557</v>
      </c>
    </row>
    <row r="100" customFormat="false" ht="13.5" hidden="false" customHeight="false" outlineLevel="0" collapsed="false">
      <c r="A100" s="297" t="s">
        <v>235</v>
      </c>
      <c r="B100" s="297" t="s">
        <v>346</v>
      </c>
      <c r="C100" s="297"/>
      <c r="E100" s="309" t="n">
        <f aca="false">(300*600)*0.5</f>
        <v>90000</v>
      </c>
      <c r="F100" s="344" t="n">
        <f aca="false">E104</f>
        <v>162085.770083557</v>
      </c>
    </row>
    <row r="101" customFormat="false" ht="12.75" hidden="false" customHeight="false" outlineLevel="0" collapsed="false">
      <c r="A101" s="297"/>
      <c r="B101" s="297"/>
      <c r="C101" s="297"/>
      <c r="D101" s="297"/>
      <c r="E101" s="309"/>
      <c r="G101" s="345" t="n">
        <f aca="false">G97-G99</f>
        <v>169626.580699064</v>
      </c>
    </row>
    <row r="102" customFormat="false" ht="12.75" hidden="false" customHeight="false" outlineLevel="0" collapsed="false">
      <c r="A102" s="297" t="s">
        <v>347</v>
      </c>
      <c r="B102" s="297"/>
      <c r="C102" s="297"/>
      <c r="D102" s="297"/>
      <c r="E102" s="309" t="n">
        <f aca="false">SUM(E90:E100)</f>
        <v>310837.980118286</v>
      </c>
      <c r="F102" s="345" t="n">
        <f aca="false">F98-F100</f>
        <v>161313.302610264</v>
      </c>
    </row>
    <row r="104" customFormat="false" ht="13.5" hidden="false" customHeight="false" outlineLevel="0" collapsed="false">
      <c r="A104" s="297" t="s">
        <v>348</v>
      </c>
      <c r="E104" s="344" t="n">
        <f aca="false">E33</f>
        <v>162085.770083557</v>
      </c>
    </row>
    <row r="106" customFormat="false" ht="12.75" hidden="false" customHeight="false" outlineLevel="0" collapsed="false">
      <c r="A106" s="297" t="s">
        <v>349</v>
      </c>
      <c r="E106" s="345" t="n">
        <f aca="false">E102-E104</f>
        <v>148752.210034729</v>
      </c>
    </row>
    <row r="108" customFormat="false" ht="12.75" hidden="false" customHeight="false" outlineLevel="0" collapsed="false">
      <c r="A108" s="297" t="s">
        <v>241</v>
      </c>
    </row>
    <row r="109" customFormat="false" ht="12.75" hidden="false" customHeight="false" outlineLevel="0" collapsed="false">
      <c r="A109" s="0" t="s">
        <v>343</v>
      </c>
    </row>
    <row r="110" customFormat="false" ht="12.75" hidden="false" customHeight="false" outlineLevel="0" collapsed="false">
      <c r="A110" s="0" t="s">
        <v>372</v>
      </c>
    </row>
    <row r="111" customFormat="false" ht="12.75" hidden="false" customHeight="false" outlineLevel="0" collapsed="false">
      <c r="A111" s="0" t="s">
        <v>373</v>
      </c>
    </row>
    <row r="112" customFormat="false" ht="12.75" hidden="false" customHeight="false" outlineLevel="0" collapsed="false">
      <c r="A112" s="0" t="s">
        <v>374</v>
      </c>
    </row>
    <row r="113" customFormat="false" ht="12.75" hidden="false" customHeight="false" outlineLevel="0" collapsed="false">
      <c r="A113" s="0" t="s">
        <v>375</v>
      </c>
    </row>
  </sheetData>
  <mergeCells count="6">
    <mergeCell ref="A48:J49"/>
    <mergeCell ref="A51:H51"/>
    <mergeCell ref="C53:H53"/>
    <mergeCell ref="C54:H54"/>
    <mergeCell ref="A56:A61"/>
    <mergeCell ref="H66:I66"/>
  </mergeCells>
  <printOptions headings="false" gridLines="false" gridLinesSet="true" horizontalCentered="false" verticalCentered="false"/>
  <pageMargins left="0.5" right="0.270138888888889" top="0.179861111111111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2000-04-07T10:11:15Z</dcterms:created>
  <dc:creator>ECT</dc:creator>
  <dc:description/>
  <dc:language>en-US</dc:language>
  <cp:lastModifiedBy>ect</cp:lastModifiedBy>
  <cp:lastPrinted>2000-07-10T13:29:22Z</cp:lastPrinted>
  <cp:revision>0</cp:revision>
  <dc:subject/>
  <dc:title/>
</cp:coreProperties>
</file>