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P Corp1999 fixed price" sheetId="1" state="visible" r:id="rId3"/>
    <sheet name="FP Corp" sheetId="2" state="visible" r:id="rId4"/>
    <sheet name="Assumptions" sheetId="3" state="visible" r:id="rId5"/>
    <sheet name="Short Term Firm For Budget" sheetId="4" state="visible" r:id="rId6"/>
    <sheet name="Transport" sheetId="5" state="visible" r:id="rId7"/>
    <sheet name="Prices&amp;Fuel" sheetId="6" state="visible" r:id="rId8"/>
    <sheet name="Index Price Deals" sheetId="7" state="visible" r:id="rId9"/>
    <sheet name="amount due from ECT" sheetId="8" state="visible" r:id="rId10"/>
    <sheet name="Greg Gruber Info" sheetId="9" state="visible" r:id="rId11"/>
    <sheet name="Long Term Deals" sheetId="10" state="visible" r:id="rId12"/>
    <sheet name="FPL" sheetId="11" state="visible" r:id="rId13"/>
    <sheet name="Annual Summary" sheetId="12" state="visible" r:id="rId14"/>
  </sheets>
  <externalReferences>
    <externalReference r:id="rId15"/>
    <externalReference r:id="rId16"/>
    <externalReference r:id="rId17"/>
    <externalReference r:id="rId18"/>
  </externalReferences>
  <definedNames>
    <definedName function="false" hidden="false" localSheetId="7" name="_xlnm.Print_Area" vbProcedure="false">'amount due from ECT'!$A$1:$V$18</definedName>
    <definedName function="false" hidden="false" localSheetId="11" name="_xlnm.Print_Area" vbProcedure="false">'Annual Summary'!$B$5:$M$6,'Annual Summary'!$O$5:$V$19,'Annual Summary'!$X$5:$AD$9,'Annual Summary'!$AF$5:$BA$17,'Annual Summary'!$BB$5:$BQ$20,'Annual Summary'!$BR$5:$BZ$7,'Annual Summary'!$CA$5:$CL$20</definedName>
    <definedName function="false" hidden="false" localSheetId="11" name="_xlnm.Print_Titles" vbProcedure="false">'Annual Summary'!$A:$A,'Annual Summary'!$1:$4</definedName>
    <definedName function="false" hidden="false" localSheetId="2" name="_xlnm.Print_Area" vbProcedure="false">Assumptions!$A$1:$B$35</definedName>
    <definedName function="false" hidden="false" localSheetId="1" name="_xlnm.Print_Area" vbProcedure="false">'FP Corp'!$B$5:$R$195</definedName>
    <definedName function="false" hidden="false" localSheetId="1" name="_xlnm.Print_Titles" vbProcedure="false">'FP Corp'!$A:$A,'FP Corp'!$1:$4</definedName>
    <definedName function="false" hidden="false" localSheetId="0" name="_xlnm.Print_Area" vbProcedure="false">'FP Corp1999 fixed price'!$B$5:$W$30</definedName>
    <definedName function="false" hidden="false" localSheetId="0" name="_xlnm.Print_Titles" vbProcedure="false">'FP Corp1999 fixed price'!$A:$A,'FP Corp1999 fixed price'!$1:$4</definedName>
    <definedName function="false" hidden="false" localSheetId="10" name="_xlnm.Print_Titles" vbProcedure="false">FPL!$A:$A,FPL!$1:$4</definedName>
    <definedName function="false" hidden="false" localSheetId="6" name="_xlnm.Print_Area" vbProcedure="false">'Index Price Deals'!$D$5:$K$17,'Index Price Deals'!$L$5:$AC$29,'Index Price Deals'!$AD$5:$AJ$162,'Index Price Deals'!$AM$5:$AQ$35,'Index Price Deals'!$AR$5:$AU$162</definedName>
    <definedName function="false" hidden="false" localSheetId="6" name="_xlnm.Print_Titles" vbProcedure="false">'Index Price Deals'!$A:$A,'Index Price Deals'!$1:$4</definedName>
    <definedName function="false" hidden="false" localSheetId="9" name="_xlnm.Print_Area" vbProcedure="false">'Long Term Deals'!$B$5:$M$21,'Long Term Deals'!$O$5:$V$180,'Long Term Deals'!$X$5:$AD$64,'Long Term Deals'!$AF$5:$BA$152,'Long Term Deals'!$BB$5:$BQ$195,'Long Term Deals'!$BR$5:$BZ$36,'Long Term Deals'!$CA$5:$CL$196</definedName>
    <definedName function="false" hidden="false" localSheetId="9" name="_xlnm.Print_Titles" vbProcedure="false">'Long Term Deals'!$A:$A,'Long Term Deals'!$1:$4</definedName>
    <definedName function="false" hidden="false" localSheetId="5" name="_xlnm.Print_Area" vbProcedure="false">'Prices&amp;Fuel'!$B$3:$X$213</definedName>
    <definedName function="false" hidden="false" localSheetId="5" name="_xlnm.Print_Titles" vbProcedure="false">'Prices&amp;Fuel'!$A:$A,'Prices&amp;Fuel'!$1:$2</definedName>
    <definedName function="false" hidden="false" localSheetId="3" name="_xlnm.Print_Area" vbProcedure="false">'Short Term Firm For Budget'!$A$1:$L$46</definedName>
    <definedName function="false" hidden="false" localSheetId="4" name="_xlnm.Print_Area" vbProcedure="false">Transport!$A$1:$P$30</definedName>
    <definedName function="false" hidden="false" localSheetId="0" name="Excel_BuiltIn_Print_Area" vbProcedure="false">#REF!,#REF!,#REF!,#REF!,'FP Corp1999 fixed price'!$B$5:$W$30,#REF!,#REF!</definedName>
    <definedName function="false" hidden="false" localSheetId="1" name="Excel_BuiltIn_Print_Area" vbProcedure="false">#REF!,#REF!,#REF!,#REF!,'FP Corp'!$B$5:$R$195,#REF!,#REF!</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<sst xmlns="http://schemas.openxmlformats.org/spreadsheetml/2006/main" count="469" uniqueCount="203">
  <si>
    <t xml:space="preserve">Florida Power Corp</t>
  </si>
  <si>
    <t xml:space="preserve">Month</t>
  </si>
  <si>
    <t xml:space="preserve"> FTS - 2 Zone 1</t>
  </si>
  <si>
    <t xml:space="preserve"> FTS - 2 Zone 2</t>
  </si>
  <si>
    <t xml:space="preserve"> FTS - 2 Zone 3</t>
  </si>
  <si>
    <t xml:space="preserve"> FTS - 1 Zone 1</t>
  </si>
  <si>
    <t xml:space="preserve"> FTS - 1 Zone 2</t>
  </si>
  <si>
    <t xml:space="preserve"> FTS - 1 Zone 3</t>
  </si>
  <si>
    <t xml:space="preserve">Sales Price</t>
  </si>
  <si>
    <t xml:space="preserve">Excess Pan Nat Replacement To FPC Deal</t>
  </si>
  <si>
    <t xml:space="preserve">Excess Amoco Replacement To FPC Deal</t>
  </si>
  <si>
    <t xml:space="preserve">Total Revenue</t>
  </si>
  <si>
    <t xml:space="preserve">SMC Supply Price</t>
  </si>
  <si>
    <t xml:space="preserve">ERMS COST</t>
  </si>
  <si>
    <t xml:space="preserve">ECT Supply Price</t>
  </si>
  <si>
    <t xml:space="preserve">SMC Supply Cost</t>
  </si>
  <si>
    <t xml:space="preserve">ECT Supply Cost</t>
  </si>
  <si>
    <t xml:space="preserve">ERMS Cost</t>
  </si>
  <si>
    <t xml:space="preserve">Transport Cost CF</t>
  </si>
  <si>
    <t xml:space="preserve">Transport Cost St Joe</t>
  </si>
  <si>
    <t xml:space="preserve">Transport Cost Hardee</t>
  </si>
  <si>
    <t xml:space="preserve">Admin Fee</t>
  </si>
  <si>
    <t xml:space="preserve">Total Expense</t>
  </si>
  <si>
    <t xml:space="preserve">Total Margin</t>
  </si>
  <si>
    <t xml:space="preserve">FPC per unit margin</t>
  </si>
  <si>
    <t xml:space="preserve">FPC MDCQ</t>
  </si>
  <si>
    <t xml:space="preserve"> ECT1 Zone 1</t>
  </si>
  <si>
    <t xml:space="preserve"> ECT Zone 2</t>
  </si>
  <si>
    <t xml:space="preserve">ECT Zone 3</t>
  </si>
  <si>
    <t xml:space="preserve">Zone 1</t>
  </si>
  <si>
    <t xml:space="preserve">Zone 2</t>
  </si>
  <si>
    <t xml:space="preserve">Zone 3</t>
  </si>
  <si>
    <t xml:space="preserve">Supply Price</t>
  </si>
  <si>
    <t xml:space="preserve">Assumptions</t>
  </si>
  <si>
    <t xml:space="preserve">1.</t>
  </si>
  <si>
    <t xml:space="preserve">Tom's Food volumes are based on their MDTQ.</t>
  </si>
  <si>
    <t xml:space="preserve">2.</t>
  </si>
  <si>
    <t xml:space="preserve">All other index priced deals are based on their takes July 1996 through June 1997</t>
  </si>
  <si>
    <t xml:space="preserve">3.</t>
  </si>
  <si>
    <t xml:space="preserve">Tallahassee will supply the gas required for the Raiford and Madison facilities for the State of Florida Contract.  The cost per unit is equal to the sales price for these volumes.</t>
  </si>
  <si>
    <t xml:space="preserve">4.</t>
  </si>
  <si>
    <t xml:space="preserve">Zone differentials are only used as an example.  The forecast prices will be replaced with Inside FERC zone prices as they become available.  The margin will be adjusted accordingly.</t>
  </si>
  <si>
    <t xml:space="preserve">5.</t>
  </si>
  <si>
    <t xml:space="preserve">All index priced deals will be adjusted for their actual takes unless the contracts are renegotiated.  In that case, the volumes in this schedule are deemed to be the volumes flowed.</t>
  </si>
  <si>
    <t xml:space="preserve">6.</t>
  </si>
  <si>
    <t xml:space="preserve">Fuel percentages and transport rate are based on currently filed.  All data will be adjusted for changes in either of the above.</t>
  </si>
  <si>
    <t xml:space="preserve">7.</t>
  </si>
  <si>
    <t xml:space="preserve">All deals are assumed to terminate at the end of their primary contract term.  Any renewals would not fall under the terms of this contract.</t>
  </si>
  <si>
    <t xml:space="preserve">8.</t>
  </si>
  <si>
    <t xml:space="preserve">All long term deal volumes and rates are per their contracts.</t>
  </si>
  <si>
    <t xml:space="preserve">9.</t>
  </si>
  <si>
    <t xml:space="preserve">Any Amoco or Pan Nat replacement volumes that are in excess of capacity for the FP&amp;L zones will be sold into electric generation markets.  Any volumes in excess of requirements for the electric generation deals will not be purchased from ECT.</t>
  </si>
  <si>
    <t xml:space="preserve">10.</t>
  </si>
  <si>
    <t xml:space="preserve">All FTS -1 capacity will be used first for the FPC deal.  Any additional requirements will be filled with FTS - 2. Zone 1 of the FTS - 2 capacity will be used first, then Zone 3.</t>
  </si>
  <si>
    <t xml:space="preserve">11.</t>
  </si>
  <si>
    <t xml:space="preserve">Tallahassee gas supply will be at sales price.</t>
  </si>
  <si>
    <t xml:space="preserve">12.</t>
  </si>
  <si>
    <t xml:space="preserve">Any use of the FTS -1 and/or FTS - 2 capacity held in Trading or Citrus Corp.'s name will flow as Citrus Trading.</t>
  </si>
  <si>
    <t xml:space="preserve">If Pan Nat declares a force majeure, ECT will not be obligated to provide 80,000/d at zone 1 Index for the term of the force majeure.  ECT and SMC will each be obligated to provide 40,000/d.</t>
  </si>
  <si>
    <t xml:space="preserve">If the 80,000/d is in excess of requirements for the electric generation contracts, ECT/SMC will only be required to provide the volumes required for those contracts and priced per the terms of the electric generation supply contracts or </t>
  </si>
  <si>
    <t xml:space="preserve">13.</t>
  </si>
  <si>
    <t xml:space="preserve">as agreed to by the Citrus Board.  If the price agreed to is other that a Zone 1 plus adder, the receipt points in zone 1 will not be available for use by ECT/SMC.</t>
  </si>
  <si>
    <t xml:space="preserve">ECT and SMC will extend the supply contract for the FP&amp;L volumes.  Each party will provide 50% of the volumes required by zone.  The price will change to Index + $.025 for the term 7/1/99-12/31/2007 and drop to Index + $.015 for the remainder of the</t>
  </si>
  <si>
    <t xml:space="preserve">14.</t>
  </si>
  <si>
    <t xml:space="preserve">term of the FP&amp;L contract.</t>
  </si>
  <si>
    <t xml:space="preserve">Citrus Trading will sell any firm capacity needed to fulfill the firm sales requirements of the Coronet contract beyond the firm transport capacity of Coronet to ECT/SMC at an FTS - 1 rate.  This will be done using Hardee capacity discounted to </t>
  </si>
  <si>
    <t xml:space="preserve">15.</t>
  </si>
  <si>
    <t xml:space="preserve">a FTS - 1 rate.</t>
  </si>
  <si>
    <t xml:space="preserve">Volume</t>
  </si>
  <si>
    <t xml:space="preserve">Short Term Firm Rate</t>
  </si>
  <si>
    <t xml:space="preserve">Annual Revenue 100%</t>
  </si>
  <si>
    <t xml:space="preserve">Cost</t>
  </si>
  <si>
    <t xml:space="preserve">Margin</t>
  </si>
  <si>
    <t xml:space="preserve">Hardee Capacity</t>
  </si>
  <si>
    <t xml:space="preserve">St Joe Capacity</t>
  </si>
  <si>
    <t xml:space="preserve">CF Industries Capacity</t>
  </si>
  <si>
    <t xml:space="preserve">Total Capacity Held in Trading's name</t>
  </si>
  <si>
    <t xml:space="preserve">Capacity dedicated to Coronet</t>
  </si>
  <si>
    <t xml:space="preserve">Capacity dedicated to FPC</t>
  </si>
  <si>
    <t xml:space="preserve">Capacity available for resale</t>
  </si>
  <si>
    <t xml:space="preserve">Amount recovered from FPC</t>
  </si>
  <si>
    <t xml:space="preserve">Capacity Turnedback</t>
  </si>
  <si>
    <t xml:space="preserve">Total</t>
  </si>
  <si>
    <t xml:space="preserve">Inside FERC</t>
  </si>
  <si>
    <t xml:space="preserve">NYMEX</t>
  </si>
  <si>
    <t xml:space="preserve">Fuel %</t>
  </si>
  <si>
    <t xml:space="preserve">FTS - 1 Reservation Rate</t>
  </si>
  <si>
    <t xml:space="preserve">FTS - 2 Reservation Rate</t>
  </si>
  <si>
    <t xml:space="preserve">CF Industries</t>
  </si>
  <si>
    <t xml:space="preserve">FTS - 1 Usage Rate</t>
  </si>
  <si>
    <t xml:space="preserve">FTS - 2 Usage Rate</t>
  </si>
  <si>
    <t xml:space="preserve">Exxon Price</t>
  </si>
  <si>
    <t xml:space="preserve">Coronet Capacity - FTS - 1</t>
  </si>
  <si>
    <t xml:space="preserve">Coronet Capacity - FTS - 2</t>
  </si>
  <si>
    <t xml:space="preserve">FTS - 1</t>
  </si>
  <si>
    <t xml:space="preserve">FTS - 2</t>
  </si>
  <si>
    <t xml:space="preserve">Coronet</t>
  </si>
  <si>
    <t xml:space="preserve">State of Florida</t>
  </si>
  <si>
    <t xml:space="preserve">Tom's Food</t>
  </si>
  <si>
    <t xml:space="preserve">United Technologies</t>
  </si>
  <si>
    <t xml:space="preserve">Index Priced Deals</t>
  </si>
  <si>
    <t xml:space="preserve">Delivered Volume</t>
  </si>
  <si>
    <t xml:space="preserve">Transport Recovery</t>
  </si>
  <si>
    <t xml:space="preserve">Receipt Volume</t>
  </si>
  <si>
    <t xml:space="preserve">Receipt Volumes</t>
  </si>
  <si>
    <t xml:space="preserve">Per Unit Price</t>
  </si>
  <si>
    <t xml:space="preserve">Coronet FTS - 1</t>
  </si>
  <si>
    <t xml:space="preserve">Coronet FTS - 2</t>
  </si>
  <si>
    <t xml:space="preserve">Discounted Hardee</t>
  </si>
  <si>
    <t xml:space="preserve">Revenue</t>
  </si>
  <si>
    <t xml:space="preserve">Expense</t>
  </si>
  <si>
    <t xml:space="preserve">Total Volumes</t>
  </si>
  <si>
    <t xml:space="preserve">Revenue per unit Zone 1</t>
  </si>
  <si>
    <t xml:space="preserve">Revenue per unit Zone 2</t>
  </si>
  <si>
    <t xml:space="preserve">Revenue per unit Zone 3</t>
  </si>
  <si>
    <t xml:space="preserve">Adder</t>
  </si>
  <si>
    <t xml:space="preserve">Average Price Per Unit</t>
  </si>
  <si>
    <t xml:space="preserve">Average Cost Per Unit</t>
  </si>
  <si>
    <t xml:space="preserve">Delivered volumes to Raiford/   Madison</t>
  </si>
  <si>
    <t xml:space="preserve">Extra Cost for Tallahassee</t>
  </si>
  <si>
    <t xml:space="preserve">Price per Unit</t>
  </si>
  <si>
    <t xml:space="preserve">SMC Admin Fee</t>
  </si>
  <si>
    <t xml:space="preserve">ECT Admin Fee</t>
  </si>
  <si>
    <t xml:space="preserve">All Index Priced Volumes</t>
  </si>
  <si>
    <t xml:space="preserve">Fuel percentage</t>
  </si>
  <si>
    <t xml:space="preserve">Contract Volumes Zone 3</t>
  </si>
  <si>
    <t xml:space="preserve">Volumes shorted</t>
  </si>
  <si>
    <t xml:space="preserve">Zone differential zone 2 zone 3</t>
  </si>
  <si>
    <t xml:space="preserve">Days in month</t>
  </si>
  <si>
    <t xml:space="preserve">Full Year 2000</t>
  </si>
  <si>
    <t xml:space="preserve">Admin fees paid to EL Paso</t>
  </si>
  <si>
    <t xml:space="preserve">Admin fees paid to Enron</t>
  </si>
  <si>
    <t xml:space="preserve">Supply Volumes Purchased from EL Paso</t>
  </si>
  <si>
    <t xml:space="preserve">Supply Volumes Purchased from Enron</t>
  </si>
  <si>
    <t xml:space="preserve">(net of Amoco/Pan Nat replacement)</t>
  </si>
  <si>
    <t xml:space="preserve">Amoco/Pan Nat Replacement volumes purchased from Enron</t>
  </si>
  <si>
    <t xml:space="preserve">Relative value of margin stream</t>
  </si>
  <si>
    <t xml:space="preserve">from November 1, 2000</t>
  </si>
  <si>
    <t xml:space="preserve">discounted at</t>
  </si>
  <si>
    <t xml:space="preserve">This reflects the impact of FASB 133</t>
  </si>
  <si>
    <t xml:space="preserve">Contacts in Birmingham (supply)</t>
  </si>
  <si>
    <t xml:space="preserve">Heather Stubblefield  205.326.2070</t>
  </si>
  <si>
    <t xml:space="preserve">backup Tim Darden  205.325.7260</t>
  </si>
  <si>
    <t xml:space="preserve">OUC</t>
  </si>
  <si>
    <t xml:space="preserve">Auburndale</t>
  </si>
  <si>
    <t xml:space="preserve">Peoples</t>
  </si>
  <si>
    <t xml:space="preserve">Florida Power &amp; Light</t>
  </si>
  <si>
    <t xml:space="preserve">Tallahassee</t>
  </si>
  <si>
    <t xml:space="preserve">Long Term Deals</t>
  </si>
  <si>
    <t xml:space="preserve">All Deals</t>
  </si>
  <si>
    <t xml:space="preserve">Volume per Day Zone 1</t>
  </si>
  <si>
    <t xml:space="preserve">Volume per Day Zone 2</t>
  </si>
  <si>
    <t xml:space="preserve">Volume per Day Zone 3</t>
  </si>
  <si>
    <t xml:space="preserve">Sales Price Zone 1</t>
  </si>
  <si>
    <t xml:space="preserve">Sales Price Zone 2</t>
  </si>
  <si>
    <t xml:space="preserve">Sales Price Zone 3</t>
  </si>
  <si>
    <t xml:space="preserve">Supply Price Zone 1</t>
  </si>
  <si>
    <t xml:space="preserve">Supply Price Zone 2</t>
  </si>
  <si>
    <t xml:space="preserve">Supply Price Zone 3</t>
  </si>
  <si>
    <t xml:space="preserve">Volume per Day Zone 3 Cisco</t>
  </si>
  <si>
    <t xml:space="preserve">Flexed-down volumes    Zone 1</t>
  </si>
  <si>
    <t xml:space="preserve">Flexed-down volumes    Zone 2</t>
  </si>
  <si>
    <t xml:space="preserve">Flexed-down volumes    Zone 3</t>
  </si>
  <si>
    <t xml:space="preserve">Flexed-down volumes</t>
  </si>
  <si>
    <t xml:space="preserve">Enron Supply Volume per Day Zone 1 </t>
  </si>
  <si>
    <t xml:space="preserve">Enron Supply Volume per Day Zone 2</t>
  </si>
  <si>
    <t xml:space="preserve">Enron Supply Volume per Day Zone 3</t>
  </si>
  <si>
    <t xml:space="preserve">Enron Replacement Volumes@ Zone 1 Index</t>
  </si>
  <si>
    <t xml:space="preserve">Enron Replacement Volumes@ Zone 2 Index</t>
  </si>
  <si>
    <t xml:space="preserve">Sonat Supply Volume per Day Zone 1 </t>
  </si>
  <si>
    <t xml:space="preserve">Sonat Supply Volume per Day Zone 2 </t>
  </si>
  <si>
    <t xml:space="preserve">Sonat Supply Volume per Day Zone 3</t>
  </si>
  <si>
    <t xml:space="preserve">Demand Charge Supply Volumes</t>
  </si>
  <si>
    <t xml:space="preserve">Exxon</t>
  </si>
  <si>
    <t xml:space="preserve">FP&amp;L Margin</t>
  </si>
  <si>
    <t xml:space="preserve">ECT/SMC Margin</t>
  </si>
  <si>
    <t xml:space="preserve">Volumes</t>
  </si>
  <si>
    <t xml:space="preserve">FP&amp;L Admin Fee</t>
  </si>
  <si>
    <t xml:space="preserve">Other Long Term Admin Fee</t>
  </si>
  <si>
    <t xml:space="preserve">Index Priced Admin Fee</t>
  </si>
  <si>
    <t xml:space="preserve">Transport Expense</t>
  </si>
  <si>
    <t xml:space="preserve">Financial Payment</t>
  </si>
  <si>
    <t xml:space="preserve">Resale of Capacity and excess Pan Nat</t>
  </si>
  <si>
    <t xml:space="preserve">Sales Reserve</t>
  </si>
  <si>
    <t xml:space="preserve">Supply Reserve</t>
  </si>
  <si>
    <t xml:space="preserve">volumes</t>
  </si>
  <si>
    <t xml:space="preserve">FLP per unit margin</t>
  </si>
  <si>
    <t xml:space="preserve">OUC volumes</t>
  </si>
  <si>
    <t xml:space="preserve">Auburndale Volumes</t>
  </si>
  <si>
    <t xml:space="preserve">Peoples Volumes</t>
  </si>
  <si>
    <t xml:space="preserve">Tallahassee  Volume</t>
  </si>
  <si>
    <t xml:space="preserve">FPL MDQ</t>
  </si>
  <si>
    <t xml:space="preserve">Margin without financial levelization</t>
  </si>
  <si>
    <t xml:space="preserve">Margin without reserves &amp; admin fee</t>
  </si>
  <si>
    <t xml:space="preserve">ECT Gas Cost</t>
  </si>
  <si>
    <t xml:space="preserve">SMC Gas Cost</t>
  </si>
  <si>
    <t xml:space="preserve">Other Gas Cost</t>
  </si>
  <si>
    <t xml:space="preserve">Year</t>
  </si>
  <si>
    <t xml:space="preserve">FPL Volumes</t>
  </si>
  <si>
    <t xml:space="preserve">All Other</t>
  </si>
  <si>
    <t xml:space="preserve">FPC Volumes</t>
  </si>
  <si>
    <t xml:space="preserve">Other Firm Volumes</t>
  </si>
  <si>
    <t xml:space="preserve">Index Volumes</t>
  </si>
</sst>
</file>

<file path=xl/styles.xml><?xml version="1.0" encoding="utf-8"?>
<styleSheet xmlns="http://schemas.openxmlformats.org/spreadsheetml/2006/main">
  <numFmts count="20">
    <numFmt numFmtId="164" formatCode="General"/>
    <numFmt numFmtId="165" formatCode="_(* #,##0.00_);_(* \(#,##0.00\);_(* \-??_);_(@_)"/>
    <numFmt numFmtId="166" formatCode="_(* #,##0_);_(* \(#,##0\);_(* \-??_);_(@_)"/>
    <numFmt numFmtId="167" formatCode="[$-409]mmm\-yy"/>
    <numFmt numFmtId="168" formatCode="_(* #,##0.0000_);_(* \(#,##0.0000\);_(* \-??_);_(@_)"/>
    <numFmt numFmtId="169" formatCode="_(* #,##0.00000_);_(* \(#,##0.00000\);_(* \-??_);_(@_)"/>
    <numFmt numFmtId="170" formatCode="0%"/>
    <numFmt numFmtId="171" formatCode="0.0000"/>
    <numFmt numFmtId="172" formatCode="_(\$* #,##0.000_);_(\$* \(#,##0.000\);_(\$* \-??_);_(@_)"/>
    <numFmt numFmtId="173" formatCode="_(\$* #,##0.00_);_(\$* \(#,##0.00\);_(\$* \-??_);_(@_)"/>
    <numFmt numFmtId="174" formatCode="0.00%"/>
    <numFmt numFmtId="175" formatCode="_(* #,##0.000000_);_(* \(#,##0.000000\);_(* \-??_);_(@_)"/>
    <numFmt numFmtId="176" formatCode="_(* #,##0.0_);_(* \(#,##0.0\);_(* \-??_);_(@_)"/>
    <numFmt numFmtId="177" formatCode="_(\$* #,##0_);_(\$* \(#,##0\);_(\$* \-??_);_(@_)"/>
    <numFmt numFmtId="178" formatCode="0.0%"/>
    <numFmt numFmtId="179" formatCode="\$#,##0_);[RED]&quot;($&quot;#,##0\)"/>
    <numFmt numFmtId="180" formatCode="_(* #,##0.000_);_(* \(#,##0.000\);_(* \-??_);_(@_)"/>
    <numFmt numFmtId="181" formatCode="_(* #,##0.0000000000_);_(* \(#,##0.0000000000\);_(* \-??_);_(@_)"/>
    <numFmt numFmtId="182" formatCode="[$-409]#,##0_);\(#,##0\)"/>
    <numFmt numFmtId="183" formatCode="[$-409]m/d/yyyy"/>
  </numFmts>
  <fonts count="5">
    <font>
      <sz val="10"/>
      <name val="Arial"/>
      <family val="0"/>
    </font>
    <font>
      <sz val="10"/>
      <name val="Arial"/>
      <family val="0"/>
    </font>
    <font>
      <sz val="10"/>
      <name val="Arial"/>
      <family val="0"/>
    </font>
    <font>
      <sz val="10"/>
      <name val="Arial"/>
      <family val="0"/>
    </font>
    <font>
      <sz val="8"/>
      <name val="Arial"/>
      <family val="2"/>
    </font>
  </fonts>
  <fills count="4">
    <fill>
      <patternFill patternType="none"/>
    </fill>
    <fill>
      <patternFill patternType="gray125"/>
    </fill>
    <fill>
      <patternFill patternType="solid">
        <fgColor rgb="FFFFFF00"/>
        <bgColor rgb="FFFFFF00"/>
      </patternFill>
    </fill>
    <fill>
      <patternFill patternType="solid">
        <fgColor rgb="FF00FFFF"/>
        <bgColor rgb="FF00FFFF"/>
      </patternFill>
    </fill>
  </fills>
  <borders count="2">
    <border diagonalUp="false" diagonalDown="false">
      <left/>
      <right/>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3" fontId="0" fillId="0" borderId="0" applyFont="true" applyBorder="false" applyAlignment="false" applyProtection="false"/>
    <xf numFmtId="42" fontId="1" fillId="0" borderId="0" applyFont="true" applyBorder="false" applyAlignment="false" applyProtection="false"/>
    <xf numFmtId="170" fontId="0" fillId="0" borderId="0" applyFont="true" applyBorder="false" applyAlignment="false" applyProtection="false"/>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6" fontId="4" fillId="0" borderId="0" xfId="15" applyFont="true" applyBorder="true" applyAlignment="true" applyProtection="true">
      <alignment horizontal="center" vertical="bottom" textRotation="0" wrapText="tru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15" applyFont="true" applyBorder="true" applyAlignment="true" applyProtection="true">
      <alignment horizontal="general" vertical="bottom" textRotation="0" wrapText="false" indent="0" shrinkToFit="false"/>
      <protection locked="true" hidden="false"/>
    </xf>
    <xf numFmtId="168" fontId="4" fillId="0" borderId="0" xfId="15" applyFont="true" applyBorder="true" applyAlignment="true" applyProtection="true">
      <alignment horizontal="general" vertical="bottom" textRotation="0" wrapText="false" indent="0" shrinkToFit="false"/>
      <protection locked="true" hidden="false"/>
    </xf>
    <xf numFmtId="166" fontId="4" fillId="0" borderId="0" xfId="15" applyFont="true" applyBorder="true" applyAlignment="true" applyProtection="true">
      <alignment horizontal="left" vertical="bottom" textRotation="0" wrapText="false" indent="0" shrinkToFit="false"/>
      <protection locked="true" hidden="false"/>
    </xf>
    <xf numFmtId="168" fontId="4" fillId="0" borderId="0" xfId="15" applyFont="true" applyBorder="true" applyAlignment="true" applyProtection="true">
      <alignment horizontal="left"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tru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15" applyFont="true" applyBorder="true" applyAlignment="true" applyProtection="true">
      <alignment horizontal="center" vertical="bottom" textRotation="0" wrapText="false" indent="0" shrinkToFit="false"/>
      <protection locked="true" hidden="false"/>
    </xf>
    <xf numFmtId="171" fontId="4" fillId="0" borderId="0" xfId="0" applyFont="true" applyBorder="false" applyAlignment="false" applyProtection="fals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72" fontId="4" fillId="0" borderId="0" xfId="17" applyFont="true" applyBorder="true" applyAlignment="true" applyProtection="true">
      <alignment horizontal="general" vertical="bottom" textRotation="0" wrapText="false" indent="0" shrinkToFit="false"/>
      <protection locked="true" hidden="false"/>
    </xf>
    <xf numFmtId="165" fontId="4" fillId="0" borderId="0" xfId="15" applyFont="true" applyBorder="true" applyAlignment="true" applyProtection="true">
      <alignment horizontal="general" vertical="bottom" textRotation="0" wrapText="false" indent="0" shrinkToFit="false"/>
      <protection locked="true" hidden="false"/>
    </xf>
    <xf numFmtId="174" fontId="4" fillId="0" borderId="0" xfId="19" applyFont="true" applyBorder="true" applyAlignment="true" applyProtection="true">
      <alignment horizontal="general" vertical="bottom" textRotation="0" wrapText="false" indent="0" shrinkToFit="false"/>
      <protection locked="true" hidden="false"/>
    </xf>
    <xf numFmtId="168" fontId="4" fillId="0" borderId="0" xfId="15" applyFont="true" applyBorder="true" applyAlignment="true" applyProtection="true">
      <alignment horizontal="center" vertical="bottom" textRotation="0" wrapText="true" indent="0" shrinkToFit="false"/>
      <protection locked="true" hidden="false"/>
    </xf>
    <xf numFmtId="172" fontId="4" fillId="0" borderId="1" xfId="17" applyFont="true" applyBorder="true" applyAlignment="true" applyProtection="true">
      <alignment horizontal="center" vertical="bottom" textRotation="0" wrapText="false" indent="0" shrinkToFit="false"/>
      <protection locked="true" hidden="false"/>
    </xf>
    <xf numFmtId="174" fontId="4" fillId="0" borderId="1" xfId="19" applyFont="true" applyBorder="true" applyAlignment="true" applyProtection="true">
      <alignment horizontal="center" vertical="bottom" textRotation="0" wrapText="false" indent="0" shrinkToFit="false"/>
      <protection locked="true" hidden="false"/>
    </xf>
    <xf numFmtId="172" fontId="4" fillId="0" borderId="0" xfId="17" applyFont="true" applyBorder="true" applyAlignment="true" applyProtection="true">
      <alignment horizontal="center" vertical="bottom" textRotation="0" wrapText="false" indent="0" shrinkToFit="false"/>
      <protection locked="true" hidden="false"/>
    </xf>
    <xf numFmtId="174" fontId="4" fillId="0" borderId="0" xfId="19" applyFont="true" applyBorder="true" applyAlignment="true" applyProtection="true">
      <alignment horizontal="center" vertical="bottom" textRotation="0" wrapText="false" indent="0" shrinkToFit="false"/>
      <protection locked="true" hidden="false"/>
    </xf>
    <xf numFmtId="168" fontId="4" fillId="0" borderId="0" xfId="15" applyFont="true" applyBorder="true" applyAlignment="true" applyProtection="true">
      <alignment horizontal="center" vertical="bottom" textRotation="0" wrapText="false" indent="0" shrinkToFit="false"/>
      <protection locked="true" hidden="false"/>
    </xf>
    <xf numFmtId="174" fontId="4" fillId="0" borderId="0" xfId="0" applyFont="true" applyBorder="false" applyAlignment="false" applyProtection="false">
      <alignment horizontal="general" vertical="bottom" textRotation="0" wrapText="false" indent="0" shrinkToFit="false"/>
      <protection locked="true" hidden="false"/>
    </xf>
    <xf numFmtId="172" fontId="4" fillId="0" borderId="0" xfId="17" applyFont="true" applyBorder="true" applyAlignment="true" applyProtection="true">
      <alignment horizontal="right" vertical="bottom" textRotation="0" wrapText="false" indent="0" shrinkToFit="false"/>
      <protection locked="true" hidden="false"/>
    </xf>
    <xf numFmtId="175" fontId="4" fillId="0" borderId="0" xfId="15" applyFont="true" applyBorder="true" applyAlignment="true" applyProtection="true">
      <alignment horizontal="general" vertical="bottom" textRotation="0" wrapText="false" indent="0" shrinkToFit="false"/>
      <protection locked="true" hidden="false"/>
    </xf>
    <xf numFmtId="167" fontId="4" fillId="2" borderId="0" xfId="0" applyFont="true" applyBorder="false" applyAlignment="false" applyProtection="false">
      <alignment horizontal="general" vertical="bottom" textRotation="0" wrapText="false" indent="0" shrinkToFit="false"/>
      <protection locked="true" hidden="false"/>
    </xf>
    <xf numFmtId="172" fontId="4" fillId="2" borderId="0" xfId="17" applyFont="true" applyBorder="true" applyAlignment="true" applyProtection="true">
      <alignment horizontal="general" vertical="bottom" textRotation="0" wrapText="false" indent="0" shrinkToFit="false"/>
      <protection locked="true" hidden="false"/>
    </xf>
    <xf numFmtId="174" fontId="4" fillId="2" borderId="0" xfId="19" applyFont="true" applyBorder="true" applyAlignment="true" applyProtection="true">
      <alignment horizontal="general" vertical="bottom" textRotation="0" wrapText="false" indent="0" shrinkToFit="false"/>
      <protection locked="true" hidden="false"/>
    </xf>
    <xf numFmtId="17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false" applyProtection="false">
      <alignment horizontal="general" vertical="bottom" textRotation="0" wrapText="false" indent="0" shrinkToFit="false"/>
      <protection locked="true" hidden="false"/>
    </xf>
    <xf numFmtId="172" fontId="4" fillId="2" borderId="0" xfId="0" applyFont="true" applyBorder="false" applyAlignment="false" applyProtection="false">
      <alignment horizontal="general" vertical="bottom" textRotation="0" wrapText="false" indent="0" shrinkToFit="false"/>
      <protection locked="true" hidden="false"/>
    </xf>
    <xf numFmtId="168" fontId="4" fillId="2" borderId="0" xfId="15" applyFont="true" applyBorder="true" applyAlignment="true" applyProtection="true">
      <alignment horizontal="center" vertical="bottom" textRotation="0" wrapText="true" indent="0" shrinkToFit="false"/>
      <protection locked="true" hidden="false"/>
    </xf>
    <xf numFmtId="164" fontId="4" fillId="2" borderId="0" xfId="0" applyFont="true" applyBorder="false" applyAlignment="true" applyProtection="false">
      <alignment horizontal="center" vertical="bottom" textRotation="0" wrapText="true" indent="0" shrinkToFit="false"/>
      <protection locked="true" hidden="false"/>
    </xf>
    <xf numFmtId="168" fontId="4" fillId="2" borderId="0" xfId="15" applyFont="true" applyBorder="true" applyAlignment="true" applyProtection="true">
      <alignment horizontal="general" vertical="bottom" textRotation="0" wrapText="false" indent="0" shrinkToFit="false"/>
      <protection locked="true" hidden="false"/>
    </xf>
    <xf numFmtId="166" fontId="4" fillId="0" borderId="1" xfId="15" applyFont="true" applyBorder="true" applyAlignment="true" applyProtection="true">
      <alignment horizontal="center" vertical="bottom" textRotation="0" wrapText="false" indent="0" shrinkToFit="false"/>
      <protection locked="true" hidden="false"/>
    </xf>
    <xf numFmtId="166" fontId="4"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6" fontId="4" fillId="0" borderId="0" xfId="15" applyFont="true" applyBorder="true" applyAlignment="true" applyProtection="true">
      <alignment horizontal="general" vertical="bottom" textRotation="0" wrapText="false" indent="0" shrinkToFit="false"/>
      <protection locked="true" hidden="false"/>
    </xf>
    <xf numFmtId="166" fontId="0" fillId="0" borderId="0" xfId="15" applyFont="true" applyBorder="true" applyAlignment="true" applyProtection="true">
      <alignment horizontal="center" vertical="bottom"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77" fontId="0" fillId="0" borderId="0" xfId="17" applyFont="true" applyBorder="true" applyAlignment="true" applyProtection="true">
      <alignment horizontal="general" vertical="bottom" textRotation="0" wrapText="false" indent="0" shrinkToFit="false"/>
      <protection locked="true" hidden="false"/>
    </xf>
    <xf numFmtId="178" fontId="0" fillId="0" borderId="0" xfId="19" applyFont="true" applyBorder="true" applyAlignment="true" applyProtection="true">
      <alignment horizontal="general" vertical="bottom" textRotation="0" wrapText="false" indent="0" shrinkToFit="false"/>
      <protection locked="true" hidden="false"/>
    </xf>
    <xf numFmtId="179" fontId="0" fillId="0" borderId="0" xfId="0" applyFont="fals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6" fontId="4" fillId="0" borderId="1" xfId="15" applyFont="true" applyBorder="true" applyAlignment="true" applyProtection="true">
      <alignment horizontal="center"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center" vertical="bottom" textRotation="0" wrapText="true" indent="0" shrinkToFit="false"/>
      <protection locked="true" hidden="false"/>
    </xf>
    <xf numFmtId="180" fontId="4" fillId="0" borderId="0" xfId="15" applyFont="true" applyBorder="true" applyAlignment="true" applyProtection="true">
      <alignment horizontal="general" vertical="bottom" textRotation="0" wrapText="false" indent="0" shrinkToFit="false"/>
      <protection locked="true" hidden="false"/>
    </xf>
    <xf numFmtId="181" fontId="4" fillId="0" borderId="0" xfId="15" applyFont="true" applyBorder="true" applyAlignment="true" applyProtection="true">
      <alignment horizontal="general" vertical="bottom" textRotation="0" wrapText="false" indent="0" shrinkToFit="false"/>
      <protection locked="true" hidden="false"/>
    </xf>
    <xf numFmtId="166" fontId="4" fillId="3" borderId="0" xfId="0" applyFont="true" applyBorder="false" applyAlignment="false" applyProtection="false">
      <alignment horizontal="general" vertical="bottom" textRotation="0" wrapText="false" indent="0" shrinkToFit="false"/>
      <protection locked="true" hidden="false"/>
    </xf>
    <xf numFmtId="182" fontId="4" fillId="0" borderId="0" xfId="0" applyFont="true" applyBorder="fals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83" fontId="4" fillId="0" borderId="0" xfId="0" applyFont="true" applyBorder="false" applyAlignment="false" applyProtection="false">
      <alignment horizontal="general" vertical="bottom" textRotation="0" wrapText="false" indent="0" shrinkToFit="false"/>
      <protection locked="true" hidden="false"/>
    </xf>
    <xf numFmtId="166" fontId="4" fillId="3" borderId="0" xfId="15" applyFont="true" applyBorder="true" applyAlignment="true" applyProtection="true">
      <alignment horizontal="general" vertical="bottom" textRotation="0" wrapText="false" indent="0" shrinkToFit="false"/>
      <protection locked="true" hidden="false"/>
    </xf>
    <xf numFmtId="179"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externalLink" Target="externalLinks/externalLink1.xml"/><Relationship Id="rId16" Type="http://schemas.openxmlformats.org/officeDocument/2006/relationships/externalLink" Target="externalLinks/externalLink2.xml"/><Relationship Id="rId17" Type="http://schemas.openxmlformats.org/officeDocument/2006/relationships/externalLink" Target="externalLinks/externalLink3.xml"/><Relationship Id="rId18" Type="http://schemas.openxmlformats.org/officeDocument/2006/relationships/externalLink" Target="externalLinks/externalLink4.xml"/><Relationship Id="rId19"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H:/2000%20FINANCING/20%20yr%20with%20phases%20IV%20&amp;%20V.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Joe/CTRADE/FPL/FPLMISC/NEWSUP.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Joe/CTRADE/FPL/FPLMISC/FPLLEVSP.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Joe/CTRADE/FPL/FPLMISC/PANNAT~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atio Analysis"/>
      <sheetName val="CITRUS CON"/>
      <sheetName val="FGT CON"/>
      <sheetName val="062"/>
      <sheetName val="P3"/>
      <sheetName val="P4&amp;5"/>
      <sheetName val="536"/>
      <sheetName val="711"/>
      <sheetName val="Trade"/>
      <sheetName val="CESI"/>
      <sheetName val="Corp"/>
      <sheetName val="Elim"/>
      <sheetName val="Assumptions"/>
      <sheetName val="Depreciation"/>
      <sheetName val="New LTD"/>
      <sheetName val="LTD"/>
      <sheetName val="TAX"/>
      <sheetName val="Trading Summary"/>
      <sheetName val="Con Summary"/>
      <sheetName val="FGT CON SUMMARY"/>
      <sheetName val="Module1"/>
    </sheetNames>
    <sheetDataSet>
      <sheetData sheetId="0"/>
      <sheetData sheetId="1"/>
      <sheetData sheetId="2"/>
      <sheetData sheetId="3">
        <row r="50">
          <cell r="N50">
            <v>925000</v>
          </cell>
        </row>
        <row r="50">
          <cell r="P50">
            <v>925000</v>
          </cell>
          <cell r="Q50">
            <v>925000</v>
          </cell>
          <cell r="R50">
            <v>925000</v>
          </cell>
          <cell r="S50">
            <v>925000</v>
          </cell>
          <cell r="T50">
            <v>925000</v>
          </cell>
          <cell r="U50">
            <v>925000</v>
          </cell>
          <cell r="V50">
            <v>925000</v>
          </cell>
          <cell r="W50">
            <v>925000</v>
          </cell>
          <cell r="X50">
            <v>925000</v>
          </cell>
          <cell r="Y50">
            <v>925000</v>
          </cell>
          <cell r="Z50">
            <v>925000</v>
          </cell>
        </row>
        <row r="56">
          <cell r="N56">
            <v>125949</v>
          </cell>
        </row>
        <row r="56">
          <cell r="P56">
            <v>134404</v>
          </cell>
          <cell r="Q56">
            <v>134404</v>
          </cell>
          <cell r="R56">
            <v>134404</v>
          </cell>
          <cell r="S56">
            <v>134404</v>
          </cell>
          <cell r="T56">
            <v>134404</v>
          </cell>
          <cell r="U56">
            <v>134404</v>
          </cell>
          <cell r="V56">
            <v>134404</v>
          </cell>
          <cell r="W56">
            <v>134404</v>
          </cell>
          <cell r="X56">
            <v>134404</v>
          </cell>
          <cell r="Y56">
            <v>134404</v>
          </cell>
          <cell r="Z56">
            <v>134404</v>
          </cell>
        </row>
      </sheetData>
      <sheetData sheetId="4"/>
      <sheetData sheetId="5"/>
      <sheetData sheetId="6"/>
      <sheetData sheetId="7"/>
      <sheetData sheetId="8"/>
      <sheetData sheetId="9"/>
      <sheetData sheetId="10"/>
      <sheetData sheetId="11"/>
      <sheetData sheetId="12">
        <row r="9">
          <cell r="N9">
            <v>365</v>
          </cell>
        </row>
        <row r="9">
          <cell r="P9">
            <v>365</v>
          </cell>
          <cell r="Q9">
            <v>365</v>
          </cell>
          <cell r="R9">
            <v>365</v>
          </cell>
          <cell r="S9">
            <v>366</v>
          </cell>
          <cell r="T9">
            <v>365</v>
          </cell>
          <cell r="U9">
            <v>365</v>
          </cell>
          <cell r="V9">
            <v>365</v>
          </cell>
          <cell r="W9">
            <v>366</v>
          </cell>
          <cell r="X9">
            <v>365</v>
          </cell>
          <cell r="Y9">
            <v>365</v>
          </cell>
          <cell r="Z9">
            <v>365</v>
          </cell>
        </row>
      </sheetData>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1"/>
    </sheetNames>
    <sheetDataSet>
      <sheetData sheetId="0"/>
      <sheetData sheetId="1">
        <row r="13">
          <cell r="O13">
            <v>525297.336136436</v>
          </cell>
        </row>
        <row r="14">
          <cell r="O14">
            <v>542807.247340984</v>
          </cell>
        </row>
        <row r="16">
          <cell r="O16">
            <v>494844.379883532</v>
          </cell>
        </row>
        <row r="17">
          <cell r="O17">
            <v>446956.214088351</v>
          </cell>
        </row>
        <row r="18">
          <cell r="O18">
            <v>494844.379883532</v>
          </cell>
        </row>
        <row r="19">
          <cell r="O19">
            <v>478881.657951805</v>
          </cell>
        </row>
        <row r="20">
          <cell r="O20">
            <v>709276.944499729</v>
          </cell>
        </row>
        <row r="21">
          <cell r="O21">
            <v>686397.043064254</v>
          </cell>
        </row>
        <row r="22">
          <cell r="O22">
            <v>709276.944499729</v>
          </cell>
        </row>
        <row r="23">
          <cell r="O23">
            <v>709276.944499729</v>
          </cell>
        </row>
        <row r="24">
          <cell r="O24">
            <v>686397.043064254</v>
          </cell>
        </row>
        <row r="25">
          <cell r="O25">
            <v>494844.379883532</v>
          </cell>
        </row>
        <row r="26">
          <cell r="O26">
            <v>478881.657951805</v>
          </cell>
        </row>
        <row r="27">
          <cell r="O27">
            <v>494844.379883532</v>
          </cell>
        </row>
        <row r="29">
          <cell r="O29">
            <v>446881.51242608</v>
          </cell>
        </row>
        <row r="30">
          <cell r="O30">
            <v>403634.914449362</v>
          </cell>
        </row>
        <row r="31">
          <cell r="O31">
            <v>446881.51242608</v>
          </cell>
        </row>
        <row r="32">
          <cell r="O32">
            <v>432465.979767174</v>
          </cell>
        </row>
        <row r="33">
          <cell r="O33">
            <v>640530.167810714</v>
          </cell>
        </row>
        <row r="34">
          <cell r="O34">
            <v>619867.904332949</v>
          </cell>
        </row>
        <row r="35">
          <cell r="O35">
            <v>300518.712543033</v>
          </cell>
        </row>
        <row r="36">
          <cell r="O36">
            <v>300518.712543033</v>
          </cell>
        </row>
        <row r="37">
          <cell r="O37">
            <v>290824.560525515</v>
          </cell>
        </row>
        <row r="38">
          <cell r="O38">
            <v>175524.203786196</v>
          </cell>
        </row>
        <row r="39">
          <cell r="O39">
            <v>169862.132696319</v>
          </cell>
        </row>
        <row r="40">
          <cell r="O40">
            <v>175524.203786196</v>
          </cell>
        </row>
        <row r="42">
          <cell r="O42">
            <v>112213.218742359</v>
          </cell>
        </row>
        <row r="43">
          <cell r="O43">
            <v>104973.656242852</v>
          </cell>
        </row>
        <row r="44">
          <cell r="O44">
            <v>112213.218742359</v>
          </cell>
        </row>
        <row r="45">
          <cell r="O45">
            <v>108593.437492605</v>
          </cell>
        </row>
        <row r="46">
          <cell r="O46">
            <v>192122.63208919</v>
          </cell>
        </row>
        <row r="47">
          <cell r="O47">
            <v>185925.127828249</v>
          </cell>
        </row>
        <row r="48">
          <cell r="O48">
            <v>192122.63208919</v>
          </cell>
        </row>
        <row r="49">
          <cell r="O49">
            <v>192122.63208919</v>
          </cell>
        </row>
        <row r="50">
          <cell r="O50">
            <v>185925.127828249</v>
          </cell>
        </row>
        <row r="51">
          <cell r="O51">
            <v>112213.218742359</v>
          </cell>
        </row>
        <row r="52">
          <cell r="O52">
            <v>108593.437492605</v>
          </cell>
        </row>
        <row r="53">
          <cell r="O53">
            <v>112213.218742359</v>
          </cell>
        </row>
        <row r="55">
          <cell r="O55">
            <v>27798.572017243</v>
          </cell>
        </row>
        <row r="56">
          <cell r="O56">
            <v>25108.3876284775</v>
          </cell>
        </row>
        <row r="57">
          <cell r="O57">
            <v>27798.572017243</v>
          </cell>
        </row>
        <row r="58">
          <cell r="O58">
            <v>26901.8438876545</v>
          </cell>
        </row>
        <row r="59">
          <cell r="O59">
            <v>47594.5248174008</v>
          </cell>
        </row>
        <row r="60">
          <cell r="O60">
            <v>46059.2175652266</v>
          </cell>
        </row>
        <row r="61">
          <cell r="O61">
            <v>47594.5248174008</v>
          </cell>
        </row>
        <row r="62">
          <cell r="O62">
            <v>47594.5248174008</v>
          </cell>
        </row>
        <row r="63">
          <cell r="O63">
            <v>46059.2175652266</v>
          </cell>
        </row>
        <row r="64">
          <cell r="O64">
            <v>27798.572017243</v>
          </cell>
        </row>
        <row r="65">
          <cell r="O65">
            <v>26901.8438876545</v>
          </cell>
        </row>
        <row r="66">
          <cell r="O66">
            <v>27798.572017243</v>
          </cell>
        </row>
        <row r="68">
          <cell r="O68">
            <v>-14408.7513453151</v>
          </cell>
        </row>
        <row r="69">
          <cell r="O69">
            <v>-13014.356053833</v>
          </cell>
        </row>
        <row r="70">
          <cell r="O70">
            <v>-14408.7513453151</v>
          </cell>
        </row>
        <row r="71">
          <cell r="O71">
            <v>-13943.9529148211</v>
          </cell>
        </row>
        <row r="72">
          <cell r="O72">
            <v>-24669.528818494</v>
          </cell>
        </row>
        <row r="73">
          <cell r="O73">
            <v>-23873.7375662845</v>
          </cell>
        </row>
        <row r="74">
          <cell r="O74">
            <v>-24669.528818494</v>
          </cell>
        </row>
        <row r="75">
          <cell r="O75">
            <v>-24669.528818494</v>
          </cell>
        </row>
        <row r="76">
          <cell r="O76">
            <v>-23873.7375662845</v>
          </cell>
        </row>
        <row r="77">
          <cell r="O77">
            <v>-14408.7513453151</v>
          </cell>
        </row>
        <row r="78">
          <cell r="O78">
            <v>-13943.9529148211</v>
          </cell>
        </row>
        <row r="79">
          <cell r="O79">
            <v>-14408.7513453151</v>
          </cell>
        </row>
        <row r="81">
          <cell r="O81">
            <v>-56616.0747078731</v>
          </cell>
        </row>
        <row r="82">
          <cell r="O82">
            <v>-51137.0997361434</v>
          </cell>
        </row>
        <row r="83">
          <cell r="O83">
            <v>-56616.0747078731</v>
          </cell>
        </row>
        <row r="84">
          <cell r="O84">
            <v>-54789.7497172965</v>
          </cell>
        </row>
        <row r="85">
          <cell r="O85">
            <v>-96933.5824543888</v>
          </cell>
        </row>
        <row r="86">
          <cell r="O86">
            <v>-93806.6926977956</v>
          </cell>
        </row>
        <row r="87">
          <cell r="O87">
            <v>-96933.5824543888</v>
          </cell>
        </row>
        <row r="88">
          <cell r="O88">
            <v>-96933.5824543888</v>
          </cell>
        </row>
        <row r="89">
          <cell r="O89">
            <v>-93806.6926977956</v>
          </cell>
        </row>
        <row r="90">
          <cell r="O90">
            <v>-56616.0747078731</v>
          </cell>
        </row>
        <row r="91">
          <cell r="O91">
            <v>-54789.7497172965</v>
          </cell>
        </row>
        <row r="92">
          <cell r="O92">
            <v>-56616.0747078731</v>
          </cell>
        </row>
        <row r="94">
          <cell r="O94">
            <v>-98823.3980704311</v>
          </cell>
        </row>
        <row r="95">
          <cell r="O95">
            <v>-92447.6949691129</v>
          </cell>
        </row>
        <row r="96">
          <cell r="O96">
            <v>-98823.3980704311</v>
          </cell>
        </row>
        <row r="97">
          <cell r="O97">
            <v>-95635.546519772</v>
          </cell>
        </row>
        <row r="98">
          <cell r="O98">
            <v>-169197.636090284</v>
          </cell>
        </row>
        <row r="99">
          <cell r="O99">
            <v>-163739.647829307</v>
          </cell>
        </row>
        <row r="100">
          <cell r="O100">
            <v>-169197.636090284</v>
          </cell>
        </row>
        <row r="101">
          <cell r="O101">
            <v>-169197.636090284</v>
          </cell>
        </row>
        <row r="102">
          <cell r="O102">
            <v>-163739.647829307</v>
          </cell>
        </row>
        <row r="103">
          <cell r="O103">
            <v>-98823.3980704311</v>
          </cell>
        </row>
        <row r="104">
          <cell r="O104">
            <v>-95635.546519772</v>
          </cell>
        </row>
        <row r="105">
          <cell r="O105">
            <v>-98823.3980704311</v>
          </cell>
        </row>
        <row r="107">
          <cell r="O107">
            <v>-141030.721432989</v>
          </cell>
        </row>
        <row r="108">
          <cell r="O108">
            <v>-127382.587100764</v>
          </cell>
        </row>
        <row r="109">
          <cell r="O109">
            <v>-141030.721432989</v>
          </cell>
        </row>
        <row r="110">
          <cell r="O110">
            <v>-136481.343322248</v>
          </cell>
        </row>
        <row r="111">
          <cell r="O111">
            <v>-241461.689726178</v>
          </cell>
        </row>
        <row r="112">
          <cell r="O112">
            <v>-233672.602960818</v>
          </cell>
        </row>
        <row r="113">
          <cell r="O113">
            <v>-241461.689726178</v>
          </cell>
        </row>
        <row r="114">
          <cell r="O114">
            <v>-213682.911262105</v>
          </cell>
        </row>
        <row r="115">
          <cell r="O115">
            <v>-206789.914124617</v>
          </cell>
        </row>
        <row r="116">
          <cell r="O116">
            <v>-141030.721432989</v>
          </cell>
        </row>
        <row r="117">
          <cell r="O117">
            <v>-136481.343322248</v>
          </cell>
        </row>
        <row r="118">
          <cell r="O118">
            <v>-141030.721432989</v>
          </cell>
        </row>
        <row r="120">
          <cell r="O120">
            <v>-183238.044795547</v>
          </cell>
        </row>
        <row r="121">
          <cell r="O121">
            <v>-165505.330783075</v>
          </cell>
        </row>
        <row r="122">
          <cell r="O122">
            <v>-183238.044795547</v>
          </cell>
        </row>
        <row r="123">
          <cell r="O123">
            <v>-177327.140124723</v>
          </cell>
        </row>
        <row r="124">
          <cell r="O124">
            <v>-277633.401205374</v>
          </cell>
        </row>
        <row r="125">
          <cell r="O125">
            <v>-268677.485037459</v>
          </cell>
        </row>
        <row r="126">
          <cell r="O126">
            <v>-277633.401205374</v>
          </cell>
        </row>
        <row r="127">
          <cell r="O127">
            <v>-277633.401205374</v>
          </cell>
        </row>
        <row r="128">
          <cell r="O128">
            <v>-268677.485037459</v>
          </cell>
        </row>
        <row r="129">
          <cell r="O129">
            <v>-183238.044795547</v>
          </cell>
        </row>
        <row r="130">
          <cell r="O130">
            <v>-177327.140124723</v>
          </cell>
        </row>
        <row r="131">
          <cell r="O131">
            <v>-183238.044795547</v>
          </cell>
        </row>
        <row r="133">
          <cell r="O133">
            <v>-225445.368158105</v>
          </cell>
        </row>
        <row r="134">
          <cell r="O134">
            <v>-203628.074465385</v>
          </cell>
        </row>
        <row r="135">
          <cell r="O135">
            <v>-225445.368158105</v>
          </cell>
        </row>
        <row r="136">
          <cell r="O136">
            <v>-218172.936927199</v>
          </cell>
        </row>
        <row r="137">
          <cell r="O137">
            <v>-341583.891148644</v>
          </cell>
        </row>
        <row r="138">
          <cell r="O138">
            <v>-330565.055950301</v>
          </cell>
        </row>
        <row r="139">
          <cell r="O139">
            <v>-341583.891148644</v>
          </cell>
        </row>
        <row r="140">
          <cell r="O140">
            <v>-341583.891148644</v>
          </cell>
        </row>
        <row r="141">
          <cell r="O141">
            <v>-330565.055950301</v>
          </cell>
        </row>
        <row r="142">
          <cell r="O142">
            <v>-225445.368158105</v>
          </cell>
        </row>
        <row r="143">
          <cell r="O143">
            <v>-218172.936927199</v>
          </cell>
        </row>
        <row r="144">
          <cell r="O144">
            <v>-225445.368158105</v>
          </cell>
        </row>
        <row r="146">
          <cell r="O146">
            <v>-267652.691520663</v>
          </cell>
        </row>
        <row r="147">
          <cell r="O147">
            <v>-250384.775938685</v>
          </cell>
        </row>
        <row r="148">
          <cell r="O148">
            <v>-267652.691520663</v>
          </cell>
        </row>
        <row r="149">
          <cell r="O149">
            <v>-259018.733729674</v>
          </cell>
        </row>
        <row r="150">
          <cell r="O150">
            <v>-405534.381091914</v>
          </cell>
        </row>
        <row r="151">
          <cell r="O151">
            <v>-392452.626863143</v>
          </cell>
        </row>
        <row r="152">
          <cell r="O152">
            <v>-405534.381091914</v>
          </cell>
        </row>
        <row r="153">
          <cell r="O153">
            <v>-405534.381091914</v>
          </cell>
        </row>
        <row r="154">
          <cell r="O154">
            <v>-392452.626863143</v>
          </cell>
        </row>
        <row r="155">
          <cell r="O155">
            <v>-267652.691520663</v>
          </cell>
        </row>
        <row r="156">
          <cell r="O156">
            <v>-259018.733729674</v>
          </cell>
        </row>
        <row r="157">
          <cell r="O157">
            <v>-267652.691520663</v>
          </cell>
        </row>
        <row r="159">
          <cell r="O159">
            <v>-309860.014883221</v>
          </cell>
        </row>
        <row r="160">
          <cell r="O160">
            <v>-279873.561830006</v>
          </cell>
        </row>
        <row r="161">
          <cell r="O161">
            <v>-309860.014883221</v>
          </cell>
        </row>
        <row r="162">
          <cell r="O162">
            <v>-299864.53053215</v>
          </cell>
        </row>
        <row r="163">
          <cell r="O163">
            <v>-469484.871035184</v>
          </cell>
        </row>
        <row r="164">
          <cell r="O164">
            <v>-454340.197775984</v>
          </cell>
        </row>
        <row r="165">
          <cell r="O165">
            <v>-469484.871035184</v>
          </cell>
        </row>
        <row r="166">
          <cell r="O166">
            <v>-469484.871035184</v>
          </cell>
        </row>
        <row r="167">
          <cell r="O167">
            <v>-454340.197775984</v>
          </cell>
        </row>
        <row r="168">
          <cell r="O168">
            <v>-309860.014883221</v>
          </cell>
        </row>
        <row r="169">
          <cell r="O169">
            <v>-299864.53053215</v>
          </cell>
        </row>
        <row r="170">
          <cell r="O170">
            <v>-309860.014883221</v>
          </cell>
        </row>
        <row r="172">
          <cell r="O172">
            <v>-309860.014883221</v>
          </cell>
        </row>
        <row r="173">
          <cell r="O173">
            <v>-279873.561830006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ng Term Deals"/>
      <sheetName val="Prices&amp;Fuel"/>
    </sheetNames>
    <sheetDataSet>
      <sheetData sheetId="0">
        <row r="4">
          <cell r="Z4">
            <v>127773.398065398</v>
          </cell>
        </row>
        <row r="5">
          <cell r="Z5">
            <v>132032.511334244</v>
          </cell>
        </row>
        <row r="6">
          <cell r="Z6">
            <v>132032.511334244</v>
          </cell>
        </row>
        <row r="7">
          <cell r="Z7">
            <v>118520.094803195</v>
          </cell>
        </row>
        <row r="8">
          <cell r="Z8">
            <v>131218.676389252</v>
          </cell>
        </row>
        <row r="9">
          <cell r="Z9">
            <v>126985.815860567</v>
          </cell>
        </row>
        <row r="10">
          <cell r="Z10">
            <v>245187.217824599</v>
          </cell>
        </row>
        <row r="11">
          <cell r="Z11">
            <v>237277.952733483</v>
          </cell>
        </row>
        <row r="12">
          <cell r="Z12">
            <v>245187.217824599</v>
          </cell>
        </row>
        <row r="13">
          <cell r="Z13">
            <v>252636.517824595</v>
          </cell>
        </row>
        <row r="14">
          <cell r="Z14">
            <v>244486.952733479</v>
          </cell>
        </row>
        <row r="15">
          <cell r="Z15">
            <v>138667.976389252</v>
          </cell>
        </row>
        <row r="16">
          <cell r="Z16">
            <v>134194.815860567</v>
          </cell>
        </row>
        <row r="17">
          <cell r="Z17">
            <v>138667.976389252</v>
          </cell>
        </row>
        <row r="18">
          <cell r="Z18">
            <v>138667.976389252</v>
          </cell>
        </row>
        <row r="19">
          <cell r="Z19">
            <v>125248.494803196</v>
          </cell>
        </row>
        <row r="20">
          <cell r="Z20">
            <v>138667.976389252</v>
          </cell>
        </row>
        <row r="21">
          <cell r="Z21">
            <v>134194.815860567</v>
          </cell>
        </row>
        <row r="22">
          <cell r="Z22">
            <v>252636.517824595</v>
          </cell>
        </row>
        <row r="23">
          <cell r="Z23">
            <v>244486.952733479</v>
          </cell>
        </row>
        <row r="24">
          <cell r="Z24">
            <v>-44141.0768835924</v>
          </cell>
        </row>
        <row r="25">
          <cell r="Z25">
            <v>-44025.6018835929</v>
          </cell>
        </row>
        <row r="26">
          <cell r="Z26">
            <v>-42605.4211776705</v>
          </cell>
        </row>
        <row r="27">
          <cell r="Z27">
            <v>-34947.7629697056</v>
          </cell>
        </row>
        <row r="28">
          <cell r="Z28">
            <v>-33820.4157771345</v>
          </cell>
        </row>
        <row r="29">
          <cell r="Z29">
            <v>-34895.0629697055</v>
          </cell>
        </row>
        <row r="30">
          <cell r="Z30">
            <v>-34895.0629697055</v>
          </cell>
        </row>
        <row r="31">
          <cell r="Z31">
            <v>-32643.7685845632</v>
          </cell>
        </row>
        <row r="32">
          <cell r="Z32">
            <v>-34895.0629697055</v>
          </cell>
        </row>
        <row r="33">
          <cell r="Z33">
            <v>-33769.4157771343</v>
          </cell>
        </row>
        <row r="34">
          <cell r="Z34">
            <v>-43972.9018835931</v>
          </cell>
        </row>
        <row r="35">
          <cell r="Z35">
            <v>-42554.4211776707</v>
          </cell>
        </row>
        <row r="36">
          <cell r="Z36">
            <v>-43972.9018835931</v>
          </cell>
        </row>
        <row r="37">
          <cell r="Z37">
            <v>-43972.9018835931</v>
          </cell>
        </row>
        <row r="38">
          <cell r="Z38">
            <v>-42554.4211776707</v>
          </cell>
        </row>
        <row r="39">
          <cell r="Z39">
            <v>-34895.0629697055</v>
          </cell>
        </row>
        <row r="40">
          <cell r="Z40">
            <v>-33769.4157771343</v>
          </cell>
        </row>
        <row r="41">
          <cell r="Z41">
            <v>-34895.0629697055</v>
          </cell>
        </row>
        <row r="42">
          <cell r="Z42">
            <v>-34895.0629697055</v>
          </cell>
        </row>
        <row r="43">
          <cell r="Z43">
            <v>-31518.1213919921</v>
          </cell>
        </row>
        <row r="44">
          <cell r="Z44">
            <v>-34895.0629697055</v>
          </cell>
        </row>
        <row r="45">
          <cell r="Z45">
            <v>-33769.4157771343</v>
          </cell>
        </row>
        <row r="46">
          <cell r="Z46">
            <v>-43972.9018835931</v>
          </cell>
        </row>
        <row r="47">
          <cell r="Z47">
            <v>-42554.4211776707</v>
          </cell>
        </row>
        <row r="48">
          <cell r="Z48">
            <v>-43972.9018835931</v>
          </cell>
        </row>
        <row r="49">
          <cell r="Z49">
            <v>-43972.9018835931</v>
          </cell>
        </row>
        <row r="50">
          <cell r="Z50">
            <v>-42554.4211776707</v>
          </cell>
        </row>
        <row r="51">
          <cell r="Z51">
            <v>-34895.0629697055</v>
          </cell>
        </row>
        <row r="52">
          <cell r="Z52">
            <v>-33769.4157771343</v>
          </cell>
        </row>
        <row r="53">
          <cell r="Z53">
            <v>-34895.0629697055</v>
          </cell>
        </row>
        <row r="54">
          <cell r="Z54">
            <v>-34895.0629697055</v>
          </cell>
        </row>
        <row r="55">
          <cell r="Z55">
            <v>-31518.1213919921</v>
          </cell>
        </row>
        <row r="56">
          <cell r="Z56">
            <v>-34895.0629697055</v>
          </cell>
        </row>
        <row r="57">
          <cell r="Z57">
            <v>-33769.4157771343</v>
          </cell>
        </row>
        <row r="58">
          <cell r="Z58">
            <v>-43972.9018835931</v>
          </cell>
        </row>
        <row r="59">
          <cell r="Z59">
            <v>-42554.4211776707</v>
          </cell>
        </row>
        <row r="60">
          <cell r="Z60">
            <v>-43972.9018835931</v>
          </cell>
        </row>
        <row r="61">
          <cell r="Z61">
            <v>-43972.9018835931</v>
          </cell>
        </row>
        <row r="62">
          <cell r="Z62">
            <v>-42554.4211776707</v>
          </cell>
        </row>
        <row r="63">
          <cell r="Z63">
            <v>-34895.0629697055</v>
          </cell>
        </row>
        <row r="64">
          <cell r="Z64">
            <v>-33769.4157771343</v>
          </cell>
        </row>
        <row r="65">
          <cell r="Z65">
            <v>-34895.0629697055</v>
          </cell>
        </row>
        <row r="66">
          <cell r="Z66">
            <v>-34895.0629697055</v>
          </cell>
        </row>
        <row r="67">
          <cell r="Z67">
            <v>-31518.1213919921</v>
          </cell>
        </row>
        <row r="68">
          <cell r="Z68">
            <v>-34895.0629697055</v>
          </cell>
        </row>
        <row r="69">
          <cell r="Z69">
            <v>-33769.4157771343</v>
          </cell>
        </row>
        <row r="70">
          <cell r="Z70">
            <v>-43972.9018835931</v>
          </cell>
        </row>
        <row r="71">
          <cell r="Z71">
            <v>-42554.4211776707</v>
          </cell>
        </row>
        <row r="72">
          <cell r="Z72">
            <v>-43972.9018835931</v>
          </cell>
        </row>
        <row r="73">
          <cell r="Z73">
            <v>-43972.9018835931</v>
          </cell>
        </row>
        <row r="74">
          <cell r="Z74">
            <v>-42554.4211776707</v>
          </cell>
        </row>
        <row r="75">
          <cell r="Z75">
            <v>-34895.0629697055</v>
          </cell>
        </row>
        <row r="76">
          <cell r="Z76">
            <v>-33769.4157771343</v>
          </cell>
        </row>
        <row r="77">
          <cell r="Z77">
            <v>-34895.0629697055</v>
          </cell>
        </row>
        <row r="78">
          <cell r="Z78">
            <v>-34895.0629697055</v>
          </cell>
        </row>
        <row r="79">
          <cell r="Z79">
            <v>-32643.7685845632</v>
          </cell>
        </row>
        <row r="80">
          <cell r="Z80">
            <v>-34895.0629697055</v>
          </cell>
        </row>
        <row r="81">
          <cell r="Z81">
            <v>-33769.4157771343</v>
          </cell>
        </row>
        <row r="82">
          <cell r="Z82">
            <v>-43972.9018835931</v>
          </cell>
        </row>
        <row r="83">
          <cell r="Z83">
            <v>-42554.4211776707</v>
          </cell>
        </row>
        <row r="84">
          <cell r="Z84">
            <v>-43972.9018835931</v>
          </cell>
        </row>
        <row r="85">
          <cell r="Z85">
            <v>-43972.9018835931</v>
          </cell>
        </row>
        <row r="86">
          <cell r="Z86">
            <v>-42554.4211776707</v>
          </cell>
        </row>
        <row r="87">
          <cell r="Z87">
            <v>-34895.0629697055</v>
          </cell>
        </row>
        <row r="88">
          <cell r="Z88">
            <v>-33769.4157771343</v>
          </cell>
        </row>
        <row r="89">
          <cell r="Z89">
            <v>-34895.0629697055</v>
          </cell>
        </row>
        <row r="90">
          <cell r="Z90">
            <v>-34895.0629697055</v>
          </cell>
        </row>
        <row r="91">
          <cell r="Z91">
            <v>-31518.1213919921</v>
          </cell>
        </row>
        <row r="92">
          <cell r="Z92">
            <v>-34895.0629697055</v>
          </cell>
        </row>
        <row r="93">
          <cell r="Z93">
            <v>-33769.4157771343</v>
          </cell>
        </row>
        <row r="94">
          <cell r="Z94">
            <v>-43972.9018835931</v>
          </cell>
        </row>
        <row r="95">
          <cell r="Z95">
            <v>-42554.4211776707</v>
          </cell>
        </row>
        <row r="96">
          <cell r="Z96">
            <v>-43972.9018835931</v>
          </cell>
        </row>
        <row r="97">
          <cell r="Z97">
            <v>-43972.9018835931</v>
          </cell>
        </row>
        <row r="98">
          <cell r="Z98">
            <v>17445.5788223299</v>
          </cell>
        </row>
        <row r="99">
          <cell r="Z99">
            <v>10529.1015547159</v>
          </cell>
        </row>
        <row r="100">
          <cell r="Z100">
            <v>10189.453117467</v>
          </cell>
        </row>
        <row r="101">
          <cell r="Z101">
            <v>10529.1015547159</v>
          </cell>
        </row>
        <row r="102">
          <cell r="Z102">
            <v>10529.1015547159</v>
          </cell>
        </row>
        <row r="103">
          <cell r="Z103">
            <v>9510.15624296921</v>
          </cell>
        </row>
        <row r="104">
          <cell r="Z104">
            <v>10529.1015547159</v>
          </cell>
        </row>
        <row r="105">
          <cell r="Z105">
            <v>10189.453117467</v>
          </cell>
        </row>
        <row r="106">
          <cell r="Z106">
            <v>15953.184173812</v>
          </cell>
        </row>
        <row r="107">
          <cell r="Z107">
            <v>15438.5653294955</v>
          </cell>
        </row>
        <row r="108">
          <cell r="Z108">
            <v>15953.184173812</v>
          </cell>
        </row>
        <row r="109">
          <cell r="Z109">
            <v>15953.184173812</v>
          </cell>
        </row>
        <row r="110">
          <cell r="Z110">
            <v>15438.5653294955</v>
          </cell>
        </row>
        <row r="111">
          <cell r="Z111">
            <v>10529.1015547159</v>
          </cell>
        </row>
        <row r="112">
          <cell r="Z112">
            <v>10189.453117467</v>
          </cell>
        </row>
        <row r="113">
          <cell r="Z113">
            <v>10529.1015547159</v>
          </cell>
        </row>
        <row r="114">
          <cell r="Z114">
            <v>10529.1015547159</v>
          </cell>
        </row>
        <row r="115">
          <cell r="Z115">
            <v>9510.15624296921</v>
          </cell>
        </row>
        <row r="116">
          <cell r="Z116">
            <v>10529.1015547159</v>
          </cell>
        </row>
        <row r="117">
          <cell r="Z117">
            <v>10189.453117467</v>
          </cell>
        </row>
        <row r="118">
          <cell r="Z118">
            <v>15953.184173812</v>
          </cell>
        </row>
        <row r="119">
          <cell r="Z119">
            <v>15438.5653294955</v>
          </cell>
        </row>
        <row r="120">
          <cell r="Z120">
            <v>15953.184173812</v>
          </cell>
        </row>
        <row r="121">
          <cell r="Z121">
            <v>15953.184173812</v>
          </cell>
        </row>
        <row r="122">
          <cell r="Z122">
            <v>15438.5653294955</v>
          </cell>
        </row>
        <row r="123">
          <cell r="Z123">
            <v>10529.1015547159</v>
          </cell>
        </row>
        <row r="124">
          <cell r="Z124">
            <v>10189.453117467</v>
          </cell>
        </row>
        <row r="125">
          <cell r="Z125">
            <v>10529.1015547159</v>
          </cell>
        </row>
        <row r="126">
          <cell r="Z126">
            <v>-31548.0192679062</v>
          </cell>
        </row>
        <row r="127">
          <cell r="Z127">
            <v>-29512.6631861058</v>
          </cell>
        </row>
        <row r="128">
          <cell r="Z128">
            <v>-31548.0192679062</v>
          </cell>
        </row>
        <row r="129">
          <cell r="Z129">
            <v>-30530.341227006</v>
          </cell>
        </row>
        <row r="130">
          <cell r="Z130">
            <v>-47800.0291937973</v>
          </cell>
        </row>
        <row r="131">
          <cell r="Z131">
            <v>-46258.092768191</v>
          </cell>
        </row>
        <row r="132">
          <cell r="Z132">
            <v>-47800.0291937973</v>
          </cell>
        </row>
        <row r="133">
          <cell r="Z133">
            <v>-47800.0291937973</v>
          </cell>
        </row>
        <row r="134">
          <cell r="Z134">
            <v>-46258.092768191</v>
          </cell>
        </row>
        <row r="135">
          <cell r="Z135">
            <v>-31548.0192679062</v>
          </cell>
        </row>
        <row r="136">
          <cell r="Z136">
            <v>-30530.341227006</v>
          </cell>
        </row>
        <row r="137">
          <cell r="Z137">
            <v>-31548.0192679062</v>
          </cell>
        </row>
        <row r="138">
          <cell r="Z138">
            <v>-31548.0192679062</v>
          </cell>
        </row>
        <row r="139">
          <cell r="Z139">
            <v>-28494.9851452056</v>
          </cell>
        </row>
        <row r="140">
          <cell r="Z140">
            <v>-31548.0192679062</v>
          </cell>
        </row>
        <row r="141">
          <cell r="Z141">
            <v>-30530.341227006</v>
          </cell>
        </row>
        <row r="142">
          <cell r="Z142">
            <v>-47800.0291937973</v>
          </cell>
        </row>
        <row r="143">
          <cell r="Z143">
            <v>-46258.092768191</v>
          </cell>
        </row>
        <row r="144">
          <cell r="Z144">
            <v>-47800.0291937973</v>
          </cell>
        </row>
        <row r="145">
          <cell r="Z145">
            <v>-47800.0291937973</v>
          </cell>
        </row>
        <row r="146">
          <cell r="Z146">
            <v>-46258.092768191</v>
          </cell>
        </row>
        <row r="147">
          <cell r="Z147">
            <v>-31548.0192679062</v>
          </cell>
        </row>
        <row r="148">
          <cell r="Z148">
            <v>-30530.341227006</v>
          </cell>
        </row>
        <row r="149">
          <cell r="Z149">
            <v>-31548.0192679062</v>
          </cell>
        </row>
        <row r="150">
          <cell r="Z150">
            <v>-31548.0192679062</v>
          </cell>
        </row>
        <row r="151">
          <cell r="Z151">
            <v>-28494.9851452056</v>
          </cell>
        </row>
      </sheetData>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PANNAT~1"/>
    </sheetNames>
    <sheetDataSet>
      <sheetData sheetId="0">
        <row r="12">
          <cell r="AL12">
            <v>216274.518277749</v>
          </cell>
        </row>
        <row r="13">
          <cell r="AL13">
            <v>45619.3713476434</v>
          </cell>
        </row>
        <row r="14">
          <cell r="AL14">
            <v>216274.518277749</v>
          </cell>
        </row>
        <row r="15">
          <cell r="AL15">
            <v>90464.2663600538</v>
          </cell>
        </row>
        <row r="16">
          <cell r="AL16">
            <v>146131.160998479</v>
          </cell>
        </row>
        <row r="17">
          <cell r="AL17">
            <v>107695.317095302</v>
          </cell>
        </row>
        <row r="18">
          <cell r="AL18">
            <v>146131.160998479</v>
          </cell>
        </row>
        <row r="19">
          <cell r="AL19">
            <v>170387.481634937</v>
          </cell>
        </row>
        <row r="20">
          <cell r="AL20">
            <v>125571.595130585</v>
          </cell>
        </row>
        <row r="21">
          <cell r="AL21">
            <v>170387.481634937</v>
          </cell>
        </row>
        <row r="22">
          <cell r="AL22">
            <v>125571.595130585</v>
          </cell>
        </row>
        <row r="23">
          <cell r="AL23">
            <v>170387.481634937</v>
          </cell>
        </row>
        <row r="24">
          <cell r="AL24">
            <v>170387.481634937</v>
          </cell>
        </row>
        <row r="25">
          <cell r="AL25">
            <v>80755.708626233</v>
          </cell>
        </row>
        <row r="26">
          <cell r="AL26">
            <v>170387.481634937</v>
          </cell>
        </row>
        <row r="27">
          <cell r="AL27">
            <v>125571.595130585</v>
          </cell>
        </row>
        <row r="28">
          <cell r="AL28">
            <v>170387.481634937</v>
          </cell>
        </row>
        <row r="29">
          <cell r="AL29">
            <v>125571.595130585</v>
          </cell>
        </row>
        <row r="30">
          <cell r="AL30">
            <v>170387.481634937</v>
          </cell>
        </row>
        <row r="31">
          <cell r="AL31">
            <v>118982.451463535</v>
          </cell>
        </row>
        <row r="32">
          <cell r="AL32">
            <v>87687.3723840676</v>
          </cell>
        </row>
        <row r="33">
          <cell r="AL33">
            <v>118982.451463539</v>
          </cell>
        </row>
        <row r="34">
          <cell r="AL34">
            <v>87687.3723840676</v>
          </cell>
        </row>
        <row r="35">
          <cell r="AL35">
            <v>118982.451463539</v>
          </cell>
        </row>
        <row r="36">
          <cell r="AL36">
            <v>118982.451463535</v>
          </cell>
        </row>
        <row r="37">
          <cell r="AL37">
            <v>25097.214225132</v>
          </cell>
        </row>
        <row r="38">
          <cell r="AL38">
            <v>118982.451463539</v>
          </cell>
        </row>
        <row r="39">
          <cell r="AL39">
            <v>87687.3723840714</v>
          </cell>
        </row>
        <row r="40">
          <cell r="AL40">
            <v>118982.451463535</v>
          </cell>
        </row>
        <row r="41">
          <cell r="AL41">
            <v>87687.3723840714</v>
          </cell>
        </row>
        <row r="42">
          <cell r="AL42">
            <v>118982.451463535</v>
          </cell>
        </row>
        <row r="43">
          <cell r="AL43">
            <v>810446.827532589</v>
          </cell>
        </row>
        <row r="44">
          <cell r="AL44">
            <v>784303.381483153</v>
          </cell>
        </row>
        <row r="45">
          <cell r="AL45">
            <v>810446.827532589</v>
          </cell>
        </row>
        <row r="46">
          <cell r="AL46">
            <v>784303.381483153</v>
          </cell>
        </row>
        <row r="47">
          <cell r="AL47">
            <v>810446.827532589</v>
          </cell>
        </row>
        <row r="48">
          <cell r="AL48">
            <v>810446.827532589</v>
          </cell>
        </row>
        <row r="49">
          <cell r="AL49">
            <v>732016.489384271</v>
          </cell>
        </row>
        <row r="50">
          <cell r="AL50">
            <v>810446.827532589</v>
          </cell>
        </row>
        <row r="51">
          <cell r="AL51">
            <v>784303.381483153</v>
          </cell>
        </row>
        <row r="52">
          <cell r="AL52">
            <v>810446.827532589</v>
          </cell>
        </row>
        <row r="53">
          <cell r="AL53">
            <v>784303.381483151</v>
          </cell>
        </row>
        <row r="54">
          <cell r="AL54">
            <v>810446.827532589</v>
          </cell>
        </row>
        <row r="55">
          <cell r="AL55">
            <v>764635.60641452</v>
          </cell>
        </row>
        <row r="56">
          <cell r="AL56">
            <v>739969.941691471</v>
          </cell>
        </row>
        <row r="57">
          <cell r="AL57">
            <v>764635.60641452</v>
          </cell>
        </row>
        <row r="58">
          <cell r="AL58">
            <v>739969.941691471</v>
          </cell>
        </row>
        <row r="59">
          <cell r="AL59">
            <v>764635.60641452</v>
          </cell>
        </row>
        <row r="60">
          <cell r="AL60">
            <v>764635.60641452</v>
          </cell>
        </row>
        <row r="61">
          <cell r="AL61">
            <v>690638.612245373</v>
          </cell>
        </row>
        <row r="62">
          <cell r="AL62">
            <v>764635.60641452</v>
          </cell>
        </row>
        <row r="63">
          <cell r="AL63">
            <v>739969.941691471</v>
          </cell>
        </row>
        <row r="64">
          <cell r="AL64">
            <v>764635.60641452</v>
          </cell>
        </row>
        <row r="65">
          <cell r="AL65">
            <v>739969.941691471</v>
          </cell>
        </row>
        <row r="66">
          <cell r="AL66">
            <v>764635.60641452</v>
          </cell>
        </row>
        <row r="67">
          <cell r="AL67">
            <v>763215.32511061</v>
          </cell>
        </row>
        <row r="68">
          <cell r="AL68">
            <v>738595.475913493</v>
          </cell>
        </row>
        <row r="69">
          <cell r="AL69">
            <v>763215.32511061</v>
          </cell>
        </row>
        <row r="70">
          <cell r="AL70">
            <v>738595.475913493</v>
          </cell>
        </row>
        <row r="71">
          <cell r="AL71">
            <v>763215.32511061</v>
          </cell>
        </row>
        <row r="72">
          <cell r="AL72">
            <v>762567.143039026</v>
          </cell>
        </row>
        <row r="73">
          <cell r="AL73">
            <v>713369.26284296</v>
          </cell>
        </row>
        <row r="74">
          <cell r="AL74">
            <v>762567.143039026</v>
          </cell>
        </row>
        <row r="75">
          <cell r="AL75">
            <v>737968.202940993</v>
          </cell>
        </row>
        <row r="76">
          <cell r="AL76">
            <v>762567.143039026</v>
          </cell>
        </row>
        <row r="77">
          <cell r="AL77">
            <v>737968.202940993</v>
          </cell>
        </row>
        <row r="78">
          <cell r="AL78">
            <v>762567.143039026</v>
          </cell>
        </row>
        <row r="79">
          <cell r="AL79">
            <v>762567.143039026</v>
          </cell>
        </row>
        <row r="80">
          <cell r="AL80">
            <v>737968.202940993</v>
          </cell>
        </row>
        <row r="81">
          <cell r="AL81">
            <v>762567.143039026</v>
          </cell>
        </row>
        <row r="82">
          <cell r="AL82">
            <v>737968.202940993</v>
          </cell>
        </row>
        <row r="83">
          <cell r="AL83">
            <v>762567.143039026</v>
          </cell>
        </row>
        <row r="84">
          <cell r="AL84">
            <v>762567.143039026</v>
          </cell>
        </row>
        <row r="85">
          <cell r="AL85">
            <v>688770.322744927</v>
          </cell>
        </row>
        <row r="86">
          <cell r="AL86">
            <v>762567.143039026</v>
          </cell>
        </row>
        <row r="87">
          <cell r="AL87">
            <v>737968.202940993</v>
          </cell>
        </row>
        <row r="88">
          <cell r="AL88">
            <v>762567.143039026</v>
          </cell>
        </row>
        <row r="89">
          <cell r="AL89">
            <v>737968.202940993</v>
          </cell>
        </row>
        <row r="90">
          <cell r="AL90">
            <v>762567.143039026</v>
          </cell>
        </row>
        <row r="91">
          <cell r="AL91">
            <v>762567.143039026</v>
          </cell>
        </row>
        <row r="92">
          <cell r="AL92">
            <v>737968.202940993</v>
          </cell>
        </row>
        <row r="93">
          <cell r="AL93">
            <v>762567.143039026</v>
          </cell>
        </row>
        <row r="94">
          <cell r="AL94">
            <v>737968.202940993</v>
          </cell>
        </row>
        <row r="95">
          <cell r="AL95">
            <v>762567.143039026</v>
          </cell>
        </row>
        <row r="96">
          <cell r="AL96">
            <v>762567.143039026</v>
          </cell>
        </row>
        <row r="97">
          <cell r="AL97">
            <v>688770.322744927</v>
          </cell>
        </row>
        <row r="98">
          <cell r="AL98">
            <v>762567.143039026</v>
          </cell>
        </row>
        <row r="99">
          <cell r="AL99">
            <v>737968.202940993</v>
          </cell>
        </row>
        <row r="100">
          <cell r="AL100">
            <v>762567.143039026</v>
          </cell>
        </row>
        <row r="101">
          <cell r="AL101">
            <v>737968.202940993</v>
          </cell>
        </row>
        <row r="102">
          <cell r="AL102">
            <v>762567.143039026</v>
          </cell>
        </row>
        <row r="103">
          <cell r="AL103">
            <v>762567.143039026</v>
          </cell>
        </row>
        <row r="104">
          <cell r="AL104">
            <v>737968.202940993</v>
          </cell>
        </row>
        <row r="105">
          <cell r="AL105">
            <v>762567.143039026</v>
          </cell>
        </row>
        <row r="106">
          <cell r="AL106">
            <v>737968.202940993</v>
          </cell>
        </row>
        <row r="107">
          <cell r="AL107">
            <v>762567.143039026</v>
          </cell>
        </row>
        <row r="108">
          <cell r="AL108">
            <v>762567.143039026</v>
          </cell>
        </row>
        <row r="109">
          <cell r="AL109">
            <v>688770.322744927</v>
          </cell>
        </row>
        <row r="110">
          <cell r="AL110">
            <v>762567.143039026</v>
          </cell>
        </row>
        <row r="111">
          <cell r="AL111">
            <v>737968.202940993</v>
          </cell>
        </row>
        <row r="112">
          <cell r="AL112">
            <v>762567.143039026</v>
          </cell>
        </row>
        <row r="113">
          <cell r="AL113">
            <v>737968.202940993</v>
          </cell>
        </row>
        <row r="114">
          <cell r="AL114">
            <v>762567.143039026</v>
          </cell>
        </row>
        <row r="115">
          <cell r="AL115">
            <v>762567.143039026</v>
          </cell>
        </row>
        <row r="116">
          <cell r="AL116">
            <v>737968.202940993</v>
          </cell>
        </row>
        <row r="117">
          <cell r="AL117">
            <v>762567.143039026</v>
          </cell>
        </row>
        <row r="118">
          <cell r="AL118">
            <v>737968.202940993</v>
          </cell>
        </row>
        <row r="119">
          <cell r="AL119">
            <v>762567.143039026</v>
          </cell>
        </row>
        <row r="120">
          <cell r="AL120">
            <v>762567.143039026</v>
          </cell>
        </row>
        <row r="121">
          <cell r="AL121">
            <v>713369.26284296</v>
          </cell>
        </row>
        <row r="122">
          <cell r="AL122">
            <v>762567.143039026</v>
          </cell>
        </row>
        <row r="123">
          <cell r="AL123">
            <v>737968.202940993</v>
          </cell>
        </row>
        <row r="124">
          <cell r="AL124">
            <v>762567.143039026</v>
          </cell>
        </row>
        <row r="125">
          <cell r="AL125">
            <v>737968.202940993</v>
          </cell>
        </row>
        <row r="126">
          <cell r="AL126">
            <v>762567.143039026</v>
          </cell>
        </row>
        <row r="127">
          <cell r="AL127">
            <v>762567.143039026</v>
          </cell>
        </row>
        <row r="128">
          <cell r="AL128">
            <v>737968.202940993</v>
          </cell>
        </row>
        <row r="129">
          <cell r="AL129">
            <v>762567.143039026</v>
          </cell>
        </row>
        <row r="130">
          <cell r="AL130">
            <v>737968.202940993</v>
          </cell>
        </row>
        <row r="131">
          <cell r="AL131">
            <v>762567.143039026</v>
          </cell>
        </row>
        <row r="132">
          <cell r="AL132">
            <v>762567.143039026</v>
          </cell>
        </row>
        <row r="133">
          <cell r="AL133">
            <v>688770.322744927</v>
          </cell>
        </row>
        <row r="134">
          <cell r="AL134">
            <v>762567.143039026</v>
          </cell>
        </row>
        <row r="135">
          <cell r="AL135">
            <v>737968.202940993</v>
          </cell>
        </row>
        <row r="136">
          <cell r="AL136">
            <v>762567.143039026</v>
          </cell>
        </row>
        <row r="137">
          <cell r="AL137">
            <v>737968.202940993</v>
          </cell>
        </row>
        <row r="138">
          <cell r="AL138">
            <v>762567.143039026</v>
          </cell>
        </row>
        <row r="139">
          <cell r="AL139">
            <v>762567.143039026</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W2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6.85"/>
    <col collapsed="false" customWidth="true" hidden="false" outlineLevel="0" max="3" min="3" style="1" width="6.7"/>
    <col collapsed="false" customWidth="true" hidden="false" outlineLevel="0" max="4" min="4" style="1" width="7.14"/>
    <col collapsed="false" customWidth="false" hidden="false" outlineLevel="0" max="8" min="5" style="1" width="9.14"/>
    <col collapsed="false" customWidth="true" hidden="false" outlineLevel="0" max="9" min="9" style="1" width="10.56"/>
    <col collapsed="false" customWidth="true" hidden="false" outlineLevel="0" max="10" min="10" style="1" width="6.7"/>
    <col collapsed="false" customWidth="true" hidden="false" outlineLevel="0" max="11" min="11" style="1" width="10.41"/>
    <col collapsed="false" customWidth="false" hidden="false" outlineLevel="0" max="14" min="12" style="1" width="9.14"/>
    <col collapsed="false" customWidth="true" hidden="false" outlineLevel="0" max="15" min="15" style="1" width="11.7"/>
    <col collapsed="false" customWidth="true" hidden="false" outlineLevel="0" max="16" min="16" style="0" width="9.28"/>
    <col collapsed="false" customWidth="true" hidden="false" outlineLevel="0" max="17" min="17" style="0" width="10.28"/>
    <col collapsed="false" customWidth="false" hidden="false" outlineLevel="0" max="19" min="18" style="1" width="9.14"/>
    <col collapsed="false" customWidth="true" hidden="false" outlineLevel="0" max="21" min="20" style="1" width="11.99"/>
    <col collapsed="false" customWidth="true" hidden="false" outlineLevel="0" max="23" min="22" style="1" width="10.85"/>
    <col collapsed="false" customWidth="true" hidden="false" outlineLevel="0" max="24" min="24" style="1" width="9.85"/>
    <col collapsed="false" customWidth="false" hidden="false" outlineLevel="0" max="27" min="25" style="1" width="9.14"/>
    <col collapsed="false" customWidth="true" hidden="false" outlineLevel="0" max="28" min="28" style="1" width="8.41"/>
    <col collapsed="false" customWidth="false" hidden="false" outlineLevel="0" max="257" min="29" style="1" width="9.14"/>
  </cols>
  <sheetData>
    <row r="3" customFormat="false" ht="19.15" hidden="false" customHeight="true" outlineLevel="0" collapsed="false">
      <c r="B3" s="2" t="s">
        <v>0</v>
      </c>
      <c r="C3" s="2"/>
      <c r="D3" s="2"/>
      <c r="E3" s="2"/>
      <c r="F3" s="2"/>
      <c r="G3" s="2"/>
      <c r="H3" s="2"/>
      <c r="I3" s="2"/>
      <c r="J3" s="2"/>
      <c r="K3" s="2"/>
      <c r="L3" s="2"/>
      <c r="M3" s="2"/>
      <c r="N3" s="2"/>
      <c r="O3" s="2"/>
      <c r="R3" s="3"/>
      <c r="S3" s="3"/>
      <c r="T3" s="3"/>
      <c r="U3" s="3"/>
      <c r="V3" s="3"/>
      <c r="W3" s="3"/>
    </row>
    <row r="4" customFormat="false" ht="67.5" hidden="false" customHeight="false" outlineLevel="0" collapsed="false">
      <c r="A4" s="4" t="s">
        <v>1</v>
      </c>
      <c r="B4" s="4" t="s">
        <v>2</v>
      </c>
      <c r="C4" s="4" t="s">
        <v>3</v>
      </c>
      <c r="D4" s="4" t="s">
        <v>4</v>
      </c>
      <c r="E4" s="4" t="s">
        <v>5</v>
      </c>
      <c r="F4" s="4" t="s">
        <v>6</v>
      </c>
      <c r="G4" s="4" t="s">
        <v>7</v>
      </c>
      <c r="H4" s="5" t="s">
        <v>8</v>
      </c>
      <c r="I4" s="5" t="s">
        <v>9</v>
      </c>
      <c r="J4" s="5" t="s">
        <v>10</v>
      </c>
      <c r="K4" s="4" t="s">
        <v>11</v>
      </c>
      <c r="L4" s="5" t="s">
        <v>12</v>
      </c>
      <c r="M4" s="5" t="s">
        <v>13</v>
      </c>
      <c r="N4" s="5" t="s">
        <v>14</v>
      </c>
      <c r="O4" s="5" t="s">
        <v>15</v>
      </c>
      <c r="P4" s="5" t="s">
        <v>16</v>
      </c>
      <c r="Q4" s="5" t="s">
        <v>17</v>
      </c>
      <c r="R4" s="4" t="s">
        <v>18</v>
      </c>
      <c r="S4" s="4" t="s">
        <v>19</v>
      </c>
      <c r="T4" s="4" t="s">
        <v>20</v>
      </c>
      <c r="U4" s="4" t="s">
        <v>21</v>
      </c>
      <c r="V4" s="4" t="s">
        <v>22</v>
      </c>
      <c r="W4" s="4" t="s">
        <v>23</v>
      </c>
      <c r="X4" s="4" t="s">
        <v>24</v>
      </c>
      <c r="Y4" s="4" t="s">
        <v>25</v>
      </c>
      <c r="Z4" s="4" t="s">
        <v>26</v>
      </c>
      <c r="AA4" s="4" t="s">
        <v>27</v>
      </c>
      <c r="AB4" s="4" t="s">
        <v>28</v>
      </c>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2.75" hidden="true" customHeight="false" outlineLevel="0" collapsed="false">
      <c r="A5" s="6" t="n">
        <v>35749</v>
      </c>
      <c r="B5" s="5"/>
      <c r="C5" s="5"/>
      <c r="F5" s="7" t="n">
        <f aca="false">(700+1000)/(1-'Prices&amp;Fuel'!F5)</f>
        <v>1753.48117586385</v>
      </c>
      <c r="H5" s="8" t="n">
        <f aca="false">(2.79*700+2.68*1000)/F5</f>
        <v>2.64217264705882</v>
      </c>
      <c r="K5" s="9" t="n">
        <f aca="false">(B5+C5+D5+E5+F5+G5)*H5*'Prices&amp;Fuel'!H5</f>
        <v>138990</v>
      </c>
      <c r="L5" s="1" t="n">
        <f aca="false">2.54</f>
        <v>2.54</v>
      </c>
      <c r="R5" s="9"/>
      <c r="S5" s="9"/>
      <c r="V5" s="7" t="n">
        <f aca="false">L5*F5*'Prices&amp;Fuel'!H5</f>
        <v>133615.265600825</v>
      </c>
      <c r="W5" s="5" t="n">
        <f aca="false">K5-V5</f>
        <v>5374.73439917484</v>
      </c>
    </row>
    <row r="6" customFormat="false" ht="12.75" hidden="true" customHeight="false" outlineLevel="0" collapsed="false">
      <c r="A6" s="6" t="n">
        <f aca="false">+A5+365/12</f>
        <v>35779.4166666667</v>
      </c>
      <c r="B6" s="5"/>
      <c r="C6" s="5"/>
      <c r="F6" s="7" t="n">
        <f aca="false">(700+1000)/(1-'Prices&amp;Fuel'!F6)</f>
        <v>1753.48117586385</v>
      </c>
      <c r="H6" s="8" t="n">
        <f aca="false">(2.79*700+2.68*1000)/F6</f>
        <v>2.64217264705882</v>
      </c>
      <c r="K6" s="9" t="n">
        <f aca="false">(B6+C6+D6+E6+F6+G6)*H6*'Prices&amp;Fuel'!H6</f>
        <v>143623</v>
      </c>
      <c r="L6" s="1" t="n">
        <f aca="false">2.54</f>
        <v>2.54</v>
      </c>
      <c r="R6" s="9"/>
      <c r="S6" s="9"/>
      <c r="V6" s="7" t="n">
        <f aca="false">L6*F6*'Prices&amp;Fuel'!H6</f>
        <v>138069.107787519</v>
      </c>
      <c r="W6" s="5" t="n">
        <f aca="false">K6-V6</f>
        <v>5553.89221248066</v>
      </c>
    </row>
    <row r="7" customFormat="false" ht="12.75" hidden="true" customHeight="false" outlineLevel="0" collapsed="false">
      <c r="A7" s="6" t="n">
        <f aca="false">+A6+365/12</f>
        <v>35809.8333333333</v>
      </c>
      <c r="B7" s="5"/>
      <c r="C7" s="5"/>
      <c r="F7" s="7" t="n">
        <f aca="false">(700+1000)/(1-'Prices&amp;Fuel'!F7)</f>
        <v>1753.48117586385</v>
      </c>
      <c r="H7" s="8" t="n">
        <f aca="false">(2.79*700+2.68*1000)/F7</f>
        <v>2.64217264705882</v>
      </c>
      <c r="K7" s="9" t="n">
        <f aca="false">(B7+C7+D7+E7+F7+G7)*H7*'Prices&amp;Fuel'!H7</f>
        <v>143623</v>
      </c>
      <c r="L7" s="1" t="n">
        <f aca="false">2.54</f>
        <v>2.54</v>
      </c>
      <c r="R7" s="9"/>
      <c r="S7" s="9"/>
      <c r="V7" s="7" t="n">
        <f aca="false">L7*F7*'Prices&amp;Fuel'!H7</f>
        <v>138069.107787519</v>
      </c>
      <c r="W7" s="5" t="n">
        <f aca="false">K7-V7</f>
        <v>5553.89221248066</v>
      </c>
    </row>
    <row r="8" customFormat="false" ht="12.75" hidden="true" customHeight="false" outlineLevel="0" collapsed="false">
      <c r="A8" s="6" t="n">
        <f aca="false">+A7+365/12</f>
        <v>35840.25</v>
      </c>
      <c r="B8" s="5"/>
      <c r="C8" s="5"/>
      <c r="F8" s="7" t="n">
        <f aca="false">(700+1000)/(1-'Prices&amp;Fuel'!F8)</f>
        <v>1748.07197943445</v>
      </c>
      <c r="H8" s="8" t="n">
        <f aca="false">(2.79*700+2.68*1000)/F8</f>
        <v>2.65034852941177</v>
      </c>
      <c r="K8" s="9" t="n">
        <f aca="false">(B8+C8+D8+E8+F8+G8)*H8*'Prices&amp;Fuel'!H8</f>
        <v>129724</v>
      </c>
      <c r="L8" s="1" t="n">
        <f aca="false">2.54</f>
        <v>2.54</v>
      </c>
      <c r="R8" s="9"/>
      <c r="S8" s="9"/>
      <c r="V8" s="7" t="n">
        <f aca="false">L8*F8*'Prices&amp;Fuel'!H8</f>
        <v>124322.879177378</v>
      </c>
      <c r="W8" s="5" t="n">
        <f aca="false">K8-V8</f>
        <v>5401.12082262212</v>
      </c>
    </row>
    <row r="9" customFormat="false" ht="12.75" hidden="true" customHeight="false" outlineLevel="0" collapsed="false">
      <c r="A9" s="6" t="n">
        <f aca="false">+A8+365/12</f>
        <v>35870.6666666667</v>
      </c>
      <c r="B9" s="5"/>
      <c r="C9" s="5"/>
      <c r="F9" s="7" t="n">
        <f aca="false">(700+1000)/(1-'Prices&amp;Fuel'!F9)</f>
        <v>1748.07197943445</v>
      </c>
      <c r="H9" s="8" t="n">
        <f aca="false">(2.79*700+2.68*1000)/F9</f>
        <v>2.65034852941177</v>
      </c>
      <c r="K9" s="9" t="n">
        <f aca="false">(B9+C9+D9+E9+F9+G9)*H9*'Prices&amp;Fuel'!H9</f>
        <v>143623</v>
      </c>
      <c r="L9" s="1" t="n">
        <f aca="false">2.54</f>
        <v>2.54</v>
      </c>
      <c r="R9" s="9"/>
      <c r="S9" s="9"/>
      <c r="V9" s="7" t="n">
        <f aca="false">L9*F9*'Prices&amp;Fuel'!H9</f>
        <v>137643.187660668</v>
      </c>
      <c r="W9" s="5" t="n">
        <f aca="false">K9-V9</f>
        <v>5979.81233933164</v>
      </c>
    </row>
    <row r="10" customFormat="false" ht="12.75" hidden="true" customHeight="false" outlineLevel="0" collapsed="false">
      <c r="A10" s="6" t="n">
        <f aca="false">+A9+365/12</f>
        <v>35901.0833333333</v>
      </c>
      <c r="B10" s="5"/>
      <c r="C10" s="5"/>
      <c r="F10" s="7" t="n">
        <f aca="false">(700+1000)/(1-'Prices&amp;Fuel'!F10)</f>
        <v>1760.9281126994</v>
      </c>
      <c r="H10" s="8" t="n">
        <f aca="false">(2.79*700+2.68*1000)/F10</f>
        <v>2.63099894117647</v>
      </c>
      <c r="K10" s="9" t="n">
        <f aca="false">(B10+C10+D10+E10+F10+G10)*H10*'Prices&amp;Fuel'!H10</f>
        <v>138990</v>
      </c>
      <c r="L10" s="1" t="n">
        <f aca="false">2.54</f>
        <v>2.54</v>
      </c>
      <c r="R10" s="9"/>
      <c r="S10" s="9"/>
      <c r="V10" s="7" t="n">
        <f aca="false">L10*F10*'Prices&amp;Fuel'!H10</f>
        <v>134182.722187694</v>
      </c>
      <c r="W10" s="5" t="n">
        <f aca="false">K10-V10</f>
        <v>4807.27781230578</v>
      </c>
    </row>
    <row r="11" customFormat="false" ht="12.75" hidden="true" customHeight="false" outlineLevel="0" collapsed="false">
      <c r="A11" s="6" t="n">
        <f aca="false">+A10+365/12</f>
        <v>35931.5</v>
      </c>
      <c r="B11" s="5"/>
      <c r="C11" s="5"/>
      <c r="F11" s="7" t="n">
        <f aca="false">(700+1000)/(1-'Prices&amp;Fuel'!F11)</f>
        <v>1751.85490519373</v>
      </c>
      <c r="H11" s="8" t="n">
        <f aca="false">(2.79*700+2.68*1000)/F11</f>
        <v>2.64462541176471</v>
      </c>
      <c r="K11" s="9" t="n">
        <f aca="false">(B11+C11+D11+E11+F11+G11)*H11*'Prices&amp;Fuel'!H11</f>
        <v>143623</v>
      </c>
      <c r="L11" s="1" t="n">
        <f aca="false">2.54</f>
        <v>2.54</v>
      </c>
      <c r="R11" s="9"/>
      <c r="S11" s="9"/>
      <c r="V11" s="7" t="n">
        <f aca="false">L11*F11*'Prices&amp;Fuel'!H11</f>
        <v>137941.055234955</v>
      </c>
      <c r="W11" s="5" t="n">
        <f aca="false">K11-V11</f>
        <v>5681.94476504534</v>
      </c>
    </row>
    <row r="12" customFormat="false" ht="12.75" hidden="true" customHeight="false" outlineLevel="0" collapsed="false">
      <c r="A12" s="6" t="n">
        <f aca="false">+A11+365/12</f>
        <v>35961.9166666667</v>
      </c>
      <c r="B12" s="5"/>
      <c r="C12" s="5"/>
    </row>
    <row r="13" customFormat="false" ht="12.75" hidden="true" customHeight="false" outlineLevel="0" collapsed="false">
      <c r="A13" s="6" t="n">
        <f aca="false">+A12+365/12</f>
        <v>35992.3333333333</v>
      </c>
      <c r="B13" s="5"/>
      <c r="C13" s="5"/>
    </row>
    <row r="14" customFormat="false" ht="12.75" hidden="true" customHeight="false" outlineLevel="0" collapsed="false">
      <c r="A14" s="6" t="n">
        <f aca="false">+A13+365/12</f>
        <v>36022.75</v>
      </c>
      <c r="B14" s="5"/>
      <c r="C14" s="5"/>
    </row>
    <row r="15" customFormat="false" ht="12.75" hidden="true" customHeight="false" outlineLevel="0" collapsed="false">
      <c r="A15" s="6" t="n">
        <f aca="false">+A14+365/12</f>
        <v>36053.1666666667</v>
      </c>
      <c r="B15" s="9"/>
      <c r="C15" s="9"/>
      <c r="D15" s="9"/>
    </row>
    <row r="16" customFormat="false" ht="12.75" hidden="true" customHeight="false" outlineLevel="0" collapsed="false">
      <c r="A16" s="6" t="n">
        <f aca="false">+A15+365/12</f>
        <v>36083.5833333333</v>
      </c>
      <c r="B16" s="5"/>
      <c r="C16" s="9"/>
      <c r="D16" s="9"/>
      <c r="E16" s="9"/>
      <c r="F16" s="9"/>
      <c r="G16" s="9"/>
      <c r="H16" s="10"/>
      <c r="I16" s="9"/>
      <c r="J16" s="9"/>
      <c r="K16" s="9"/>
      <c r="L16" s="10"/>
      <c r="M16" s="10"/>
      <c r="N16" s="10"/>
      <c r="O16" s="10"/>
      <c r="R16" s="9"/>
      <c r="S16" s="9"/>
      <c r="T16" s="9"/>
      <c r="U16" s="9"/>
      <c r="V16" s="9"/>
      <c r="W16" s="5"/>
    </row>
    <row r="17" customFormat="false" ht="12.75" hidden="true" customHeight="false" outlineLevel="0" collapsed="false">
      <c r="A17" s="6" t="n">
        <f aca="false">+A16+365/12</f>
        <v>36114</v>
      </c>
      <c r="B17" s="5" t="n">
        <f aca="false">IF(Y17-((E17+F17+G17)*(1-'Prices&amp;Fuel'!F17))&lt;'Prices&amp;Fuel'!R17,(Y17-(E17+F17+G17)*(1-'Prices&amp;Fuel'!F17)),'Prices&amp;Fuel'!R17)/(1-'Prices&amp;Fuel'!F17)</f>
        <v>4329.9711815562</v>
      </c>
      <c r="C17" s="9" t="n">
        <f aca="false">(Y17/(1-'Prices&amp;Fuel'!F17))-D17-E17-F17-G17-B17</f>
        <v>0</v>
      </c>
      <c r="D17" s="9" t="n">
        <f aca="false">ROUND(IF(Y17/(1-'Prices&amp;Fuel'!F17)-E17-F17-G17-B17&gt;'Prices&amp;Fuel'!T17,'Prices&amp;Fuel'!T17,Y17/(1-'Prices&amp;Fuel'!F17)-E17-F17-G17-B17),9)</f>
        <v>0</v>
      </c>
      <c r="E17" s="9" t="n">
        <f aca="false">'Prices&amp;Fuel'!U17/(1-'Prices&amp;Fuel'!F17)</f>
        <v>2637.91683820502</v>
      </c>
      <c r="F17" s="9" t="n">
        <f aca="false">('Prices&amp;Fuel'!V17+'Prices&amp;Fuel'!X17)/(1-'Prices&amp;Fuel'!F17)</f>
        <v>3648.62083161795</v>
      </c>
      <c r="G17" s="9" t="n">
        <f aca="false">'Prices&amp;Fuel'!W17/(1-'Prices&amp;Fuel'!F17)</f>
        <v>1734.25277892137</v>
      </c>
      <c r="H17" s="10" t="n">
        <f aca="false">('Prices&amp;Fuel'!C17+'Prices&amp;Fuel'!D17)/2-0.05+('Prices&amp;Fuel'!M17+'Prices&amp;Fuel'!P17)</f>
        <v>2.7293</v>
      </c>
      <c r="I17" s="9" t="n">
        <f aca="false">IF(FPL!L17=80000,0,B17)</f>
        <v>0</v>
      </c>
      <c r="J17" s="9"/>
      <c r="K17" s="9" t="n">
        <f aca="false">(B17+C17+D17+E17+F17+G17)*H17*'Prices&amp;Fuel'!H17</f>
        <v>1011268.01152738</v>
      </c>
      <c r="L17" s="10" t="n">
        <f aca="false">(((B17+E17)*('Prices&amp;Fuel'!B17+0.025))+(('Prices&amp;Fuel'!D17+0.025)*(D17+G17))+(('Prices&amp;Fuel'!C17+0.025)*(C17+F17))-(I17+J17)*0.025)/(B17+C17+D17+E17+F17+G17)</f>
        <v>1.964275</v>
      </c>
      <c r="M17" s="10"/>
      <c r="N17" s="10"/>
      <c r="O17" s="10"/>
      <c r="R17" s="9" t="n">
        <f aca="false">'Prices&amp;Fuel'!X17*('Prices&amp;Fuel'!N17+'Prices&amp;Fuel'!O17)*'Prices&amp;Fuel'!H17</f>
        <v>4720.896</v>
      </c>
      <c r="S17" s="9" t="n">
        <f aca="false">('Prices&amp;Fuel'!U17+'Prices&amp;Fuel'!V17+'Prices&amp;Fuel'!W17)*('Prices&amp;Fuel'!L17+'Prices&amp;Fuel'!O17)*'Prices&amp;Fuel'!H17</f>
        <v>86941.08</v>
      </c>
      <c r="T17" s="9" t="n">
        <f aca="false">((B17+C17+D17)*(1-'Prices&amp;Fuel'!G17))*('Prices&amp;Fuel'!M17+'Prices&amp;Fuel'!P17)*'Prices&amp;Fuel'!H17</f>
        <v>104665.953</v>
      </c>
      <c r="U17" s="9" t="n">
        <f aca="false">((B17+C17+D17+E17+F17+G17)/(1-'Prices&amp;Fuel'!F17))*(1-'Prices&amp;Fuel'!F17)*'Prices&amp;Fuel'!H17*0.005</f>
        <v>1852.61424454508</v>
      </c>
      <c r="V17" s="9" t="n">
        <f aca="false">((D17+C17+B17+E17+F17+G17)*L17*'Prices&amp;Fuel'!H17)+R17+S17+T17+U17</f>
        <v>925989.312285302</v>
      </c>
      <c r="W17" s="5" t="n">
        <f aca="false">K17-V17</f>
        <v>85278.699242075</v>
      </c>
      <c r="Y17" s="1" t="n">
        <v>12000</v>
      </c>
    </row>
    <row r="18" customFormat="false" ht="12.75" hidden="true" customHeight="false" outlineLevel="0" collapsed="false">
      <c r="A18" s="6" t="n">
        <f aca="false">+A17+365/12</f>
        <v>36144.4166666667</v>
      </c>
      <c r="B18" s="5" t="n">
        <f aca="false">IF(Y18-((E18+F18+G18)*(1-'Prices&amp;Fuel'!F18))&lt;'Prices&amp;Fuel'!R18,(Y18-(E18+F18+G18)*(1-'Prices&amp;Fuel'!F18)),'Prices&amp;Fuel'!R18)/(1-'Prices&amp;Fuel'!F18)</f>
        <v>4329.9711815562</v>
      </c>
      <c r="C18" s="9" t="n">
        <f aca="false">(Y18/(1-'Prices&amp;Fuel'!F18))-D18-E18-F18-G18-B18</f>
        <v>0</v>
      </c>
      <c r="D18" s="9" t="n">
        <f aca="false">ROUND(IF(Y18/(1-'Prices&amp;Fuel'!F18)-E18-F18-G18-B18&gt;'Prices&amp;Fuel'!T18,'Prices&amp;Fuel'!T18,Y18/(1-'Prices&amp;Fuel'!F18)-E18-F18-G18-B18),9)</f>
        <v>0</v>
      </c>
      <c r="E18" s="9" t="n">
        <f aca="false">'Prices&amp;Fuel'!U18/(1-'Prices&amp;Fuel'!F18)</f>
        <v>2637.91683820502</v>
      </c>
      <c r="F18" s="9" t="n">
        <f aca="false">('Prices&amp;Fuel'!V18+'Prices&amp;Fuel'!X18)/(1-'Prices&amp;Fuel'!F18)</f>
        <v>3648.62083161795</v>
      </c>
      <c r="G18" s="9" t="n">
        <f aca="false">'Prices&amp;Fuel'!W18/(1-'Prices&amp;Fuel'!F18)</f>
        <v>1734.25277892137</v>
      </c>
      <c r="H18" s="10" t="n">
        <f aca="false">('Prices&amp;Fuel'!C18+'Prices&amp;Fuel'!D18)/2-0.05+('Prices&amp;Fuel'!M18+'Prices&amp;Fuel'!P18)</f>
        <v>2.8743</v>
      </c>
      <c r="I18" s="9" t="n">
        <f aca="false">IF(FPL!L18=80000,0,B18)</f>
        <v>0</v>
      </c>
      <c r="J18" s="9"/>
      <c r="K18" s="9" t="n">
        <f aca="false">(B18+C18+D18+E18+F18+G18)*H18*'Prices&amp;Fuel'!H18</f>
        <v>1100493.61877316</v>
      </c>
      <c r="L18" s="10" t="n">
        <f aca="false">(((B18+E18)*('Prices&amp;Fuel'!B18+0.025))+(('Prices&amp;Fuel'!D18+0.025)*(D18+G18))+(('Prices&amp;Fuel'!C18+0.025)*(C18+F18))-(I18+J18)*0.025)/(B18+C18+D18+E18+F18+G18)</f>
        <v>2.10977083333333</v>
      </c>
      <c r="M18" s="10"/>
      <c r="N18" s="10"/>
      <c r="O18" s="10"/>
      <c r="R18" s="9" t="n">
        <f aca="false">'Prices&amp;Fuel'!X18*('Prices&amp;Fuel'!N18+'Prices&amp;Fuel'!O18)*'Prices&amp;Fuel'!H18</f>
        <v>4878.2592</v>
      </c>
      <c r="S18" s="9" t="n">
        <f aca="false">('Prices&amp;Fuel'!U18+'Prices&amp;Fuel'!V18+'Prices&amp;Fuel'!W18)*('Prices&amp;Fuel'!L18+'Prices&amp;Fuel'!O18)*'Prices&amp;Fuel'!H18</f>
        <v>89839.116</v>
      </c>
      <c r="T18" s="9" t="n">
        <f aca="false">((B18+C18+D18)*(1-'Prices&amp;Fuel'!G18))*('Prices&amp;Fuel'!M18+'Prices&amp;Fuel'!P18)*'Prices&amp;Fuel'!H18</f>
        <v>108154.8181</v>
      </c>
      <c r="U18" s="9" t="n">
        <f aca="false">((B18+C18+D18+E18+F18+G18)/(1-'Prices&amp;Fuel'!F18))*(1-'Prices&amp;Fuel'!F18)*'Prices&amp;Fuel'!H18*0.005</f>
        <v>1914.36805269658</v>
      </c>
      <c r="V18" s="9" t="n">
        <f aca="false">((D18+C18+B18+E18+F18+G18)*L18*'Prices&amp;Fuel'!H18)+R18+S18+T18+U18</f>
        <v>1012562.13772157</v>
      </c>
      <c r="W18" s="5" t="n">
        <f aca="false">K18-V18</f>
        <v>87931.4810515851</v>
      </c>
      <c r="Y18" s="1" t="n">
        <f aca="false">Y17</f>
        <v>12000</v>
      </c>
    </row>
    <row r="19" customFormat="false" ht="12.75" hidden="false" customHeight="false" outlineLevel="0" collapsed="false">
      <c r="A19" s="6" t="n">
        <f aca="false">+A18+365/12</f>
        <v>36174.8333333333</v>
      </c>
      <c r="B19" s="5" t="n">
        <f aca="false">IF(Y19-((E19+F19+G19)*(1-'Prices&amp;Fuel'!F19))&lt;'Prices&amp;Fuel'!R19,(Y19-(E19+F19+G19)*(1-'Prices&amp;Fuel'!F19)),'Prices&amp;Fuel'!R19)/(1-'Prices&amp;Fuel'!F19)</f>
        <v>4314.8717948718</v>
      </c>
      <c r="C19" s="9" t="n">
        <f aca="false">(Y19/(1-'Prices&amp;Fuel'!F19))-D19-E19-F19-G19-B19</f>
        <v>0</v>
      </c>
      <c r="D19" s="9" t="n">
        <f aca="false">ROUND(IF(Y19/(1-'Prices&amp;Fuel'!F19)-E19-F19-G19-B19&gt;'Prices&amp;Fuel'!T19,'Prices&amp;Fuel'!T19,Y19/(1-'Prices&amp;Fuel'!F19)-E19-F19-G19-B19),9)</f>
        <v>0</v>
      </c>
      <c r="E19" s="9" t="n">
        <f aca="false">'Prices&amp;Fuel'!U19/(1-'Prices&amp;Fuel'!F19)</f>
        <v>2628.71794871795</v>
      </c>
      <c r="F19" s="9" t="n">
        <f aca="false">('Prices&amp;Fuel'!V19+'Prices&amp;Fuel'!X19)/(1-'Prices&amp;Fuel'!F19)</f>
        <v>3635.89743589744</v>
      </c>
      <c r="G19" s="9" t="n">
        <f aca="false">'Prices&amp;Fuel'!W19/(1-'Prices&amp;Fuel'!F19)</f>
        <v>1728.20512820513</v>
      </c>
      <c r="H19" s="10" t="n">
        <f aca="false">(1.99-0.05)+(('Prices&amp;Fuel'!M19+'Prices&amp;Fuel'!P19)*(1-'Prices&amp;Fuel'!F19))</f>
        <v>2.7464225</v>
      </c>
      <c r="I19" s="9" t="n">
        <f aca="false">IF(FPL!L19=80000,0,B19)</f>
        <v>0</v>
      </c>
      <c r="J19" s="9"/>
      <c r="K19" s="9" t="n">
        <f aca="false">(B19+C19+D19+E19+F19+G19)*H19*'Prices&amp;Fuel'!H19</f>
        <v>1047865.81538462</v>
      </c>
      <c r="L19" s="10" t="n">
        <f aca="false">(((B19+E19)*('Prices&amp;Fuel'!B19+0.025))+(('Prices&amp;Fuel'!D19+0.025)*(D19+G19))+(('Prices&amp;Fuel'!C19+0.025)*(C19+F19))-(I19+J19)*0.025)/(B19+C19+D19+E19+F19+G19)</f>
        <v>1.76977083333333</v>
      </c>
      <c r="M19" s="10" t="n">
        <f aca="false">1.99-(('Prices&amp;Fuel'!C19+'Prices&amp;Fuel'!D19)/2)</f>
        <v>0.235</v>
      </c>
      <c r="N19" s="10" t="n">
        <f aca="false">L19+M19</f>
        <v>2.00477083333333</v>
      </c>
      <c r="O19" s="9" t="n">
        <f aca="false">(B19+C19+D19+E19+F19+G19)*0.5*L19*'Prices&amp;Fuel'!H19</f>
        <v>337617.820512821</v>
      </c>
      <c r="P19" s="7" t="n">
        <f aca="false">(B19+C19+D19+E19+F19+G19)*0.5*N19*'Prices&amp;Fuel'!H19</f>
        <v>382448.58974359</v>
      </c>
      <c r="Q19" s="11" t="n">
        <f aca="false">(B19+C19+D19+E19+F19+G19)*0.5*M19*'Prices&amp;Fuel'!H19</f>
        <v>44830.7692307693</v>
      </c>
      <c r="R19" s="9" t="n">
        <f aca="false">'Prices&amp;Fuel'!X19*('Prices&amp;Fuel'!N19+'Prices&amp;Fuel'!O19)*'Prices&amp;Fuel'!H19</f>
        <v>4850.7343</v>
      </c>
      <c r="S19" s="9" t="n">
        <f aca="false">('Prices&amp;Fuel'!U19+'Prices&amp;Fuel'!V19+'Prices&amp;Fuel'!W19)*('Prices&amp;Fuel'!L19+'Prices&amp;Fuel'!O19)*'Prices&amp;Fuel'!H19</f>
        <v>89354.214</v>
      </c>
      <c r="T19" s="9" t="n">
        <f aca="false">((B19+C19+D19)*(1-'Prices&amp;Fuel'!G19))*('Prices&amp;Fuel'!M19+'Prices&amp;Fuel'!P19)*'Prices&amp;Fuel'!H19</f>
        <v>107867.9007</v>
      </c>
      <c r="U19" s="9" t="n">
        <f aca="false">((B19+C19+D19+E19+F19+G19)/(1-'Prices&amp;Fuel'!F19))*(1-'Prices&amp;Fuel'!F19)*'Prices&amp;Fuel'!H19*0.005</f>
        <v>1907.69230769231</v>
      </c>
      <c r="V19" s="9" t="n">
        <f aca="false">O19+P19+Q19+S19+T19+U19+R19</f>
        <v>968877.720794872</v>
      </c>
      <c r="W19" s="5" t="n">
        <f aca="false">K19-V19</f>
        <v>78988.0945897438</v>
      </c>
      <c r="X19" s="12" t="n">
        <f aca="false">W19/(B19+C19+D19+E19+F19+G19)/'Prices&amp;Fuel'!H19</f>
        <v>0.207025247916667</v>
      </c>
      <c r="Y19" s="1" t="n">
        <f aca="false">Y18</f>
        <v>12000</v>
      </c>
      <c r="Z19" s="13" t="n">
        <f aca="false">'Prices&amp;Fuel'!B19+'FP Corp1999 fixed price'!$M19</f>
        <v>1.965</v>
      </c>
      <c r="AA19" s="13" t="n">
        <f aca="false">'Prices&amp;Fuel'!C19+'FP Corp1999 fixed price'!$M19</f>
        <v>2.015</v>
      </c>
      <c r="AB19" s="13" t="n">
        <f aca="false">'Prices&amp;Fuel'!D19+'FP Corp1999 fixed price'!$M19</f>
        <v>1.965</v>
      </c>
    </row>
    <row r="20" customFormat="false" ht="12.75" hidden="false" customHeight="false" outlineLevel="0" collapsed="false">
      <c r="A20" s="6" t="n">
        <f aca="false">+A19+365/12</f>
        <v>36205.25</v>
      </c>
      <c r="B20" s="5" t="n">
        <f aca="false">IF(Y20-((E20+F20+G20)*(1-'Prices&amp;Fuel'!F20))&lt;'Prices&amp;Fuel'!R20,(Y20-(E20+F20+G20)*(1-'Prices&amp;Fuel'!F20)),'Prices&amp;Fuel'!R20)/(1-'Prices&amp;Fuel'!F20)</f>
        <v>4314.8717948718</v>
      </c>
      <c r="C20" s="9" t="n">
        <f aca="false">(Y20/(1-'Prices&amp;Fuel'!F20))-D20-E20-F20-G20-B20</f>
        <v>0</v>
      </c>
      <c r="D20" s="9" t="n">
        <f aca="false">ROUND(IF(Y20/(1-'Prices&amp;Fuel'!F20)-E20-F20-G20-B20&gt;'Prices&amp;Fuel'!T20,'Prices&amp;Fuel'!T20,Y20/(1-'Prices&amp;Fuel'!F20)-E20-F20-G20-B20),9)</f>
        <v>0</v>
      </c>
      <c r="E20" s="9" t="n">
        <f aca="false">'Prices&amp;Fuel'!U20/(1-'Prices&amp;Fuel'!F20)</f>
        <v>2628.71794871795</v>
      </c>
      <c r="F20" s="9" t="n">
        <f aca="false">('Prices&amp;Fuel'!V20+'Prices&amp;Fuel'!X20)/(1-'Prices&amp;Fuel'!F20)</f>
        <v>3635.89743589744</v>
      </c>
      <c r="G20" s="9" t="n">
        <f aca="false">'Prices&amp;Fuel'!W20/(1-'Prices&amp;Fuel'!F20)</f>
        <v>1728.20512820513</v>
      </c>
      <c r="H20" s="10" t="n">
        <f aca="false">(1.99-0.05)+(('Prices&amp;Fuel'!M20+'Prices&amp;Fuel'!P20)*(1-'Prices&amp;Fuel'!F20))</f>
        <v>2.7464225</v>
      </c>
      <c r="I20" s="9" t="n">
        <f aca="false">IF(FPL!L20=80000,0,B20)</f>
        <v>0</v>
      </c>
      <c r="J20" s="9"/>
      <c r="K20" s="9" t="n">
        <f aca="false">(B20+C20+D20+E20+F20+G20)*H20*'Prices&amp;Fuel'!H20</f>
        <v>946459.446153846</v>
      </c>
      <c r="L20" s="10" t="n">
        <f aca="false">(((B20+E20)*('Prices&amp;Fuel'!B20+0.025))+(('Prices&amp;Fuel'!D20+0.025)*(D20+G20))+(('Prices&amp;Fuel'!C20+0.025)*(C20+F20))-(I20+J20)*0.025)/(B20+C20+D20+E20+F20+G20)</f>
        <v>1.7738625</v>
      </c>
      <c r="M20" s="10" t="n">
        <f aca="false">1.99-(('Prices&amp;Fuel'!C20+'Prices&amp;Fuel'!D20)/2)</f>
        <v>0.235</v>
      </c>
      <c r="N20" s="10" t="n">
        <f aca="false">L20+M20</f>
        <v>2.0088625</v>
      </c>
      <c r="O20" s="9" t="n">
        <f aca="false">(B20+C20+D20+E20+F20+G20)*0.5*L20*'Prices&amp;Fuel'!H20</f>
        <v>305650.153846154</v>
      </c>
      <c r="P20" s="7" t="n">
        <f aca="false">(B20+C20+D20+E20+F20+G20)*0.5*N20*'Prices&amp;Fuel'!H20</f>
        <v>346142.461538462</v>
      </c>
      <c r="Q20" s="11" t="n">
        <f aca="false">(B20+C20+D20+E20+F20+G20)*0.5*M20*'Prices&amp;Fuel'!H20</f>
        <v>40492.3076923077</v>
      </c>
      <c r="R20" s="9" t="n">
        <f aca="false">'Prices&amp;Fuel'!X20*('Prices&amp;Fuel'!N20+'Prices&amp;Fuel'!O20)*'Prices&amp;Fuel'!H20</f>
        <v>4381.3084</v>
      </c>
      <c r="S20" s="9" t="n">
        <f aca="false">('Prices&amp;Fuel'!U20+'Prices&amp;Fuel'!V20+'Prices&amp;Fuel'!W20)*('Prices&amp;Fuel'!L20+'Prices&amp;Fuel'!O20)*'Prices&amp;Fuel'!H20</f>
        <v>80707.032</v>
      </c>
      <c r="T20" s="9" t="n">
        <f aca="false">((B20+C20+D20)*(1-'Prices&amp;Fuel'!G20))*('Prices&amp;Fuel'!M20+'Prices&amp;Fuel'!P20)*'Prices&amp;Fuel'!H20</f>
        <v>97429.0716</v>
      </c>
      <c r="U20" s="9" t="n">
        <f aca="false">((B20+C20+D20+E20+F20+G20)/(1-'Prices&amp;Fuel'!F20))*(1-'Prices&amp;Fuel'!F20)*'Prices&amp;Fuel'!H20*0.005</f>
        <v>1723.07692307692</v>
      </c>
      <c r="V20" s="9" t="n">
        <f aca="false">O20+P20+Q20+S20+T20+U20+R20</f>
        <v>876525.412</v>
      </c>
      <c r="W20" s="5" t="n">
        <f aca="false">K20-V20</f>
        <v>69934.0341538462</v>
      </c>
      <c r="X20" s="12" t="n">
        <f aca="false">W20/(B20+C20+D20+E20+F20+G20)/'Prices&amp;Fuel'!H20</f>
        <v>0.20293358125</v>
      </c>
      <c r="Y20" s="1" t="n">
        <f aca="false">Y19</f>
        <v>12000</v>
      </c>
      <c r="Z20" s="13" t="n">
        <f aca="false">'Prices&amp;Fuel'!B20+'FP Corp1999 fixed price'!$M20</f>
        <v>1.975</v>
      </c>
      <c r="AA20" s="13" t="n">
        <f aca="false">'Prices&amp;Fuel'!C20+'FP Corp1999 fixed price'!$M20</f>
        <v>2.005</v>
      </c>
      <c r="AB20" s="13" t="n">
        <f aca="false">'Prices&amp;Fuel'!D20+'FP Corp1999 fixed price'!$M20</f>
        <v>1.975</v>
      </c>
    </row>
    <row r="21" customFormat="false" ht="12.75" hidden="false" customHeight="false" outlineLevel="0" collapsed="false">
      <c r="A21" s="6" t="n">
        <f aca="false">+A20+365/12</f>
        <v>36235.6666666667</v>
      </c>
      <c r="B21" s="5" t="n">
        <f aca="false">IF(Y21-((E21+F21+G21)*(1-'Prices&amp;Fuel'!F21))&lt;'Prices&amp;Fuel'!R21,(Y21-(E21+F21+G21)*(1-'Prices&amp;Fuel'!F21)),'Prices&amp;Fuel'!R21)/(1-'Prices&amp;Fuel'!F21)</f>
        <v>4314.8717948718</v>
      </c>
      <c r="C21" s="9" t="n">
        <f aca="false">(Y21/(1-'Prices&amp;Fuel'!F21))-D21-E21-F21-G21-B21</f>
        <v>0</v>
      </c>
      <c r="D21" s="9" t="n">
        <f aca="false">ROUND(IF(Y21/(1-'Prices&amp;Fuel'!F21)-E21-F21-G21-B21&gt;'Prices&amp;Fuel'!T21,'Prices&amp;Fuel'!T21,Y21/(1-'Prices&amp;Fuel'!F21)-E21-F21-G21-B21),9)</f>
        <v>0</v>
      </c>
      <c r="E21" s="9" t="n">
        <f aca="false">'Prices&amp;Fuel'!U21/(1-'Prices&amp;Fuel'!F21)</f>
        <v>2628.71794871795</v>
      </c>
      <c r="F21" s="9" t="n">
        <f aca="false">('Prices&amp;Fuel'!V21+'Prices&amp;Fuel'!X21)/(1-'Prices&amp;Fuel'!F21)</f>
        <v>3635.89743589744</v>
      </c>
      <c r="G21" s="9" t="n">
        <f aca="false">'Prices&amp;Fuel'!W21/(1-'Prices&amp;Fuel'!F21)</f>
        <v>1728.20512820513</v>
      </c>
      <c r="H21" s="10" t="n">
        <f aca="false">(1.99-0.05)+(('Prices&amp;Fuel'!M21+'Prices&amp;Fuel'!P21)*(1-'Prices&amp;Fuel'!F21))</f>
        <v>2.7117125</v>
      </c>
      <c r="I21" s="9" t="n">
        <f aca="false">IF(FPL!L21=80000,0,B21)</f>
        <v>0</v>
      </c>
      <c r="J21" s="9"/>
      <c r="K21" s="9" t="n">
        <f aca="false">(B21+C21+D21+E21+F21+G21)*H21*'Prices&amp;Fuel'!H21</f>
        <v>1034622.61538462</v>
      </c>
      <c r="L21" s="10" t="n">
        <f aca="false">(((B21+E21)*('Prices&amp;Fuel'!B21+0.025))+(('Prices&amp;Fuel'!D21+0.025)*(D21+G21))+(('Prices&amp;Fuel'!C21+0.025)*(C21+F21))-(I21+J21)*0.025)/(B21+C21+D21+E21+F21+G21)</f>
        <v>1.62822083333333</v>
      </c>
      <c r="M21" s="10" t="n">
        <f aca="false">1.99-(('Prices&amp;Fuel'!C21+'Prices&amp;Fuel'!D21)/2)</f>
        <v>0.375</v>
      </c>
      <c r="N21" s="10" t="n">
        <f aca="false">L21+M21</f>
        <v>2.00322083333333</v>
      </c>
      <c r="O21" s="9" t="n">
        <f aca="false">(B21+C21+D21+E21+F21+G21)*0.5*L21*'Prices&amp;Fuel'!H21</f>
        <v>310614.435897436</v>
      </c>
      <c r="P21" s="7" t="n">
        <f aca="false">(B21+C21+D21+E21+F21+G21)*0.5*N21*'Prices&amp;Fuel'!H21</f>
        <v>382152.897435898</v>
      </c>
      <c r="Q21" s="11" t="n">
        <f aca="false">(B21+C21+D21+E21+F21+G21)*0.5*M21*'Prices&amp;Fuel'!H21</f>
        <v>71538.4615384615</v>
      </c>
      <c r="R21" s="9" t="n">
        <f aca="false">'Prices&amp;Fuel'!X21*('Prices&amp;Fuel'!N21+'Prices&amp;Fuel'!O21)*'Prices&amp;Fuel'!H21</f>
        <v>4850.7343</v>
      </c>
      <c r="S21" s="9" t="n">
        <f aca="false">('Prices&amp;Fuel'!U21+'Prices&amp;Fuel'!V21+'Prices&amp;Fuel'!W21)*('Prices&amp;Fuel'!L21+'Prices&amp;Fuel'!O21)*'Prices&amp;Fuel'!H21</f>
        <v>89354.214</v>
      </c>
      <c r="T21" s="9" t="n">
        <f aca="false">((B21+C21+D21)*(1-'Prices&amp;Fuel'!G21))*('Prices&amp;Fuel'!M21+'Prices&amp;Fuel'!P21)*'Prices&amp;Fuel'!H21</f>
        <v>103225.0555</v>
      </c>
      <c r="U21" s="9" t="n">
        <f aca="false">((B21+C21+D21+E21+F21+G21)/(1-'Prices&amp;Fuel'!F21))*(1-'Prices&amp;Fuel'!F21)*'Prices&amp;Fuel'!H21*0.005</f>
        <v>1907.69230769231</v>
      </c>
      <c r="V21" s="9" t="n">
        <f aca="false">O21+P21+Q21+S21+T21+U21+R21</f>
        <v>963643.490979487</v>
      </c>
      <c r="W21" s="5" t="n">
        <f aca="false">K21-V21</f>
        <v>70979.1244051281</v>
      </c>
      <c r="X21" s="12" t="n">
        <f aca="false">W21/(B21+C21+D21+E21+F21+G21)/'Prices&amp;Fuel'!H21</f>
        <v>0.186033995416666</v>
      </c>
      <c r="Y21" s="1" t="n">
        <f aca="false">Y20</f>
        <v>12000</v>
      </c>
      <c r="Z21" s="13" t="n">
        <f aca="false">'Prices&amp;Fuel'!B21+'FP Corp1999 fixed price'!$M21</f>
        <v>1.965</v>
      </c>
      <c r="AA21" s="13" t="n">
        <f aca="false">'Prices&amp;Fuel'!C21+'FP Corp1999 fixed price'!$M21</f>
        <v>2.005</v>
      </c>
      <c r="AB21" s="13" t="n">
        <f aca="false">'Prices&amp;Fuel'!D21+'FP Corp1999 fixed price'!$M21</f>
        <v>1.975</v>
      </c>
    </row>
    <row r="22" customFormat="false" ht="12.75" hidden="false" customHeight="false" outlineLevel="0" collapsed="false">
      <c r="A22" s="6" t="n">
        <f aca="false">+A21+365/12</f>
        <v>36266.0833333333</v>
      </c>
      <c r="B22" s="5" t="n">
        <f aca="false">IF(Y22-((E22+F22+G22)*(1-'Prices&amp;Fuel'!F22))&lt;'Prices&amp;Fuel'!R22,(Y22-(E22+F22+G22)*(1-'Prices&amp;Fuel'!F22)),'Prices&amp;Fuel'!R22)/(1-'Prices&amp;Fuel'!F22)</f>
        <v>6262.5641025641</v>
      </c>
      <c r="C22" s="9" t="n">
        <f aca="false">(Y22/(1-'Prices&amp;Fuel'!F22))-D22-E22-F22-G22-B22</f>
        <v>0</v>
      </c>
      <c r="D22" s="9" t="n">
        <f aca="false">ROUND(IF(Y22/(1-'Prices&amp;Fuel'!F22)-E22-F22-G22-B22&gt;'Prices&amp;Fuel'!T22,'Prices&amp;Fuel'!T22,Y22/(1-'Prices&amp;Fuel'!F22)-E22-F22-G22-B22),9)</f>
        <v>0</v>
      </c>
      <c r="E22" s="9" t="n">
        <f aca="false">'Prices&amp;Fuel'!U22/(1-'Prices&amp;Fuel'!F22)</f>
        <v>1928.20512820513</v>
      </c>
      <c r="F22" s="9" t="n">
        <f aca="false">('Prices&amp;Fuel'!V22+'Prices&amp;Fuel'!X22)/(1-'Prices&amp;Fuel'!F22)</f>
        <v>2826.66666666667</v>
      </c>
      <c r="G22" s="9" t="n">
        <f aca="false">'Prices&amp;Fuel'!W22/(1-'Prices&amp;Fuel'!F22)</f>
        <v>1290.25641025641</v>
      </c>
      <c r="H22" s="10" t="n">
        <f aca="false">(1.99-0.05)+(('Prices&amp;Fuel'!M22+'Prices&amp;Fuel'!P22)*(1-'Prices&amp;Fuel'!F22))</f>
        <v>2.7183425</v>
      </c>
      <c r="I22" s="9" t="n">
        <f aca="false">IF(FPL!L22=80000,0,B22)</f>
        <v>0</v>
      </c>
      <c r="J22" s="9"/>
      <c r="K22" s="9" t="n">
        <f aca="false">(B22+C22+D22+E22+F22+G22)*H22*'Prices&amp;Fuel'!H22</f>
        <v>1003695.69230769</v>
      </c>
      <c r="L22" s="10" t="n">
        <f aca="false">(((B22+E22)*('Prices&amp;Fuel'!B22+0.025))+(('Prices&amp;Fuel'!D22+0.025)*(D22+G22))+(('Prices&amp;Fuel'!C22+0.025)*(C22+F22))-(I22+J22)*0.025)/(B22+C22+D22+E22+F22+G22)</f>
        <v>1.875235</v>
      </c>
      <c r="M22" s="10" t="n">
        <f aca="false">1.99-(('Prices&amp;Fuel'!C22+'Prices&amp;Fuel'!D22)/2)</f>
        <v>0.125</v>
      </c>
      <c r="N22" s="10" t="n">
        <f aca="false">L22+M22</f>
        <v>2.000235</v>
      </c>
      <c r="O22" s="9" t="n">
        <f aca="false">(B22+C22+D22+E22+F22+G22)*0.5*L22*'Prices&amp;Fuel'!H22</f>
        <v>346197.230769231</v>
      </c>
      <c r="P22" s="7" t="n">
        <f aca="false">(B22+C22+D22+E22+F22+G22)*0.5*N22*'Prices&amp;Fuel'!H22</f>
        <v>369274.153846154</v>
      </c>
      <c r="Q22" s="11" t="n">
        <f aca="false">(B22+C22+D22+E22+F22+G22)*0.5*M22*'Prices&amp;Fuel'!H22</f>
        <v>23076.9230769231</v>
      </c>
      <c r="R22" s="9" t="n">
        <f aca="false">'Prices&amp;Fuel'!X22*('Prices&amp;Fuel'!N22+'Prices&amp;Fuel'!O22)*'Prices&amp;Fuel'!H22</f>
        <v>4833.591</v>
      </c>
      <c r="S22" s="9" t="n">
        <f aca="false">('Prices&amp;Fuel'!U22+'Prices&amp;Fuel'!V22+'Prices&amp;Fuel'!W22)*('Prices&amp;Fuel'!L22+'Prices&amp;Fuel'!O22)*'Prices&amp;Fuel'!H22</f>
        <v>64439.226</v>
      </c>
      <c r="T22" s="9" t="n">
        <f aca="false">((B22+C22+D22)*(1-'Prices&amp;Fuel'!G22))*('Prices&amp;Fuel'!M22+'Prices&amp;Fuel'!P22)*'Prices&amp;Fuel'!H22</f>
        <v>146232.594</v>
      </c>
      <c r="U22" s="9" t="n">
        <f aca="false">((B22+C22+D22+E22+F22+G22)/(1-'Prices&amp;Fuel'!F22))*(1-'Prices&amp;Fuel'!F22)*'Prices&amp;Fuel'!H22*0.005</f>
        <v>1846.15384615385</v>
      </c>
      <c r="V22" s="9" t="n">
        <f aca="false">O22+P22+Q22+S22+T22+U22+R22</f>
        <v>955899.872538462</v>
      </c>
      <c r="W22" s="5" t="n">
        <f aca="false">K22-V22</f>
        <v>47795.8197692304</v>
      </c>
      <c r="X22" s="12" t="n">
        <f aca="false">W22/(B22+C22+D22+E22+F22+G22)/'Prices&amp;Fuel'!H22</f>
        <v>0.129447011874999</v>
      </c>
      <c r="Y22" s="1" t="n">
        <f aca="false">Y21</f>
        <v>12000</v>
      </c>
      <c r="Z22" s="13" t="n">
        <f aca="false">'Prices&amp;Fuel'!B22+'FP Corp1999 fixed price'!$M22</f>
        <v>1.965</v>
      </c>
      <c r="AA22" s="13" t="n">
        <f aca="false">'Prices&amp;Fuel'!C22+'FP Corp1999 fixed price'!$M22</f>
        <v>2.005</v>
      </c>
      <c r="AB22" s="13" t="n">
        <f aca="false">'Prices&amp;Fuel'!D22+'FP Corp1999 fixed price'!$M22</f>
        <v>1.975</v>
      </c>
    </row>
    <row r="23" customFormat="false" ht="12.75" hidden="false" customHeight="false" outlineLevel="0" collapsed="false">
      <c r="A23" s="6" t="n">
        <f aca="false">+A22+365/12</f>
        <v>36296.5</v>
      </c>
      <c r="B23" s="5" t="n">
        <f aca="false">IF(Y23-((E23+F23+G23)*(1-'Prices&amp;Fuel'!F23))&lt;'Prices&amp;Fuel'!R23,(Y23-(E23+F23+G23)*(1-'Prices&amp;Fuel'!F23)),'Prices&amp;Fuel'!R23)/(1-'Prices&amp;Fuel'!F23)</f>
        <v>9000</v>
      </c>
      <c r="C23" s="9" t="n">
        <f aca="false">(Y23/(1-'Prices&amp;Fuel'!F23))-D23-E23-F23-G23-B23</f>
        <v>-3.38332029059529E-010</v>
      </c>
      <c r="D23" s="9" t="n">
        <f aca="false">ROUND(IF(Y23/(1-'Prices&amp;Fuel'!F23)-E23-F23-G23-B23&gt;'Prices&amp;Fuel'!T23,'Prices&amp;Fuel'!T23,Y23/(1-'Prices&amp;Fuel'!F23)-E23-F23-G23-B23),9)</f>
        <v>6573.195876289</v>
      </c>
      <c r="E23" s="9" t="n">
        <f aca="false">'Prices&amp;Fuel'!U23/(1-'Prices&amp;Fuel'!F23)</f>
        <v>1938.14432989691</v>
      </c>
      <c r="F23" s="9" t="n">
        <f aca="false">('Prices&amp;Fuel'!V23+'Prices&amp;Fuel'!X23)/(1-'Prices&amp;Fuel'!F23)</f>
        <v>3070.10309278351</v>
      </c>
      <c r="G23" s="9" t="n">
        <f aca="false">'Prices&amp;Fuel'!W23/(1-'Prices&amp;Fuel'!F23)</f>
        <v>1068.0412371134</v>
      </c>
      <c r="H23" s="10" t="n">
        <f aca="false">(1.99-0.05)+(('Prices&amp;Fuel'!M23+'Prices&amp;Fuel'!P23)*(1-'Prices&amp;Fuel'!F23))</f>
        <v>2.714351</v>
      </c>
      <c r="I23" s="9" t="n">
        <f aca="false">IF(FPL!L23=80000,0,B23)</f>
        <v>0</v>
      </c>
      <c r="J23" s="9"/>
      <c r="K23" s="9" t="n">
        <f aca="false">(B23+C23+D23+E23+F23+G23)*H23*'Prices&amp;Fuel'!H23</f>
        <v>1821693.3</v>
      </c>
      <c r="L23" s="10" t="n">
        <f aca="false">(((B23+E23)*('Prices&amp;Fuel'!B23+0.025))+(('Prices&amp;Fuel'!D23+0.025)*(D23+G23))+(('Prices&amp;Fuel'!C23+0.025)*(C23+F23))-(I23+J23)*0.025)/(B23+C23+D23+E23+F23+G23)</f>
        <v>2.33209047619048</v>
      </c>
      <c r="M23" s="10" t="n">
        <f aca="false">1.99-(('Prices&amp;Fuel'!C23+'Prices&amp;Fuel'!D23)/2)</f>
        <v>-0.335</v>
      </c>
      <c r="N23" s="10" t="n">
        <f aca="false">L23+M23</f>
        <v>1.99709047619048</v>
      </c>
      <c r="O23" s="9" t="n">
        <f aca="false">(B23+C23+D23+E23+F23+G23)*0.5*L23*'Prices&amp;Fuel'!H23</f>
        <v>782572.628865979</v>
      </c>
      <c r="P23" s="7" t="n">
        <f aca="false">(B23+C23+D23+E23+F23+G23)*0.5*N23*'Prices&amp;Fuel'!H23</f>
        <v>670157.680412371</v>
      </c>
      <c r="Q23" s="11" t="n">
        <f aca="false">(B23+C23+D23+E23+F23+G23)*0.5*M23*'Prices&amp;Fuel'!H23</f>
        <v>-112414.948453608</v>
      </c>
      <c r="R23" s="9" t="n">
        <f aca="false">'Prices&amp;Fuel'!X23*('Prices&amp;Fuel'!N23+'Prices&amp;Fuel'!O23)*'Prices&amp;Fuel'!H23</f>
        <v>4994.7107</v>
      </c>
      <c r="S23" s="9" t="n">
        <f aca="false">('Prices&amp;Fuel'!U23+'Prices&amp;Fuel'!V23+'Prices&amp;Fuel'!W23)*('Prices&amp;Fuel'!L23+'Prices&amp;Fuel'!O23)*'Prices&amp;Fuel'!H23</f>
        <v>66587.2002</v>
      </c>
      <c r="T23" s="9" t="n">
        <f aca="false">((B23+C23+D23)*(1-'Prices&amp;Fuel'!G23))*('Prices&amp;Fuel'!M23+'Prices&amp;Fuel'!P23)*'Prices&amp;Fuel'!H23</f>
        <v>373832.7138</v>
      </c>
      <c r="U23" s="9" t="n">
        <f aca="false">((B23+C23+D23+E23+F23+G23)/(1-'Prices&amp;Fuel'!F23))*(1-'Prices&amp;Fuel'!F23)*'Prices&amp;Fuel'!H23*0.005</f>
        <v>3355.67010309278</v>
      </c>
      <c r="V23" s="9" t="n">
        <f aca="false">O23+P23+Q23+S23+T23+U23+R23</f>
        <v>1789085.65562783</v>
      </c>
      <c r="W23" s="5" t="n">
        <f aca="false">K23-V23</f>
        <v>32607.6443721657</v>
      </c>
      <c r="X23" s="12" t="n">
        <f aca="false">W23/(B23+C23+D23+E23+F23+G23)/'Prices&amp;Fuel'!H23</f>
        <v>0.0485858910000011</v>
      </c>
      <c r="Y23" s="1" t="n">
        <v>21000</v>
      </c>
      <c r="Z23" s="13" t="n">
        <f aca="false">'Prices&amp;Fuel'!B23+'FP Corp1999 fixed price'!$M23</f>
        <v>1.965</v>
      </c>
      <c r="AA23" s="13" t="n">
        <f aca="false">'Prices&amp;Fuel'!C23+'FP Corp1999 fixed price'!$M23</f>
        <v>2.015</v>
      </c>
      <c r="AB23" s="13" t="n">
        <f aca="false">'Prices&amp;Fuel'!D23+'FP Corp1999 fixed price'!$M23</f>
        <v>1.965</v>
      </c>
    </row>
    <row r="24" customFormat="false" ht="12.75" hidden="false" customHeight="false" outlineLevel="0" collapsed="false">
      <c r="A24" s="6" t="n">
        <f aca="false">+A23+365/12</f>
        <v>36326.9166666667</v>
      </c>
      <c r="B24" s="5" t="n">
        <f aca="false">IF(Y24-((E24+F24+G24)*(1-'Prices&amp;Fuel'!F24))&lt;'Prices&amp;Fuel'!R24,(Y24-(E24+F24+G24)*(1-'Prices&amp;Fuel'!F24)),'Prices&amp;Fuel'!R24)/(1-'Prices&amp;Fuel'!F24)</f>
        <v>9000</v>
      </c>
      <c r="C24" s="9" t="n">
        <f aca="false">(Y24/(1-'Prices&amp;Fuel'!F24))-D24-E24-F24-G24-B24</f>
        <v>-3.38332029059529E-010</v>
      </c>
      <c r="D24" s="9" t="n">
        <f aca="false">ROUND(IF(Y24/(1-'Prices&amp;Fuel'!F24)-E24-F24-G24-B24&gt;'Prices&amp;Fuel'!T24,'Prices&amp;Fuel'!T24,Y24/(1-'Prices&amp;Fuel'!F24)-E24-F24-G24-B24),9)</f>
        <v>6573.195876289</v>
      </c>
      <c r="E24" s="9" t="n">
        <f aca="false">'Prices&amp;Fuel'!U24/(1-'Prices&amp;Fuel'!F24)</f>
        <v>1938.14432989691</v>
      </c>
      <c r="F24" s="9" t="n">
        <f aca="false">('Prices&amp;Fuel'!V24+'Prices&amp;Fuel'!X24)/(1-'Prices&amp;Fuel'!F24)</f>
        <v>3070.10309278351</v>
      </c>
      <c r="G24" s="9" t="n">
        <f aca="false">'Prices&amp;Fuel'!W24/(1-'Prices&amp;Fuel'!F24)</f>
        <v>1068.0412371134</v>
      </c>
      <c r="H24" s="10" t="n">
        <f aca="false">(1.99-0.05)+(('Prices&amp;Fuel'!M24+'Prices&amp;Fuel'!P24)*(1-'Prices&amp;Fuel'!F24))</f>
        <v>2.714351</v>
      </c>
      <c r="I24" s="9" t="n">
        <f aca="false">IF(FPL!L24=80000,0,B24)</f>
        <v>0</v>
      </c>
      <c r="J24" s="9"/>
      <c r="K24" s="9" t="n">
        <f aca="false">(B24+C24+D24+E24+F24+G24)*H24*'Prices&amp;Fuel'!H24</f>
        <v>1762929</v>
      </c>
      <c r="L24" s="10" t="n">
        <f aca="false">(((B24+E24)*('Prices&amp;Fuel'!B24+0.025))+(('Prices&amp;Fuel'!D24+0.025)*(D24+G24))+(('Prices&amp;Fuel'!C24+0.025)*(C24+F24))-(I24+J24)*0.025)/(B24+C24+D24+E24+F24+G24)</f>
        <v>2.23278380952381</v>
      </c>
      <c r="M24" s="10" t="n">
        <f aca="false">1.99-(('Prices&amp;Fuel'!C24+'Prices&amp;Fuel'!D24)/2)</f>
        <v>-0.23</v>
      </c>
      <c r="N24" s="10" t="n">
        <f aca="false">L24+M24</f>
        <v>2.00278380952381</v>
      </c>
      <c r="O24" s="9" t="n">
        <f aca="false">(B24+C24+D24+E24+F24+G24)*0.5*L24*'Prices&amp;Fuel'!H24</f>
        <v>725079.278350515</v>
      </c>
      <c r="P24" s="7" t="n">
        <f aca="false">(B24+C24+D24+E24+F24+G24)*0.5*N24*'Prices&amp;Fuel'!H24</f>
        <v>650388.556701031</v>
      </c>
      <c r="Q24" s="11" t="n">
        <f aca="false">(B24+C24+D24+E24+F24+G24)*0.5*M24*'Prices&amp;Fuel'!H24</f>
        <v>-74690.7216494845</v>
      </c>
      <c r="R24" s="9" t="n">
        <f aca="false">'Prices&amp;Fuel'!X24*('Prices&amp;Fuel'!N24+'Prices&amp;Fuel'!O24)*'Prices&amp;Fuel'!H24</f>
        <v>4833.591</v>
      </c>
      <c r="S24" s="9" t="n">
        <f aca="false">('Prices&amp;Fuel'!U24+'Prices&amp;Fuel'!V24+'Prices&amp;Fuel'!W24)*('Prices&amp;Fuel'!L24+'Prices&amp;Fuel'!O24)*'Prices&amp;Fuel'!H24</f>
        <v>64439.226</v>
      </c>
      <c r="T24" s="9" t="n">
        <f aca="false">((B24+C24+D24)*(1-'Prices&amp;Fuel'!G24))*('Prices&amp;Fuel'!M24+'Prices&amp;Fuel'!P24)*'Prices&amp;Fuel'!H24</f>
        <v>361773.594</v>
      </c>
      <c r="U24" s="9" t="n">
        <f aca="false">((B24+C24+D24+E24+F24+G24)/(1-'Prices&amp;Fuel'!F24))*(1-'Prices&amp;Fuel'!F24)*'Prices&amp;Fuel'!H24*0.005</f>
        <v>3247.42268041237</v>
      </c>
      <c r="V24" s="9" t="n">
        <f aca="false">O24+P24+Q24+S24+T24+U24+R24</f>
        <v>1735070.94708247</v>
      </c>
      <c r="W24" s="5" t="n">
        <f aca="false">K24-V24</f>
        <v>27858.0529175256</v>
      </c>
      <c r="X24" s="12" t="n">
        <f aca="false">W24/(B24+C24+D24+E24+F24+G24)/'Prices&amp;Fuel'!H24</f>
        <v>0.0428925576666665</v>
      </c>
      <c r="Y24" s="1" t="n">
        <f aca="false">Y23</f>
        <v>21000</v>
      </c>
      <c r="Z24" s="13" t="n">
        <f aca="false">'Prices&amp;Fuel'!B24+'FP Corp1999 fixed price'!$M24</f>
        <v>1.97</v>
      </c>
      <c r="AA24" s="13" t="n">
        <f aca="false">'Prices&amp;Fuel'!C24+'FP Corp1999 fixed price'!$M24</f>
        <v>2</v>
      </c>
      <c r="AB24" s="13" t="n">
        <f aca="false">'Prices&amp;Fuel'!D24+'FP Corp1999 fixed price'!$M24</f>
        <v>1.98</v>
      </c>
    </row>
    <row r="25" customFormat="false" ht="12.75" hidden="false" customHeight="false" outlineLevel="0" collapsed="false">
      <c r="A25" s="6" t="n">
        <f aca="false">+A24+365/12</f>
        <v>36357.3333333333</v>
      </c>
      <c r="B25" s="5" t="n">
        <f aca="false">IF(Y25-((E25+F25+G25)*(1-'Prices&amp;Fuel'!F25))&lt;'Prices&amp;Fuel'!R25,(Y25-(E25+F25+G25)*(1-'Prices&amp;Fuel'!F25)),'Prices&amp;Fuel'!R25)/(1-'Prices&amp;Fuel'!F25)</f>
        <v>9000</v>
      </c>
      <c r="C25" s="9" t="n">
        <f aca="false">(Y25/(1-'Prices&amp;Fuel'!F25))-D25-E25-F25-G25-B25</f>
        <v>-3.38332029059529E-010</v>
      </c>
      <c r="D25" s="9" t="n">
        <f aca="false">ROUND(IF(Y25/(1-'Prices&amp;Fuel'!F25)-E25-F25-G25-B25&gt;'Prices&amp;Fuel'!T25,'Prices&amp;Fuel'!T25,Y25/(1-'Prices&amp;Fuel'!F25)-E25-F25-G25-B25),9)</f>
        <v>6573.195876289</v>
      </c>
      <c r="E25" s="9" t="n">
        <f aca="false">'Prices&amp;Fuel'!U25/(1-'Prices&amp;Fuel'!F25)</f>
        <v>1938.14432989691</v>
      </c>
      <c r="F25" s="9" t="n">
        <f aca="false">('Prices&amp;Fuel'!V25+'Prices&amp;Fuel'!X25)/(1-'Prices&amp;Fuel'!F25)</f>
        <v>3070.10309278351</v>
      </c>
      <c r="G25" s="9" t="n">
        <f aca="false">'Prices&amp;Fuel'!W25/(1-'Prices&amp;Fuel'!F25)</f>
        <v>1068.0412371134</v>
      </c>
      <c r="H25" s="10" t="n">
        <f aca="false">(1.99-0.05)+(('Prices&amp;Fuel'!M25+'Prices&amp;Fuel'!P25)*(1-'Prices&amp;Fuel'!F25))</f>
        <v>2.714351</v>
      </c>
      <c r="I25" s="9" t="n">
        <f aca="false">IF(FPL!L25=80000,0,B25)</f>
        <v>0</v>
      </c>
      <c r="J25" s="9" t="n">
        <v>217</v>
      </c>
      <c r="K25" s="9" t="n">
        <f aca="false">(B25+C25+D25+E25+F25+G25)*H25*'Prices&amp;Fuel'!H25</f>
        <v>1821693.3</v>
      </c>
      <c r="L25" s="10" t="n">
        <f aca="false">(((B25+E25)*('Prices&amp;Fuel'!B25+0.025))+(('Prices&amp;Fuel'!D25+0.025)*(D25+G25))+(('Prices&amp;Fuel'!C25+0.025)*(C25+F25))-(I25+J25)*0.025)/(B25+C25+D25+E25+F25+G25)</f>
        <v>2.26900370238095</v>
      </c>
      <c r="M25" s="10" t="n">
        <f aca="false">1.99-(('Prices&amp;Fuel'!C25+'Prices&amp;Fuel'!D25)/2)</f>
        <v>-0.265</v>
      </c>
      <c r="N25" s="10" t="n">
        <f aca="false">L25+M25</f>
        <v>2.00400370238095</v>
      </c>
      <c r="O25" s="9" t="n">
        <f aca="false">(B25+C25+D25+E25+F25+G25)*0.5*L25*'Prices&amp;Fuel'!H25</f>
        <v>761402.78878866</v>
      </c>
      <c r="P25" s="7" t="n">
        <f aca="false">(B25+C25+D25+E25+F25+G25)*0.5*N25*'Prices&amp;Fuel'!H25</f>
        <v>672477.531056701</v>
      </c>
      <c r="Q25" s="11" t="n">
        <f aca="false">(B25+C25+D25+E25+F25+G25)*0.5*M25*'Prices&amp;Fuel'!H25</f>
        <v>-88925.2577319587</v>
      </c>
      <c r="R25" s="9" t="n">
        <f aca="false">'Prices&amp;Fuel'!X25*('Prices&amp;Fuel'!N25+'Prices&amp;Fuel'!O25)*'Prices&amp;Fuel'!H25</f>
        <v>4994.7107</v>
      </c>
      <c r="S25" s="9" t="n">
        <f aca="false">('Prices&amp;Fuel'!U25+'Prices&amp;Fuel'!V25+'Prices&amp;Fuel'!W25)*('Prices&amp;Fuel'!L25+'Prices&amp;Fuel'!O25)*'Prices&amp;Fuel'!H25</f>
        <v>66587.2002</v>
      </c>
      <c r="T25" s="9" t="n">
        <f aca="false">((B25+C25+D25)*(1-'Prices&amp;Fuel'!G25))*('Prices&amp;Fuel'!M25+'Prices&amp;Fuel'!P25)*'Prices&amp;Fuel'!H25</f>
        <v>373832.7138</v>
      </c>
      <c r="U25" s="9" t="n">
        <f aca="false">((B25+C25+D25+E25+F25+G25)/(1-'Prices&amp;Fuel'!F25))*(1-'Prices&amp;Fuel'!F25)*'Prices&amp;Fuel'!H25*0.005</f>
        <v>3355.67010309278</v>
      </c>
      <c r="V25" s="9" t="n">
        <f aca="false">O25+P25+Q25+S25+T25+U25+R25</f>
        <v>1793725.35691649</v>
      </c>
      <c r="W25" s="5" t="n">
        <f aca="false">K25-V25</f>
        <v>27967.9430835054</v>
      </c>
      <c r="X25" s="12" t="n">
        <f aca="false">W25/(B25+C25+D25+E25+F25+G25)/'Prices&amp;Fuel'!H25</f>
        <v>0.0416726648095242</v>
      </c>
      <c r="Y25" s="1" t="n">
        <f aca="false">Y24</f>
        <v>21000</v>
      </c>
      <c r="Z25" s="13" t="n">
        <f aca="false">'Prices&amp;Fuel'!B25+'FP Corp1999 fixed price'!$M25</f>
        <v>1.975</v>
      </c>
      <c r="AA25" s="13" t="n">
        <f aca="false">'Prices&amp;Fuel'!C25+'FP Corp1999 fixed price'!$M25</f>
        <v>2.005</v>
      </c>
      <c r="AB25" s="13" t="n">
        <f aca="false">'Prices&amp;Fuel'!D25+'FP Corp1999 fixed price'!$M25</f>
        <v>1.975</v>
      </c>
    </row>
    <row r="26" customFormat="false" ht="12.75" hidden="false" customHeight="false" outlineLevel="0" collapsed="false">
      <c r="A26" s="6" t="n">
        <f aca="false">+A25+365/12</f>
        <v>36387.75</v>
      </c>
      <c r="B26" s="5" t="n">
        <f aca="false">IF(Y26-((E26+F26+G26)*(1-'Prices&amp;Fuel'!F26))&lt;'Prices&amp;Fuel'!R26,(Y26-(E26+F26+G26)*(1-'Prices&amp;Fuel'!F26)),'Prices&amp;Fuel'!R26)/(1-'Prices&amp;Fuel'!F26)</f>
        <v>9000</v>
      </c>
      <c r="C26" s="9" t="n">
        <f aca="false">(Y26/(1-'Prices&amp;Fuel'!F26))-D26-E26-F26-G26-B26</f>
        <v>-3.38332029059529E-010</v>
      </c>
      <c r="D26" s="9" t="n">
        <f aca="false">ROUND(IF(Y26/(1-'Prices&amp;Fuel'!F26)-E26-F26-G26-B26&gt;'Prices&amp;Fuel'!T26,'Prices&amp;Fuel'!T26,Y26/(1-'Prices&amp;Fuel'!F26)-E26-F26-G26-B26),9)</f>
        <v>6573.195876289</v>
      </c>
      <c r="E26" s="9" t="n">
        <f aca="false">'Prices&amp;Fuel'!U26/(1-'Prices&amp;Fuel'!F26)</f>
        <v>1938.14432989691</v>
      </c>
      <c r="F26" s="9" t="n">
        <f aca="false">('Prices&amp;Fuel'!V26+'Prices&amp;Fuel'!X26)/(1-'Prices&amp;Fuel'!F26)</f>
        <v>3070.10309278351</v>
      </c>
      <c r="G26" s="9" t="n">
        <f aca="false">'Prices&amp;Fuel'!W26/(1-'Prices&amp;Fuel'!F26)</f>
        <v>1068.0412371134</v>
      </c>
      <c r="H26" s="10" t="n">
        <f aca="false">(1.99-0.05)+(('Prices&amp;Fuel'!M26+'Prices&amp;Fuel'!P26)*(1-'Prices&amp;Fuel'!F26))</f>
        <v>2.714351</v>
      </c>
      <c r="I26" s="9" t="n">
        <f aca="false">IF(FPL!L26=80000,0,B26)</f>
        <v>0</v>
      </c>
      <c r="J26" s="9" t="n">
        <v>68</v>
      </c>
      <c r="K26" s="9" t="n">
        <f aca="false">(B26+C26+D26+E26+F26+G26)*H26*'Prices&amp;Fuel'!H26</f>
        <v>1821693.3</v>
      </c>
      <c r="L26" s="10" t="n">
        <f aca="false">(((B26+E26)*('Prices&amp;Fuel'!B26+0.025))+(('Prices&amp;Fuel'!D26+0.025)*(D26+G26))+(('Prices&amp;Fuel'!C26+0.025)*(C26+F26))-(I26+J26)*0.025)/(B26+C26+D26+E26+F26+G26)</f>
        <v>2.60059385714286</v>
      </c>
      <c r="M26" s="10" t="n">
        <f aca="false">1.99-(('Prices&amp;Fuel'!C26+'Prices&amp;Fuel'!D26)/2)</f>
        <v>-0.6</v>
      </c>
      <c r="N26" s="10" t="n">
        <f aca="false">L26+M26</f>
        <v>2.00059385714286</v>
      </c>
      <c r="O26" s="9" t="n">
        <f aca="false">(B26+C26+D26+E26+F26+G26)*0.5*L26*'Prices&amp;Fuel'!H26</f>
        <v>872673.505670103</v>
      </c>
      <c r="P26" s="7" t="n">
        <f aca="false">(B26+C26+D26+E26+F26+G26)*0.5*N26*'Prices&amp;Fuel'!H26</f>
        <v>671333.299484536</v>
      </c>
      <c r="Q26" s="11" t="n">
        <f aca="false">(B26+C26+D26+E26+F26+G26)*0.5*M26*'Prices&amp;Fuel'!H26</f>
        <v>-201340.206185567</v>
      </c>
      <c r="R26" s="9" t="n">
        <f aca="false">'Prices&amp;Fuel'!X26*('Prices&amp;Fuel'!N26+'Prices&amp;Fuel'!O26)*'Prices&amp;Fuel'!H26</f>
        <v>4994.7107</v>
      </c>
      <c r="S26" s="9" t="n">
        <f aca="false">('Prices&amp;Fuel'!U26+'Prices&amp;Fuel'!V26+'Prices&amp;Fuel'!W26)*('Prices&amp;Fuel'!L26+'Prices&amp;Fuel'!O26)*'Prices&amp;Fuel'!H26</f>
        <v>66587.2002</v>
      </c>
      <c r="T26" s="9" t="n">
        <f aca="false">((B26+C26+D26)*(1-'Prices&amp;Fuel'!G26))*('Prices&amp;Fuel'!M26+'Prices&amp;Fuel'!P26)*'Prices&amp;Fuel'!H26</f>
        <v>373832.7138</v>
      </c>
      <c r="U26" s="9" t="n">
        <f aca="false">((B26+C26+D26+E26+F26+G26)/(1-'Prices&amp;Fuel'!F26))*(1-'Prices&amp;Fuel'!F26)*'Prices&amp;Fuel'!H26*0.005</f>
        <v>3355.67010309278</v>
      </c>
      <c r="V26" s="9" t="n">
        <f aca="false">O26+P26+Q26+S26+T26+U26+R26</f>
        <v>1791436.89377217</v>
      </c>
      <c r="W26" s="5" t="n">
        <f aca="false">K26-V26</f>
        <v>30256.406227835</v>
      </c>
      <c r="X26" s="12" t="n">
        <f aca="false">W26/(B26+C26+D26+E26+F26+G26)/'Prices&amp;Fuel'!H26</f>
        <v>0.045082510047619</v>
      </c>
      <c r="Y26" s="1" t="n">
        <f aca="false">Y25</f>
        <v>21000</v>
      </c>
      <c r="Z26" s="13" t="n">
        <f aca="false">'Prices&amp;Fuel'!B26+'FP Corp1999 fixed price'!$M26</f>
        <v>1.97</v>
      </c>
      <c r="AA26" s="13" t="n">
        <f aca="false">'Prices&amp;Fuel'!C26+'FP Corp1999 fixed price'!$M26</f>
        <v>2.01</v>
      </c>
      <c r="AB26" s="13" t="n">
        <f aca="false">'Prices&amp;Fuel'!D26+'FP Corp1999 fixed price'!$M26</f>
        <v>1.97</v>
      </c>
    </row>
    <row r="27" customFormat="false" ht="12.75" hidden="false" customHeight="false" outlineLevel="0" collapsed="false">
      <c r="A27" s="6" t="n">
        <f aca="false">+A26+365/12</f>
        <v>36418.1666666667</v>
      </c>
      <c r="B27" s="5" t="n">
        <f aca="false">IF(Y27-((E27+F27+G27)*(1-'Prices&amp;Fuel'!F27))&lt;'Prices&amp;Fuel'!R27,(Y27-(E27+F27+G27)*(1-'Prices&amp;Fuel'!F27)),'Prices&amp;Fuel'!R27)/(1-'Prices&amp;Fuel'!F27)</f>
        <v>9000</v>
      </c>
      <c r="C27" s="9" t="n">
        <f aca="false">(Y27/(1-'Prices&amp;Fuel'!F27))-D27-E27-F27-G27-B27</f>
        <v>-3.38332029059529E-010</v>
      </c>
      <c r="D27" s="9" t="n">
        <f aca="false">ROUND(IF(Y27/(1-'Prices&amp;Fuel'!F27)-E27-F27-G27-B27&gt;'Prices&amp;Fuel'!T27,'Prices&amp;Fuel'!T27,Y27/(1-'Prices&amp;Fuel'!F27)-E27-F27-G27-B27),9)</f>
        <v>6573.195876289</v>
      </c>
      <c r="E27" s="9" t="n">
        <f aca="false">'Prices&amp;Fuel'!U27/(1-'Prices&amp;Fuel'!F27)</f>
        <v>1938.14432989691</v>
      </c>
      <c r="F27" s="9" t="n">
        <f aca="false">('Prices&amp;Fuel'!V27+'Prices&amp;Fuel'!X27)/(1-'Prices&amp;Fuel'!F27)</f>
        <v>3070.10309278351</v>
      </c>
      <c r="G27" s="9" t="n">
        <f aca="false">'Prices&amp;Fuel'!W27/(1-'Prices&amp;Fuel'!F27)</f>
        <v>1068.0412371134</v>
      </c>
      <c r="H27" s="10" t="n">
        <f aca="false">(1.99-0.05)+(('Prices&amp;Fuel'!M27+'Prices&amp;Fuel'!P27)*(1-'Prices&amp;Fuel'!F27))</f>
        <v>2.714351</v>
      </c>
      <c r="I27" s="9" t="n">
        <f aca="false">IF(FPL!L27=80000,0,B27)</f>
        <v>0</v>
      </c>
      <c r="J27" s="9" t="n">
        <v>68</v>
      </c>
      <c r="K27" s="9" t="n">
        <f aca="false">(B27+C27+D27+E27+F27+G27)*H27*'Prices&amp;Fuel'!H27</f>
        <v>1762929</v>
      </c>
      <c r="L27" s="10" t="n">
        <f aca="false">(((B27+E27)*('Prices&amp;Fuel'!B27+0.025))+(('Prices&amp;Fuel'!D27+0.025)*(D27+G27))+(('Prices&amp;Fuel'!C27+0.025)*(C27+F27))-(I27+J27)*0.025)/(B27+C27+D27+E27+F27+G27)</f>
        <v>2.89059385714286</v>
      </c>
      <c r="M27" s="10" t="n">
        <f aca="false">1.99-(('Prices&amp;Fuel'!C27+'Prices&amp;Fuel'!D27)/2)</f>
        <v>-0.89</v>
      </c>
      <c r="N27" s="10" t="n">
        <f aca="false">L27+M27</f>
        <v>2.00059385714286</v>
      </c>
      <c r="O27" s="9" t="n">
        <f aca="false">(B27+C27+D27+E27+F27+G27)*0.5*L27*'Prices&amp;Fuel'!H27</f>
        <v>938698.005154639</v>
      </c>
      <c r="P27" s="7" t="n">
        <f aca="false">(B27+C27+D27+E27+F27+G27)*0.5*N27*'Prices&amp;Fuel'!H27</f>
        <v>649677.386597938</v>
      </c>
      <c r="Q27" s="11" t="n">
        <f aca="false">(B27+C27+D27+E27+F27+G27)*0.5*M27*'Prices&amp;Fuel'!H27</f>
        <v>-289020.618556701</v>
      </c>
      <c r="R27" s="9" t="n">
        <f aca="false">'Prices&amp;Fuel'!X27*('Prices&amp;Fuel'!N27+'Prices&amp;Fuel'!O27)*'Prices&amp;Fuel'!H27</f>
        <v>4833.591</v>
      </c>
      <c r="S27" s="9" t="n">
        <f aca="false">('Prices&amp;Fuel'!U27+'Prices&amp;Fuel'!V27+'Prices&amp;Fuel'!W27)*('Prices&amp;Fuel'!L27+'Prices&amp;Fuel'!O27)*'Prices&amp;Fuel'!H27</f>
        <v>64439.226</v>
      </c>
      <c r="T27" s="9" t="n">
        <f aca="false">((B27+C27+D27)*(1-'Prices&amp;Fuel'!G27))*('Prices&amp;Fuel'!M27+'Prices&amp;Fuel'!P27)*'Prices&amp;Fuel'!H27</f>
        <v>361773.594</v>
      </c>
      <c r="U27" s="9" t="n">
        <f aca="false">((B27+C27+D27+E27+F27+G27)/(1-'Prices&amp;Fuel'!F27))*(1-'Prices&amp;Fuel'!F27)*'Prices&amp;Fuel'!H27*0.005</f>
        <v>3247.42268041237</v>
      </c>
      <c r="V27" s="9" t="n">
        <f aca="false">O27+P27+Q27+S27+T27+U27+R27</f>
        <v>1733648.60687629</v>
      </c>
      <c r="W27" s="5" t="n">
        <f aca="false">K27-V27</f>
        <v>29280.393123711</v>
      </c>
      <c r="X27" s="12" t="n">
        <f aca="false">W27/(B27+C27+D27+E27+F27+G27)/'Prices&amp;Fuel'!H27</f>
        <v>0.0450825100476185</v>
      </c>
      <c r="Y27" s="1" t="n">
        <f aca="false">Y26</f>
        <v>21000</v>
      </c>
      <c r="Z27" s="13" t="n">
        <f aca="false">'Prices&amp;Fuel'!B27+'FP Corp1999 fixed price'!$M27</f>
        <v>1.97</v>
      </c>
      <c r="AA27" s="13" t="n">
        <f aca="false">'Prices&amp;Fuel'!C27+'FP Corp1999 fixed price'!$M27</f>
        <v>2.01</v>
      </c>
      <c r="AB27" s="13" t="n">
        <f aca="false">'Prices&amp;Fuel'!D27+'FP Corp1999 fixed price'!$M27</f>
        <v>1.97</v>
      </c>
    </row>
    <row r="28" customFormat="false" ht="12.75" hidden="false" customHeight="false" outlineLevel="0" collapsed="false">
      <c r="A28" s="6" t="n">
        <f aca="false">+A27+365/12</f>
        <v>36448.5833333333</v>
      </c>
      <c r="B28" s="5" t="n">
        <f aca="false">IF(Y28-((E28+F28+G28)*(1-'Prices&amp;Fuel'!F28))&lt;'Prices&amp;Fuel'!R28,(Y28-(E28+F28+G28)*(1-'Prices&amp;Fuel'!F28)),'Prices&amp;Fuel'!R28)/(1-'Prices&amp;Fuel'!F28)</f>
        <v>8976.86375321337</v>
      </c>
      <c r="C28" s="9" t="n">
        <f aca="false">(Y28/(1-'Prices&amp;Fuel'!F28))-D28-E28-F28-G28-B28</f>
        <v>2.0190782379359E-010</v>
      </c>
      <c r="D28" s="9" t="n">
        <f aca="false">ROUND(IF(Y28/(1-'Prices&amp;Fuel'!F28)-E28-F28-G28-B28&gt;'Prices&amp;Fuel'!T28,'Prices&amp;Fuel'!T28,Y28/(1-'Prices&amp;Fuel'!F28)-E28-F28-G28-B28),9)</f>
        <v>3514.652956298</v>
      </c>
      <c r="E28" s="9" t="n">
        <f aca="false">'Prices&amp;Fuel'!U28/(1-'Prices&amp;Fuel'!F28)</f>
        <v>2910.02570694087</v>
      </c>
      <c r="F28" s="9" t="n">
        <f aca="false">('Prices&amp;Fuel'!V28+'Prices&amp;Fuel'!X28)/(1-'Prices&amp;Fuel'!F28)</f>
        <v>4628.27763496144</v>
      </c>
      <c r="G28" s="9" t="n">
        <f aca="false">'Prices&amp;Fuel'!W28/(1-'Prices&amp;Fuel'!F28)</f>
        <v>1564.01028277635</v>
      </c>
      <c r="H28" s="10" t="n">
        <f aca="false">(1.99-0.05)+(('Prices&amp;Fuel'!M28+'Prices&amp;Fuel'!P28)*(1-'Prices&amp;Fuel'!F28))</f>
        <v>2.72393225</v>
      </c>
      <c r="I28" s="9" t="n">
        <f aca="false">IF(FPL!L28=80000,0,B28)</f>
        <v>8976.86375321337</v>
      </c>
      <c r="J28" s="9" t="n">
        <v>68</v>
      </c>
      <c r="K28" s="9" t="n">
        <f aca="false">(B28+C28+D28+E28+F28+G28)*H28*'Prices&amp;Fuel'!H28</f>
        <v>1823424.0562982</v>
      </c>
      <c r="L28" s="10" t="n">
        <f aca="false">(((B28+E28)*('Prices&amp;Fuel'!B28+0.025))+(('Prices&amp;Fuel'!D28+0.025)*(D28+G28))+(('Prices&amp;Fuel'!C28+0.025)*(C28+F28))-(I28+J28)*0.025)/(B28+C28+D28+E28+F28+G28)</f>
        <v>2.51310175</v>
      </c>
      <c r="M28" s="10" t="n">
        <f aca="false">1.99-(('Prices&amp;Fuel'!C28+'Prices&amp;Fuel'!D28)/2)</f>
        <v>-0.52</v>
      </c>
      <c r="N28" s="10" t="n">
        <f aca="false">L28+M28</f>
        <v>1.99310175</v>
      </c>
      <c r="O28" s="9" t="n">
        <f aca="false">(B28+C28+D28+E28+F28+G28)*0.5*L28*'Prices&amp;Fuel'!H28</f>
        <v>841146.138431877</v>
      </c>
      <c r="P28" s="7" t="n">
        <f aca="false">(B28+C28+D28+E28+F28+G28)*0.5*N28*'Prices&amp;Fuel'!H28</f>
        <v>667099.865938304</v>
      </c>
      <c r="Q28" s="11" t="n">
        <f aca="false">(B28+C28+D28+E28+F28+G28)*0.5*M28*'Prices&amp;Fuel'!H28</f>
        <v>-174046.272493573</v>
      </c>
      <c r="R28" s="9" t="n">
        <f aca="false">'Prices&amp;Fuel'!X28*('Prices&amp;Fuel'!N28+'Prices&amp;Fuel'!O28)*'Prices&amp;Fuel'!H28</f>
        <v>7562.2547</v>
      </c>
      <c r="S28" s="9" t="n">
        <f aca="false">('Prices&amp;Fuel'!U28+'Prices&amp;Fuel'!V28+'Prices&amp;Fuel'!W28)*('Prices&amp;Fuel'!L28+'Prices&amp;Fuel'!O28)*'Prices&amp;Fuel'!H28</f>
        <v>102220.02</v>
      </c>
      <c r="T28" s="9" t="n">
        <f aca="false">((B28+C28+D28)*(1-'Prices&amp;Fuel'!G28))*('Prices&amp;Fuel'!M28+'Prices&amp;Fuel'!P28)*'Prices&amp;Fuel'!H28</f>
        <v>303567.5868</v>
      </c>
      <c r="U28" s="9" t="n">
        <f aca="false">((B28+C28+D28+E28+F28+G28)/(1-'Prices&amp;Fuel'!F28))*(1-'Prices&amp;Fuel'!F28)*'Prices&amp;Fuel'!H28*0.005</f>
        <v>3347.04370179949</v>
      </c>
      <c r="V28" s="9" t="n">
        <f aca="false">O28+P28+Q28+S28+T28+U28+R28</f>
        <v>1750896.63707841</v>
      </c>
      <c r="W28" s="5" t="n">
        <f aca="false">K28-V28</f>
        <v>72527.4192197938</v>
      </c>
      <c r="X28" s="12" t="n">
        <f aca="false">W28/(B28+C28+D28+E28+F28+G28)/'Prices&amp;Fuel'!H28</f>
        <v>0.108345491845237</v>
      </c>
      <c r="Y28" s="1" t="n">
        <f aca="false">Y27</f>
        <v>21000</v>
      </c>
      <c r="Z28" s="13" t="n">
        <f aca="false">'Prices&amp;Fuel'!B28+'FP Corp1999 fixed price'!$M28</f>
        <v>1.97</v>
      </c>
      <c r="AA28" s="13" t="n">
        <f aca="false">'Prices&amp;Fuel'!C28+'FP Corp1999 fixed price'!$M28</f>
        <v>2.01</v>
      </c>
      <c r="AB28" s="13" t="n">
        <f aca="false">'Prices&amp;Fuel'!D28+'FP Corp1999 fixed price'!$M28</f>
        <v>1.97</v>
      </c>
    </row>
    <row r="29" customFormat="false" ht="12.75" hidden="false" customHeight="false" outlineLevel="0" collapsed="false">
      <c r="A29" s="6" t="n">
        <f aca="false">+A28+365/12</f>
        <v>36479</v>
      </c>
      <c r="B29" s="5" t="n">
        <f aca="false">IF(Y29-((E29+F29+G29)*(1-'Prices&amp;Fuel'!F29))&lt;'Prices&amp;Fuel'!R29,(Y29-(E29+F29+G29)*(1-'Prices&amp;Fuel'!F29)),'Prices&amp;Fuel'!R29)/(1-'Prices&amp;Fuel'!F29)</f>
        <v>4325.96401028278</v>
      </c>
      <c r="C29" s="9" t="n">
        <f aca="false">(Y29/(1-'Prices&amp;Fuel'!F29))-D29-E29-F29-G29-B29</f>
        <v>0</v>
      </c>
      <c r="D29" s="9" t="n">
        <f aca="false">ROUND(IF(Y29/(1-'Prices&amp;Fuel'!F29)-E29-F29-G29-B29&gt;'Prices&amp;Fuel'!T29,'Prices&amp;Fuel'!T29,Y29/(1-'Prices&amp;Fuel'!F29)-E29-F29-G29-B29),9)</f>
        <v>0</v>
      </c>
      <c r="E29" s="9" t="n">
        <f aca="false">'Prices&amp;Fuel'!U29/(1-'Prices&amp;Fuel'!F29)</f>
        <v>2635.47557840617</v>
      </c>
      <c r="F29" s="9" t="n">
        <f aca="false">('Prices&amp;Fuel'!V29+'Prices&amp;Fuel'!X29)/(1-'Prices&amp;Fuel'!F29)</f>
        <v>3645.2442159383</v>
      </c>
      <c r="G29" s="9" t="n">
        <f aca="false">'Prices&amp;Fuel'!W29/(1-'Prices&amp;Fuel'!F29)</f>
        <v>1732.64781491003</v>
      </c>
      <c r="H29" s="10" t="n">
        <f aca="false">(1.99-0.05)+(('Prices&amp;Fuel'!M29+'Prices&amp;Fuel'!P29)*(1-'Prices&amp;Fuel'!F29))</f>
        <v>2.72393225</v>
      </c>
      <c r="I29" s="9" t="n">
        <f aca="false">IF(FPL!L29=80000,0,B29)</f>
        <v>4325.96401028278</v>
      </c>
      <c r="J29" s="9" t="n">
        <v>68</v>
      </c>
      <c r="K29" s="9" t="n">
        <f aca="false">(B29+C29+D29+E29+F29+G29)*H29*'Prices&amp;Fuel'!H29</f>
        <v>1008345.10025707</v>
      </c>
      <c r="L29" s="10" t="n">
        <f aca="false">(((B29+E29)*('Prices&amp;Fuel'!B29+0.025))+(('Prices&amp;Fuel'!D29+0.025)*(D29+G29))+(('Prices&amp;Fuel'!C29+0.025)*(C29+F29))-(I29+J29)*0.025)/(B29+C29+D29+E29+F29+G29)</f>
        <v>3.0079143125</v>
      </c>
      <c r="M29" s="10" t="n">
        <f aca="false">1.99-(('Prices&amp;Fuel'!C29+'Prices&amp;Fuel'!D29)/2)</f>
        <v>-1.01</v>
      </c>
      <c r="N29" s="10" t="n">
        <f aca="false">L29+M29</f>
        <v>1.9979143125</v>
      </c>
      <c r="O29" s="9" t="n">
        <f aca="false">(B29+C29+D29+E29+F29+G29)*0.5*L29*'Prices&amp;Fuel'!H29</f>
        <v>556734.78277635</v>
      </c>
      <c r="P29" s="7" t="n">
        <f aca="false">(B29+C29+D29+E29+F29+G29)*0.5*N29*'Prices&amp;Fuel'!H29</f>
        <v>369793.90874036</v>
      </c>
      <c r="Q29" s="11" t="n">
        <f aca="false">(B29+C29+D29+E29+F29+G29)*0.5*M29*'Prices&amp;Fuel'!H29</f>
        <v>-186940.87403599</v>
      </c>
      <c r="R29" s="9" t="n">
        <f aca="false">'Prices&amp;Fuel'!X29*('Prices&amp;Fuel'!N29+'Prices&amp;Fuel'!O29)*'Prices&amp;Fuel'!H29</f>
        <v>4993.413</v>
      </c>
      <c r="S29" s="9" t="n">
        <f aca="false">('Prices&amp;Fuel'!U29+'Prices&amp;Fuel'!V29+'Prices&amp;Fuel'!W29)*('Prices&amp;Fuel'!L29+'Prices&amp;Fuel'!O29)*'Prices&amp;Fuel'!H29</f>
        <v>89586</v>
      </c>
      <c r="T29" s="9" t="n">
        <f aca="false">((B29+C29+D29)*(1-'Prices&amp;Fuel'!G29))*('Prices&amp;Fuel'!M29+'Prices&amp;Fuel'!P29)*'Prices&amp;Fuel'!H29</f>
        <v>101737.881</v>
      </c>
      <c r="U29" s="9" t="n">
        <f aca="false">((B29+C29+D29+E29+F29+G29)/(1-'Prices&amp;Fuel'!F29))*(1-'Prices&amp;Fuel'!F29)*'Prices&amp;Fuel'!H29*0.005</f>
        <v>1850.89974293059</v>
      </c>
      <c r="V29" s="9" t="n">
        <f aca="false">O29+P29+Q29+S29+T29+U29+R29</f>
        <v>937756.01122365</v>
      </c>
      <c r="W29" s="5" t="n">
        <f aca="false">K29-V29</f>
        <v>70589.089033419</v>
      </c>
      <c r="X29" s="12" t="n">
        <f aca="false">W29/(B29+C29+D29+E29+F29+G29)/'Prices&amp;Fuel'!H29</f>
        <v>0.190688580791667</v>
      </c>
      <c r="Y29" s="1" t="n">
        <v>12000</v>
      </c>
      <c r="Z29" s="13" t="n">
        <f aca="false">'Prices&amp;Fuel'!B29+'FP Corp1999 fixed price'!$M29</f>
        <v>1.97</v>
      </c>
      <c r="AA29" s="13" t="n">
        <f aca="false">'Prices&amp;Fuel'!C29+'FP Corp1999 fixed price'!$M29</f>
        <v>2.01</v>
      </c>
      <c r="AB29" s="13" t="n">
        <f aca="false">'Prices&amp;Fuel'!D29+'FP Corp1999 fixed price'!$M29</f>
        <v>1.97</v>
      </c>
    </row>
    <row r="30" customFormat="false" ht="12.75" hidden="false" customHeight="false" outlineLevel="0" collapsed="false">
      <c r="A30" s="6" t="n">
        <f aca="false">+A29+365/12</f>
        <v>36509.4166666667</v>
      </c>
      <c r="B30" s="5" t="n">
        <f aca="false">IF(Y30-((E30+F30+G30)*(1-'Prices&amp;Fuel'!F30))&lt;'Prices&amp;Fuel'!R30,(Y30-(E30+F30+G30)*(1-'Prices&amp;Fuel'!F30)),'Prices&amp;Fuel'!R30)/(1-'Prices&amp;Fuel'!F30)</f>
        <v>4325.96401028278</v>
      </c>
      <c r="C30" s="9" t="n">
        <f aca="false">(Y30/(1-'Prices&amp;Fuel'!F30))-D30-E30-F30-G30-B30</f>
        <v>0</v>
      </c>
      <c r="D30" s="9" t="n">
        <f aca="false">ROUND(IF(Y30/(1-'Prices&amp;Fuel'!F30)-E30-F30-G30-B30&gt;'Prices&amp;Fuel'!T30,'Prices&amp;Fuel'!T30,Y30/(1-'Prices&amp;Fuel'!F30)-E30-F30-G30-B30),9)</f>
        <v>0</v>
      </c>
      <c r="E30" s="9" t="n">
        <f aca="false">'Prices&amp;Fuel'!U30/(1-'Prices&amp;Fuel'!F30)</f>
        <v>2635.47557840617</v>
      </c>
      <c r="F30" s="9" t="n">
        <f aca="false">('Prices&amp;Fuel'!V30+'Prices&amp;Fuel'!X30)/(1-'Prices&amp;Fuel'!F30)</f>
        <v>3645.2442159383</v>
      </c>
      <c r="G30" s="9" t="n">
        <f aca="false">'Prices&amp;Fuel'!W30/(1-'Prices&amp;Fuel'!F30)</f>
        <v>1732.64781491003</v>
      </c>
      <c r="H30" s="10" t="n">
        <f aca="false">(1.99-0.05)+(('Prices&amp;Fuel'!M30+'Prices&amp;Fuel'!P30)*(1-'Prices&amp;Fuel'!F30))</f>
        <v>2.72393225</v>
      </c>
      <c r="I30" s="9" t="n">
        <f aca="false">IF(FPL!L30=80000,0,B30)</f>
        <v>4325.96401028278</v>
      </c>
      <c r="J30" s="9" t="n">
        <v>68</v>
      </c>
      <c r="K30" s="9" t="n">
        <f aca="false">(B30+C30+D30+E30+F30+G30)*H30*'Prices&amp;Fuel'!H30</f>
        <v>1041956.60359897</v>
      </c>
      <c r="L30" s="10" t="n">
        <f aca="false">(((B30+E30)*('Prices&amp;Fuel'!B30+0.025))+(('Prices&amp;Fuel'!D30+0.025)*(D30+G30))+(('Prices&amp;Fuel'!C30+0.025)*(C30+F30))-(I30+J30)*0.025)/(B30+C30+D30+E30+F30+G30)</f>
        <v>2.1279143125</v>
      </c>
      <c r="M30" s="10" t="n">
        <f aca="false">1.99-(('Prices&amp;Fuel'!C30+'Prices&amp;Fuel'!D30)/2)</f>
        <v>-0.13</v>
      </c>
      <c r="N30" s="10" t="n">
        <f aca="false">L30+M30</f>
        <v>1.9979143125</v>
      </c>
      <c r="O30" s="9" t="n">
        <f aca="false">(B30+C30+D30+E30+F30+G30)*0.5*L30*'Prices&amp;Fuel'!H30</f>
        <v>406984.125578406</v>
      </c>
      <c r="P30" s="7" t="n">
        <f aca="false">(B30+C30+D30+E30+F30+G30)*0.5*N30*'Prices&amp;Fuel'!H30</f>
        <v>382120.372365039</v>
      </c>
      <c r="Q30" s="11" t="n">
        <f aca="false">(B30+C30+D30+E30+F30+G30)*0.5*M30*'Prices&amp;Fuel'!H30</f>
        <v>-24863.7532133676</v>
      </c>
      <c r="R30" s="9" t="n">
        <f aca="false">'Prices&amp;Fuel'!X30*('Prices&amp;Fuel'!N30+'Prices&amp;Fuel'!O30)*'Prices&amp;Fuel'!H30</f>
        <v>5159.8601</v>
      </c>
      <c r="S30" s="9" t="n">
        <f aca="false">('Prices&amp;Fuel'!U30+'Prices&amp;Fuel'!V30+'Prices&amp;Fuel'!W30)*('Prices&amp;Fuel'!L30+'Prices&amp;Fuel'!O30)*'Prices&amp;Fuel'!H30</f>
        <v>92572.2</v>
      </c>
      <c r="T30" s="9" t="n">
        <f aca="false">((B30+C30+D30)*(1-'Prices&amp;Fuel'!G30))*('Prices&amp;Fuel'!M30+'Prices&amp;Fuel'!P30)*'Prices&amp;Fuel'!H30</f>
        <v>105129.1437</v>
      </c>
      <c r="U30" s="9" t="n">
        <f aca="false">((B30+C30+D30+E30+F30+G30)/(1-'Prices&amp;Fuel'!F30))*(1-'Prices&amp;Fuel'!F30)*'Prices&amp;Fuel'!H30*0.005</f>
        <v>1912.59640102828</v>
      </c>
      <c r="V30" s="9" t="n">
        <f aca="false">O30+P30+Q30+S30+T30+U30+R30</f>
        <v>969014.544931105</v>
      </c>
      <c r="W30" s="5" t="n">
        <f aca="false">K30-V30</f>
        <v>72942.0586678663</v>
      </c>
      <c r="X30" s="12" t="n">
        <f aca="false">W30/(B30+C30+D30+E30+F30+G30)/'Prices&amp;Fuel'!H30</f>
        <v>0.190688580791667</v>
      </c>
      <c r="Y30" s="1" t="n">
        <f aca="false">Y29</f>
        <v>12000</v>
      </c>
      <c r="Z30" s="13" t="n">
        <f aca="false">'Prices&amp;Fuel'!B30+'FP Corp1999 fixed price'!$M30</f>
        <v>1.97</v>
      </c>
      <c r="AA30" s="13" t="n">
        <f aca="false">'Prices&amp;Fuel'!C30+'FP Corp1999 fixed price'!$M30</f>
        <v>2.01</v>
      </c>
      <c r="AB30" s="13" t="n">
        <f aca="false">'Prices&amp;Fuel'!D30+'FP Corp1999 fixed price'!$M30</f>
        <v>1.97</v>
      </c>
    </row>
    <row r="31" customFormat="false" ht="12.75" hidden="false" customHeight="false" outlineLevel="0" collapsed="false">
      <c r="P31" s="1"/>
      <c r="Q31" s="11" t="n">
        <f aca="false">(B31+C31+D31+E31+F31+G31)*0.5*M31*'Prices&amp;Fuel'!H31</f>
        <v>0</v>
      </c>
    </row>
    <row r="32" customFormat="false" ht="11.25" hidden="false" customHeight="false" outlineLevel="0" collapsed="false">
      <c r="P32" s="1"/>
      <c r="Q32" s="1"/>
    </row>
    <row r="33" customFormat="false" ht="11.25" hidden="false" customHeight="false" outlineLevel="0" collapsed="false">
      <c r="P33" s="1"/>
      <c r="Q33" s="1"/>
    </row>
    <row r="34" customFormat="false" ht="11.25" hidden="false" customHeight="false" outlineLevel="0" collapsed="false">
      <c r="P34" s="1"/>
      <c r="Q34" s="1"/>
    </row>
    <row r="35" customFormat="false" ht="11.25" hidden="false" customHeight="false" outlineLevel="0" collapsed="false">
      <c r="P35" s="1"/>
      <c r="Q35" s="1"/>
    </row>
    <row r="36" customFormat="false" ht="11.25" hidden="false" customHeight="false" outlineLevel="0" collapsed="false">
      <c r="P36" s="1"/>
      <c r="Q36" s="1"/>
    </row>
    <row r="37" customFormat="false" ht="11.25" hidden="false" customHeight="false" outlineLevel="0" collapsed="false">
      <c r="P37" s="1"/>
      <c r="Q37" s="1"/>
    </row>
    <row r="38" customFormat="false" ht="11.25" hidden="false" customHeight="false" outlineLevel="0" collapsed="false">
      <c r="P38" s="1"/>
      <c r="Q38" s="1"/>
    </row>
    <row r="39" customFormat="false" ht="11.25" hidden="false" customHeight="false" outlineLevel="0" collapsed="false">
      <c r="P39" s="1"/>
      <c r="Q39" s="1"/>
    </row>
    <row r="40" customFormat="false" ht="11.25" hidden="false" customHeight="false" outlineLevel="0" collapsed="false">
      <c r="P40" s="1"/>
      <c r="Q40" s="1"/>
    </row>
    <row r="41" customFormat="false" ht="11.25" hidden="false" customHeight="false" outlineLevel="0" collapsed="false">
      <c r="P41" s="1"/>
      <c r="Q41" s="1"/>
    </row>
    <row r="42" customFormat="false" ht="11.25" hidden="false" customHeight="false" outlineLevel="0" collapsed="false">
      <c r="P42" s="1"/>
      <c r="Q42" s="1"/>
    </row>
    <row r="43" customFormat="false" ht="11.25" hidden="false" customHeight="false" outlineLevel="0" collapsed="false">
      <c r="P43" s="1"/>
      <c r="Q43" s="1"/>
    </row>
    <row r="44" customFormat="false" ht="11.25" hidden="false" customHeight="false" outlineLevel="0" collapsed="false">
      <c r="P44" s="1"/>
      <c r="Q44" s="1"/>
    </row>
    <row r="45" customFormat="false" ht="11.25" hidden="false" customHeight="false" outlineLevel="0" collapsed="false">
      <c r="P45" s="1"/>
      <c r="Q45" s="1"/>
    </row>
    <row r="46" customFormat="false" ht="11.25" hidden="false" customHeight="false" outlineLevel="0" collapsed="false">
      <c r="P46" s="1"/>
      <c r="Q46" s="1"/>
    </row>
    <row r="47" customFormat="false" ht="11.25" hidden="false" customHeight="false" outlineLevel="0" collapsed="false">
      <c r="P47" s="1"/>
      <c r="Q47" s="1"/>
    </row>
    <row r="48" customFormat="false" ht="11.25" hidden="false" customHeight="false" outlineLevel="0" collapsed="false">
      <c r="P48" s="1"/>
      <c r="Q48" s="1"/>
    </row>
    <row r="49" customFormat="false" ht="11.25" hidden="false" customHeight="false" outlineLevel="0" collapsed="false">
      <c r="P49" s="1"/>
      <c r="Q49" s="1"/>
    </row>
    <row r="50" customFormat="false" ht="11.25" hidden="false" customHeight="false" outlineLevel="0" collapsed="false">
      <c r="P50" s="1"/>
      <c r="Q50" s="1"/>
    </row>
    <row r="51" customFormat="false" ht="11.25" hidden="false" customHeight="false" outlineLevel="0" collapsed="false">
      <c r="P51" s="1"/>
      <c r="Q51" s="1"/>
    </row>
    <row r="52" customFormat="false" ht="11.25" hidden="false" customHeight="false" outlineLevel="0" collapsed="false">
      <c r="P52" s="1"/>
      <c r="Q52" s="1"/>
    </row>
    <row r="53" customFormat="false" ht="11.25" hidden="false" customHeight="false" outlineLevel="0" collapsed="false">
      <c r="P53" s="1"/>
      <c r="Q53" s="1"/>
    </row>
    <row r="54" customFormat="false" ht="11.25" hidden="false" customHeight="false" outlineLevel="0" collapsed="false">
      <c r="P54" s="1"/>
      <c r="Q54" s="1"/>
    </row>
    <row r="55" customFormat="false" ht="11.25" hidden="false" customHeight="false" outlineLevel="0" collapsed="false">
      <c r="P55" s="1"/>
      <c r="Q55" s="1"/>
    </row>
    <row r="56" customFormat="false" ht="11.25" hidden="false" customHeight="false" outlineLevel="0" collapsed="false">
      <c r="P56" s="1"/>
      <c r="Q56" s="1"/>
    </row>
    <row r="57" customFormat="false" ht="11.25" hidden="false" customHeight="false" outlineLevel="0" collapsed="false">
      <c r="P57" s="1"/>
      <c r="Q57" s="1"/>
    </row>
    <row r="58" customFormat="false" ht="11.25" hidden="false" customHeight="false" outlineLevel="0" collapsed="false">
      <c r="P58" s="1"/>
      <c r="Q58" s="1"/>
    </row>
    <row r="59" customFormat="false" ht="11.25" hidden="false" customHeight="false" outlineLevel="0" collapsed="false">
      <c r="P59" s="1"/>
      <c r="Q59" s="1"/>
    </row>
    <row r="60" customFormat="false" ht="11.25" hidden="false" customHeight="false" outlineLevel="0" collapsed="false">
      <c r="P60" s="1"/>
      <c r="Q60" s="1"/>
    </row>
    <row r="61" customFormat="false" ht="11.25" hidden="false" customHeight="false" outlineLevel="0" collapsed="false">
      <c r="P61" s="1"/>
      <c r="Q61" s="1"/>
    </row>
    <row r="62" customFormat="false" ht="11.25" hidden="false" customHeight="false" outlineLevel="0" collapsed="false">
      <c r="P62" s="1"/>
      <c r="Q62" s="1"/>
    </row>
    <row r="63" customFormat="false" ht="11.25" hidden="false" customHeight="false" outlineLevel="0" collapsed="false">
      <c r="P63" s="1"/>
      <c r="Q63" s="1"/>
    </row>
    <row r="64" customFormat="false" ht="11.25" hidden="false" customHeight="false" outlineLevel="0" collapsed="false">
      <c r="P64" s="1"/>
      <c r="Q64" s="1"/>
    </row>
    <row r="65" customFormat="false" ht="11.25" hidden="false" customHeight="false" outlineLevel="0" collapsed="false">
      <c r="P65" s="1"/>
      <c r="Q65" s="1"/>
    </row>
    <row r="66" customFormat="false" ht="11.25" hidden="false" customHeight="false" outlineLevel="0" collapsed="false">
      <c r="P66" s="1"/>
      <c r="Q66" s="1"/>
    </row>
    <row r="67" customFormat="false" ht="11.25" hidden="false" customHeight="false" outlineLevel="0" collapsed="false">
      <c r="P67" s="1"/>
      <c r="Q67" s="1"/>
    </row>
    <row r="68" customFormat="false" ht="11.25" hidden="false" customHeight="false" outlineLevel="0" collapsed="false">
      <c r="P68" s="1"/>
      <c r="Q68" s="1"/>
    </row>
    <row r="69" customFormat="false" ht="11.25" hidden="false" customHeight="false" outlineLevel="0" collapsed="false">
      <c r="P69" s="1"/>
      <c r="Q69" s="1"/>
    </row>
    <row r="70" customFormat="false" ht="11.25" hidden="false" customHeight="false" outlineLevel="0" collapsed="false">
      <c r="P70" s="1"/>
      <c r="Q70" s="1"/>
    </row>
    <row r="71" customFormat="false" ht="11.25" hidden="false" customHeight="false" outlineLevel="0" collapsed="false">
      <c r="P71" s="1"/>
      <c r="Q71" s="1"/>
    </row>
    <row r="72" customFormat="false" ht="11.25" hidden="false" customHeight="false" outlineLevel="0" collapsed="false">
      <c r="P72" s="1"/>
      <c r="Q72" s="1"/>
    </row>
    <row r="73" customFormat="false" ht="11.25" hidden="false" customHeight="false" outlineLevel="0" collapsed="false">
      <c r="P73" s="1"/>
      <c r="Q73" s="1"/>
    </row>
    <row r="74" customFormat="false" ht="11.25" hidden="false" customHeight="false" outlineLevel="0" collapsed="false">
      <c r="P74" s="1"/>
      <c r="Q74" s="1"/>
    </row>
    <row r="75" customFormat="false" ht="11.25" hidden="false" customHeight="false" outlineLevel="0" collapsed="false">
      <c r="P75" s="1"/>
      <c r="Q75" s="1"/>
    </row>
    <row r="76" customFormat="false" ht="11.25" hidden="false" customHeight="false" outlineLevel="0" collapsed="false">
      <c r="P76" s="1"/>
      <c r="Q76" s="1"/>
    </row>
    <row r="77" customFormat="false" ht="11.25" hidden="false" customHeight="false" outlineLevel="0" collapsed="false">
      <c r="P77" s="1"/>
      <c r="Q77" s="1"/>
    </row>
    <row r="78" customFormat="false" ht="11.25" hidden="false" customHeight="false" outlineLevel="0" collapsed="false">
      <c r="P78" s="1"/>
      <c r="Q78" s="1"/>
    </row>
    <row r="79" customFormat="false" ht="11.25" hidden="false" customHeight="false" outlineLevel="0" collapsed="false">
      <c r="P79" s="1"/>
      <c r="Q79" s="1"/>
    </row>
    <row r="80" customFormat="false" ht="11.25" hidden="false" customHeight="false" outlineLevel="0" collapsed="false">
      <c r="P80" s="1"/>
      <c r="Q80" s="1"/>
    </row>
    <row r="81" customFormat="false" ht="11.25" hidden="false" customHeight="false" outlineLevel="0" collapsed="false">
      <c r="P81" s="1"/>
      <c r="Q81" s="1"/>
    </row>
    <row r="82" customFormat="false" ht="11.25" hidden="false" customHeight="false" outlineLevel="0" collapsed="false">
      <c r="P82" s="1"/>
      <c r="Q82" s="1"/>
    </row>
    <row r="83" customFormat="false" ht="11.25" hidden="false" customHeight="false" outlineLevel="0" collapsed="false">
      <c r="P83" s="1"/>
      <c r="Q83" s="1"/>
    </row>
    <row r="84" customFormat="false" ht="11.25" hidden="false" customHeight="false" outlineLevel="0" collapsed="false">
      <c r="P84" s="1"/>
      <c r="Q84" s="1"/>
    </row>
    <row r="85" customFormat="false" ht="11.25" hidden="false" customHeight="false" outlineLevel="0" collapsed="false">
      <c r="P85" s="1"/>
      <c r="Q85" s="1"/>
    </row>
    <row r="86" customFormat="false" ht="11.25" hidden="false" customHeight="false" outlineLevel="0" collapsed="false">
      <c r="P86" s="1"/>
      <c r="Q86" s="1"/>
    </row>
    <row r="87" customFormat="false" ht="11.25" hidden="false" customHeight="false" outlineLevel="0" collapsed="false">
      <c r="P87" s="1"/>
      <c r="Q87" s="1"/>
    </row>
    <row r="88" customFormat="false" ht="11.25" hidden="false" customHeight="false" outlineLevel="0" collapsed="false">
      <c r="P88" s="1"/>
      <c r="Q88" s="1"/>
    </row>
    <row r="89" customFormat="false" ht="11.25" hidden="false" customHeight="false" outlineLevel="0" collapsed="false">
      <c r="P89" s="1"/>
      <c r="Q89" s="1"/>
    </row>
    <row r="90" customFormat="false" ht="11.25" hidden="false" customHeight="false" outlineLevel="0" collapsed="false">
      <c r="P90" s="1"/>
      <c r="Q90" s="1"/>
    </row>
    <row r="91" customFormat="false" ht="11.25" hidden="false" customHeight="false" outlineLevel="0" collapsed="false">
      <c r="P91" s="1"/>
      <c r="Q91" s="1"/>
    </row>
    <row r="92" customFormat="false" ht="11.25" hidden="false" customHeight="false" outlineLevel="0" collapsed="false">
      <c r="P92" s="1"/>
      <c r="Q92" s="1"/>
    </row>
    <row r="93" customFormat="false" ht="11.25" hidden="false" customHeight="false" outlineLevel="0" collapsed="false">
      <c r="P93" s="1"/>
      <c r="Q93" s="1"/>
    </row>
    <row r="94" customFormat="false" ht="11.25" hidden="false" customHeight="false" outlineLevel="0" collapsed="false">
      <c r="P94" s="1"/>
      <c r="Q94" s="1"/>
    </row>
    <row r="95" customFormat="false" ht="11.25" hidden="false" customHeight="false" outlineLevel="0" collapsed="false">
      <c r="P95" s="1"/>
      <c r="Q95" s="1"/>
    </row>
    <row r="96" customFormat="false" ht="11.25" hidden="false" customHeight="false" outlineLevel="0" collapsed="false">
      <c r="P96" s="1"/>
      <c r="Q96" s="1"/>
    </row>
    <row r="97" customFormat="false" ht="11.25" hidden="false" customHeight="false" outlineLevel="0" collapsed="false">
      <c r="P97" s="1"/>
      <c r="Q97" s="1"/>
    </row>
    <row r="98" customFormat="false" ht="11.25" hidden="false" customHeight="false" outlineLevel="0" collapsed="false">
      <c r="P98" s="1"/>
      <c r="Q98" s="1"/>
    </row>
    <row r="99" customFormat="false" ht="11.25" hidden="false" customHeight="false" outlineLevel="0" collapsed="false">
      <c r="P99" s="1"/>
      <c r="Q99" s="1"/>
    </row>
    <row r="100" customFormat="false" ht="11.25" hidden="false" customHeight="false" outlineLevel="0" collapsed="false">
      <c r="P100" s="1"/>
      <c r="Q100" s="1"/>
    </row>
    <row r="101" customFormat="false" ht="11.25" hidden="false" customHeight="false" outlineLevel="0" collapsed="false">
      <c r="P101" s="1"/>
      <c r="Q101" s="1"/>
    </row>
    <row r="102" customFormat="false" ht="11.25" hidden="false" customHeight="false" outlineLevel="0" collapsed="false">
      <c r="P102" s="1"/>
      <c r="Q102" s="1"/>
    </row>
    <row r="103" customFormat="false" ht="11.25" hidden="false" customHeight="false" outlineLevel="0" collapsed="false">
      <c r="P103" s="1"/>
      <c r="Q103" s="1"/>
    </row>
    <row r="104" customFormat="false" ht="11.25" hidden="false" customHeight="false" outlineLevel="0" collapsed="false">
      <c r="P104" s="1"/>
      <c r="Q104" s="1"/>
    </row>
    <row r="105" customFormat="false" ht="11.25" hidden="false" customHeight="false" outlineLevel="0" collapsed="false">
      <c r="P105" s="1"/>
      <c r="Q105" s="1"/>
    </row>
    <row r="106" customFormat="false" ht="11.25" hidden="false" customHeight="false" outlineLevel="0" collapsed="false">
      <c r="P106" s="1"/>
      <c r="Q106" s="1"/>
    </row>
    <row r="107" customFormat="false" ht="11.25" hidden="false" customHeight="false" outlineLevel="0" collapsed="false">
      <c r="P107" s="1"/>
      <c r="Q107" s="1"/>
    </row>
    <row r="108" customFormat="false" ht="11.25" hidden="false" customHeight="false" outlineLevel="0" collapsed="false">
      <c r="P108" s="1"/>
      <c r="Q108" s="1"/>
    </row>
    <row r="109" customFormat="false" ht="11.25" hidden="false" customHeight="false" outlineLevel="0" collapsed="false">
      <c r="P109" s="1"/>
      <c r="Q109" s="1"/>
    </row>
    <row r="110" customFormat="false" ht="11.25" hidden="false" customHeight="false" outlineLevel="0" collapsed="false">
      <c r="P110" s="1"/>
      <c r="Q110" s="1"/>
    </row>
    <row r="111" customFormat="false" ht="11.25" hidden="false" customHeight="false" outlineLevel="0" collapsed="false">
      <c r="P111" s="1"/>
      <c r="Q111" s="1"/>
    </row>
    <row r="112" customFormat="false" ht="11.25" hidden="false" customHeight="false" outlineLevel="0" collapsed="false">
      <c r="P112" s="1"/>
      <c r="Q112" s="1"/>
    </row>
    <row r="113" customFormat="false" ht="11.25" hidden="false" customHeight="false" outlineLevel="0" collapsed="false">
      <c r="P113" s="1"/>
      <c r="Q113" s="1"/>
    </row>
    <row r="114" customFormat="false" ht="11.25" hidden="false" customHeight="false" outlineLevel="0" collapsed="false">
      <c r="P114" s="1"/>
      <c r="Q114" s="1"/>
    </row>
    <row r="115" customFormat="false" ht="11.25" hidden="false" customHeight="false" outlineLevel="0" collapsed="false">
      <c r="P115" s="1"/>
      <c r="Q115" s="1"/>
    </row>
    <row r="116" customFormat="false" ht="11.25" hidden="false" customHeight="false" outlineLevel="0" collapsed="false">
      <c r="P116" s="1"/>
      <c r="Q116" s="1"/>
    </row>
    <row r="117" customFormat="false" ht="11.25" hidden="false" customHeight="false" outlineLevel="0" collapsed="false">
      <c r="P117" s="1"/>
      <c r="Q117" s="1"/>
    </row>
    <row r="118" customFormat="false" ht="11.25" hidden="false" customHeight="false" outlineLevel="0" collapsed="false">
      <c r="P118" s="1"/>
      <c r="Q118" s="1"/>
    </row>
    <row r="119" customFormat="false" ht="11.25" hidden="false" customHeight="false" outlineLevel="0" collapsed="false">
      <c r="P119" s="1"/>
      <c r="Q119" s="1"/>
    </row>
    <row r="120" customFormat="false" ht="11.25" hidden="false" customHeight="false" outlineLevel="0" collapsed="false">
      <c r="P120" s="1"/>
      <c r="Q120" s="1"/>
    </row>
    <row r="121" customFormat="false" ht="11.25" hidden="false" customHeight="false" outlineLevel="0" collapsed="false">
      <c r="P121" s="1"/>
      <c r="Q121" s="1"/>
    </row>
    <row r="122" customFormat="false" ht="11.25" hidden="false" customHeight="false" outlineLevel="0" collapsed="false">
      <c r="P122" s="1"/>
      <c r="Q122" s="1"/>
    </row>
    <row r="123" customFormat="false" ht="11.25" hidden="false" customHeight="false" outlineLevel="0" collapsed="false">
      <c r="P123" s="1"/>
      <c r="Q123" s="1"/>
    </row>
    <row r="124" customFormat="false" ht="11.25" hidden="false" customHeight="false" outlineLevel="0" collapsed="false">
      <c r="P124" s="1"/>
      <c r="Q124" s="1"/>
    </row>
    <row r="125" customFormat="false" ht="11.25" hidden="false" customHeight="false" outlineLevel="0" collapsed="false">
      <c r="P125" s="1"/>
      <c r="Q125" s="1"/>
    </row>
    <row r="126" customFormat="false" ht="11.25" hidden="false" customHeight="false" outlineLevel="0" collapsed="false">
      <c r="P126" s="1"/>
      <c r="Q126" s="1"/>
    </row>
    <row r="127" customFormat="false" ht="11.25" hidden="false" customHeight="false" outlineLevel="0" collapsed="false">
      <c r="P127" s="1"/>
      <c r="Q127" s="1"/>
    </row>
    <row r="128" customFormat="false" ht="11.25" hidden="false" customHeight="false" outlineLevel="0" collapsed="false">
      <c r="P128" s="1"/>
      <c r="Q128" s="1"/>
    </row>
    <row r="129" customFormat="false" ht="11.25" hidden="false" customHeight="false" outlineLevel="0" collapsed="false">
      <c r="P129" s="1"/>
      <c r="Q129" s="1"/>
    </row>
    <row r="130" customFormat="false" ht="11.25" hidden="false" customHeight="false" outlineLevel="0" collapsed="false">
      <c r="P130" s="1"/>
      <c r="Q130" s="1"/>
    </row>
    <row r="131" customFormat="false" ht="11.25" hidden="false" customHeight="false" outlineLevel="0" collapsed="false">
      <c r="P131" s="1"/>
      <c r="Q131" s="1"/>
    </row>
    <row r="132" customFormat="false" ht="11.25" hidden="false" customHeight="false" outlineLevel="0" collapsed="false">
      <c r="P132" s="1"/>
      <c r="Q132" s="1"/>
    </row>
    <row r="133" customFormat="false" ht="11.25" hidden="false" customHeight="false" outlineLevel="0" collapsed="false">
      <c r="P133" s="1"/>
      <c r="Q133" s="1"/>
    </row>
    <row r="134" customFormat="false" ht="11.25" hidden="false" customHeight="false" outlineLevel="0" collapsed="false">
      <c r="P134" s="1"/>
      <c r="Q134" s="1"/>
    </row>
    <row r="135" customFormat="false" ht="11.25" hidden="false" customHeight="false" outlineLevel="0" collapsed="false">
      <c r="P135" s="1"/>
      <c r="Q135" s="1"/>
    </row>
    <row r="136" customFormat="false" ht="11.25" hidden="false" customHeight="false" outlineLevel="0" collapsed="false">
      <c r="P136" s="1"/>
      <c r="Q136" s="1"/>
    </row>
    <row r="137" customFormat="false" ht="11.25" hidden="false" customHeight="false" outlineLevel="0" collapsed="false">
      <c r="P137" s="1"/>
      <c r="Q137" s="1"/>
    </row>
    <row r="138" customFormat="false" ht="11.25" hidden="false" customHeight="false" outlineLevel="0" collapsed="false">
      <c r="P138" s="1"/>
      <c r="Q138" s="1"/>
    </row>
    <row r="139" customFormat="false" ht="11.25" hidden="false" customHeight="false" outlineLevel="0" collapsed="false">
      <c r="P139" s="1"/>
      <c r="Q139" s="1"/>
    </row>
    <row r="140" customFormat="false" ht="11.25" hidden="false" customHeight="false" outlineLevel="0" collapsed="false">
      <c r="P140" s="1"/>
      <c r="Q140" s="1"/>
    </row>
    <row r="141" customFormat="false" ht="11.25" hidden="false" customHeight="false" outlineLevel="0" collapsed="false">
      <c r="P141" s="1"/>
      <c r="Q141" s="1"/>
    </row>
    <row r="142" customFormat="false" ht="11.25" hidden="false" customHeight="false" outlineLevel="0" collapsed="false">
      <c r="P142" s="1"/>
      <c r="Q142" s="1"/>
    </row>
    <row r="143" customFormat="false" ht="11.25" hidden="false" customHeight="false" outlineLevel="0" collapsed="false">
      <c r="P143" s="1"/>
      <c r="Q143" s="1"/>
    </row>
    <row r="144" customFormat="false" ht="11.25" hidden="false" customHeight="false" outlineLevel="0" collapsed="false">
      <c r="P144" s="1"/>
      <c r="Q144" s="1"/>
    </row>
    <row r="145" customFormat="false" ht="11.25" hidden="false" customHeight="false" outlineLevel="0" collapsed="false">
      <c r="P145" s="1"/>
      <c r="Q145" s="1"/>
    </row>
    <row r="146" customFormat="false" ht="11.25" hidden="false" customHeight="false" outlineLevel="0" collapsed="false">
      <c r="P146" s="1"/>
      <c r="Q146" s="1"/>
    </row>
    <row r="147" customFormat="false" ht="11.25" hidden="false" customHeight="false" outlineLevel="0" collapsed="false">
      <c r="P147" s="1"/>
      <c r="Q147" s="1"/>
    </row>
    <row r="148" customFormat="false" ht="11.25" hidden="false" customHeight="false" outlineLevel="0" collapsed="false">
      <c r="P148" s="1"/>
      <c r="Q148" s="1"/>
    </row>
    <row r="149" customFormat="false" ht="11.25" hidden="false" customHeight="false" outlineLevel="0" collapsed="false">
      <c r="P149" s="1"/>
      <c r="Q149" s="1"/>
    </row>
    <row r="150" customFormat="false" ht="11.25" hidden="false" customHeight="false" outlineLevel="0" collapsed="false">
      <c r="P150" s="1"/>
      <c r="Q150" s="1"/>
    </row>
    <row r="151" customFormat="false" ht="11.25" hidden="false" customHeight="false" outlineLevel="0" collapsed="false">
      <c r="P151" s="1"/>
      <c r="Q151" s="1"/>
    </row>
    <row r="152" customFormat="false" ht="11.25" hidden="false" customHeight="false" outlineLevel="0" collapsed="false">
      <c r="P152" s="1"/>
      <c r="Q152" s="1"/>
    </row>
    <row r="153" customFormat="false" ht="11.25" hidden="false" customHeight="false" outlineLevel="0" collapsed="false">
      <c r="P153" s="1"/>
      <c r="Q153" s="1"/>
    </row>
    <row r="154" customFormat="false" ht="11.25" hidden="false" customHeight="false" outlineLevel="0" collapsed="false">
      <c r="P154" s="1"/>
      <c r="Q154" s="1"/>
    </row>
    <row r="155" customFormat="false" ht="11.25" hidden="false" customHeight="false" outlineLevel="0" collapsed="false">
      <c r="P155" s="1"/>
      <c r="Q155" s="1"/>
    </row>
    <row r="156" customFormat="false" ht="11.25" hidden="false" customHeight="false" outlineLevel="0" collapsed="false">
      <c r="P156" s="1"/>
      <c r="Q156" s="1"/>
    </row>
    <row r="157" customFormat="false" ht="11.25" hidden="false" customHeight="false" outlineLevel="0" collapsed="false">
      <c r="P157" s="1"/>
      <c r="Q157" s="1"/>
    </row>
    <row r="158" customFormat="false" ht="11.25" hidden="false" customHeight="false" outlineLevel="0" collapsed="false">
      <c r="P158" s="1"/>
      <c r="Q158" s="1"/>
    </row>
    <row r="159" customFormat="false" ht="11.25" hidden="false" customHeight="false" outlineLevel="0" collapsed="false">
      <c r="P159" s="1"/>
      <c r="Q159" s="1"/>
    </row>
    <row r="160" customFormat="false" ht="11.25" hidden="false" customHeight="false" outlineLevel="0" collapsed="false">
      <c r="P160" s="1"/>
      <c r="Q160" s="1"/>
    </row>
    <row r="161" customFormat="false" ht="11.25" hidden="false" customHeight="false" outlineLevel="0" collapsed="false">
      <c r="P161" s="1"/>
      <c r="Q161" s="1"/>
    </row>
    <row r="162" customFormat="false" ht="11.25" hidden="false" customHeight="false" outlineLevel="0" collapsed="false">
      <c r="P162" s="1"/>
      <c r="Q162" s="1"/>
    </row>
    <row r="163" customFormat="false" ht="11.25" hidden="false" customHeight="false" outlineLevel="0" collapsed="false">
      <c r="P163" s="1"/>
      <c r="Q163" s="1"/>
    </row>
    <row r="164" customFormat="false" ht="11.25" hidden="false" customHeight="false" outlineLevel="0" collapsed="false">
      <c r="P164" s="1"/>
      <c r="Q164" s="1"/>
    </row>
    <row r="165" customFormat="false" ht="11.25" hidden="false" customHeight="false" outlineLevel="0" collapsed="false">
      <c r="P165" s="1"/>
      <c r="Q165" s="1"/>
    </row>
    <row r="166" customFormat="false" ht="11.25" hidden="false" customHeight="false" outlineLevel="0" collapsed="false">
      <c r="P166" s="1"/>
      <c r="Q166" s="1"/>
    </row>
    <row r="167" customFormat="false" ht="11.25" hidden="false" customHeight="false" outlineLevel="0" collapsed="false">
      <c r="P167" s="1"/>
      <c r="Q167" s="1"/>
    </row>
    <row r="168" customFormat="false" ht="11.25" hidden="false" customHeight="false" outlineLevel="0" collapsed="false">
      <c r="P168" s="1"/>
      <c r="Q168" s="1"/>
    </row>
    <row r="169" customFormat="false" ht="11.25" hidden="false" customHeight="false" outlineLevel="0" collapsed="false">
      <c r="P169" s="1"/>
      <c r="Q169" s="1"/>
    </row>
    <row r="170" customFormat="false" ht="11.25" hidden="false" customHeight="false" outlineLevel="0" collapsed="false">
      <c r="P170" s="1"/>
      <c r="Q170" s="1"/>
    </row>
    <row r="171" customFormat="false" ht="11.25" hidden="false" customHeight="false" outlineLevel="0" collapsed="false">
      <c r="P171" s="1"/>
      <c r="Q171" s="1"/>
    </row>
    <row r="172" customFormat="false" ht="11.25" hidden="false" customHeight="false" outlineLevel="0" collapsed="false">
      <c r="P172" s="1"/>
      <c r="Q172" s="1"/>
    </row>
    <row r="173" customFormat="false" ht="11.25" hidden="false" customHeight="false" outlineLevel="0" collapsed="false">
      <c r="P173" s="1"/>
      <c r="Q173" s="1"/>
    </row>
    <row r="174" customFormat="false" ht="11.25" hidden="false" customHeight="false" outlineLevel="0" collapsed="false">
      <c r="P174" s="1"/>
      <c r="Q174" s="1"/>
    </row>
    <row r="175" customFormat="false" ht="11.25" hidden="false" customHeight="false" outlineLevel="0" collapsed="false">
      <c r="P175" s="1"/>
      <c r="Q175" s="1"/>
    </row>
    <row r="176" customFormat="false" ht="11.25" hidden="false" customHeight="false" outlineLevel="0" collapsed="false">
      <c r="P176" s="1"/>
      <c r="Q176" s="1"/>
    </row>
    <row r="177" customFormat="false" ht="11.25" hidden="false" customHeight="false" outlineLevel="0" collapsed="false">
      <c r="P177" s="1"/>
      <c r="Q177" s="1"/>
    </row>
    <row r="178" customFormat="false" ht="11.25" hidden="false" customHeight="false" outlineLevel="0" collapsed="false">
      <c r="P178" s="1"/>
      <c r="Q178" s="1"/>
    </row>
    <row r="179" customFormat="false" ht="11.25" hidden="false" customHeight="false" outlineLevel="0" collapsed="false">
      <c r="P179" s="1"/>
      <c r="Q179" s="1"/>
    </row>
    <row r="180" customFormat="false" ht="11.25" hidden="false" customHeight="false" outlineLevel="0" collapsed="false">
      <c r="P180" s="1"/>
      <c r="Q180" s="1"/>
    </row>
    <row r="181" customFormat="false" ht="11.25" hidden="false" customHeight="false" outlineLevel="0" collapsed="false">
      <c r="P181" s="1"/>
      <c r="Q181" s="1"/>
    </row>
    <row r="182" customFormat="false" ht="11.25" hidden="false" customHeight="false" outlineLevel="0" collapsed="false">
      <c r="P182" s="1"/>
      <c r="Q182" s="1"/>
    </row>
    <row r="183" customFormat="false" ht="11.25" hidden="false" customHeight="false" outlineLevel="0" collapsed="false">
      <c r="P183" s="1"/>
      <c r="Q183" s="1"/>
    </row>
    <row r="184" customFormat="false" ht="11.25" hidden="false" customHeight="false" outlineLevel="0" collapsed="false">
      <c r="P184" s="1"/>
      <c r="Q184" s="1"/>
    </row>
    <row r="185" customFormat="false" ht="11.25" hidden="false" customHeight="false" outlineLevel="0" collapsed="false">
      <c r="P185" s="1"/>
      <c r="Q185" s="1"/>
    </row>
    <row r="186" customFormat="false" ht="11.25" hidden="false" customHeight="false" outlineLevel="0" collapsed="false">
      <c r="P186" s="1"/>
      <c r="Q186" s="1"/>
    </row>
    <row r="187" customFormat="false" ht="11.25" hidden="false" customHeight="false" outlineLevel="0" collapsed="false">
      <c r="P187" s="1"/>
      <c r="Q187" s="1"/>
    </row>
    <row r="188" customFormat="false" ht="11.25" hidden="false" customHeight="false" outlineLevel="0" collapsed="false">
      <c r="P188" s="1"/>
      <c r="Q188" s="1"/>
    </row>
    <row r="189" customFormat="false" ht="11.25" hidden="false" customHeight="false" outlineLevel="0" collapsed="false">
      <c r="P189" s="1"/>
      <c r="Q189" s="1"/>
    </row>
    <row r="190" customFormat="false" ht="11.25" hidden="false" customHeight="false" outlineLevel="0" collapsed="false">
      <c r="P190" s="1"/>
      <c r="Q190" s="1"/>
    </row>
    <row r="191" customFormat="false" ht="11.25" hidden="false" customHeight="false" outlineLevel="0" collapsed="false">
      <c r="P191" s="1"/>
      <c r="Q191" s="1"/>
    </row>
    <row r="192" customFormat="false" ht="11.25" hidden="false" customHeight="false" outlineLevel="0" collapsed="false">
      <c r="P192" s="1"/>
      <c r="Q192" s="1"/>
    </row>
    <row r="193" customFormat="false" ht="11.25" hidden="false" customHeight="false" outlineLevel="0" collapsed="false">
      <c r="P193" s="1"/>
      <c r="Q193" s="1"/>
    </row>
    <row r="194" customFormat="false" ht="11.25" hidden="false" customHeight="false" outlineLevel="0" collapsed="false">
      <c r="P194" s="1"/>
      <c r="Q194" s="1"/>
    </row>
    <row r="195" customFormat="false" ht="11.25" hidden="false" customHeight="false" outlineLevel="0" collapsed="false">
      <c r="P195" s="1"/>
      <c r="Q195" s="1"/>
    </row>
    <row r="196" customFormat="false" ht="11.25" hidden="false" customHeight="false" outlineLevel="0" collapsed="false">
      <c r="P196" s="1"/>
      <c r="Q196" s="1"/>
    </row>
    <row r="197" customFormat="false" ht="11.25" hidden="false" customHeight="false" outlineLevel="0" collapsed="false">
      <c r="P197" s="1"/>
      <c r="Q197" s="1"/>
    </row>
    <row r="198" customFormat="false" ht="11.25" hidden="false" customHeight="false" outlineLevel="0" collapsed="false">
      <c r="P198" s="1"/>
      <c r="Q198" s="1"/>
    </row>
    <row r="199" customFormat="false" ht="11.25" hidden="false" customHeight="false" outlineLevel="0" collapsed="false">
      <c r="P199" s="1"/>
      <c r="Q199" s="1"/>
    </row>
    <row r="200" customFormat="false" ht="11.25" hidden="false" customHeight="false" outlineLevel="0" collapsed="false">
      <c r="P200" s="1"/>
      <c r="Q200" s="1"/>
    </row>
    <row r="201" customFormat="false" ht="11.25" hidden="false" customHeight="false" outlineLevel="0" collapsed="false">
      <c r="P201" s="1"/>
      <c r="Q201" s="1"/>
    </row>
    <row r="202" customFormat="false" ht="11.25" hidden="false" customHeight="false" outlineLevel="0" collapsed="false">
      <c r="P202" s="1"/>
      <c r="Q202" s="1"/>
    </row>
    <row r="203" customFormat="false" ht="11.25" hidden="false" customHeight="false" outlineLevel="0" collapsed="false">
      <c r="P203" s="1"/>
      <c r="Q203" s="1"/>
    </row>
    <row r="204" customFormat="false" ht="11.25" hidden="false" customHeight="false" outlineLevel="0" collapsed="false">
      <c r="P204" s="1"/>
      <c r="Q204" s="1"/>
    </row>
    <row r="205" customFormat="false" ht="11.25" hidden="false" customHeight="false" outlineLevel="0" collapsed="false">
      <c r="P205" s="1"/>
      <c r="Q205" s="1"/>
    </row>
    <row r="206" customFormat="false" ht="11.25" hidden="false" customHeight="false" outlineLevel="0" collapsed="false">
      <c r="P206" s="1"/>
      <c r="Q206" s="1"/>
    </row>
    <row r="207" customFormat="false" ht="11.25" hidden="false" customHeight="false" outlineLevel="0" collapsed="false">
      <c r="P207" s="1"/>
      <c r="Q207" s="1"/>
    </row>
    <row r="208" customFormat="false" ht="11.25" hidden="false" customHeight="false" outlineLevel="0" collapsed="false">
      <c r="P208" s="1"/>
      <c r="Q208" s="1"/>
    </row>
    <row r="209" customFormat="false" ht="11.25" hidden="false" customHeight="false" outlineLevel="0" collapsed="false">
      <c r="P209" s="1"/>
      <c r="Q209" s="1"/>
    </row>
    <row r="210" customFormat="false" ht="11.25" hidden="false" customHeight="false" outlineLevel="0" collapsed="false">
      <c r="P210" s="1"/>
      <c r="Q210" s="1"/>
    </row>
    <row r="211" customFormat="false" ht="11.25" hidden="false" customHeight="false" outlineLevel="0" collapsed="false">
      <c r="P211" s="1"/>
      <c r="Q211" s="1"/>
    </row>
    <row r="212" customFormat="false" ht="11.25" hidden="false" customHeight="false" outlineLevel="0" collapsed="false">
      <c r="P212" s="1"/>
      <c r="Q212" s="1"/>
    </row>
  </sheetData>
  <mergeCells count="1">
    <mergeCell ref="B3:O3"/>
  </mergeCells>
  <printOptions headings="false" gridLines="true" gridLinesSet="true" horizontalCentered="true" verticalCentered="false"/>
  <pageMargins left="0" right="0" top="0.25" bottom="0.25" header="0.511811023622047" footer="0.511811023622047"/>
  <pageSetup paperSize="5" scale="8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4" topLeftCell="AH31" activePane="bottomRight" state="frozen"/>
      <selection pane="topLeft" activeCell="A1" activeCellId="0" sqref="A1"/>
      <selection pane="topRight" activeCell="AH1" activeCellId="0" sqref="AH1"/>
      <selection pane="bottomLeft" activeCell="A31" activeCellId="0" sqref="A31"/>
      <selection pane="bottomRight" activeCell="AV31" activeCellId="0" sqref="AV31"/>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true" outlineLevel="0" max="6" min="2" style="7" width="9.06"/>
    <col collapsed="false" customWidth="true" hidden="true" outlineLevel="0" max="7" min="7" style="1" width="9.06"/>
    <col collapsed="false" customWidth="true" hidden="true" outlineLevel="0" max="9" min="8" style="7" width="9.06"/>
    <col collapsed="false" customWidth="true" hidden="true" outlineLevel="0" max="10" min="10" style="1" width="9.06"/>
    <col collapsed="false" customWidth="true" hidden="true" outlineLevel="0" max="11" min="11" style="1" width="11.56"/>
    <col collapsed="false" customWidth="true" hidden="true" outlineLevel="0" max="12" min="12" style="0" width="10.41"/>
    <col collapsed="false" customWidth="true" hidden="true" outlineLevel="0" max="13" min="13" style="0" width="9.06"/>
    <col collapsed="false" customWidth="true" hidden="false" outlineLevel="0" max="14" min="14" style="1" width="2.7"/>
    <col collapsed="false" customWidth="false" hidden="false" outlineLevel="0" max="17" min="15" style="1" width="9.14"/>
    <col collapsed="false" customWidth="false" hidden="false" outlineLevel="0" max="19" min="18" style="8" width="9.14"/>
    <col collapsed="false" customWidth="true" hidden="false" outlineLevel="0" max="20" min="20" style="8" width="9.85"/>
    <col collapsed="false" customWidth="true" hidden="false" outlineLevel="0" max="21" min="21" style="8" width="10.28"/>
    <col collapsed="false" customWidth="true" hidden="false" outlineLevel="0" max="22" min="22" style="0" width="9.7"/>
    <col collapsed="false" customWidth="true" hidden="false" outlineLevel="0" max="23" min="23" style="1" width="2.7"/>
    <col collapsed="false" customWidth="false" hidden="false" outlineLevel="0" max="27" min="24" style="1" width="9.14"/>
    <col collapsed="false" customWidth="true" hidden="false" outlineLevel="0" max="28" min="28" style="1" width="10.13"/>
    <col collapsed="false" customWidth="true" hidden="false" outlineLevel="0" max="29" min="29" style="1" width="10.28"/>
    <col collapsed="false" customWidth="true" hidden="false" outlineLevel="0" max="30" min="30" style="1" width="9.56"/>
    <col collapsed="false" customWidth="true" hidden="false" outlineLevel="0" max="31" min="31" style="1" width="2.7"/>
    <col collapsed="false" customWidth="true" hidden="false" outlineLevel="0" max="32" min="32" style="1" width="10.28"/>
    <col collapsed="false" customWidth="true" hidden="false" outlineLevel="0" max="33" min="33" style="7" width="10.13"/>
    <col collapsed="false" customWidth="true" hidden="false" outlineLevel="0" max="37" min="34" style="1" width="10.85"/>
    <col collapsed="false" customWidth="true" hidden="false" outlineLevel="0" max="38" min="38" style="1" width="11.99"/>
    <col collapsed="false" customWidth="true" hidden="false" outlineLevel="0" max="39" min="39" style="1" width="9.85"/>
    <col collapsed="false" customWidth="true" hidden="false" outlineLevel="0" max="41" min="40" style="1" width="10.71"/>
    <col collapsed="false" customWidth="true" hidden="false" outlineLevel="0" max="43" min="42" style="1" width="10.56"/>
    <col collapsed="false" customWidth="true" hidden="false" outlineLevel="0" max="44" min="44" style="1" width="9.7"/>
    <col collapsed="false" customWidth="true" hidden="false" outlineLevel="0" max="45" min="45" style="1" width="9.85"/>
    <col collapsed="false" customWidth="true" hidden="false" outlineLevel="0" max="46" min="46" style="1" width="11.7"/>
    <col collapsed="false" customWidth="true" hidden="false" outlineLevel="0" max="47" min="47" style="1" width="8.99"/>
    <col collapsed="false" customWidth="true" hidden="false" outlineLevel="0" max="48" min="48" style="7" width="7.7"/>
    <col collapsed="false" customWidth="true" hidden="false" outlineLevel="0" max="49" min="49" style="1" width="7.28"/>
    <col collapsed="false" customWidth="true" hidden="false" outlineLevel="0" max="50" min="50" style="1" width="8.56"/>
    <col collapsed="false" customWidth="true" hidden="false" outlineLevel="0" max="51" min="51" style="1" width="11.56"/>
    <col collapsed="false" customWidth="true" hidden="false" outlineLevel="0" max="52" min="52" style="1" width="11.99"/>
    <col collapsed="false" customWidth="true" hidden="false" outlineLevel="0" max="53" min="53" style="1" width="11.42"/>
    <col collapsed="false" customWidth="true" hidden="false" outlineLevel="0" max="54" min="54" style="1" width="9.41"/>
    <col collapsed="false" customWidth="true" hidden="false" outlineLevel="0" max="55" min="55" style="1" width="11.7"/>
    <col collapsed="false" customWidth="false" hidden="false" outlineLevel="0" max="60" min="56" style="1" width="9.14"/>
    <col collapsed="false" customWidth="true" hidden="false" outlineLevel="0" max="62" min="61" style="1" width="10.56"/>
    <col collapsed="false" customWidth="false" hidden="false" outlineLevel="0" max="63" min="63" style="1" width="9.14"/>
    <col collapsed="false" customWidth="true" hidden="false" outlineLevel="0" max="64" min="64" style="1" width="10.41"/>
    <col collapsed="false" customWidth="false" hidden="false" outlineLevel="0" max="66" min="65" style="1" width="9.14"/>
    <col collapsed="false" customWidth="true" hidden="false" outlineLevel="0" max="67" min="67" style="1" width="11.99"/>
    <col collapsed="false" customWidth="true" hidden="false" outlineLevel="0" max="69" min="68" style="1" width="10.85"/>
    <col collapsed="false" customWidth="true" hidden="false" outlineLevel="0" max="71" min="70" style="7" width="9.7"/>
    <col collapsed="false" customWidth="true" hidden="false" outlineLevel="0" max="75" min="72" style="1" width="9.7"/>
    <col collapsed="false" customWidth="false" hidden="false" outlineLevel="0" max="79" min="76" style="1" width="9.14"/>
    <col collapsed="false" customWidth="true" hidden="false" outlineLevel="0" max="80" min="80" style="1" width="10.56"/>
    <col collapsed="false" customWidth="true" hidden="false" outlineLevel="0" max="81" min="81" style="1" width="10.85"/>
    <col collapsed="false" customWidth="true" hidden="false" outlineLevel="0" max="82" min="82" style="1" width="12.28"/>
    <col collapsed="false" customWidth="true" hidden="false" outlineLevel="0" max="83" min="83" style="1" width="10.99"/>
    <col collapsed="false" customWidth="false" hidden="false" outlineLevel="0" max="87" min="84" style="1" width="9.14"/>
    <col collapsed="false" customWidth="true" hidden="false" outlineLevel="0" max="88" min="88" style="1" width="11.56"/>
    <col collapsed="false" customWidth="true" hidden="false" outlineLevel="0" max="89" min="89" style="1" width="10.99"/>
    <col collapsed="false" customWidth="true" hidden="false" outlineLevel="0" max="90" min="90" style="1" width="10.71"/>
    <col collapsed="false" customWidth="true" hidden="false" outlineLevel="0" max="91" min="91" style="1" width="10.56"/>
    <col collapsed="false" customWidth="true" hidden="false" outlineLevel="0" max="92" min="92" style="1" width="11.56"/>
    <col collapsed="false" customWidth="true" hidden="false" outlineLevel="0" max="93" min="93" style="1" width="11.13"/>
    <col collapsed="false" customWidth="false" hidden="false" outlineLevel="0" max="94" min="94" style="1" width="9.14"/>
    <col collapsed="false" customWidth="false" hidden="false" outlineLevel="0" max="95" min="95" style="7" width="9.14"/>
    <col collapsed="false" customWidth="true" hidden="false" outlineLevel="0" max="96" min="96" style="7" width="10.56"/>
    <col collapsed="false" customWidth="true" hidden="false" outlineLevel="0" max="97" min="97" style="1" width="9.28"/>
    <col collapsed="false" customWidth="true" hidden="false" outlineLevel="0" max="98" min="98" style="1" width="10.28"/>
    <col collapsed="false" customWidth="true" hidden="false" outlineLevel="0" max="99" min="99" style="1" width="9.85"/>
    <col collapsed="false" customWidth="true" hidden="false" outlineLevel="0" max="100" min="100" style="0" width="10.28"/>
    <col collapsed="false" customWidth="true" hidden="false" outlineLevel="0" max="101" min="101" style="1" width="9.99"/>
    <col collapsed="false" customWidth="true" hidden="false" outlineLevel="0" max="102" min="102" style="1" width="9.85"/>
    <col collapsed="false" customWidth="false" hidden="false" outlineLevel="0" max="257" min="103" style="1" width="9.14"/>
  </cols>
  <sheetData>
    <row r="1" customFormat="false" ht="12.75" hidden="false" customHeight="false" outlineLevel="0" collapsed="false">
      <c r="CN1" s="0"/>
      <c r="CO1" s="0"/>
      <c r="CV1" s="64"/>
    </row>
    <row r="2" customFormat="false" ht="12.75" hidden="false" customHeight="false" outlineLevel="0" collapsed="false">
      <c r="CV2" s="64"/>
    </row>
    <row r="3" customFormat="false" ht="19.15" hidden="false" customHeight="true" outlineLevel="0" collapsed="false">
      <c r="B3" s="51" t="s">
        <v>143</v>
      </c>
      <c r="C3" s="51"/>
      <c r="D3" s="51"/>
      <c r="E3" s="51"/>
      <c r="F3" s="51"/>
      <c r="G3" s="51"/>
      <c r="H3" s="51"/>
      <c r="I3" s="51"/>
      <c r="J3" s="51"/>
      <c r="K3" s="51"/>
      <c r="L3" s="51"/>
      <c r="M3" s="51"/>
      <c r="O3" s="3" t="s">
        <v>144</v>
      </c>
      <c r="P3" s="3"/>
      <c r="Q3" s="3"/>
      <c r="R3" s="3"/>
      <c r="S3" s="3"/>
      <c r="T3" s="3"/>
      <c r="U3" s="3"/>
      <c r="X3" s="3" t="s">
        <v>145</v>
      </c>
      <c r="Y3" s="3"/>
      <c r="Z3" s="3"/>
      <c r="AA3" s="3"/>
      <c r="AB3" s="3"/>
      <c r="AC3" s="3"/>
      <c r="AD3" s="3"/>
      <c r="AF3" s="3" t="s">
        <v>146</v>
      </c>
      <c r="AG3" s="3"/>
      <c r="AH3" s="3"/>
      <c r="AI3" s="3"/>
      <c r="AJ3" s="3"/>
      <c r="AK3" s="3"/>
      <c r="AL3" s="3"/>
      <c r="AM3" s="3"/>
      <c r="AN3" s="3"/>
      <c r="AO3" s="3"/>
      <c r="AP3" s="3"/>
      <c r="AQ3" s="3"/>
      <c r="AR3" s="3"/>
      <c r="AS3" s="3"/>
      <c r="AT3" s="3"/>
      <c r="AU3" s="3"/>
      <c r="AV3" s="3"/>
      <c r="AW3" s="3"/>
      <c r="AX3" s="3"/>
      <c r="AY3" s="3"/>
      <c r="AZ3" s="3"/>
      <c r="BA3" s="3"/>
      <c r="BB3" s="2" t="s">
        <v>0</v>
      </c>
      <c r="BC3" s="2"/>
      <c r="BD3" s="2"/>
      <c r="BE3" s="2"/>
      <c r="BF3" s="2"/>
      <c r="BG3" s="2"/>
      <c r="BH3" s="2"/>
      <c r="BI3" s="2"/>
      <c r="BJ3" s="2"/>
      <c r="BK3" s="2"/>
      <c r="BL3" s="2"/>
      <c r="BM3" s="2"/>
      <c r="BN3" s="2"/>
      <c r="BO3" s="2"/>
      <c r="BP3" s="2"/>
      <c r="BQ3" s="2"/>
      <c r="BR3" s="65" t="s">
        <v>147</v>
      </c>
      <c r="BS3" s="65"/>
      <c r="BT3" s="65"/>
      <c r="BU3" s="65"/>
      <c r="BV3" s="65"/>
      <c r="BW3" s="65"/>
      <c r="BX3" s="65"/>
      <c r="BY3" s="65"/>
      <c r="BZ3" s="65"/>
      <c r="CA3" s="66"/>
      <c r="CB3" s="66"/>
      <c r="CC3" s="66" t="s">
        <v>148</v>
      </c>
      <c r="CD3" s="66"/>
      <c r="CE3" s="66"/>
      <c r="CF3" s="3" t="s">
        <v>100</v>
      </c>
      <c r="CG3" s="3"/>
      <c r="CH3" s="3"/>
      <c r="CI3" s="3"/>
      <c r="CJ3" s="3" t="s">
        <v>149</v>
      </c>
      <c r="CK3" s="3"/>
      <c r="CL3" s="3"/>
      <c r="CV3" s="64"/>
    </row>
    <row r="4" customFormat="false" ht="45" hidden="false" customHeight="true" outlineLevel="0" collapsed="false">
      <c r="A4" s="4" t="s">
        <v>1</v>
      </c>
      <c r="B4" s="5" t="s">
        <v>150</v>
      </c>
      <c r="C4" s="5" t="s">
        <v>151</v>
      </c>
      <c r="D4" s="5" t="s">
        <v>152</v>
      </c>
      <c r="E4" s="5" t="s">
        <v>153</v>
      </c>
      <c r="F4" s="5" t="s">
        <v>154</v>
      </c>
      <c r="G4" s="5" t="s">
        <v>155</v>
      </c>
      <c r="H4" s="5" t="s">
        <v>156</v>
      </c>
      <c r="I4" s="5" t="s">
        <v>157</v>
      </c>
      <c r="J4" s="5" t="s">
        <v>158</v>
      </c>
      <c r="K4" s="4" t="s">
        <v>11</v>
      </c>
      <c r="L4" s="4" t="s">
        <v>22</v>
      </c>
      <c r="M4" s="4" t="s">
        <v>23</v>
      </c>
      <c r="N4" s="4"/>
      <c r="O4" s="5" t="s">
        <v>150</v>
      </c>
      <c r="P4" s="5" t="s">
        <v>151</v>
      </c>
      <c r="Q4" s="5" t="s">
        <v>152</v>
      </c>
      <c r="R4" s="32" t="s">
        <v>8</v>
      </c>
      <c r="S4" s="32" t="s">
        <v>32</v>
      </c>
      <c r="T4" s="4" t="s">
        <v>11</v>
      </c>
      <c r="U4" s="4" t="s">
        <v>22</v>
      </c>
      <c r="V4" s="4" t="s">
        <v>23</v>
      </c>
      <c r="W4" s="4"/>
      <c r="X4" s="5" t="s">
        <v>150</v>
      </c>
      <c r="Y4" s="5" t="s">
        <v>152</v>
      </c>
      <c r="Z4" s="5" t="s">
        <v>8</v>
      </c>
      <c r="AA4" s="5" t="s">
        <v>32</v>
      </c>
      <c r="AB4" s="4" t="s">
        <v>11</v>
      </c>
      <c r="AC4" s="4" t="s">
        <v>22</v>
      </c>
      <c r="AD4" s="4" t="s">
        <v>23</v>
      </c>
      <c r="AE4" s="4"/>
      <c r="AF4" s="5" t="s">
        <v>150</v>
      </c>
      <c r="AG4" s="5" t="s">
        <v>151</v>
      </c>
      <c r="AH4" s="5" t="s">
        <v>159</v>
      </c>
      <c r="AI4" s="5" t="s">
        <v>160</v>
      </c>
      <c r="AJ4" s="5" t="s">
        <v>161</v>
      </c>
      <c r="AK4" s="5" t="s">
        <v>162</v>
      </c>
      <c r="AL4" s="5" t="s">
        <v>163</v>
      </c>
      <c r="AM4" s="4" t="s">
        <v>164</v>
      </c>
      <c r="AN4" s="4" t="s">
        <v>165</v>
      </c>
      <c r="AO4" s="4" t="s">
        <v>166</v>
      </c>
      <c r="AP4" s="4" t="s">
        <v>167</v>
      </c>
      <c r="AQ4" s="4" t="s">
        <v>168</v>
      </c>
      <c r="AR4" s="4" t="s">
        <v>169</v>
      </c>
      <c r="AS4" s="4" t="s">
        <v>170</v>
      </c>
      <c r="AT4" s="4" t="s">
        <v>171</v>
      </c>
      <c r="AU4" s="4" t="s">
        <v>172</v>
      </c>
      <c r="AV4" s="5" t="s">
        <v>173</v>
      </c>
      <c r="AW4" s="4" t="s">
        <v>174</v>
      </c>
      <c r="AX4" s="4" t="s">
        <v>175</v>
      </c>
      <c r="AY4" s="4" t="s">
        <v>11</v>
      </c>
      <c r="AZ4" s="4" t="s">
        <v>22</v>
      </c>
      <c r="BA4" s="4" t="s">
        <v>23</v>
      </c>
      <c r="BB4" s="4" t="s">
        <v>29</v>
      </c>
      <c r="BC4" s="4" t="s">
        <v>30</v>
      </c>
      <c r="BD4" s="4" t="s">
        <v>31</v>
      </c>
      <c r="BE4" s="4" t="s">
        <v>5</v>
      </c>
      <c r="BF4" s="4" t="s">
        <v>6</v>
      </c>
      <c r="BG4" s="4" t="s">
        <v>7</v>
      </c>
      <c r="BH4" s="5" t="s">
        <v>8</v>
      </c>
      <c r="BI4" s="5" t="s">
        <v>9</v>
      </c>
      <c r="BJ4" s="5" t="s">
        <v>10</v>
      </c>
      <c r="BK4" s="5" t="s">
        <v>32</v>
      </c>
      <c r="BL4" s="4" t="s">
        <v>11</v>
      </c>
      <c r="BM4" s="4" t="s">
        <v>18</v>
      </c>
      <c r="BN4" s="4" t="s">
        <v>19</v>
      </c>
      <c r="BO4" s="4" t="s">
        <v>20</v>
      </c>
      <c r="BP4" s="4" t="s">
        <v>22</v>
      </c>
      <c r="BQ4" s="4" t="s">
        <v>23</v>
      </c>
      <c r="BR4" s="17" t="s">
        <v>176</v>
      </c>
      <c r="BS4" s="17"/>
      <c r="BT4" s="5" t="s">
        <v>8</v>
      </c>
      <c r="BU4" s="5"/>
      <c r="BV4" s="5" t="s">
        <v>32</v>
      </c>
      <c r="BW4" s="5"/>
      <c r="BX4" s="4" t="s">
        <v>11</v>
      </c>
      <c r="BY4" s="4" t="s">
        <v>22</v>
      </c>
      <c r="BZ4" s="4" t="s">
        <v>23</v>
      </c>
      <c r="CA4" s="4" t="s">
        <v>177</v>
      </c>
      <c r="CB4" s="4" t="s">
        <v>178</v>
      </c>
      <c r="CC4" s="4" t="s">
        <v>11</v>
      </c>
      <c r="CD4" s="4" t="s">
        <v>22</v>
      </c>
      <c r="CE4" s="4" t="s">
        <v>23</v>
      </c>
      <c r="CF4" s="4" t="s">
        <v>11</v>
      </c>
      <c r="CG4" s="4" t="s">
        <v>179</v>
      </c>
      <c r="CH4" s="4" t="s">
        <v>22</v>
      </c>
      <c r="CI4" s="4" t="s">
        <v>23</v>
      </c>
      <c r="CJ4" s="4" t="s">
        <v>11</v>
      </c>
      <c r="CK4" s="4" t="s">
        <v>22</v>
      </c>
      <c r="CL4" s="4" t="s">
        <v>23</v>
      </c>
      <c r="CM4" s="4"/>
      <c r="CN4" s="4" t="s">
        <v>180</v>
      </c>
      <c r="CO4" s="4" t="s">
        <v>181</v>
      </c>
      <c r="CP4" s="4" t="s">
        <v>72</v>
      </c>
      <c r="CQ4" s="5" t="s">
        <v>121</v>
      </c>
      <c r="CR4" s="5" t="s">
        <v>122</v>
      </c>
      <c r="CS4" s="4" t="s">
        <v>182</v>
      </c>
      <c r="CT4" s="4" t="s">
        <v>183</v>
      </c>
      <c r="CU4" s="4" t="s">
        <v>184</v>
      </c>
      <c r="CV4" s="67" t="s">
        <v>23</v>
      </c>
      <c r="CW4" s="4" t="s">
        <v>185</v>
      </c>
      <c r="CX4" s="4" t="s">
        <v>24</v>
      </c>
      <c r="CY4" s="4"/>
      <c r="CZ4" s="4" t="s">
        <v>186</v>
      </c>
      <c r="DA4" s="4" t="s">
        <v>187</v>
      </c>
      <c r="DB4" s="4" t="s">
        <v>188</v>
      </c>
      <c r="DC4" s="4" t="s">
        <v>189</v>
      </c>
      <c r="DD4" s="4" t="s">
        <v>190</v>
      </c>
      <c r="DE4" s="4" t="s">
        <v>191</v>
      </c>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1.25" hidden="true" customHeight="false" outlineLevel="0" collapsed="false">
      <c r="A5" s="6" t="n">
        <v>35749</v>
      </c>
      <c r="B5" s="7" t="n">
        <v>4921</v>
      </c>
      <c r="C5" s="7" t="n">
        <v>4177</v>
      </c>
      <c r="D5" s="7" t="n">
        <v>1094</v>
      </c>
      <c r="E5" s="8" t="n">
        <f aca="false">IF(1.99*1.03*1.03*1.03&gt;'Prices&amp;Fuel'!B5+0.01,1.99*1.03*1.03*1.03,'Prices&amp;Fuel'!B5+0.01)</f>
        <v>3.21</v>
      </c>
      <c r="F5" s="8" t="n">
        <f aca="false">IF(2.035*1.03*1.03*1.03&gt;'Prices&amp;Fuel'!C5+0.01,2.035*1.03*1.03*1.03,'Prices&amp;Fuel'!C5+0.01)</f>
        <v>3.27</v>
      </c>
      <c r="G5" s="8" t="n">
        <f aca="false">IF(2.049*1.03*1.03*1.03&gt;'Prices&amp;Fuel'!D5+0.01,2.049*1.03*1.03*1.03,'Prices&amp;Fuel'!D5+0.01)</f>
        <v>3.21</v>
      </c>
      <c r="H5" s="8" t="n">
        <f aca="false">E5-0.01</f>
        <v>3.2</v>
      </c>
      <c r="I5" s="8" t="n">
        <f aca="false">F5-0.01</f>
        <v>3.26</v>
      </c>
      <c r="J5" s="8" t="n">
        <f aca="false">G5-0.01</f>
        <v>3.2</v>
      </c>
      <c r="K5" s="7" t="n">
        <f aca="false">((B5*E5)+(C5*F5)+(D5*G5))*'Prices&amp;Fuel'!H5</f>
        <v>989008.2</v>
      </c>
      <c r="L5" s="7" t="n">
        <f aca="false">(($B5*H5)+($C5*I5)+($D5*J5))*'Prices&amp;Fuel'!$H5</f>
        <v>985950.6</v>
      </c>
      <c r="M5" s="14" t="n">
        <f aca="false">K5-L5</f>
        <v>3057.59999999974</v>
      </c>
      <c r="O5" s="7" t="n">
        <v>9036</v>
      </c>
      <c r="P5" s="7" t="n">
        <v>10794</v>
      </c>
      <c r="Q5" s="7" t="n">
        <v>5270</v>
      </c>
      <c r="R5" s="8" t="n">
        <v>2.1585</v>
      </c>
      <c r="S5" s="8" t="n">
        <v>2.1479</v>
      </c>
      <c r="T5" s="7" t="n">
        <f aca="false">(($O5*R5)+($P5*R5)+($Q5*R5))*'Prices&amp;Fuel'!$H5</f>
        <v>1625350.5</v>
      </c>
      <c r="U5" s="7" t="n">
        <f aca="false">(($O5*S5)+($P5*S5)+($Q5*S5))*'Prices&amp;Fuel'!$H5</f>
        <v>1617368.7</v>
      </c>
      <c r="V5" s="14" t="n">
        <f aca="false">T5-U5</f>
        <v>7981.80000000028</v>
      </c>
      <c r="X5" s="7" t="n">
        <f aca="false">7000*0.5</f>
        <v>3500</v>
      </c>
      <c r="Y5" s="7" t="n">
        <f aca="false">X5</f>
        <v>3500</v>
      </c>
      <c r="Z5" s="27" t="n">
        <v>2.2</v>
      </c>
      <c r="AA5" s="27" t="n">
        <v>2.18</v>
      </c>
      <c r="AB5" s="7" t="n">
        <f aca="false">($X5+$Y5)*Z5*'Prices&amp;Fuel'!$H5</f>
        <v>462000</v>
      </c>
      <c r="AC5" s="7" t="n">
        <f aca="false">($X5+$Y5)*AA5*'Prices&amp;Fuel'!$H5</f>
        <v>457800</v>
      </c>
      <c r="AD5" s="14" t="n">
        <f aca="false">AB5-AC5</f>
        <v>4200</v>
      </c>
      <c r="AF5" s="7" t="n">
        <f aca="false">((93404/(1-'Prices&amp;Fuel'!F5))+(25000/(1-'Prices&amp;Fuel'!G5))-AI5)</f>
        <v>95953.5924394018</v>
      </c>
      <c r="AG5" s="7" t="n">
        <f aca="false">((106596/(1-'Prices&amp;Fuel'!F5))-AJ5)</f>
        <v>21838.0584837545</v>
      </c>
      <c r="AH5" s="7" t="n">
        <f aca="false">((75000/(1-'Prices&amp;Fuel'!G5))-AK5)</f>
        <v>44147.5136410521</v>
      </c>
      <c r="AI5" s="7" t="n">
        <v>26175.34</v>
      </c>
      <c r="AJ5" s="7" t="n">
        <v>88111.4</v>
      </c>
      <c r="AK5" s="7" t="n">
        <v>33211.95</v>
      </c>
      <c r="AL5" s="7" t="n">
        <f aca="false">SUM(AI5:AK5)</f>
        <v>147498.69</v>
      </c>
      <c r="AM5" s="7" t="n">
        <f aca="false">ROUND((((93404/(1-'Prices&amp;Fuel'!F5))+(25000/(1-'Prices&amp;Fuel'!G5)))-80000-26175.34)/2,0)</f>
        <v>7977</v>
      </c>
      <c r="AN5" s="7" t="n">
        <f aca="false">ROUND(((106596/(1-'Prices&amp;Fuel'!F5))-5023-88111.4)/2,0)</f>
        <v>8408</v>
      </c>
      <c r="AO5" s="7" t="n">
        <f aca="false">ROUND((75000/(1-'Prices&amp;Fuel'!G5)-AV5-AK5)/2,0)</f>
        <v>14085</v>
      </c>
      <c r="AP5" s="7" t="n">
        <f aca="false">IF(80000&gt;AF5,AF5,80000)</f>
        <v>80000</v>
      </c>
      <c r="AQ5" s="7" t="n">
        <v>5023</v>
      </c>
      <c r="AR5" s="14" t="n">
        <f aca="false">AM5</f>
        <v>7977</v>
      </c>
      <c r="AS5" s="14" t="n">
        <f aca="false">AN5</f>
        <v>8408</v>
      </c>
      <c r="AT5" s="14" t="n">
        <f aca="false">AH5-AO5-AV5</f>
        <v>14084.5136410521</v>
      </c>
      <c r="AU5" s="14" t="n">
        <f aca="false">AL5*AX5*'Prices&amp;Fuel'!H5</f>
        <v>221248.035</v>
      </c>
      <c r="AV5" s="7" t="n">
        <f aca="false">(479340)/30</f>
        <v>15978</v>
      </c>
      <c r="AW5" s="68" t="n">
        <v>0.15</v>
      </c>
      <c r="AX5" s="68" t="n">
        <v>0.05</v>
      </c>
      <c r="AY5" s="5" t="n">
        <f aca="false">('Prices&amp;Fuel'!H5*('Prices&amp;Fuel'!B5+AW5)*'Long Term Deals'!AF5)+('Prices&amp;Fuel'!H5*('Prices&amp;Fuel'!C5+'Long Term Deals'!AW5)*'Long Term Deals'!AG5)+(AH5*('Prices&amp;Fuel'!C5+AW5)*'Prices&amp;Fuel'!H5)+(AW5*AL5*'Prices&amp;Fuel'!H5)</f>
        <v>17057404.1735276</v>
      </c>
      <c r="AZ5" s="5" t="n">
        <f aca="false">(AP5*'Prices&amp;Fuel'!H5*'Prices&amp;Fuel'!B5)+(AQ5*'Prices&amp;Fuel'!C5*'Prices&amp;Fuel'!H5)+((AM5+AR5)*('Prices&amp;Fuel'!B5+'Long Term Deals'!AX5)*'Prices&amp;Fuel'!H5)+((AN5+AS5)*('Prices&amp;Fuel'!C5+'Long Term Deals'!AX5)*'Prices&amp;Fuel'!H5)+((AO5+AT5)*('Prices&amp;Fuel'!D5+'Long Term Deals'!AX5)*'Prices&amp;Fuel'!H5)+(AV5*'Prices&amp;Fuel'!H5*'Prices&amp;Fuel'!Q5)+AU5</f>
        <v>15885148.5550026</v>
      </c>
      <c r="BA5" s="5" t="n">
        <f aca="false">AY5-AZ5</f>
        <v>1172255.61852501</v>
      </c>
      <c r="BB5" s="5"/>
      <c r="BC5" s="5"/>
      <c r="BF5" s="7" t="n">
        <f aca="false">(700+1000)/(1-'Prices&amp;Fuel'!F5)</f>
        <v>1753.48117586385</v>
      </c>
      <c r="BH5" s="8" t="n">
        <f aca="false">(2.79*700+2.68*1000)/BF5</f>
        <v>2.64217264705882</v>
      </c>
      <c r="BK5" s="1" t="n">
        <f aca="false">2.54</f>
        <v>2.54</v>
      </c>
      <c r="BL5" s="9" t="n">
        <f aca="false">(BB5+BC5+BD5+BE5+BF5+BG5)*BH5*'Prices&amp;Fuel'!H5</f>
        <v>138990</v>
      </c>
      <c r="BM5" s="9"/>
      <c r="BN5" s="9"/>
      <c r="BP5" s="7" t="n">
        <f aca="false">BK5*BF5*'Prices&amp;Fuel'!H5</f>
        <v>133615.265600825</v>
      </c>
      <c r="BQ5" s="5" t="n">
        <f aca="false">BL5-BP5</f>
        <v>5374.73439917484</v>
      </c>
      <c r="BR5" s="7" t="n">
        <v>1000</v>
      </c>
      <c r="BS5" s="7" t="n">
        <v>5000</v>
      </c>
      <c r="BT5" s="8" t="n">
        <f aca="false">IF('Prices&amp;Fuel'!$E5&lt;1.89,1.89,'Prices&amp;Fuel'!$E5)</f>
        <v>3.506</v>
      </c>
      <c r="BU5" s="8" t="n">
        <f aca="false">IF('Prices&amp;Fuel'!$E5&lt;1.99,1.99,'Prices&amp;Fuel'!$E5)</f>
        <v>3.506</v>
      </c>
      <c r="BV5" s="13" t="n">
        <f aca="false">BT5</f>
        <v>3.506</v>
      </c>
      <c r="BW5" s="13" t="n">
        <f aca="false">BU5</f>
        <v>3.506</v>
      </c>
      <c r="BX5" s="7" t="n">
        <f aca="false">(BR5*BT5+BS5*BU5)*'Prices&amp;Fuel'!H5</f>
        <v>631080</v>
      </c>
      <c r="BY5" s="7" t="n">
        <f aca="false">($BR5*BV5+$BS5*BW5)*'Prices&amp;Fuel'!H5</f>
        <v>631080</v>
      </c>
      <c r="BZ5" s="5" t="n">
        <f aca="false">BX5-BY5</f>
        <v>0</v>
      </c>
      <c r="CA5" s="5" t="n">
        <f aca="false">(AF5+AG5+AH5+AL5)*0.005*'Prices&amp;Fuel'!H5</f>
        <v>46415.6781846313</v>
      </c>
      <c r="CB5" s="5" t="n">
        <f aca="false">(B5+C5+D5+O5+P5+Q5+X5+Y5+((BB5+BC5+BD5+BE5+BF5+BG5))+BR5+BS5)*0.005*'Prices&amp;Fuel'!H5</f>
        <v>7506.82217637958</v>
      </c>
      <c r="CC5" s="7" t="n">
        <f aca="false">K5+T5+AB5+AY5+BL5+BX5</f>
        <v>20903832.8735276</v>
      </c>
      <c r="CD5" s="7" t="n">
        <f aca="false">L5+U5+AC5+AZ5+BP5+BY5+CA5+CB5</f>
        <v>19764885.6209644</v>
      </c>
      <c r="CE5" s="7" t="n">
        <f aca="false">CC5-CD5</f>
        <v>1138947.25256317</v>
      </c>
      <c r="CF5" s="7" t="n">
        <f aca="false">'Index Price Deals'!AR5</f>
        <v>738720.02297375</v>
      </c>
      <c r="CG5" s="7" t="n">
        <f aca="false">'Index Price Deals'!AS5</f>
        <v>1004.0321925</v>
      </c>
      <c r="CH5" s="7" t="n">
        <f aca="false">'Index Price Deals'!AT5</f>
        <v>721312.8917629</v>
      </c>
      <c r="CI5" s="7" t="n">
        <f aca="false">'Index Price Deals'!AU5</f>
        <v>17407.1312108501</v>
      </c>
      <c r="CJ5" s="7" t="n">
        <f aca="false">CC5+CF5</f>
        <v>21642552.8965013</v>
      </c>
      <c r="CK5" s="7" t="n">
        <f aca="false">CD5+CH5</f>
        <v>20486198.5127273</v>
      </c>
      <c r="CL5" s="7" t="n">
        <f aca="false">CE5+CI5</f>
        <v>1156354.38377403</v>
      </c>
      <c r="CM5" s="69"/>
      <c r="CN5" s="7" t="n">
        <f aca="false">Transport!U5</f>
        <v>1055120.52560083</v>
      </c>
      <c r="CO5" s="7"/>
      <c r="CP5" s="14" t="n">
        <f aca="false">CL5-CN5</f>
        <v>101233.8581732</v>
      </c>
      <c r="CQ5" s="7" t="n">
        <f aca="false">((($B5+$C5+$D5+$O5+$P5+$Q5)*0.5)+BR5+BS5)*(0.005*'Prices&amp;Fuel'!$H5)+'Index Price Deals'!AV5</f>
        <v>4166.230815</v>
      </c>
      <c r="CR5" s="7" t="n">
        <f aca="false">((($B5+$C5+$D5+$O5+$P5+$Q5)*0.5)+X5+Y5+BF5)*(0.005*'Prices&amp;Fuel'!$H5)+CA5+'Index Price Deals'!AW5</f>
        <v>50760.3017385108</v>
      </c>
      <c r="CT5" s="7" t="n">
        <f aca="false">[2]Sheet1!$O13</f>
        <v>525297.336136436</v>
      </c>
      <c r="CU5" s="7" t="n">
        <f aca="false">'[3]Long Term Deals'!$Z4</f>
        <v>127773.398065398</v>
      </c>
      <c r="CV5" s="70" t="n">
        <f aca="false">CL5-CN5-CT5+CU5+CS5+CO5</f>
        <v>-296290.079897839</v>
      </c>
      <c r="CW5" s="14" t="n">
        <f aca="false">((B5+C5+D5+O5+P5+Q5+X5+Y5+AF5+AG5+AH5+BB5+BC5+BD5+BE5+BF5+BG5+BR5+BS5)+('Index Price Deals'!B5+'Index Price Deals'!C5+'Index Price Deals'!D5+'Index Price Deals'!L5+'Index Price Deals'!M5+'Index Price Deals'!N5+'Index Price Deals'!AD5+'Index Price Deals'!AE5+'Index Price Deals'!AF5+'Index Price Deals'!AK5+'Index Price Deals'!AL5+'Index Price Deals'!AM5))*'Prices&amp;Fuel'!H5</f>
        <v>6560434.53520217</v>
      </c>
      <c r="DA5" s="1" t="n">
        <f aca="false">(B5+C5+D5)*'Prices&amp;Fuel'!H5</f>
        <v>305760</v>
      </c>
    </row>
    <row r="6" customFormat="false" ht="11.25" hidden="true" customHeight="false" outlineLevel="0" collapsed="false">
      <c r="A6" s="6" t="n">
        <f aca="false">+A5+365/12</f>
        <v>35779.4166666667</v>
      </c>
      <c r="B6" s="7" t="n">
        <v>4921</v>
      </c>
      <c r="C6" s="7" t="n">
        <v>1874</v>
      </c>
      <c r="E6" s="8" t="n">
        <f aca="false">IF(1.99*1.03*1.03*1.03&gt;'Prices&amp;Fuel'!B6+0.01,1.99*1.03*1.03*1.03,'Prices&amp;Fuel'!B6+0.01)</f>
        <v>2.46</v>
      </c>
      <c r="F6" s="8" t="n">
        <f aca="false">IF(2.035*1.03*1.03*1.03&gt;'Prices&amp;Fuel'!C6+0.01,2.035*1.03*1.03*1.03,'Prices&amp;Fuel'!C6+0.01)</f>
        <v>2.56</v>
      </c>
      <c r="G6" s="8" t="n">
        <f aca="false">IF(2.049*1.03*1.03*1.03&gt;'Prices&amp;Fuel'!D6+0.01,2.049*1.03*1.03*1.03,'Prices&amp;Fuel'!D6+0.01)</f>
        <v>2.5</v>
      </c>
      <c r="H6" s="8" t="n">
        <f aca="false">E6-0.01</f>
        <v>2.45</v>
      </c>
      <c r="I6" s="8" t="n">
        <f aca="false">F6-0.01</f>
        <v>2.55</v>
      </c>
      <c r="J6" s="8" t="n">
        <f aca="false">G6-0.01</f>
        <v>2.49</v>
      </c>
      <c r="K6" s="7" t="n">
        <f aca="false">((B6*E6)+(C6*F6)+(D6*G6))*'Prices&amp;Fuel'!H6</f>
        <v>523996.1</v>
      </c>
      <c r="L6" s="7" t="n">
        <f aca="false">(($B6*H6)+($C6*I6)+($D6*J6))*'Prices&amp;Fuel'!$H6</f>
        <v>521889.65</v>
      </c>
      <c r="M6" s="14" t="n">
        <f aca="false">K6-L6</f>
        <v>2106.44999999995</v>
      </c>
      <c r="O6" s="7" t="n">
        <v>9036</v>
      </c>
      <c r="P6" s="7" t="n">
        <v>10794</v>
      </c>
      <c r="Q6" s="7" t="n">
        <v>5270</v>
      </c>
      <c r="R6" s="8" t="n">
        <f aca="false">R5</f>
        <v>2.1585</v>
      </c>
      <c r="S6" s="8" t="n">
        <f aca="false">S5</f>
        <v>2.1479</v>
      </c>
      <c r="T6" s="7" t="n">
        <f aca="false">(($O6*R6)+($P6*R6)+($Q6*R6))*'Prices&amp;Fuel'!$H6</f>
        <v>1679528.85</v>
      </c>
      <c r="U6" s="7" t="n">
        <f aca="false">(($O6*S6)+($P6*S6)+($Q6*S6))*'Prices&amp;Fuel'!$H6</f>
        <v>1671280.99</v>
      </c>
      <c r="V6" s="14" t="n">
        <f aca="false">T6-U6</f>
        <v>8247.8600000001</v>
      </c>
      <c r="X6" s="7" t="n">
        <f aca="false">7000*0.5</f>
        <v>3500</v>
      </c>
      <c r="Y6" s="7" t="n">
        <f aca="false">X6</f>
        <v>3500</v>
      </c>
      <c r="Z6" s="27" t="n">
        <v>2.2</v>
      </c>
      <c r="AA6" s="27" t="n">
        <v>2.18</v>
      </c>
      <c r="AB6" s="7" t="n">
        <f aca="false">($X6+$Y6)*Z6*'Prices&amp;Fuel'!$H6</f>
        <v>477400</v>
      </c>
      <c r="AC6" s="7" t="n">
        <f aca="false">($X6+$Y6)*AA6*'Prices&amp;Fuel'!$H6</f>
        <v>473060</v>
      </c>
      <c r="AD6" s="14" t="n">
        <f aca="false">AB6-AC6</f>
        <v>4340</v>
      </c>
      <c r="AF6" s="7" t="n">
        <f aca="false">((93404/(1-'Prices&amp;Fuel'!F6))+(25000/(1-'Prices&amp;Fuel'!G6))-AI6)</f>
        <v>91879.31923672</v>
      </c>
      <c r="AG6" s="7" t="n">
        <f aca="false">((106596/(1-'Prices&amp;Fuel'!F6))-AJ6)</f>
        <v>25818.6539453326</v>
      </c>
      <c r="AH6" s="7" t="n">
        <f aca="false">((75000/(1-'Prices&amp;Fuel'!G6))-AK6)</f>
        <v>18454.6828261991</v>
      </c>
      <c r="AI6" s="7" t="n">
        <f aca="false">29327/(1-'Prices&amp;Fuel'!$F6)</f>
        <v>30249.6132026818</v>
      </c>
      <c r="AJ6" s="7" t="n">
        <f aca="false">81400/(1-'Prices&amp;Fuel'!$F6)+85+85</f>
        <v>84130.8045384219</v>
      </c>
      <c r="AK6" s="7" t="n">
        <f aca="false">57273/(1-'Prices&amp;Fuel'!$F6)-85-85</f>
        <v>58904.780814853</v>
      </c>
      <c r="AL6" s="7" t="n">
        <f aca="false">SUM(AI6:AK6)</f>
        <v>173285.198555957</v>
      </c>
      <c r="AM6" s="7" t="n">
        <f aca="false">(AF6-AP6)/2</f>
        <v>5939.65961835998</v>
      </c>
      <c r="AN6" s="7" t="n">
        <f aca="false">(AG6-AQ6)/2</f>
        <v>10397.8269726663</v>
      </c>
      <c r="AO6" s="7" t="n">
        <f aca="false">ROUND((75000/(1-'Prices&amp;Fuel'!G6)-AV6-AK6)/2,0)</f>
        <v>-0</v>
      </c>
      <c r="AP6" s="7" t="n">
        <f aca="false">IF(80000&gt;AF6,AF6,80000)</f>
        <v>80000</v>
      </c>
      <c r="AQ6" s="7" t="n">
        <f aca="false">+AQ5</f>
        <v>5023</v>
      </c>
      <c r="AR6" s="14" t="n">
        <f aca="false">AF6-AM6-AP6</f>
        <v>5939.65961835998</v>
      </c>
      <c r="AS6" s="14" t="n">
        <f aca="false">AG6-AN6-AQ6</f>
        <v>10397.8269726663</v>
      </c>
      <c r="AT6" s="14" t="n">
        <f aca="false">AH6-AO6-AV6</f>
        <v>-0.220399607376748</v>
      </c>
      <c r="AU6" s="14" t="n">
        <f aca="false">AL6*AX6*'Prices&amp;Fuel'!H6</f>
        <v>268592.057761733</v>
      </c>
      <c r="AV6" s="7" t="n">
        <f aca="false">286051*2/31</f>
        <v>18454.9032258065</v>
      </c>
      <c r="AW6" s="68" t="n">
        <f aca="false">AW5</f>
        <v>0.15</v>
      </c>
      <c r="AX6" s="68" t="n">
        <f aca="false">AX5</f>
        <v>0.05</v>
      </c>
      <c r="AY6" s="5" t="n">
        <f aca="false">('Prices&amp;Fuel'!H6*('Prices&amp;Fuel'!B6+AW6)*'Long Term Deals'!AF6)+('Prices&amp;Fuel'!H6*('Prices&amp;Fuel'!C6+'Long Term Deals'!AW6)*'Long Term Deals'!AG6)+(AH6*('Prices&amp;Fuel'!C6+AW6)*'Prices&amp;Fuel'!H6)+(AW6*AL6*'Prices&amp;Fuel'!H6)</f>
        <v>11916927.591542</v>
      </c>
      <c r="AZ6" s="5" t="n">
        <f aca="false">(AP6*'Prices&amp;Fuel'!H6*'Prices&amp;Fuel'!B6)+(AQ6*'Prices&amp;Fuel'!C6*'Prices&amp;Fuel'!H6)+((AM6+AR6)*('Prices&amp;Fuel'!B6+'Long Term Deals'!AX6)*'Prices&amp;Fuel'!H6)+((AN6+AS6)*('Prices&amp;Fuel'!C6+'Long Term Deals'!AX6)*'Prices&amp;Fuel'!H6)+((AO6+AT6)*('Prices&amp;Fuel'!D6+'Long Term Deals'!AX6)*'Prices&amp;Fuel'!H6)+(AV6*'Prices&amp;Fuel'!H6*'Prices&amp;Fuel'!Q6)+AU6</f>
        <v>10754939.1423363</v>
      </c>
      <c r="BA6" s="5" t="n">
        <f aca="false">AY6-AZ6</f>
        <v>1161988.44920578</v>
      </c>
      <c r="BB6" s="5"/>
      <c r="BC6" s="5"/>
      <c r="BF6" s="7" t="n">
        <f aca="false">(700+1000)/(1-'Prices&amp;Fuel'!F6)</f>
        <v>1753.48117586385</v>
      </c>
      <c r="BH6" s="8" t="n">
        <f aca="false">(2.79*700+2.68*1000)/BF6</f>
        <v>2.64217264705882</v>
      </c>
      <c r="BK6" s="1" t="n">
        <f aca="false">2.54</f>
        <v>2.54</v>
      </c>
      <c r="BL6" s="9" t="n">
        <f aca="false">(BB6+BC6+BD6+BE6+BF6+BG6)*BH6*'Prices&amp;Fuel'!H6</f>
        <v>143623</v>
      </c>
      <c r="BM6" s="9"/>
      <c r="BN6" s="9"/>
      <c r="BP6" s="7" t="n">
        <f aca="false">BK6*BF6*'Prices&amp;Fuel'!H6</f>
        <v>138069.107787519</v>
      </c>
      <c r="BQ6" s="5" t="n">
        <f aca="false">BL6-BP6</f>
        <v>5553.89221248066</v>
      </c>
      <c r="BR6" s="7" t="n">
        <v>1000</v>
      </c>
      <c r="BS6" s="7" t="n">
        <v>5000</v>
      </c>
      <c r="BT6" s="8" t="n">
        <f aca="false">IF('Prices&amp;Fuel'!$E6&lt;1.89,1.89,'Prices&amp;Fuel'!$E6)</f>
        <v>2.6823</v>
      </c>
      <c r="BU6" s="8" t="n">
        <f aca="false">IF('Prices&amp;Fuel'!$E6&lt;1.99,1.99,'Prices&amp;Fuel'!$E6)</f>
        <v>2.6823</v>
      </c>
      <c r="BV6" s="13" t="n">
        <f aca="false">BT6</f>
        <v>2.6823</v>
      </c>
      <c r="BW6" s="13" t="n">
        <f aca="false">BU6</f>
        <v>2.6823</v>
      </c>
      <c r="BX6" s="7" t="n">
        <f aca="false">(BR6*BT6+BS6*BU6)*'Prices&amp;Fuel'!H6</f>
        <v>498907.8</v>
      </c>
      <c r="BY6" s="7" t="n">
        <f aca="false">($BR6*BV6+$BS6*BW6)*'Prices&amp;Fuel'!H6</f>
        <v>498907.8</v>
      </c>
      <c r="BZ6" s="5" t="n">
        <f aca="false">BX6-BY6</f>
        <v>0</v>
      </c>
      <c r="CA6" s="5" t="n">
        <f aca="false">(AF6+AG6+AH6+AL6)*0.005*'Prices&amp;Fuel'!H6</f>
        <v>47962.8674574523</v>
      </c>
      <c r="CB6" s="5" t="n">
        <f aca="false">(B6+C6+D6+O6+P6+Q6+X6+Y6+((BB6+BC6+BD6+BE6+BF6+BG6))+BR6+BS6)*0.005*'Prices&amp;Fuel'!H6</f>
        <v>7230.5145822589</v>
      </c>
      <c r="CC6" s="7" t="n">
        <f aca="false">K6+T6+AB6+AY6+BL6+BX6</f>
        <v>15240383.341542</v>
      </c>
      <c r="CD6" s="7" t="n">
        <f aca="false">L6+U6+AC6+AZ6+BP6+BY6+CA6+CB6</f>
        <v>14113340.0721635</v>
      </c>
      <c r="CE6" s="7" t="n">
        <f aca="false">CC6-CD6</f>
        <v>1127043.26937855</v>
      </c>
      <c r="CF6" s="7" t="n">
        <f aca="false">'Index Price Deals'!AR6</f>
        <v>767560.405743287</v>
      </c>
      <c r="CG6" s="7" t="n">
        <f aca="false">'Index Price Deals'!AS6</f>
        <v>1295.955</v>
      </c>
      <c r="CH6" s="7" t="n">
        <f aca="false">'Index Price Deals'!AT6</f>
        <v>749491.433789384</v>
      </c>
      <c r="CI6" s="7" t="n">
        <f aca="false">'Index Price Deals'!AU6</f>
        <v>18068.971953903</v>
      </c>
      <c r="CJ6" s="7" t="n">
        <f aca="false">CC6+CF6</f>
        <v>16007943.7472853</v>
      </c>
      <c r="CK6" s="7" t="n">
        <f aca="false">CD6+CH6</f>
        <v>14862831.5059529</v>
      </c>
      <c r="CL6" s="7" t="n">
        <f aca="false">CE6+CI6</f>
        <v>1145112.24133245</v>
      </c>
      <c r="CM6" s="7" t="n">
        <f aca="false">SUM(CL5:CL6)</f>
        <v>2301466.62510647</v>
      </c>
      <c r="CN6" s="7" t="n">
        <f aca="false">Transport!U6</f>
        <v>1090291.20978752</v>
      </c>
      <c r="CO6" s="7"/>
      <c r="CP6" s="14" t="n">
        <f aca="false">CL6-CN6</f>
        <v>54821.0315449301</v>
      </c>
      <c r="CQ6" s="7" t="n">
        <f aca="false">((($B6+$C6+$D6+$O6+$P6+$Q6)*0.5)+BR6+BS6)*(0.005*'Prices&amp;Fuel'!$H6)+'Index Price Deals'!AV6</f>
        <v>4316.0525</v>
      </c>
      <c r="CR6" s="7" t="n">
        <f aca="false">((($B6+$C6+$D6+$O6+$P6+$Q6)*0.5)+X6+Y6+BF6)*(0.005*'Prices&amp;Fuel'!$H6)+CA6+'Index Price Deals'!AW6</f>
        <v>52173.2845397112</v>
      </c>
      <c r="CT6" s="7" t="n">
        <f aca="false">[2]Sheet1!$O14</f>
        <v>542807.247340984</v>
      </c>
      <c r="CU6" s="7" t="n">
        <f aca="false">'[3]Long Term Deals'!$Z5</f>
        <v>132032.511334244</v>
      </c>
      <c r="CV6" s="70" t="n">
        <f aca="false">CL6-CN6-CT6+CU6+CS6+CO6</f>
        <v>-355953.70446181</v>
      </c>
      <c r="CW6" s="14" t="n">
        <f aca="false">((B6+C6+D6+O6+P6+Q6+X6+Y6+AF6+AG6+AH6+BB6+BC6+BD6+BE6+BF6+BG6+BR6+BS6)+('Index Price Deals'!B6+'Index Price Deals'!C6+'Index Price Deals'!D6+'Index Price Deals'!L6+'Index Price Deals'!M6+'Index Price Deals'!N6+'Index Price Deals'!AD6+'Index Price Deals'!AE6+'Index Price Deals'!AF6+'Index Price Deals'!AK6+'Index Price Deals'!AL6+'Index Price Deals'!AM6))*'Prices&amp;Fuel'!H6</f>
        <v>5926026.25270758</v>
      </c>
      <c r="DA6" s="1" t="n">
        <f aca="false">(B6+C6+D6)*'Prices&amp;Fuel'!H6</f>
        <v>210645</v>
      </c>
    </row>
    <row r="7" customFormat="false" ht="11.25" hidden="true" customHeight="false" outlineLevel="0" collapsed="false">
      <c r="A7" s="6" t="n">
        <f aca="false">+A6+365/12</f>
        <v>35809.8333333333</v>
      </c>
      <c r="B7" s="7" t="n">
        <v>4921</v>
      </c>
      <c r="C7" s="7" t="n">
        <v>1874</v>
      </c>
      <c r="E7" s="8" t="n">
        <f aca="false">IF(1.99*1.03*1.03*1.03&gt;'Prices&amp;Fuel'!B7+0.01,1.99*1.03*1.03*1.03,'Prices&amp;Fuel'!B7+0.01)</f>
        <v>2.22</v>
      </c>
      <c r="F7" s="8" t="n">
        <f aca="false">IF(2.035*1.03*1.03*1.03&gt;'Prices&amp;Fuel'!C7+0.01,2.035*1.03*1.03*1.03,'Prices&amp;Fuel'!C7+0.01)</f>
        <v>2.29</v>
      </c>
      <c r="G7" s="8" t="n">
        <f aca="false">IF(2.049*1.03*1.03*1.03&gt;'Prices&amp;Fuel'!D7+0.01,2.049*1.03*1.03*1.03,'Prices&amp;Fuel'!D7+0.01)</f>
        <v>2.24</v>
      </c>
      <c r="H7" s="8" t="n">
        <f aca="false">E7-0.01</f>
        <v>2.21</v>
      </c>
      <c r="I7" s="8" t="n">
        <f aca="false">F7-0.01</f>
        <v>2.28</v>
      </c>
      <c r="J7" s="8" t="n">
        <f aca="false">G7-0.01</f>
        <v>2.23</v>
      </c>
      <c r="K7" s="7" t="n">
        <f aca="false">((B7*E7)+(C7*F7)+(D7*G7))*'Prices&amp;Fuel'!H7</f>
        <v>471698.48</v>
      </c>
      <c r="L7" s="7" t="n">
        <f aca="false">(($B7*H7)+($C7*I7)+($D7*J7))*'Prices&amp;Fuel'!$H7</f>
        <v>469592.03</v>
      </c>
      <c r="M7" s="14" t="n">
        <f aca="false">K7-L7</f>
        <v>2106.44999999995</v>
      </c>
      <c r="O7" s="7" t="n">
        <v>9036</v>
      </c>
      <c r="P7" s="7" t="n">
        <v>10794</v>
      </c>
      <c r="Q7" s="7" t="n">
        <v>5270</v>
      </c>
      <c r="R7" s="8" t="n">
        <f aca="false">R6</f>
        <v>2.1585</v>
      </c>
      <c r="S7" s="8" t="n">
        <f aca="false">S6</f>
        <v>2.1479</v>
      </c>
      <c r="T7" s="7" t="n">
        <f aca="false">(($O7*R7)+($P7*R7)+($Q7*R7))*'Prices&amp;Fuel'!$H7</f>
        <v>1679528.85</v>
      </c>
      <c r="U7" s="7" t="n">
        <f aca="false">(($O7*S7)+($P7*S7)+($Q7*S7))*'Prices&amp;Fuel'!$H7</f>
        <v>1671280.99</v>
      </c>
      <c r="V7" s="14" t="n">
        <f aca="false">T7-U7</f>
        <v>8247.8600000001</v>
      </c>
      <c r="X7" s="7" t="n">
        <f aca="false">7000*0.5</f>
        <v>3500</v>
      </c>
      <c r="Y7" s="7" t="n">
        <f aca="false">X7</f>
        <v>3500</v>
      </c>
      <c r="Z7" s="27" t="n">
        <v>2.2</v>
      </c>
      <c r="AA7" s="27" t="n">
        <v>2.18</v>
      </c>
      <c r="AB7" s="7" t="n">
        <f aca="false">($X7+$Y7)*Z7*'Prices&amp;Fuel'!$H7</f>
        <v>477400</v>
      </c>
      <c r="AC7" s="7" t="n">
        <f aca="false">($X7+$Y7)*AA7*'Prices&amp;Fuel'!$H7</f>
        <v>473060</v>
      </c>
      <c r="AD7" s="14" t="n">
        <f aca="false">AB7-AC7</f>
        <v>4340</v>
      </c>
      <c r="AF7" s="7" t="n">
        <f aca="false">((93404/(1-'Prices&amp;Fuel'!F7))+(25000/(1-'Prices&amp;Fuel'!G7))-AI7)</f>
        <v>91879.31923672</v>
      </c>
      <c r="AG7" s="7" t="n">
        <f aca="false">((106596/(1-'Prices&amp;Fuel'!F7))-AJ7)</f>
        <v>25988.6539453326</v>
      </c>
      <c r="AH7" s="7" t="n">
        <f aca="false">((75000/(1-'Prices&amp;Fuel'!G7))-AK7)</f>
        <v>18284.6828261991</v>
      </c>
      <c r="AI7" s="7" t="n">
        <f aca="false">29327/(1-'Prices&amp;Fuel'!$F7)</f>
        <v>30249.6132026818</v>
      </c>
      <c r="AJ7" s="7" t="n">
        <f aca="false">81400/(1-'Prices&amp;Fuel'!$F7)</f>
        <v>83960.8045384219</v>
      </c>
      <c r="AK7" s="7" t="n">
        <f aca="false">57273/(1-'Prices&amp;Fuel'!$F7)</f>
        <v>59074.780814853</v>
      </c>
      <c r="AL7" s="7" t="n">
        <f aca="false">SUM(AI7:AK7)</f>
        <v>173285.198555957</v>
      </c>
      <c r="AM7" s="7" t="n">
        <f aca="false">(AF7-AP7)/2</f>
        <v>5939.65961835998</v>
      </c>
      <c r="AN7" s="7" t="n">
        <f aca="false">(AG7-AQ7)/2</f>
        <v>10482.8269726663</v>
      </c>
      <c r="AO7" s="7" t="n">
        <f aca="false">ROUND((75000/(1-'Prices&amp;Fuel'!G7)-AV7-AK7)/2,0)</f>
        <v>339</v>
      </c>
      <c r="AP7" s="7" t="n">
        <f aca="false">IF(80000&gt;AF7,AF7,80000)</f>
        <v>80000</v>
      </c>
      <c r="AQ7" s="7" t="n">
        <f aca="false">+AQ6</f>
        <v>5023</v>
      </c>
      <c r="AR7" s="14" t="n">
        <f aca="false">AF7-AM7-AP7</f>
        <v>5939.65961835998</v>
      </c>
      <c r="AS7" s="14" t="n">
        <f aca="false">AG7-AN7-AQ7</f>
        <v>10482.8269726663</v>
      </c>
      <c r="AT7" s="14" t="n">
        <f aca="false">AH7-AO7-AV7</f>
        <v>339.682826199074</v>
      </c>
      <c r="AU7" s="14" t="n">
        <f aca="false">AL7*AX7*'Prices&amp;Fuel'!H7</f>
        <v>268592.057761733</v>
      </c>
      <c r="AV7" s="7" t="n">
        <f aca="false">(272893*2)/31</f>
        <v>17606</v>
      </c>
      <c r="AW7" s="68" t="n">
        <v>0.145</v>
      </c>
      <c r="AX7" s="68" t="n">
        <f aca="false">AX6</f>
        <v>0.05</v>
      </c>
      <c r="AY7" s="5" t="n">
        <f aca="false">('Prices&amp;Fuel'!H7*('Prices&amp;Fuel'!B7+AW7)*'Long Term Deals'!AF7)+('Prices&amp;Fuel'!H7*('Prices&amp;Fuel'!C7+'Long Term Deals'!AW7)*'Long Term Deals'!AG7)+(AH7*('Prices&amp;Fuel'!C7+AW7)*'Prices&amp;Fuel'!H7)+(AW7*AL7*'Prices&amp;Fuel'!H7)</f>
        <v>10814814.7601857</v>
      </c>
      <c r="AZ7" s="5" t="n">
        <f aca="false">(AP7*'Prices&amp;Fuel'!H7*'Prices&amp;Fuel'!B7)+(AQ7*'Prices&amp;Fuel'!C7*'Prices&amp;Fuel'!H7)+((AM7+AR7)*('Prices&amp;Fuel'!B7+'Long Term Deals'!AX7)*'Prices&amp;Fuel'!H7)+((AN7+AS7)*('Prices&amp;Fuel'!C7+'Long Term Deals'!AX7)*'Prices&amp;Fuel'!H7)+((AO7+AT7)*('Prices&amp;Fuel'!D7+'Long Term Deals'!AX7)*'Prices&amp;Fuel'!H7)+(AV7*'Prices&amp;Fuel'!H7*'Prices&amp;Fuel'!Q7)+AU7</f>
        <v>9711033.79011346</v>
      </c>
      <c r="BA7" s="5" t="n">
        <f aca="false">AY7-AZ7</f>
        <v>1103780.9700722</v>
      </c>
      <c r="BB7" s="5"/>
      <c r="BC7" s="5"/>
      <c r="BF7" s="7" t="n">
        <f aca="false">(700+1000)/(1-'Prices&amp;Fuel'!F7)</f>
        <v>1753.48117586385</v>
      </c>
      <c r="BH7" s="8" t="n">
        <f aca="false">(2.79*700+2.68*1000)/BF7</f>
        <v>2.64217264705882</v>
      </c>
      <c r="BK7" s="1" t="n">
        <f aca="false">2.54</f>
        <v>2.54</v>
      </c>
      <c r="BL7" s="9" t="n">
        <f aca="false">(BB7+BC7+BD7+BE7+BF7+BG7)*BH7*'Prices&amp;Fuel'!H7</f>
        <v>143623</v>
      </c>
      <c r="BM7" s="9"/>
      <c r="BN7" s="9"/>
      <c r="BP7" s="7" t="n">
        <f aca="false">BK7*BF7*'Prices&amp;Fuel'!H7</f>
        <v>138069.107787519</v>
      </c>
      <c r="BQ7" s="5" t="n">
        <f aca="false">BL7-BP7</f>
        <v>5553.89221248066</v>
      </c>
      <c r="BR7" s="7" t="n">
        <v>1000</v>
      </c>
      <c r="BS7" s="7" t="n">
        <v>5000</v>
      </c>
      <c r="BT7" s="8" t="n">
        <f aca="false">IF('Prices&amp;Fuel'!$E7&lt;1.89,1.89,'Prices&amp;Fuel'!$E7)</f>
        <v>2.269</v>
      </c>
      <c r="BU7" s="8" t="n">
        <f aca="false">IF('Prices&amp;Fuel'!$E7&lt;1.99,1.99,'Prices&amp;Fuel'!$E7)</f>
        <v>2.269</v>
      </c>
      <c r="BV7" s="13" t="n">
        <f aca="false">BT7</f>
        <v>2.269</v>
      </c>
      <c r="BW7" s="13" t="n">
        <f aca="false">BU7</f>
        <v>2.269</v>
      </c>
      <c r="BX7" s="7" t="n">
        <f aca="false">(BR7*BT7+BS7*BU7)*'Prices&amp;Fuel'!H7</f>
        <v>422034</v>
      </c>
      <c r="BY7" s="7" t="n">
        <f aca="false">($BR7*BV7+$BS7*BW7)*'Prices&amp;Fuel'!H7</f>
        <v>422034</v>
      </c>
      <c r="BZ7" s="5" t="n">
        <f aca="false">BX7-BY7</f>
        <v>0</v>
      </c>
      <c r="CA7" s="5" t="n">
        <f aca="false">(AF7+AG7+AH7+AL7)*0.005*'Prices&amp;Fuel'!H7</f>
        <v>47962.8674574523</v>
      </c>
      <c r="CB7" s="5" t="n">
        <f aca="false">(B7+C7+D7+O7+P7+Q7+X7+Y7+((BB7+BC7+BD7+BE7+BF7+BG7))+BR7+BS7)*0.005*'Prices&amp;Fuel'!H7</f>
        <v>7230.5145822589</v>
      </c>
      <c r="CC7" s="7" t="n">
        <f aca="false">K7+T7+AB7+AY7+BL7+BX7</f>
        <v>14009099.0901857</v>
      </c>
      <c r="CD7" s="7" t="n">
        <f aca="false">L7+U7+AC7+AZ7+BP7+BY7+CA7+CB7</f>
        <v>12940263.2999407</v>
      </c>
      <c r="CE7" s="7" t="n">
        <f aca="false">CC7-CD7</f>
        <v>1068835.79024497</v>
      </c>
      <c r="CF7" s="7" t="n">
        <f aca="false">'Index Price Deals'!AR7</f>
        <v>622335.226846519</v>
      </c>
      <c r="CG7" s="7" t="n">
        <f aca="false">'Index Price Deals'!AS7</f>
        <v>1159.865</v>
      </c>
      <c r="CH7" s="7" t="n">
        <f aca="false">'Index Price Deals'!AT7</f>
        <v>606240.621304538</v>
      </c>
      <c r="CI7" s="7" t="n">
        <f aca="false">'Index Price Deals'!AU7</f>
        <v>16094.6055419806</v>
      </c>
      <c r="CJ7" s="7" t="n">
        <f aca="false">CC7+CF7</f>
        <v>14631434.3170322</v>
      </c>
      <c r="CK7" s="7" t="n">
        <f aca="false">CD7+CH7</f>
        <v>13546503.9212452</v>
      </c>
      <c r="CL7" s="7" t="n">
        <f aca="false">CE7+CI7</f>
        <v>1084930.39578695</v>
      </c>
      <c r="CM7" s="69"/>
      <c r="CN7" s="7" t="n">
        <f aca="false">Transport!U7</f>
        <v>1094525.80978752</v>
      </c>
      <c r="CO7" s="7"/>
      <c r="CP7" s="14" t="n">
        <f aca="false">CL7-CN7</f>
        <v>-9595.41400056845</v>
      </c>
      <c r="CQ7" s="7" t="n">
        <f aca="false">((($B7+$C7+$D7+$O7+$P7+$Q7)*0.5)+BR7+BS7)*(0.005*'Prices&amp;Fuel'!$H7)+'Index Price Deals'!AV7</f>
        <v>4189.2625</v>
      </c>
      <c r="CR7" s="7" t="n">
        <f aca="false">((($B7+$C7+$D7+$O7+$P7+$Q7)*0.5)+X7+Y7+BF7)*(0.005*'Prices&amp;Fuel'!$H7)+CA7+'Index Price Deals'!AW7</f>
        <v>52163.9845397112</v>
      </c>
      <c r="CS7" s="7" t="n">
        <v>50782.9495</v>
      </c>
      <c r="CT7" s="7" t="n">
        <f aca="false">[2]Sheet1!$O16</f>
        <v>494844.379883532</v>
      </c>
      <c r="CU7" s="7" t="n">
        <f aca="false">'[3]Long Term Deals'!$Z6</f>
        <v>132032.511334244</v>
      </c>
      <c r="CV7" s="70" t="n">
        <f aca="false">CL7-CN7-CT7+CU7+CS7+CO7</f>
        <v>-321624.333049856</v>
      </c>
      <c r="CW7" s="14" t="n">
        <f aca="false">((B7+C7+D7+O7+P7+Q7+X7+Y7+AF7+AG7+AH7+BB7+BC7+BD7+BE7+BF7+BG7+BR7+BS7)+('Index Price Deals'!B7+'Index Price Deals'!C7+'Index Price Deals'!D7+'Index Price Deals'!L7+'Index Price Deals'!M7+'Index Price Deals'!N7+'Index Price Deals'!AD7+'Index Price Deals'!AE7+'Index Price Deals'!AF7+'Index Price Deals'!AK7+'Index Price Deals'!AL7+'Index Price Deals'!AM7))*'Prices&amp;Fuel'!H7</f>
        <v>5898808.25270758</v>
      </c>
      <c r="DA7" s="1" t="n">
        <f aca="false">(B7+C7+D7)*'Prices&amp;Fuel'!H7</f>
        <v>210645</v>
      </c>
    </row>
    <row r="8" customFormat="false" ht="11.25" hidden="true" customHeight="false" outlineLevel="0" collapsed="false">
      <c r="A8" s="6" t="n">
        <f aca="false">+A7+365/12</f>
        <v>35840.25</v>
      </c>
      <c r="B8" s="7" t="n">
        <v>4921</v>
      </c>
      <c r="C8" s="7" t="n">
        <v>1874</v>
      </c>
      <c r="E8" s="8" t="n">
        <f aca="false">IF(1.99*1.03*1.03*1.03&gt;'Prices&amp;Fuel'!B8+0.01,1.99*1.03*1.03*1.03,'Prices&amp;Fuel'!B8+0.01)</f>
        <v>2.17452673</v>
      </c>
      <c r="F8" s="8" t="n">
        <f aca="false">IF(2.035*1.03*1.03*1.03&gt;'Prices&amp;Fuel'!C8+0.01,2.035*1.03*1.03*1.03,'Prices&amp;Fuel'!C8+0.01)</f>
        <v>2.223699445</v>
      </c>
      <c r="G8" s="8" t="n">
        <f aca="false">IF(2.049*1.03*1.03*1.03&gt;'Prices&amp;Fuel'!D8+0.01,2.049*1.03*1.03*1.03,'Prices&amp;Fuel'!D8+0.01)</f>
        <v>2.238997623</v>
      </c>
      <c r="H8" s="8" t="n">
        <f aca="false">E8-0.01</f>
        <v>2.16452673</v>
      </c>
      <c r="I8" s="8" t="n">
        <f aca="false">F8-0.01</f>
        <v>2.213699445</v>
      </c>
      <c r="J8" s="8" t="n">
        <f aca="false">G8-0.01</f>
        <v>2.228997623</v>
      </c>
      <c r="K8" s="7" t="n">
        <f aca="false">((B8*E8)+(C8*F8)+(D8*G8))*'Prices&amp;Fuel'!H8</f>
        <v>416305.64635128</v>
      </c>
      <c r="L8" s="7" t="n">
        <f aca="false">(($B8*H8)+($C8*I8)+($D8*J8))*'Prices&amp;Fuel'!$H8</f>
        <v>414403.04635128</v>
      </c>
      <c r="M8" s="14" t="n">
        <f aca="false">K8-L8</f>
        <v>1902.59999999992</v>
      </c>
      <c r="O8" s="7" t="n">
        <v>9036</v>
      </c>
      <c r="P8" s="7" t="n">
        <v>10794</v>
      </c>
      <c r="Q8" s="7" t="n">
        <v>5270</v>
      </c>
      <c r="R8" s="8" t="n">
        <f aca="false">R7</f>
        <v>2.1585</v>
      </c>
      <c r="S8" s="8" t="n">
        <f aca="false">S7</f>
        <v>2.1479</v>
      </c>
      <c r="T8" s="7" t="n">
        <f aca="false">(($O8*R8)+($P8*R8)+($Q8*R8))*'Prices&amp;Fuel'!$H8</f>
        <v>1516993.8</v>
      </c>
      <c r="U8" s="7" t="n">
        <f aca="false">(($O8*S8)+($P8*S8)+($Q8*S8))*'Prices&amp;Fuel'!$H8</f>
        <v>1509544.12</v>
      </c>
      <c r="V8" s="14" t="n">
        <f aca="false">T8-U8</f>
        <v>7449.68000000017</v>
      </c>
      <c r="X8" s="7" t="n">
        <f aca="false">7000*0.5</f>
        <v>3500</v>
      </c>
      <c r="Y8" s="7" t="n">
        <f aca="false">X8</f>
        <v>3500</v>
      </c>
      <c r="Z8" s="27" t="n">
        <v>2.2</v>
      </c>
      <c r="AA8" s="27" t="n">
        <v>2.18</v>
      </c>
      <c r="AB8" s="7" t="n">
        <f aca="false">($X8+$Y8)*Z8*'Prices&amp;Fuel'!$H8</f>
        <v>431200</v>
      </c>
      <c r="AC8" s="7" t="n">
        <f aca="false">($X8+$Y8)*AA8*'Prices&amp;Fuel'!$H8</f>
        <v>427280</v>
      </c>
      <c r="AD8" s="14" t="n">
        <f aca="false">AB8-AC8</f>
        <v>3920</v>
      </c>
      <c r="AF8" s="7" t="n">
        <f aca="false">((93404/(1-'Prices&amp;Fuel'!F8))+(25000/(1-'Prices&amp;Fuel'!G8))-AI8)</f>
        <v>91595.8868894602</v>
      </c>
      <c r="AG8" s="7" t="n">
        <f aca="false">((106596/(1-'Prices&amp;Fuel'!F8))-AJ8)</f>
        <v>25908.4832904884</v>
      </c>
      <c r="AH8" s="7" t="n">
        <f aca="false">((75000/(1-'Prices&amp;Fuel'!G8))-AK8)</f>
        <v>18228.2776349614</v>
      </c>
      <c r="AI8" s="7" t="n">
        <f aca="false">29327/(1-'Prices&amp;Fuel'!$F8)</f>
        <v>30156.2982005141</v>
      </c>
      <c r="AJ8" s="7" t="n">
        <f aca="false">81400/(1-'Prices&amp;Fuel'!$F8)</f>
        <v>83701.7994858612</v>
      </c>
      <c r="AK8" s="7" t="n">
        <f aca="false">57273/(1-'Prices&amp;Fuel'!$F8)</f>
        <v>58892.5449871465</v>
      </c>
      <c r="AL8" s="7" t="n">
        <f aca="false">SUM(AI8:AK8)</f>
        <v>172750.642673522</v>
      </c>
      <c r="AM8" s="7" t="n">
        <f aca="false">(AF8-AP8)/2</f>
        <v>5797.94344473008</v>
      </c>
      <c r="AN8" s="7" t="n">
        <f aca="false">(AG8-AQ8)/2</f>
        <v>10442.7416452442</v>
      </c>
      <c r="AO8" s="7" t="n">
        <f aca="false">ROUND((75000/(1-'Prices&amp;Fuel'!G8)-AV8-AK8)/2,0)</f>
        <v>4304</v>
      </c>
      <c r="AP8" s="7" t="n">
        <f aca="false">IF(80000&gt;AF8,AF8,80000)</f>
        <v>80000</v>
      </c>
      <c r="AQ8" s="7" t="n">
        <f aca="false">+AQ7</f>
        <v>5023</v>
      </c>
      <c r="AR8" s="14" t="n">
        <f aca="false">AF8-AM8-AP8</f>
        <v>5797.94344473007</v>
      </c>
      <c r="AS8" s="14" t="n">
        <f aca="false">AG8-AN8-AQ8</f>
        <v>10442.7416452442</v>
      </c>
      <c r="AT8" s="14" t="n">
        <f aca="false">AH8-AO8-AV8</f>
        <v>4304.27763496144</v>
      </c>
      <c r="AU8" s="14" t="n">
        <f aca="false">AL8*AX8*'Prices&amp;Fuel'!H8</f>
        <v>241850.899742931</v>
      </c>
      <c r="AV8" s="7" t="n">
        <f aca="false">(134680*2)/28</f>
        <v>9620</v>
      </c>
      <c r="AW8" s="68" t="n">
        <f aca="false">AW7</f>
        <v>0.145</v>
      </c>
      <c r="AX8" s="68" t="n">
        <f aca="false">AX7</f>
        <v>0.05</v>
      </c>
      <c r="AY8" s="5" t="n">
        <f aca="false">('Prices&amp;Fuel'!H8*('Prices&amp;Fuel'!B8+AW8)*'Long Term Deals'!AF8)+('Prices&amp;Fuel'!H8*('Prices&amp;Fuel'!C8+'Long Term Deals'!AW8)*'Long Term Deals'!AG8)+(AH8*('Prices&amp;Fuel'!C8+AW8)*'Prices&amp;Fuel'!H8)+(AW8*AL8*'Prices&amp;Fuel'!H8)</f>
        <v>8724305.93316195</v>
      </c>
      <c r="AZ8" s="5" t="n">
        <f aca="false">(AP8*'Prices&amp;Fuel'!H8*'Prices&amp;Fuel'!B8)+(AQ8*'Prices&amp;Fuel'!C8*'Prices&amp;Fuel'!H8)+((AM8+AR8)*('Prices&amp;Fuel'!B8+'Long Term Deals'!AX8)*'Prices&amp;Fuel'!H8)+((AN8+AS8)*('Prices&amp;Fuel'!C8+'Long Term Deals'!AX8)*'Prices&amp;Fuel'!H8)+((AO8+AT8)*('Prices&amp;Fuel'!D8+'Long Term Deals'!AX8)*'Prices&amp;Fuel'!H8)+(AV8*'Prices&amp;Fuel'!H8*'Prices&amp;Fuel'!Q8)+AU8</f>
        <v>7739728.47403599</v>
      </c>
      <c r="BA8" s="5" t="n">
        <f aca="false">AY8-AZ8</f>
        <v>984577.459125963</v>
      </c>
      <c r="BB8" s="5"/>
      <c r="BC8" s="5"/>
      <c r="BF8" s="7" t="n">
        <f aca="false">(700+1000)/(1-'Prices&amp;Fuel'!F8)</f>
        <v>1748.07197943445</v>
      </c>
      <c r="BH8" s="8" t="n">
        <f aca="false">(2.79*700+2.68*1000)/BF8</f>
        <v>2.65034852941177</v>
      </c>
      <c r="BK8" s="1" t="n">
        <f aca="false">2.54</f>
        <v>2.54</v>
      </c>
      <c r="BL8" s="9" t="n">
        <f aca="false">(BB8+BC8+BD8+BE8+BF8+BG8)*BH8*'Prices&amp;Fuel'!H8</f>
        <v>129724</v>
      </c>
      <c r="BM8" s="9"/>
      <c r="BN8" s="9"/>
      <c r="BP8" s="7" t="n">
        <f aca="false">BK8*BF8*'Prices&amp;Fuel'!H8</f>
        <v>124322.879177378</v>
      </c>
      <c r="BQ8" s="5" t="n">
        <f aca="false">BL8-BP8</f>
        <v>5401.12082262212</v>
      </c>
      <c r="BR8" s="7" t="n">
        <v>1000</v>
      </c>
      <c r="BS8" s="7" t="n">
        <v>5000</v>
      </c>
      <c r="BT8" s="8" t="n">
        <f aca="false">IF('Prices&amp;Fuel'!$E8&lt;1.89,1.89,'Prices&amp;Fuel'!$E8)</f>
        <v>2.03566666666667</v>
      </c>
      <c r="BU8" s="8" t="n">
        <f aca="false">IF('Prices&amp;Fuel'!$E8&lt;1.99,1.99,'Prices&amp;Fuel'!$E8)</f>
        <v>2.03566666666667</v>
      </c>
      <c r="BV8" s="13" t="n">
        <f aca="false">BT8</f>
        <v>2.03566666666667</v>
      </c>
      <c r="BW8" s="13" t="n">
        <f aca="false">BU8</f>
        <v>2.03566666666667</v>
      </c>
      <c r="BX8" s="7" t="n">
        <f aca="false">(BR8*BT8+BS8*BU8)*'Prices&amp;Fuel'!H8</f>
        <v>341992</v>
      </c>
      <c r="BY8" s="7" t="n">
        <f aca="false">($BR8*BV8+$BS8*BW8)*'Prices&amp;Fuel'!H8</f>
        <v>341992</v>
      </c>
      <c r="BZ8" s="5" t="n">
        <f aca="false">BX8-BY8</f>
        <v>0</v>
      </c>
      <c r="CA8" s="5" t="n">
        <f aca="false">(AF8+AG8+AH8+AL8)*0.005*'Prices&amp;Fuel'!H8</f>
        <v>43187.6606683805</v>
      </c>
      <c r="CB8" s="5" t="n">
        <f aca="false">(B8+C8+D8+O8+P8+Q8+X8+Y8+((BB8+BC8+BD8+BE8+BF8+BG8))+BR8+BS8)*0.005*'Prices&amp;Fuel'!H8</f>
        <v>6530.03007712082</v>
      </c>
      <c r="CC8" s="7" t="n">
        <f aca="false">K8+T8+AB8+AY8+BL8+BX8</f>
        <v>11560521.3795132</v>
      </c>
      <c r="CD8" s="7" t="n">
        <f aca="false">L8+U8+AC8+AZ8+BP8+BY8+CA8+CB8</f>
        <v>10606988.2103102</v>
      </c>
      <c r="CE8" s="7" t="n">
        <f aca="false">CC8-CD8</f>
        <v>953533.169203084</v>
      </c>
      <c r="CF8" s="7" t="n">
        <f aca="false">'Index Price Deals'!AR8</f>
        <v>484285.589801117</v>
      </c>
      <c r="CG8" s="7" t="n">
        <f aca="false">'Index Price Deals'!AS8</f>
        <v>989.1199999996</v>
      </c>
      <c r="CH8" s="7" t="n">
        <f aca="false">'Index Price Deals'!AT8</f>
        <v>470558.714556436</v>
      </c>
      <c r="CI8" s="7" t="n">
        <f aca="false">'Index Price Deals'!AU8</f>
        <v>13726.8752446816</v>
      </c>
      <c r="CJ8" s="7" t="n">
        <f aca="false">CC8+CF8</f>
        <v>12044806.9693144</v>
      </c>
      <c r="CK8" s="7" t="n">
        <f aca="false">CD8+CH8</f>
        <v>11077546.9248666</v>
      </c>
      <c r="CL8" s="7" t="n">
        <f aca="false">CE8+CI8</f>
        <v>967260.044447766</v>
      </c>
      <c r="CM8" s="69"/>
      <c r="CN8" s="7" t="n">
        <f aca="false">Transport!U8</f>
        <v>988219.255177378</v>
      </c>
      <c r="CQ8" s="7" t="n">
        <f aca="false">((($B8+$C8+$D8+$O8+$P8+$Q8)*0.5)+BR8+BS8)*(0.005*'Prices&amp;Fuel'!$H8)+'Index Price Deals'!AV8</f>
        <v>3799.075</v>
      </c>
      <c r="CR8" s="7" t="n">
        <f aca="false">((($B8+$C8+$D8+$O8+$P8+$Q8)*0.5)+X8+Y8+BF8)*(0.005*'Prices&amp;Fuel'!$H8)+CA8+'Index Price Deals'!AW8</f>
        <v>46907.7357455009</v>
      </c>
      <c r="CS8" s="7" t="n">
        <v>36881.858</v>
      </c>
      <c r="CT8" s="7" t="n">
        <f aca="false">[2]Sheet1!$O17</f>
        <v>446956.214088351</v>
      </c>
      <c r="CU8" s="7" t="n">
        <f aca="false">'[3]Long Term Deals'!$Z7</f>
        <v>118520.094803195</v>
      </c>
      <c r="CV8" s="70" t="n">
        <f aca="false">CL8-CN8-CT8+CU8+CS8+CO8</f>
        <v>-312513.472014768</v>
      </c>
      <c r="CW8" s="14" t="n">
        <f aca="false">((B8+C8+D8+O8+P8+Q8+X8+Y8+AF8+AG8+AH8+BB8+BC8+BD8+BE8+BF8+BG8+BR8+BS8)+('Index Price Deals'!B8+'Index Price Deals'!C8+'Index Price Deals'!D8+'Index Price Deals'!L8+'Index Price Deals'!M8+'Index Price Deals'!N8+'Index Price Deals'!AD8+'Index Price Deals'!AE8+'Index Price Deals'!AF8+'Index Price Deals'!AK8+'Index Price Deals'!AL8+'Index Price Deals'!AM8))*'Prices&amp;Fuel'!H8</f>
        <v>5304344.15424157</v>
      </c>
      <c r="DA8" s="1" t="n">
        <f aca="false">(B8+C8+D8)*'Prices&amp;Fuel'!H8</f>
        <v>190260</v>
      </c>
    </row>
    <row r="9" customFormat="false" ht="11.25" hidden="true" customHeight="false" outlineLevel="0" collapsed="false">
      <c r="A9" s="6" t="n">
        <f aca="false">+A8+365/12</f>
        <v>35870.6666666667</v>
      </c>
      <c r="B9" s="7" t="n">
        <v>4921</v>
      </c>
      <c r="C9" s="7" t="n">
        <v>4177</v>
      </c>
      <c r="D9" s="7" t="n">
        <v>1094</v>
      </c>
      <c r="E9" s="8" t="n">
        <f aca="false">IF(1.766*1.03*1.03*1.03&gt;'Prices&amp;Fuel'!B9+0.01,1.766*1.03*1.03*1.03,'Prices&amp;Fuel'!B9+0.01)</f>
        <v>2.2</v>
      </c>
      <c r="F9" s="8" t="n">
        <f aca="false">IF(1.83*1.03*1.03*1.03&gt;'Prices&amp;Fuel'!C9+0.01,1.83*1.03*1.03*1.03,'Prices&amp;Fuel'!C9+0.01)</f>
        <v>2.26</v>
      </c>
      <c r="G9" s="8" t="n">
        <f aca="false">IF(1.859*1.03*1.03*1.03&gt;'Prices&amp;Fuel'!D9+0.01,1.859*1.03*1.03*1.03,'Prices&amp;Fuel'!D9+0.01)</f>
        <v>2.2</v>
      </c>
      <c r="H9" s="8" t="n">
        <f aca="false">E9-0.01</f>
        <v>2.19</v>
      </c>
      <c r="I9" s="8" t="n">
        <f aca="false">F9-0.01</f>
        <v>2.25</v>
      </c>
      <c r="J9" s="8" t="n">
        <f aca="false">G9-0.01</f>
        <v>2.19</v>
      </c>
      <c r="K9" s="7" t="n">
        <f aca="false">((B9*E9)+(C9*F9)+(D9*G9))*'Prices&amp;Fuel'!H9</f>
        <v>702863.62</v>
      </c>
      <c r="L9" s="7" t="n">
        <f aca="false">(($B9*H9)+($C9*I9)+($D9*J9))*'Prices&amp;Fuel'!$H9</f>
        <v>699704.1</v>
      </c>
      <c r="M9" s="14" t="n">
        <f aca="false">K9-L9</f>
        <v>3159.5199999999</v>
      </c>
      <c r="O9" s="7" t="n">
        <v>9036</v>
      </c>
      <c r="P9" s="7" t="n">
        <v>10794</v>
      </c>
      <c r="Q9" s="7" t="n">
        <v>5270</v>
      </c>
      <c r="R9" s="8" t="n">
        <f aca="false">R8</f>
        <v>2.1585</v>
      </c>
      <c r="S9" s="8" t="n">
        <f aca="false">S8</f>
        <v>2.1479</v>
      </c>
      <c r="T9" s="7" t="n">
        <f aca="false">(($O9*R9)+($P9*R9)+($Q9*R9))*'Prices&amp;Fuel'!$H9</f>
        <v>1679528.85</v>
      </c>
      <c r="U9" s="7" t="n">
        <f aca="false">(($O9*S9)+($P9*S9)+($Q9*S9))*'Prices&amp;Fuel'!$H9</f>
        <v>1671280.99</v>
      </c>
      <c r="V9" s="14" t="n">
        <f aca="false">T9-U9</f>
        <v>8247.8600000001</v>
      </c>
      <c r="X9" s="7" t="n">
        <f aca="false">7000*0.5</f>
        <v>3500</v>
      </c>
      <c r="Y9" s="7" t="n">
        <f aca="false">X9</f>
        <v>3500</v>
      </c>
      <c r="Z9" s="27" t="n">
        <v>2.2</v>
      </c>
      <c r="AA9" s="27" t="n">
        <v>2.18</v>
      </c>
      <c r="AB9" s="7" t="n">
        <f aca="false">($X9+$Y9)*Z9*'Prices&amp;Fuel'!$H9</f>
        <v>477400</v>
      </c>
      <c r="AC9" s="7" t="n">
        <f aca="false">($X9+$Y9)*AA9*'Prices&amp;Fuel'!$H9</f>
        <v>473060</v>
      </c>
      <c r="AD9" s="14" t="n">
        <f aca="false">AB9-AC9</f>
        <v>4340</v>
      </c>
      <c r="AF9" s="7" t="n">
        <f aca="false">(93404/(1-'Prices&amp;Fuel'!F9))+(25000/(1-'Prices&amp;Fuel'!G9))-AI9</f>
        <v>91595.8868894602</v>
      </c>
      <c r="AG9" s="7" t="n">
        <f aca="false">(106596/(1-'Prices&amp;Fuel'!F9))-AJ9</f>
        <v>25908.4832904884</v>
      </c>
      <c r="AH9" s="7" t="n">
        <f aca="false">(75000/(1-'Prices&amp;Fuel'!G9))-AK9</f>
        <v>18228.2776349614</v>
      </c>
      <c r="AI9" s="7" t="n">
        <f aca="false">29327/(1-'Prices&amp;Fuel'!$F9)</f>
        <v>30156.2982005141</v>
      </c>
      <c r="AJ9" s="7" t="n">
        <f aca="false">81400/(1-'Prices&amp;Fuel'!$F9)</f>
        <v>83701.7994858612</v>
      </c>
      <c r="AK9" s="7" t="n">
        <f aca="false">57273/(1-'Prices&amp;Fuel'!$F9)</f>
        <v>58892.5449871465</v>
      </c>
      <c r="AL9" s="7" t="n">
        <f aca="false">ROUND((300000/(1-'Prices&amp;Fuel'!F9))-AF9-AG9-AH9,0)</f>
        <v>172751</v>
      </c>
      <c r="AM9" s="7" t="n">
        <f aca="false">ROUND((((93404/(1-'Prices&amp;Fuel'!F9))+(25000/(1-'Prices&amp;Fuel'!G9)))-80000)/2,0)-AI9/2</f>
        <v>5797.85089974293</v>
      </c>
      <c r="AN9" s="7" t="n">
        <f aca="false">ROUND(((106596/(1-'Prices&amp;Fuel'!F9))-AQ9-AJ9)/2,0)</f>
        <v>10443</v>
      </c>
      <c r="AO9" s="7" t="n">
        <f aca="false">ROUND((75000/(1-'Prices&amp;Fuel'!G9)-AV9-AK9)/2,0)</f>
        <v>9114</v>
      </c>
      <c r="AP9" s="7" t="n">
        <f aca="false">IF(80000&gt;AF9,AF9,80000)</f>
        <v>80000</v>
      </c>
      <c r="AQ9" s="7" t="n">
        <f aca="false">+AQ8</f>
        <v>5023</v>
      </c>
      <c r="AR9" s="14" t="n">
        <f aca="false">AM9</f>
        <v>5797.85089974293</v>
      </c>
      <c r="AS9" s="14" t="n">
        <f aca="false">AN9</f>
        <v>10443</v>
      </c>
      <c r="AT9" s="14" t="n">
        <f aca="false">AH9-AO9-AV9</f>
        <v>9114.27763496144</v>
      </c>
      <c r="AU9" s="14" t="n">
        <f aca="false">AL9*AX9*'Prices&amp;Fuel'!H9</f>
        <v>267764.05</v>
      </c>
      <c r="AW9" s="68" t="n">
        <f aca="false">AW8</f>
        <v>0.145</v>
      </c>
      <c r="AX9" s="68" t="n">
        <f aca="false">AX8</f>
        <v>0.05</v>
      </c>
      <c r="AY9" s="5" t="n">
        <f aca="false">('Prices&amp;Fuel'!H9*('Prices&amp;Fuel'!B9+AW9)*'Long Term Deals'!AF9)+('Prices&amp;Fuel'!H9*('Prices&amp;Fuel'!C9+'Long Term Deals'!AW9)*'Long Term Deals'!AG9)+(AH9*('Prices&amp;Fuel'!C9+AW9)*'Prices&amp;Fuel'!H9)+(AW9*AL9*'Prices&amp;Fuel'!H9)</f>
        <v>10683617.8324036</v>
      </c>
      <c r="AZ9" s="5" t="n">
        <f aca="false">(AP9*'Prices&amp;Fuel'!H9*'Prices&amp;Fuel'!B9)+(AQ9*'Prices&amp;Fuel'!C9*'Prices&amp;Fuel'!H9)+((AM9+AR9)*('Prices&amp;Fuel'!B9+'Long Term Deals'!AX9)*'Prices&amp;Fuel'!H9)+((AN9+AS9)*('Prices&amp;Fuel'!C9+'Long Term Deals'!AX9)*'Prices&amp;Fuel'!H9)+((AO9+AT9)*('Prices&amp;Fuel'!D9+'Long Term Deals'!AX9)*'Prices&amp;Fuel'!H9)+(AV9*'Prices&amp;Fuel'!H9*'Prices&amp;Fuel'!Q9)+AU9</f>
        <v>9609467.23192802</v>
      </c>
      <c r="BA9" s="5" t="n">
        <f aca="false">AY9-AZ9</f>
        <v>1074150.60047558</v>
      </c>
      <c r="BB9" s="5"/>
      <c r="BC9" s="5"/>
      <c r="BF9" s="7" t="n">
        <f aca="false">(700+1000)/(1-'Prices&amp;Fuel'!F9)</f>
        <v>1748.07197943445</v>
      </c>
      <c r="BH9" s="8" t="n">
        <f aca="false">(2.79*700+2.68*1000)/BF9</f>
        <v>2.65034852941177</v>
      </c>
      <c r="BK9" s="1" t="n">
        <f aca="false">2.54</f>
        <v>2.54</v>
      </c>
      <c r="BL9" s="9" t="n">
        <f aca="false">(BB9+BC9+BD9+BE9+BF9+BG9)*BH9*'Prices&amp;Fuel'!H9</f>
        <v>143623</v>
      </c>
      <c r="BM9" s="9"/>
      <c r="BN9" s="9"/>
      <c r="BP9" s="7" t="n">
        <f aca="false">BK9*BF9*'Prices&amp;Fuel'!H9</f>
        <v>137643.187660668</v>
      </c>
      <c r="BQ9" s="5" t="n">
        <f aca="false">BL9-BP9</f>
        <v>5979.81233933164</v>
      </c>
      <c r="BR9" s="7" t="n">
        <v>1000</v>
      </c>
      <c r="BS9" s="7" t="n">
        <v>5000</v>
      </c>
      <c r="BT9" s="8" t="n">
        <f aca="false">IF('Prices&amp;Fuel'!$E9&lt;1.89,1.89,'Prices&amp;Fuel'!$E9)</f>
        <v>2.227</v>
      </c>
      <c r="BU9" s="8" t="n">
        <f aca="false">IF('Prices&amp;Fuel'!$E9&lt;1.99,1.99,'Prices&amp;Fuel'!$E9)</f>
        <v>2.227</v>
      </c>
      <c r="BV9" s="13" t="n">
        <f aca="false">BT9</f>
        <v>2.227</v>
      </c>
      <c r="BW9" s="13" t="n">
        <f aca="false">BU9</f>
        <v>2.227</v>
      </c>
      <c r="BX9" s="7" t="n">
        <f aca="false">(BR9*BT9+BS9*BU9)*'Prices&amp;Fuel'!H9</f>
        <v>414222</v>
      </c>
      <c r="BY9" s="7" t="n">
        <f aca="false">($BR9*BV9+$BS9*BW9)*'Prices&amp;Fuel'!H9</f>
        <v>414222</v>
      </c>
      <c r="BZ9" s="5" t="n">
        <f aca="false">BX9-BY9</f>
        <v>0</v>
      </c>
      <c r="CA9" s="5" t="n">
        <f aca="false">(AF9+AG9+AH9+AL9)*0.005*'Prices&amp;Fuel'!H9</f>
        <v>47814.9654113111</v>
      </c>
      <c r="CB9" s="5" t="n">
        <f aca="false">(B9+C9+D9+O9+P9+Q9+X9+Y9+((BB9+BC9+BD9+BE9+BF9+BG9))+BR9+BS9)*0.005*'Prices&amp;Fuel'!H9</f>
        <v>7756.21115681234</v>
      </c>
      <c r="CC9" s="7" t="n">
        <f aca="false">K9+T9+AB9+AY9+BL9+BX9</f>
        <v>14101255.3024036</v>
      </c>
      <c r="CD9" s="7" t="n">
        <f aca="false">L9+U9+AC9+AZ9+BP9+BY9+CA9+CB9</f>
        <v>13060948.6861568</v>
      </c>
      <c r="CE9" s="7" t="n">
        <f aca="false">CC9-CD9</f>
        <v>1040306.61624679</v>
      </c>
      <c r="CF9" s="7" t="n">
        <f aca="false">'Index Price Deals'!AR9</f>
        <v>450938.2954509</v>
      </c>
      <c r="CG9" s="7" t="n">
        <f aca="false">'Index Price Deals'!AS9</f>
        <v>850.6</v>
      </c>
      <c r="CH9" s="7" t="n">
        <f aca="false">'Index Price Deals'!AT9</f>
        <v>440417.899323532</v>
      </c>
      <c r="CI9" s="7" t="n">
        <f aca="false">'Index Price Deals'!AU9</f>
        <v>10520.3961273674</v>
      </c>
      <c r="CJ9" s="7" t="n">
        <f aca="false">CC9+CF9</f>
        <v>14552193.5978545</v>
      </c>
      <c r="CK9" s="7" t="n">
        <f aca="false">CD9+CH9</f>
        <v>13501366.5854803</v>
      </c>
      <c r="CL9" s="7" t="n">
        <f aca="false">CE9+CI9</f>
        <v>1050827.01237416</v>
      </c>
      <c r="CM9" s="69"/>
      <c r="CN9" s="7" t="n">
        <f aca="false">Transport!U9</f>
        <v>1094099.88966067</v>
      </c>
      <c r="CQ9" s="7" t="n">
        <f aca="false">((($B9+$C9+$D9+$O9+$P9+$Q9)*0.5)+BR9+BS9)*(0.005*'Prices&amp;Fuel'!$H9)+'Index Price Deals'!AV9</f>
        <v>4228.605</v>
      </c>
      <c r="CR9" s="7" t="n">
        <f aca="false">((($B9+$C9+$D9+$O9+$P9+$Q9)*0.5)+X9+Y9+BF9)*(0.005*'Prices&amp;Fuel'!$H9)+CA9+'Index Price Deals'!AW9</f>
        <v>52193.1715681234</v>
      </c>
      <c r="CS9" s="7" t="n">
        <v>64880.3823670951</v>
      </c>
      <c r="CT9" s="7" t="n">
        <f aca="false">[2]Sheet1!$O18</f>
        <v>494844.379883532</v>
      </c>
      <c r="CU9" s="7" t="n">
        <f aca="false">'[3]Long Term Deals'!$Z8</f>
        <v>131218.676389252</v>
      </c>
      <c r="CV9" s="70" t="n">
        <f aca="false">CL9-CN9-CT9+CU9+CS9+CO9</f>
        <v>-342018.198413698</v>
      </c>
      <c r="CW9" s="14" t="n">
        <f aca="false">((B9+C9+D9+O9+P9+Q9+X9+Y9+AF9+AG9+AH9+BB9+BC9+BD9+BE9+BF9+BG9+BR9+BS9)+('Index Price Deals'!B9+'Index Price Deals'!C9+'Index Price Deals'!D9+'Index Price Deals'!L9+'Index Price Deals'!M9+'Index Price Deals'!N9+'Index Price Deals'!AD9+'Index Price Deals'!AE9+'Index Price Deals'!AF9+'Index Price Deals'!AK9+'Index Price Deals'!AL9+'Index Price Deals'!AM9))*'Prices&amp;Fuel'!H9</f>
        <v>5929074.31362468</v>
      </c>
      <c r="DA9" s="1" t="n">
        <f aca="false">(B9+C9+D9)*'Prices&amp;Fuel'!H9</f>
        <v>315952</v>
      </c>
    </row>
    <row r="10" customFormat="false" ht="12.75" hidden="true" customHeight="false" outlineLevel="0" collapsed="false">
      <c r="A10" s="6" t="n">
        <f aca="false">+A9+365/12</f>
        <v>35901.0833333333</v>
      </c>
      <c r="B10" s="7" t="n">
        <v>4921</v>
      </c>
      <c r="C10" s="7" t="n">
        <v>4419</v>
      </c>
      <c r="D10" s="7" t="n">
        <v>852</v>
      </c>
      <c r="E10" s="8" t="n">
        <f aca="false">IF(1.766*1.03*1.03*1.03&gt;'Prices&amp;Fuel'!B10+0.01,1.766*1.03*1.03*1.03,'Prices&amp;Fuel'!B10+0.01)</f>
        <v>2.26</v>
      </c>
      <c r="F10" s="8" t="n">
        <f aca="false">IF(1.83*1.03*1.03*1.03&gt;'Prices&amp;Fuel'!C10+0.01,1.83*1.03*1.03*1.03,'Prices&amp;Fuel'!C10+0.01)</f>
        <v>2.3</v>
      </c>
      <c r="G10" s="8" t="n">
        <f aca="false">IF(1.859*1.03*1.03*1.03&gt;'Prices&amp;Fuel'!D10+0.01,1.859*1.03*1.03*1.03,'Prices&amp;Fuel'!D10+0.01)</f>
        <v>2.28</v>
      </c>
      <c r="H10" s="8" t="n">
        <f aca="false">E10-0.01</f>
        <v>2.25</v>
      </c>
      <c r="I10" s="8" t="n">
        <f aca="false">F10-0.01</f>
        <v>2.29</v>
      </c>
      <c r="J10" s="8" t="n">
        <f aca="false">G10-0.01</f>
        <v>2.27</v>
      </c>
      <c r="K10" s="7" t="n">
        <f aca="false">((B10*E10)+(C10*F10)+(D10*G10))*'Prices&amp;Fuel'!H10</f>
        <v>696831.6</v>
      </c>
      <c r="L10" s="7" t="n">
        <f aca="false">(($B10*H10)+($C10*I10)+($D10*J10))*'Prices&amp;Fuel'!$H10</f>
        <v>693774</v>
      </c>
      <c r="M10" s="14" t="n">
        <f aca="false">K10-L10</f>
        <v>3057.59999999986</v>
      </c>
      <c r="O10" s="7" t="n">
        <v>9036</v>
      </c>
      <c r="P10" s="7" t="n">
        <v>10794</v>
      </c>
      <c r="Q10" s="7" t="n">
        <v>5270</v>
      </c>
      <c r="R10" s="8" t="n">
        <f aca="false">R9</f>
        <v>2.1585</v>
      </c>
      <c r="S10" s="8" t="n">
        <f aca="false">S9</f>
        <v>2.1479</v>
      </c>
      <c r="T10" s="7" t="n">
        <f aca="false">(($O10*R10)+($P10*R10)+($Q10*R10))*'Prices&amp;Fuel'!$H10</f>
        <v>1625350.5</v>
      </c>
      <c r="U10" s="7" t="n">
        <f aca="false">(($O10*S10)+($P10*S10)+($Q10*S10))*'Prices&amp;Fuel'!$H10</f>
        <v>1617368.7</v>
      </c>
      <c r="V10" s="14" t="n">
        <f aca="false">T10-U10</f>
        <v>7981.80000000028</v>
      </c>
      <c r="X10" s="7" t="n">
        <f aca="false">7000*0.5</f>
        <v>3500</v>
      </c>
      <c r="Y10" s="7" t="n">
        <f aca="false">X10</f>
        <v>3500</v>
      </c>
      <c r="Z10" s="27" t="n">
        <v>2.2</v>
      </c>
      <c r="AA10" s="27" t="n">
        <v>2.18</v>
      </c>
      <c r="AB10" s="7" t="n">
        <f aca="false">($X10+$Y10)*Z10*'Prices&amp;Fuel'!$H10</f>
        <v>462000</v>
      </c>
      <c r="AC10" s="7" t="n">
        <f aca="false">($X10+$Y10)*AA10*'Prices&amp;Fuel'!$H10</f>
        <v>457800</v>
      </c>
      <c r="AD10" s="14" t="n">
        <f aca="false">AB10-AC10</f>
        <v>4200</v>
      </c>
      <c r="AF10" s="7" t="n">
        <f aca="false">(102383/(1-'Prices&amp;Fuel'!F10))+(25000/(1-'Prices&amp;Fuel'!G10))-AI10</f>
        <v>131948.415164699</v>
      </c>
      <c r="AG10" s="7" t="n">
        <f aca="false">(97617/(1-'Prices&amp;Fuel'!F10))-AJ10</f>
        <v>101115.599751398</v>
      </c>
      <c r="AH10" s="7" t="n">
        <f aca="false">(75000/(1-'Prices&amp;Fuel'!G10))-AK10</f>
        <v>77688.0049720323</v>
      </c>
      <c r="AI10" s="7" t="n">
        <v>0</v>
      </c>
      <c r="AJ10" s="7" t="n">
        <v>0</v>
      </c>
      <c r="AK10" s="7" t="n">
        <v>0</v>
      </c>
      <c r="AL10" s="11" t="n">
        <f aca="false">ROUND((300000/(1-'Prices&amp;Fuel'!F10))-AF10-AG10-AH10,0)</f>
        <v>0</v>
      </c>
      <c r="AM10" s="7" t="n">
        <f aca="false">ROUND(((((99813+2570)/(1-'Prices&amp;Fuel'!F10))+(25000/(1-'Prices&amp;Fuel'!G10)))-80000)/2,0)-AI10/2</f>
        <v>25974</v>
      </c>
      <c r="AN10" s="7" t="n">
        <f aca="false">ROUND(((97617/(1-'Prices&amp;Fuel'!F10))-AQ10-AJ10)/2,0)</f>
        <v>48046</v>
      </c>
      <c r="AO10" s="7" t="n">
        <f aca="false">ROUND((75000/(1-'Prices&amp;Fuel'!G10)-AV10-AK10)/2,0)</f>
        <v>38844</v>
      </c>
      <c r="AP10" s="7" t="n">
        <f aca="false">IF(80000&gt;AF10,AF10,80000)</f>
        <v>80000</v>
      </c>
      <c r="AQ10" s="7" t="n">
        <f aca="false">+AQ9</f>
        <v>5023</v>
      </c>
      <c r="AR10" s="14" t="n">
        <f aca="false">AM10</f>
        <v>25974</v>
      </c>
      <c r="AS10" s="14" t="n">
        <f aca="false">AN10</f>
        <v>48046</v>
      </c>
      <c r="AT10" s="14" t="n">
        <f aca="false">AH10-AO10-AV10</f>
        <v>38844.0049720323</v>
      </c>
      <c r="AU10" s="14" t="n">
        <f aca="false">AL10*AX10*'Prices&amp;Fuel'!H10</f>
        <v>0</v>
      </c>
      <c r="AW10" s="68" t="n">
        <f aca="false">AW9</f>
        <v>0.145</v>
      </c>
      <c r="AX10" s="68" t="n">
        <f aca="false">AX9</f>
        <v>0.05</v>
      </c>
      <c r="AY10" s="5" t="n">
        <f aca="false">('Prices&amp;Fuel'!H10*('Prices&amp;Fuel'!B10+AW10)*'Long Term Deals'!AF10)+('Prices&amp;Fuel'!H10*('Prices&amp;Fuel'!C10+'Long Term Deals'!AW10)*'Long Term Deals'!AG10)+(AH10*('Prices&amp;Fuel'!C10+AW10)*'Prices&amp;Fuel'!H10)+(AW10*AL10*'Prices&amp;Fuel'!H10)</f>
        <v>22542096.9546302</v>
      </c>
      <c r="AZ10" s="5" t="n">
        <f aca="false">(AP10*'Prices&amp;Fuel'!H10*'Prices&amp;Fuel'!B10)+(AQ10*'Prices&amp;Fuel'!C10*'Prices&amp;Fuel'!H10)+((AM10+AR10)*('Prices&amp;Fuel'!B10+'Long Term Deals'!AX10)*'Prices&amp;Fuel'!H10)+((AN10+AS10)*('Prices&amp;Fuel'!C10+'Long Term Deals'!AX10)*'Prices&amp;Fuel'!H10)+((AO10+AT10)*('Prices&amp;Fuel'!D10+'Long Term Deals'!AX10)*'Prices&amp;Fuel'!H10)+(AV10*'Prices&amp;Fuel'!H10*'Prices&amp;Fuel'!Q10)+AU10</f>
        <v>21482235.6460535</v>
      </c>
      <c r="BA10" s="5" t="n">
        <f aca="false">AY10-AZ10</f>
        <v>1059861.30857676</v>
      </c>
      <c r="BB10" s="5"/>
      <c r="BC10" s="5"/>
      <c r="BF10" s="7" t="n">
        <f aca="false">(700+1000)/(1-'Prices&amp;Fuel'!F10)</f>
        <v>1760.9281126994</v>
      </c>
      <c r="BH10" s="8" t="n">
        <f aca="false">(2.79*700+2.68*1000)/BF10</f>
        <v>2.63099894117647</v>
      </c>
      <c r="BK10" s="1" t="n">
        <f aca="false">2.54</f>
        <v>2.54</v>
      </c>
      <c r="BL10" s="9" t="n">
        <f aca="false">(BB10+BC10+BD10+BE10+BF10+BG10)*BH10*'Prices&amp;Fuel'!H10</f>
        <v>138990</v>
      </c>
      <c r="BM10" s="9"/>
      <c r="BN10" s="9"/>
      <c r="BP10" s="7" t="n">
        <f aca="false">BK10*BF10*'Prices&amp;Fuel'!H10</f>
        <v>134182.722187694</v>
      </c>
      <c r="BQ10" s="5" t="n">
        <f aca="false">BL10-BP10</f>
        <v>4807.27781230578</v>
      </c>
      <c r="BR10" s="7" t="n">
        <v>1000</v>
      </c>
      <c r="BT10" s="8" t="n">
        <f aca="false">IF('Prices&amp;Fuel'!$E10&lt;1.89,1.89,'Prices&amp;Fuel'!$E10)</f>
        <v>2.3343</v>
      </c>
      <c r="BU10" s="8"/>
      <c r="BV10" s="13" t="n">
        <f aca="false">BT10</f>
        <v>2.3343</v>
      </c>
      <c r="BW10" s="13"/>
      <c r="BX10" s="7" t="n">
        <f aca="false">(BR10*BT10+BS10*BU10)*'Prices&amp;Fuel'!H10</f>
        <v>70029</v>
      </c>
      <c r="BY10" s="7" t="n">
        <f aca="false">($BR10*BV10+$BS10*BW10)*'Prices&amp;Fuel'!H10</f>
        <v>70029</v>
      </c>
      <c r="BZ10" s="5" t="n">
        <f aca="false">BX10-BY10</f>
        <v>0</v>
      </c>
      <c r="CA10" s="5" t="n">
        <f aca="false">(AF10+AG10+AH10+AL10)*0.005*'Prices&amp;Fuel'!H10</f>
        <v>46612.8029832194</v>
      </c>
      <c r="CB10" s="5" t="n">
        <f aca="false">(B10+C10+D10+O10+P10+Q10+X10+Y10+((BB10+BC10+BD10+BE10+BF10+BG10))+BR10+BS10)*0.005*'Prices&amp;Fuel'!H10</f>
        <v>6757.93921690491</v>
      </c>
      <c r="CC10" s="7" t="n">
        <f aca="false">K10+T10+AB10+AY10+BL10+BX10</f>
        <v>25535298.0546302</v>
      </c>
      <c r="CD10" s="7" t="n">
        <f aca="false">L10+U10+AC10+AZ10+BP10+BY10+CA10+CB10</f>
        <v>24508760.8104413</v>
      </c>
      <c r="CE10" s="7" t="n">
        <f aca="false">CC10-CD10</f>
        <v>1026537.24418894</v>
      </c>
      <c r="CF10" s="7" t="n">
        <f aca="false">'Index Price Deals'!AR10</f>
        <v>557263.429650093</v>
      </c>
      <c r="CG10" s="7" t="n">
        <f aca="false">'Index Price Deals'!AS10</f>
        <v>1004.95</v>
      </c>
      <c r="CH10" s="7" t="n">
        <f aca="false">'Index Price Deals'!AT10</f>
        <v>543203.5287257</v>
      </c>
      <c r="CI10" s="7" t="n">
        <f aca="false">'Index Price Deals'!AU10</f>
        <v>14059.9009243937</v>
      </c>
      <c r="CJ10" s="7" t="n">
        <f aca="false">CC10+CF10</f>
        <v>26092561.4842803</v>
      </c>
      <c r="CK10" s="7" t="n">
        <f aca="false">CD10+CH10</f>
        <v>25051964.339167</v>
      </c>
      <c r="CL10" s="7" t="n">
        <f aca="false">CE10+CI10</f>
        <v>1040597.14511333</v>
      </c>
      <c r="CM10" s="69"/>
      <c r="CN10" s="7" t="n">
        <f aca="false">Transport!U10</f>
        <v>1039102.69818769</v>
      </c>
      <c r="CO10" s="71" t="n">
        <f aca="false">SUM([4]Sheet1!$AL$12:$AL$51)</f>
        <v>11090229.4094514</v>
      </c>
      <c r="CQ10" s="7" t="n">
        <f aca="false">((($B10+$C10+$D10+$O10+$P10+$Q10)*0.5)+BR10+BS10)*(0.005*'Prices&amp;Fuel'!$H10)+'Index Price Deals'!AV10</f>
        <v>3552.85</v>
      </c>
      <c r="CR10" s="7" t="n">
        <f aca="false">((($B10+$C10+$D10+$O10+$P10+$Q10)*0.5)+X10+Y10+BF10)*(0.005*'Prices&amp;Fuel'!$H10)+CA10+'Index Price Deals'!AW10</f>
        <v>50822.8422001243</v>
      </c>
      <c r="CS10" s="7" t="n">
        <v>115163.353731282</v>
      </c>
      <c r="CT10" s="7" t="n">
        <f aca="false">[2]Sheet1!$O19</f>
        <v>478881.657951805</v>
      </c>
      <c r="CU10" s="7" t="n">
        <f aca="false">'[3]Long Term Deals'!$Z9</f>
        <v>126985.815860567</v>
      </c>
      <c r="CV10" s="70" t="n">
        <f aca="false">CL10-CN10-CT10+CU10+CS10+CO10</f>
        <v>10854991.3680171</v>
      </c>
      <c r="CW10" s="14" t="n">
        <f aca="false">((B10+C10+D10+O10+P10+Q10+X10+Y10+AF10+AG10+AH10+BB10+BC10+BD10+BE10+BF10+BG10+BR10+BS10)+('Index Price Deals'!B10+'Index Price Deals'!C10+'Index Price Deals'!D10+'Index Price Deals'!L10+'Index Price Deals'!M10+'Index Price Deals'!N10+'Index Price Deals'!AD10+'Index Price Deals'!AE10+'Index Price Deals'!AF10+'Index Price Deals'!AK10+'Index Price Deals'!AL10+'Index Price Deals'!AM10))*'Prices&amp;Fuel'!H10</f>
        <v>10875138.4400249</v>
      </c>
      <c r="DA10" s="1" t="n">
        <f aca="false">(B10+C10+D10)*'Prices&amp;Fuel'!H10</f>
        <v>305760</v>
      </c>
    </row>
    <row r="11" customFormat="false" ht="12.75" hidden="true" customHeight="false" outlineLevel="0" collapsed="false">
      <c r="A11" s="6" t="n">
        <f aca="false">+A10+365/12</f>
        <v>35931.5</v>
      </c>
      <c r="B11" s="7" t="n">
        <v>7255</v>
      </c>
      <c r="C11" s="7" t="n">
        <v>9300</v>
      </c>
      <c r="D11" s="7" t="n">
        <v>3478</v>
      </c>
      <c r="E11" s="8" t="n">
        <f aca="false">IF(1.766*1.03*1.03*1.03*1.03&gt;'Prices&amp;Fuel'!B11,1.766*1.03*1.03*1.03*1.03,'Prices&amp;Fuel'!B11)</f>
        <v>2.2</v>
      </c>
      <c r="F11" s="8" t="n">
        <f aca="false">IF(1.83*1.03*1.03*1.03*1.03&gt;'Prices&amp;Fuel'!C11,1.83*1.03*1.03*1.03*1.03,'Prices&amp;Fuel'!C11)</f>
        <v>2.25</v>
      </c>
      <c r="G11" s="8" t="n">
        <f aca="false">IF(1.859*1.03*1.03*1.03*1.03&gt;'Prices&amp;Fuel'!D11,1.859*1.03*1.03*1.03*1.03,'Prices&amp;Fuel'!D11)</f>
        <v>2.22</v>
      </c>
      <c r="H11" s="8" t="n">
        <f aca="false">E11-0.01</f>
        <v>2.19</v>
      </c>
      <c r="I11" s="8" t="n">
        <f aca="false">F11-0.01</f>
        <v>2.24</v>
      </c>
      <c r="J11" s="8" t="n">
        <f aca="false">G11-0.01</f>
        <v>2.21</v>
      </c>
      <c r="K11" s="7" t="n">
        <f aca="false">((B11*E11)+(C11*F11)+(D11*G11))*'Prices&amp;Fuel'!H11</f>
        <v>1382821.96</v>
      </c>
      <c r="L11" s="7" t="n">
        <f aca="false">(($B11*H11)+($C11*I11)+($D11*J11))*'Prices&amp;Fuel'!$H11</f>
        <v>1376611.73</v>
      </c>
      <c r="M11" s="14" t="n">
        <f aca="false">K11-L11</f>
        <v>6210.23000000021</v>
      </c>
      <c r="O11" s="7" t="n">
        <v>9036</v>
      </c>
      <c r="P11" s="7" t="n">
        <v>10794</v>
      </c>
      <c r="Q11" s="7" t="n">
        <v>5270</v>
      </c>
      <c r="R11" s="8" t="n">
        <f aca="false">R10</f>
        <v>2.1585</v>
      </c>
      <c r="S11" s="8" t="n">
        <f aca="false">S10</f>
        <v>2.1479</v>
      </c>
      <c r="T11" s="7" t="n">
        <f aca="false">(($O11*R11)+($P11*R11)+($Q11*R11))*'Prices&amp;Fuel'!$H11</f>
        <v>1679528.85</v>
      </c>
      <c r="U11" s="7" t="n">
        <f aca="false">(($O11*S11)+($P11*S11)+($Q11*S11))*'Prices&amp;Fuel'!$H11</f>
        <v>1671280.99</v>
      </c>
      <c r="V11" s="14" t="n">
        <f aca="false">T11-U11</f>
        <v>8247.8600000001</v>
      </c>
      <c r="X11" s="7" t="n">
        <f aca="false">7000*0.5</f>
        <v>3500</v>
      </c>
      <c r="Y11" s="7" t="n">
        <f aca="false">X11</f>
        <v>3500</v>
      </c>
      <c r="Z11" s="27" t="n">
        <v>2.2</v>
      </c>
      <c r="AA11" s="27" t="n">
        <v>2.18</v>
      </c>
      <c r="AB11" s="7" t="n">
        <f aca="false">($X11+$Y11)*Z11*'Prices&amp;Fuel'!$H11</f>
        <v>477400</v>
      </c>
      <c r="AC11" s="7" t="n">
        <f aca="false">($X11+$Y11)*AA11*'Prices&amp;Fuel'!$H11</f>
        <v>473060</v>
      </c>
      <c r="AD11" s="14" t="n">
        <f aca="false">AB11-AC11</f>
        <v>4340</v>
      </c>
      <c r="AF11" s="7" t="n">
        <f aca="false">(155295/(1-'Prices&amp;Fuel'!F11))+(25000/(1-'Prices&amp;Fuel'!G11))-AI11</f>
        <v>125885.51772465</v>
      </c>
      <c r="AG11" s="7" t="n">
        <f aca="false">(174705/(1-'Prices&amp;Fuel'!F11))-AJ11</f>
        <v>74496.0065952185</v>
      </c>
      <c r="AH11" s="7" t="n">
        <f aca="false">(75000/(1-'Prices&amp;Fuel'!G11))-AK11</f>
        <v>32112.7164056059</v>
      </c>
      <c r="AI11" s="7" t="n">
        <v>59909</v>
      </c>
      <c r="AJ11" s="7" t="n">
        <v>105538</v>
      </c>
      <c r="AK11" s="7" t="n">
        <v>45175</v>
      </c>
      <c r="AL11" s="11" t="n">
        <f aca="false">ROUND((430000/(1-'Prices&amp;Fuel'!F11))-AF11-AG11-AH11,0)</f>
        <v>210622</v>
      </c>
      <c r="AM11" s="7" t="n">
        <f aca="false">(ROUND(((((29727+13743+1000+5000+4854+100971)/(1-'Prices&amp;Fuel'!$F11))+(25000/(1-'Prices&amp;Fuel'!$G11)))-80000),0)-57592-37849)/2+57592-AI11/2</f>
        <v>32814.5</v>
      </c>
      <c r="AN11" s="7" t="n">
        <f aca="false">ROUND(((174705/(1-'Prices&amp;Fuel'!F11))-AQ11-AJ11)/2,0)</f>
        <v>34737</v>
      </c>
      <c r="AO11" s="7" t="n">
        <f aca="false">((ROUND((75000/(1-'Prices&amp;Fuel'!G11)-AV11),0)-27628-47372-AK11)/2)+27628</f>
        <v>6184.5</v>
      </c>
      <c r="AP11" s="7" t="n">
        <f aca="false">IF(80000&gt;AF11,AF11,80000)</f>
        <v>80000</v>
      </c>
      <c r="AQ11" s="7" t="n">
        <f aca="false">+AQ10</f>
        <v>5023</v>
      </c>
      <c r="AR11" s="7" t="n">
        <f aca="false">(ROUND(((((29727+13743+1000+5000+4854+100971)/(1-'Prices&amp;Fuel'!$F11))+(25000/(1-'Prices&amp;Fuel'!$G11)))-80000),0)-57592-37849-AI11)/2+37849</f>
        <v>13071.5</v>
      </c>
      <c r="AS11" s="7" t="n">
        <f aca="false">AN11</f>
        <v>34737</v>
      </c>
      <c r="AT11" s="14" t="n">
        <f aca="false">AH11-AO11-AV11</f>
        <v>25928.2164056059</v>
      </c>
      <c r="AU11" s="14" t="n">
        <f aca="false">AL11*AX11*'Prices&amp;Fuel'!H11</f>
        <v>326464.1</v>
      </c>
      <c r="AW11" s="68" t="n">
        <f aca="false">AW10</f>
        <v>0.145</v>
      </c>
      <c r="AX11" s="68" t="n">
        <f aca="false">AX10</f>
        <v>0.05</v>
      </c>
      <c r="AY11" s="5" t="n">
        <f aca="false">('Prices&amp;Fuel'!H11*('Prices&amp;Fuel'!B11+AW11)*'Long Term Deals'!AF11)+('Prices&amp;Fuel'!H11*('Prices&amp;Fuel'!C11+'Long Term Deals'!AW11)*'Long Term Deals'!AG11)+(AH11*('Prices&amp;Fuel'!C11+AW11)*'Prices&amp;Fuel'!H11)+(AW11*AL11*'Prices&amp;Fuel'!H11)</f>
        <v>18013158.2401896</v>
      </c>
      <c r="AZ11" s="5" t="n">
        <f aca="false">(AP11*'Prices&amp;Fuel'!H11*'Prices&amp;Fuel'!B11)+(AQ11*'Prices&amp;Fuel'!C11*'Prices&amp;Fuel'!H11)+((AM11+AR11)*('Prices&amp;Fuel'!B11+'Long Term Deals'!AX11)*'Prices&amp;Fuel'!H11)+((AN11+AS11)*('Prices&amp;Fuel'!C11+'Long Term Deals'!AX11)*'Prices&amp;Fuel'!H11)+((AO11+AT11)*('Prices&amp;Fuel'!D11+'Long Term Deals'!AX11)*'Prices&amp;Fuel'!H11)+(AV11*'Prices&amp;Fuel'!H11*'Prices&amp;Fuel'!Q11)+AU11</f>
        <v>16546634.9034625</v>
      </c>
      <c r="BA11" s="5" t="n">
        <f aca="false">AY11-AZ11</f>
        <v>1466523.33672712</v>
      </c>
      <c r="BB11" s="5"/>
      <c r="BC11" s="5"/>
      <c r="BF11" s="7" t="n">
        <f aca="false">(700+1000)/(1-'Prices&amp;Fuel'!F11)</f>
        <v>1751.85490519373</v>
      </c>
      <c r="BH11" s="8" t="n">
        <f aca="false">(2.79*700+2.68*1000)/BF11</f>
        <v>2.64462541176471</v>
      </c>
      <c r="BK11" s="1" t="n">
        <f aca="false">2.54</f>
        <v>2.54</v>
      </c>
      <c r="BL11" s="9" t="n">
        <f aca="false">(BB11+BC11+BD11+BE11+BF11+BG11)*BH11*'Prices&amp;Fuel'!H11</f>
        <v>143623</v>
      </c>
      <c r="BM11" s="9"/>
      <c r="BN11" s="9"/>
      <c r="BP11" s="7" t="n">
        <f aca="false">BK11*BF11*'Prices&amp;Fuel'!H11</f>
        <v>137941.055234955</v>
      </c>
      <c r="BQ11" s="5" t="n">
        <f aca="false">BL11-BP11</f>
        <v>5681.94476504534</v>
      </c>
      <c r="BR11" s="7" t="n">
        <v>1000</v>
      </c>
      <c r="BT11" s="8" t="n">
        <f aca="false">IF('Prices&amp;Fuel'!$E11&lt;1.89,1.89,'Prices&amp;Fuel'!$E11)</f>
        <v>2.29066666666667</v>
      </c>
      <c r="BU11" s="8"/>
      <c r="BV11" s="13" t="n">
        <f aca="false">BT11</f>
        <v>2.29066666666667</v>
      </c>
      <c r="BW11" s="13"/>
      <c r="BX11" s="7" t="n">
        <f aca="false">(BR11*BT11+BS11*BU11)*'Prices&amp;Fuel'!H11</f>
        <v>71010.6666666668</v>
      </c>
      <c r="BY11" s="7" t="n">
        <f aca="false">($BR11*BV11+$BS11*BW11)*'Prices&amp;Fuel'!H11</f>
        <v>71010.6666666668</v>
      </c>
      <c r="BZ11" s="5" t="n">
        <f aca="false">BX11-BY11</f>
        <v>0</v>
      </c>
      <c r="CA11" s="5" t="n">
        <f aca="false">(AF11+AG11+AH11+AL11)*0.005*'Prices&amp;Fuel'!H11</f>
        <v>68683.0173124485</v>
      </c>
      <c r="CB11" s="5" t="n">
        <f aca="false">(B11+C11+D11+O11+P11+Q11+X11+Y11+((BB11+BC11+BD11+BE11+BF11+BG11))+BR11+BS11)*0.005*'Prices&amp;Fuel'!H11</f>
        <v>8507.15251030503</v>
      </c>
      <c r="CC11" s="7" t="n">
        <f aca="false">K11+T11+AB11+AY11+BL11+BX11</f>
        <v>21767542.7168563</v>
      </c>
      <c r="CD11" s="7" t="n">
        <f aca="false">L11+U11+AC11+AZ11+BP11+BY11+CA11+CB11</f>
        <v>20353729.5151869</v>
      </c>
      <c r="CE11" s="7" t="n">
        <f aca="false">CC11-CD11</f>
        <v>1413813.20166942</v>
      </c>
      <c r="CF11" s="7" t="n">
        <f aca="false">'Index Price Deals'!AR11</f>
        <v>498109.954767354</v>
      </c>
      <c r="CG11" s="7" t="n">
        <f aca="false">'Index Price Deals'!AS11</f>
        <v>898.080333333333</v>
      </c>
      <c r="CH11" s="7" t="n">
        <f aca="false">'Index Price Deals'!AT11</f>
        <v>484846.609962896</v>
      </c>
      <c r="CI11" s="7" t="n">
        <f aca="false">'Index Price Deals'!AU11</f>
        <v>13263.3448044579</v>
      </c>
      <c r="CJ11" s="7" t="n">
        <f aca="false">CC11+CF11</f>
        <v>22265652.6716236</v>
      </c>
      <c r="CK11" s="7" t="n">
        <f aca="false">CD11+CH11</f>
        <v>20838576.1251498</v>
      </c>
      <c r="CL11" s="7" t="n">
        <f aca="false">CE11+CI11</f>
        <v>1427076.54647388</v>
      </c>
      <c r="CM11" s="69"/>
      <c r="CN11" s="7" t="n">
        <f aca="false">Transport!U11</f>
        <v>1199458.53043495</v>
      </c>
      <c r="CO11" s="71" t="n">
        <f aca="false">[4]Sheet1!$AL52</f>
        <v>810446.827532589</v>
      </c>
      <c r="CQ11" s="7" t="n">
        <f aca="false">((($B11+$C11+$D11+$O11+$P11+$Q11)*0.5)+BR11+BS11)*(0.005*'Prices&amp;Fuel'!$H11)+'Index Price Deals'!AV11</f>
        <v>4396.29083333333</v>
      </c>
      <c r="CR11" s="7" t="n">
        <f aca="false">((($B11+$C11+$D11+$O11+$P11+$Q11)*0.5)+X11+Y11+BF11)*(0.005*'Prices&amp;Fuel'!$H11)+CA11+'Index Price Deals'!AW11</f>
        <v>73691.9593227535</v>
      </c>
      <c r="CS11" s="7" t="n">
        <v>114741.457796785</v>
      </c>
      <c r="CT11" s="7" t="n">
        <f aca="false">[2]Sheet1!$O20</f>
        <v>709276.944499729</v>
      </c>
      <c r="CU11" s="7" t="n">
        <f aca="false">'[3]Long Term Deals'!$Z10</f>
        <v>245187.217824599</v>
      </c>
      <c r="CV11" s="70" t="n">
        <f aca="false">CL11-CN11-CT11+CU11+CS11+CO11</f>
        <v>688716.574693168</v>
      </c>
      <c r="CW11" s="14" t="n">
        <f aca="false">((B11+C11+D11+O11+P11+Q11+X11+Y11+AF11+AG11+AH11+BB11+BC11+BD11+BE11+BF11+BG11+BR11+BS11)+('Index Price Deals'!B11+'Index Price Deals'!C11+'Index Price Deals'!D11+'Index Price Deals'!L11+'Index Price Deals'!M11+'Index Price Deals'!N11+'Index Price Deals'!AD11+'Index Price Deals'!AE11+'Index Price Deals'!AF11+'Index Price Deals'!AK11+'Index Price Deals'!AL11+'Index Price Deals'!AM11))*'Prices&amp;Fuel'!H11</f>
        <v>9088368.03121737</v>
      </c>
      <c r="DA11" s="1" t="n">
        <f aca="false">(B11+C11+D11)*'Prices&amp;Fuel'!H11</f>
        <v>621023</v>
      </c>
    </row>
    <row r="12" customFormat="false" ht="12.75" hidden="true" customHeight="false" outlineLevel="0" collapsed="false">
      <c r="A12" s="6" t="n">
        <f aca="false">+A11+365/12</f>
        <v>35961.9166666667</v>
      </c>
      <c r="B12" s="7" t="n">
        <v>7255</v>
      </c>
      <c r="C12" s="7" t="n">
        <v>9300</v>
      </c>
      <c r="D12" s="7" t="n">
        <v>3478</v>
      </c>
      <c r="E12" s="8" t="n">
        <f aca="false">IF(1.766*1.03*1.03*1.03*1.03&gt;'Prices&amp;Fuel'!B12,1.766*1.03*1.03*1.03*1.03,'Prices&amp;Fuel'!B12)</f>
        <v>1.98764855846</v>
      </c>
      <c r="F12" s="8" t="n">
        <f aca="false">IF(1.83*1.03*1.03*1.03*1.03&gt;'Prices&amp;Fuel'!C12,1.83*1.03*1.03*1.03*1.03,'Prices&amp;Fuel'!C12)</f>
        <v>2.0596811223</v>
      </c>
      <c r="G12" s="8" t="n">
        <f aca="false">IF(1.859*1.03*1.03*1.03*1.03&gt;'Prices&amp;Fuel'!D12,1.859*1.03*1.03*1.03*1.03,'Prices&amp;Fuel'!D12)</f>
        <v>2.09232087779</v>
      </c>
      <c r="H12" s="8" t="n">
        <f aca="false">E12-0.01</f>
        <v>1.97764855846</v>
      </c>
      <c r="I12" s="8" t="n">
        <f aca="false">F12-0.01</f>
        <v>2.0496811223</v>
      </c>
      <c r="J12" s="8" t="n">
        <f aca="false">G12-0.01</f>
        <v>2.08232087779</v>
      </c>
      <c r="K12" s="7" t="n">
        <f aca="false">((B12*E12)+(C12*F12)+(D12*G12))*'Prices&amp;Fuel'!H12</f>
        <v>1225575.50225913</v>
      </c>
      <c r="L12" s="7" t="n">
        <f aca="false">(($B12*H12)+($C12*I12)+($D12*J12))*'Prices&amp;Fuel'!$H12</f>
        <v>1219565.60225913</v>
      </c>
      <c r="M12" s="14" t="n">
        <f aca="false">K12-L12</f>
        <v>6009.89999999967</v>
      </c>
      <c r="O12" s="7" t="n">
        <v>9036</v>
      </c>
      <c r="P12" s="7" t="n">
        <v>10794</v>
      </c>
      <c r="Q12" s="7" t="n">
        <v>5270</v>
      </c>
      <c r="R12" s="8" t="n">
        <f aca="false">R11</f>
        <v>2.1585</v>
      </c>
      <c r="S12" s="8" t="n">
        <f aca="false">S11</f>
        <v>2.1479</v>
      </c>
      <c r="T12" s="7" t="n">
        <f aca="false">(($O12*R12)+($P12*R12)+($Q12*R12))*'Prices&amp;Fuel'!$H12</f>
        <v>1625350.5</v>
      </c>
      <c r="U12" s="7" t="n">
        <f aca="false">(($O12*S12)+($P12*S12)+($Q12*S12))*'Prices&amp;Fuel'!$H12</f>
        <v>1617368.7</v>
      </c>
      <c r="V12" s="14" t="n">
        <f aca="false">T12-U12</f>
        <v>7981.80000000028</v>
      </c>
      <c r="X12" s="7" t="n">
        <f aca="false">7000*0.5</f>
        <v>3500</v>
      </c>
      <c r="Y12" s="7" t="n">
        <f aca="false">X12</f>
        <v>3500</v>
      </c>
      <c r="Z12" s="27" t="n">
        <v>2.2</v>
      </c>
      <c r="AA12" s="27" t="n">
        <v>2.18</v>
      </c>
      <c r="AB12" s="7" t="n">
        <f aca="false">($X12+$Y12)*Z12*'Prices&amp;Fuel'!$H12</f>
        <v>462000</v>
      </c>
      <c r="AC12" s="7" t="n">
        <f aca="false">($X12+$Y12)*AA12*'Prices&amp;Fuel'!$H12</f>
        <v>457800</v>
      </c>
      <c r="AD12" s="14" t="n">
        <f aca="false">AB12-AC12</f>
        <v>4200</v>
      </c>
      <c r="AF12" s="7" t="n">
        <f aca="false">(155295/(1-'Prices&amp;Fuel'!F12))+(25000/(1-'Prices&amp;Fuel'!G12))-AI12</f>
        <v>125885.51772465</v>
      </c>
      <c r="AG12" s="7" t="n">
        <f aca="false">(174705/(1-'Prices&amp;Fuel'!F12))-AJ12</f>
        <v>74496.0065952185</v>
      </c>
      <c r="AH12" s="7" t="n">
        <f aca="false">(75000/(1-'Prices&amp;Fuel'!G12))-AK12</f>
        <v>32112.7164056059</v>
      </c>
      <c r="AI12" s="7" t="n">
        <v>59909</v>
      </c>
      <c r="AJ12" s="7" t="n">
        <v>105538</v>
      </c>
      <c r="AK12" s="7" t="n">
        <v>45175</v>
      </c>
      <c r="AL12" s="11" t="n">
        <f aca="false">ROUND((430000/(1-'Prices&amp;Fuel'!F12))-AF12-AG12-AH12,0)</f>
        <v>210622</v>
      </c>
      <c r="AM12" s="7" t="n">
        <f aca="false">(ROUND(((((29727+13743+1000+5000+4854+100971)/(1-'Prices&amp;Fuel'!$F12))+(25000/(1-'Prices&amp;Fuel'!$G12)))-80000),0)-57592-37849)/2+57592-AI12/2</f>
        <v>32814.5</v>
      </c>
      <c r="AN12" s="7" t="n">
        <f aca="false">ROUND(((174705/(1-'Prices&amp;Fuel'!F12))-AQ12-AJ12)/2,0)</f>
        <v>34737</v>
      </c>
      <c r="AO12" s="7" t="n">
        <f aca="false">((ROUND((75000/(1-'Prices&amp;Fuel'!G12)-AV12),0)-27628-47372-AK12)/2)+27628</f>
        <v>6184.5</v>
      </c>
      <c r="AP12" s="7" t="n">
        <f aca="false">IF(80000&gt;AF12,AF12,80000)</f>
        <v>80000</v>
      </c>
      <c r="AQ12" s="7" t="n">
        <f aca="false">+AQ11</f>
        <v>5023</v>
      </c>
      <c r="AR12" s="7" t="n">
        <f aca="false">(ROUND(((((29727+13743+1000+5000+4854+100971)/(1-'Prices&amp;Fuel'!$F12))+(25000/(1-'Prices&amp;Fuel'!$G12)))-80000),0)-57592-37849-AI12)/2+37849</f>
        <v>13071.5</v>
      </c>
      <c r="AS12" s="7" t="n">
        <f aca="false">AN12</f>
        <v>34737</v>
      </c>
      <c r="AT12" s="14" t="n">
        <f aca="false">AH12-AO12-AV12</f>
        <v>25928.2164056059</v>
      </c>
      <c r="AU12" s="14" t="n">
        <f aca="false">AL12*AX12*'Prices&amp;Fuel'!H12</f>
        <v>315933</v>
      </c>
      <c r="AW12" s="68" t="n">
        <f aca="false">AW11</f>
        <v>0.145</v>
      </c>
      <c r="AX12" s="68" t="n">
        <f aca="false">AX11</f>
        <v>0.05</v>
      </c>
      <c r="AY12" s="5" t="n">
        <f aca="false">('Prices&amp;Fuel'!H12*('Prices&amp;Fuel'!B12+AW12)*'Long Term Deals'!AF12)+('Prices&amp;Fuel'!H12*('Prices&amp;Fuel'!C12+'Long Term Deals'!AW12)*'Long Term Deals'!AG12)+(AH12*('Prices&amp;Fuel'!C12+AW12)*'Prices&amp;Fuel'!H12)+(AW12*AL12*'Prices&amp;Fuel'!H12)</f>
        <v>15897626.6307502</v>
      </c>
      <c r="AZ12" s="5" t="n">
        <f aca="false">(AP12*'Prices&amp;Fuel'!H12*'Prices&amp;Fuel'!B12)+(AQ12*'Prices&amp;Fuel'!C12*'Prices&amp;Fuel'!H12)+((AM12+AR12)*('Prices&amp;Fuel'!B12+'Long Term Deals'!AX12)*'Prices&amp;Fuel'!H12)+((AN12+AS12)*('Prices&amp;Fuel'!C12+'Long Term Deals'!AX12)*'Prices&amp;Fuel'!H12)+((AO12+AT12)*('Prices&amp;Fuel'!D12+'Long Term Deals'!AX12)*'Prices&amp;Fuel'!H12)+(AV12*'Prices&amp;Fuel'!H12*'Prices&amp;Fuel'!Q12)+AU12</f>
        <v>14459133.1291014</v>
      </c>
      <c r="BA12" s="5" t="n">
        <f aca="false">AY12-AZ12</f>
        <v>1438493.50164881</v>
      </c>
      <c r="BB12" s="5"/>
      <c r="BC12" s="5"/>
      <c r="BR12" s="7" t="n">
        <v>1000</v>
      </c>
      <c r="BT12" s="8" t="n">
        <f aca="false">IF('Prices&amp;Fuel'!$E12&lt;1.89,1.89,'Prices&amp;Fuel'!$E12)</f>
        <v>2.06866666666667</v>
      </c>
      <c r="BU12" s="8"/>
      <c r="BV12" s="13" t="n">
        <f aca="false">BT12</f>
        <v>2.06866666666667</v>
      </c>
      <c r="BW12" s="13"/>
      <c r="BX12" s="7" t="n">
        <f aca="false">(BR12*BT12+BS12*BU12)*'Prices&amp;Fuel'!H12</f>
        <v>62060.0000000001</v>
      </c>
      <c r="BY12" s="7" t="n">
        <f aca="false">($BR12*BV12+$BS12*BW12)*'Prices&amp;Fuel'!H12</f>
        <v>62060.0000000001</v>
      </c>
      <c r="BZ12" s="5" t="n">
        <f aca="false">BX12-BY12</f>
        <v>0</v>
      </c>
      <c r="CA12" s="5" t="n">
        <f aca="false">(AF12+AG12+AH12+AL12)*0.005*'Prices&amp;Fuel'!H12</f>
        <v>66467.4361088211</v>
      </c>
      <c r="CB12" s="5" t="n">
        <f aca="false">(B12+C12+D12+O12+P12+Q12+X12+Y12+((BB12+BC12+BD12+BE12+BF12+BG12)*(1-'Prices&amp;Fuel'!F12))+BR12+BS12)*0.005*'Prices&amp;Fuel'!H12</f>
        <v>7969.95</v>
      </c>
      <c r="CC12" s="7" t="n">
        <f aca="false">K12+T12+AB12+AY12+BL12+BX12</f>
        <v>19272612.6330093</v>
      </c>
      <c r="CD12" s="7" t="n">
        <f aca="false">L12+U12+AC12+AZ12+BP12+BY12+CA12+CB12</f>
        <v>17890364.8174693</v>
      </c>
      <c r="CE12" s="7" t="n">
        <f aca="false">CC12-CD12</f>
        <v>1382247.81553999</v>
      </c>
      <c r="CF12" s="7" t="n">
        <f aca="false">'Index Price Deals'!AR12</f>
        <v>392512.250311624</v>
      </c>
      <c r="CG12" s="7" t="n">
        <f aca="false">'Index Price Deals'!AS12</f>
        <v>780.4</v>
      </c>
      <c r="CH12" s="7" t="n">
        <f aca="false">'Index Price Deals'!AT12</f>
        <v>380933.291160758</v>
      </c>
      <c r="CI12" s="7" t="n">
        <f aca="false">'Index Price Deals'!AU12</f>
        <v>11578.9591508656</v>
      </c>
      <c r="CJ12" s="7" t="n">
        <f aca="false">CC12+CF12</f>
        <v>19665124.883321</v>
      </c>
      <c r="CK12" s="7" t="n">
        <f aca="false">CD12+CH12</f>
        <v>18271298.1086301</v>
      </c>
      <c r="CL12" s="7" t="n">
        <f aca="false">CE12+CI12</f>
        <v>1393826.77469085</v>
      </c>
      <c r="CM12" s="69"/>
      <c r="CN12" s="7" t="n">
        <f aca="false">Transport!U12</f>
        <v>1164260.676</v>
      </c>
      <c r="CO12" s="71" t="n">
        <f aca="false">[4]Sheet1!$AL53</f>
        <v>784303.381483151</v>
      </c>
      <c r="CQ12" s="7" t="n">
        <f aca="false">((($B12+$C12+$D12+$O12+$P12+$Q12)*0.5)+BR12+BS12)*(0.005*'Prices&amp;Fuel'!$H12)+'Index Price Deals'!AV12</f>
        <v>4105.975</v>
      </c>
      <c r="CR12" s="7" t="n">
        <f aca="false">((($B12+$C12+$D12+$O12+$P12+$Q12)*0.5)+X12+Y12)*(0.005*'Prices&amp;Fuel'!$H12)+CA12+'Index Price Deals'!AW12</f>
        <v>71111.8111088211</v>
      </c>
      <c r="CS12" s="7" t="n">
        <v>240357.980064303</v>
      </c>
      <c r="CT12" s="7" t="n">
        <f aca="false">[2]Sheet1!$O21</f>
        <v>686397.043064254</v>
      </c>
      <c r="CU12" s="7" t="n">
        <f aca="false">'[3]Long Term Deals'!$Z11</f>
        <v>237277.952733483</v>
      </c>
      <c r="CV12" s="70" t="n">
        <f aca="false">CL12-CN12-CT12+CU12+CS12+CO12</f>
        <v>805108.369907534</v>
      </c>
      <c r="CW12" s="14" t="n">
        <f aca="false">((B12+C12+D12+O12+P12+Q12+X12+Y12+AF12+AG12+AH12+BB12+BC12+BD12+BE12+BF12+BG12+BR12+BS12)+('Index Price Deals'!B12+'Index Price Deals'!C12+'Index Price Deals'!D12+'Index Price Deals'!L12+'Index Price Deals'!M12+'Index Price Deals'!N12+'Index Price Deals'!AD12+'Index Price Deals'!AE12+'Index Price Deals'!AF12+'Index Price Deals'!AK12+'Index Price Deals'!AL12+'Index Price Deals'!AM12))*'Prices&amp;Fuel'!H12</f>
        <v>8724897.22176422</v>
      </c>
      <c r="DA12" s="1" t="n">
        <f aca="false">(B12+C12+D12)*'Prices&amp;Fuel'!H12</f>
        <v>600990</v>
      </c>
    </row>
    <row r="13" customFormat="false" ht="12.75" hidden="true" customHeight="false" outlineLevel="0" collapsed="false">
      <c r="A13" s="6" t="n">
        <f aca="false">+A12+365/12</f>
        <v>35992.3333333333</v>
      </c>
      <c r="B13" s="7" t="n">
        <v>7255</v>
      </c>
      <c r="C13" s="7" t="n">
        <v>9300</v>
      </c>
      <c r="D13" s="7" t="n">
        <v>3478</v>
      </c>
      <c r="E13" s="8" t="n">
        <f aca="false">IF(1.766*1.03*1.03*1.03*1.03&gt;'Prices&amp;Fuel'!B13,1.766*1.03*1.03*1.03*1.03,'Prices&amp;Fuel'!B13)</f>
        <v>2.31</v>
      </c>
      <c r="F13" s="8" t="n">
        <f aca="false">IF(1.83*1.03*1.03*1.03*1.03&gt;'Prices&amp;Fuel'!C13,1.83*1.03*1.03*1.03*1.03,'Prices&amp;Fuel'!C13)</f>
        <v>2.36</v>
      </c>
      <c r="G13" s="8" t="n">
        <f aca="false">IF(1.859*1.03*1.03*1.03*1.03&gt;'Prices&amp;Fuel'!D13,1.859*1.03*1.03*1.03*1.03,'Prices&amp;Fuel'!D13)</f>
        <v>2.29</v>
      </c>
      <c r="H13" s="8" t="n">
        <f aca="false">E13-0.01</f>
        <v>2.3</v>
      </c>
      <c r="I13" s="8" t="n">
        <f aca="false">F13-0.01</f>
        <v>2.35</v>
      </c>
      <c r="J13" s="8" t="n">
        <f aca="false">G13-0.01</f>
        <v>2.28</v>
      </c>
      <c r="K13" s="7" t="n">
        <f aca="false">((B13*E13)+(C13*F13)+(D13*G13))*'Prices&amp;Fuel'!H13</f>
        <v>1446821.77</v>
      </c>
      <c r="L13" s="7" t="n">
        <f aca="false">(($B13*H13)+($C13*I13)+($D13*J13))*'Prices&amp;Fuel'!$H13</f>
        <v>1440611.54</v>
      </c>
      <c r="M13" s="14" t="n">
        <f aca="false">K13-L13</f>
        <v>6210.23000000021</v>
      </c>
      <c r="O13" s="7" t="n">
        <v>9036</v>
      </c>
      <c r="P13" s="7" t="n">
        <v>10794</v>
      </c>
      <c r="Q13" s="7" t="n">
        <v>5270</v>
      </c>
      <c r="R13" s="8" t="n">
        <f aca="false">ROUND(2.034*1.02*1.02*1.02*1.02,4)</f>
        <v>2.2017</v>
      </c>
      <c r="S13" s="8" t="n">
        <f aca="false">R13-ROUND(0.01*1.02*1.02*1.02*1.02,4)</f>
        <v>2.1909</v>
      </c>
      <c r="T13" s="7" t="n">
        <f aca="false">(($O13*R13)+($P13*R13)+($Q13*R13))*'Prices&amp;Fuel'!$H13</f>
        <v>1713142.77</v>
      </c>
      <c r="U13" s="7" t="n">
        <f aca="false">(($O13*S13)+($P13*S13)+($Q13*S13))*'Prices&amp;Fuel'!$H13</f>
        <v>1704739.29</v>
      </c>
      <c r="V13" s="14" t="n">
        <f aca="false">T13-U13</f>
        <v>8403.48000000045</v>
      </c>
      <c r="X13" s="7" t="n">
        <f aca="false">7000*0.5</f>
        <v>3500</v>
      </c>
      <c r="Y13" s="7" t="n">
        <f aca="false">X13</f>
        <v>3500</v>
      </c>
      <c r="Z13" s="27" t="n">
        <v>2.2</v>
      </c>
      <c r="AA13" s="27" t="n">
        <v>2.18</v>
      </c>
      <c r="AB13" s="7" t="n">
        <f aca="false">($X13+$Y13)*Z13*'Prices&amp;Fuel'!$H13</f>
        <v>477400</v>
      </c>
      <c r="AC13" s="7" t="n">
        <f aca="false">($X13+$Y13)*AA13*'Prices&amp;Fuel'!$H13</f>
        <v>473060</v>
      </c>
      <c r="AD13" s="14" t="n">
        <f aca="false">AB13-AC13</f>
        <v>4340</v>
      </c>
      <c r="AF13" s="7" t="n">
        <f aca="false">(155295/(1-'Prices&amp;Fuel'!F13))+(25000/(1-'Prices&amp;Fuel'!G13))-AI13</f>
        <v>125885.51772465</v>
      </c>
      <c r="AG13" s="7" t="n">
        <f aca="false">(174705/(1-'Prices&amp;Fuel'!F13))-AJ13</f>
        <v>74496.0065952185</v>
      </c>
      <c r="AH13" s="7" t="n">
        <f aca="false">(75000/(1-'Prices&amp;Fuel'!G13))-AK13</f>
        <v>32112.7164056059</v>
      </c>
      <c r="AI13" s="7" t="n">
        <v>59909</v>
      </c>
      <c r="AJ13" s="7" t="n">
        <v>105538</v>
      </c>
      <c r="AK13" s="7" t="n">
        <v>45175</v>
      </c>
      <c r="AL13" s="11" t="n">
        <f aca="false">ROUND((430000/(1-'Prices&amp;Fuel'!F13))-AF13-AG13-AH13,0)</f>
        <v>210622</v>
      </c>
      <c r="AM13" s="7" t="n">
        <f aca="false">(ROUND(((((29727+13743+1000+5000+4854+100971)/(1-'Prices&amp;Fuel'!$F13))+(25000/(1-'Prices&amp;Fuel'!$G13)))-80000),0)-57592-37849)/2+57592-AI13/2</f>
        <v>32814.5</v>
      </c>
      <c r="AN13" s="7" t="n">
        <f aca="false">ROUND(((174705/(1-'Prices&amp;Fuel'!F13))-AQ13-AJ13)/2,0)</f>
        <v>34737</v>
      </c>
      <c r="AO13" s="7" t="n">
        <f aca="false">((ROUND((75000/(1-'Prices&amp;Fuel'!G13)-AV13),0)-27628-47372-AK13)/2)+27628</f>
        <v>6184.5</v>
      </c>
      <c r="AP13" s="7" t="n">
        <f aca="false">IF(80000&gt;AF13,AF13,80000)</f>
        <v>80000</v>
      </c>
      <c r="AQ13" s="7" t="n">
        <f aca="false">+AQ12</f>
        <v>5023</v>
      </c>
      <c r="AR13" s="7" t="n">
        <f aca="false">(ROUND(((((29727+13743+1000+5000+4854+100971)/(1-'Prices&amp;Fuel'!$F13))+(25000/(1-'Prices&amp;Fuel'!$G13)))-80000),0)-57592-37849-AI13)/2+37849</f>
        <v>13071.5</v>
      </c>
      <c r="AS13" s="7" t="n">
        <f aca="false">AN13</f>
        <v>34737</v>
      </c>
      <c r="AT13" s="14" t="n">
        <f aca="false">AH13-AO13-AV13</f>
        <v>25928.2164056059</v>
      </c>
      <c r="AU13" s="14" t="n">
        <f aca="false">AL13*AX13*'Prices&amp;Fuel'!H13</f>
        <v>326464.1</v>
      </c>
      <c r="AW13" s="68" t="n">
        <f aca="false">AW12</f>
        <v>0.145</v>
      </c>
      <c r="AX13" s="68" t="n">
        <f aca="false">AX12</f>
        <v>0.05</v>
      </c>
      <c r="AY13" s="5" t="n">
        <f aca="false">('Prices&amp;Fuel'!H13*('Prices&amp;Fuel'!B13+AW13)*'Long Term Deals'!AF13)+('Prices&amp;Fuel'!H13*('Prices&amp;Fuel'!C13+'Long Term Deals'!AW13)*'Long Term Deals'!AG13)+(AH13*('Prices&amp;Fuel'!C13+AW13)*'Prices&amp;Fuel'!H13)+(AW13*AL13*'Prices&amp;Fuel'!H13)</f>
        <v>18805963.6010635</v>
      </c>
      <c r="AZ13" s="5" t="n">
        <f aca="false">(AP13*'Prices&amp;Fuel'!H13*'Prices&amp;Fuel'!B13)+(AQ13*'Prices&amp;Fuel'!C13*'Prices&amp;Fuel'!H13)+((AM13+AR13)*('Prices&amp;Fuel'!B13+'Long Term Deals'!AX13)*'Prices&amp;Fuel'!H13)+((AN13+AS13)*('Prices&amp;Fuel'!C13+'Long Term Deals'!AX13)*'Prices&amp;Fuel'!H13)+((AO13+AT13)*('Prices&amp;Fuel'!D13+'Long Term Deals'!AX13)*'Prices&amp;Fuel'!H13)+(AV13*'Prices&amp;Fuel'!H13*'Prices&amp;Fuel'!Q13)+AU13</f>
        <v>17299625.5280627</v>
      </c>
      <c r="BA13" s="5" t="n">
        <f aca="false">AY13-AZ13</f>
        <v>1506338.07300083</v>
      </c>
      <c r="BB13" s="5"/>
      <c r="BC13" s="5"/>
      <c r="BR13" s="7" t="n">
        <v>1000</v>
      </c>
      <c r="BT13" s="8" t="n">
        <f aca="false">IF('Prices&amp;Fuel'!$E13&lt;1.89,1.89,'Prices&amp;Fuel'!$E13)</f>
        <v>2.35266666666667</v>
      </c>
      <c r="BU13" s="8"/>
      <c r="BV13" s="13" t="n">
        <f aca="false">BT13</f>
        <v>2.35266666666667</v>
      </c>
      <c r="BW13" s="13"/>
      <c r="BX13" s="7" t="n">
        <f aca="false">(BR13*BT13+BS13*BU13)*'Prices&amp;Fuel'!H13</f>
        <v>72932.6666666668</v>
      </c>
      <c r="BY13" s="7" t="n">
        <f aca="false">($BR13*BV13+$BS13*BW13)*'Prices&amp;Fuel'!H13</f>
        <v>72932.6666666668</v>
      </c>
      <c r="BZ13" s="5" t="n">
        <f aca="false">BX13-BY13</f>
        <v>0</v>
      </c>
      <c r="CA13" s="5" t="n">
        <f aca="false">(AF13+AG13+AH13+AL13)*0.005*'Prices&amp;Fuel'!H13</f>
        <v>68683.0173124485</v>
      </c>
      <c r="CB13" s="5" t="n">
        <f aca="false">(B13+C13+D13+O13+P13+Q13+X13+Y13+((BB13+BC13+BD13+BE13+BF13+BG13)*(1-'Prices&amp;Fuel'!F13))+BR13+BS13)*0.005*'Prices&amp;Fuel'!H13</f>
        <v>8235.615</v>
      </c>
      <c r="CC13" s="7" t="n">
        <f aca="false">K13+T13+AB13+AY13+BL13+BX13</f>
        <v>22516260.8077302</v>
      </c>
      <c r="CD13" s="7" t="n">
        <f aca="false">L13+U13+AC13+AZ13+BP13+BY13+CA13+CB13</f>
        <v>21067887.6570418</v>
      </c>
      <c r="CE13" s="7" t="n">
        <f aca="false">CC13-CD13</f>
        <v>1448373.15068838</v>
      </c>
      <c r="CF13" s="7" t="n">
        <f aca="false">'Index Price Deals'!AR13</f>
        <v>499157.386465375</v>
      </c>
      <c r="CG13" s="7" t="n">
        <f aca="false">'Index Price Deals'!AS13</f>
        <v>883.706666666667</v>
      </c>
      <c r="CH13" s="7" t="n">
        <f aca="false">'Index Price Deals'!AT13</f>
        <v>486054.409562828</v>
      </c>
      <c r="CI13" s="7" t="n">
        <f aca="false">'Index Price Deals'!AU13</f>
        <v>13102.9769025469</v>
      </c>
      <c r="CJ13" s="7" t="n">
        <f aca="false">CC13+CF13</f>
        <v>23015418.1941955</v>
      </c>
      <c r="CK13" s="7" t="n">
        <f aca="false">CD13+CH13</f>
        <v>21553942.0666046</v>
      </c>
      <c r="CL13" s="7" t="n">
        <f aca="false">CE13+CI13</f>
        <v>1461476.12759093</v>
      </c>
      <c r="CM13" s="69"/>
      <c r="CN13" s="7" t="n">
        <f aca="false">Transport!U13</f>
        <v>1203069.3652</v>
      </c>
      <c r="CO13" s="71" t="n">
        <f aca="false">[4]Sheet1!$AL54</f>
        <v>810446.827532589</v>
      </c>
      <c r="CQ13" s="7" t="n">
        <f aca="false">((($B13+$C13+$D13+$O13+$P13+$Q13)*0.5)+BR13+BS13)*(0.005*'Prices&amp;Fuel'!$H13)+'Index Price Deals'!AV13</f>
        <v>4318.11916666667</v>
      </c>
      <c r="CR13" s="7" t="n">
        <f aca="false">((($B13+$C13+$D13+$O13+$P13+$Q13)*0.5)+X13+Y13)*(0.005*'Prices&amp;Fuel'!$H13)+CA13+'Index Price Deals'!AW13</f>
        <v>73484.2198124485</v>
      </c>
      <c r="CS13" s="7" t="n">
        <v>150529.7298992</v>
      </c>
      <c r="CT13" s="7" t="n">
        <f aca="false">[2]Sheet1!$O22</f>
        <v>709276.944499729</v>
      </c>
      <c r="CU13" s="7" t="n">
        <f aca="false">'[3]Long Term Deals'!$Z12</f>
        <v>245187.217824599</v>
      </c>
      <c r="CV13" s="70" t="n">
        <f aca="false">CL13-CN13-CT13+CU13+CS13+CO13</f>
        <v>755293.593147586</v>
      </c>
      <c r="CW13" s="14" t="n">
        <f aca="false">((B13+C13+D13+O13+P13+Q13+X13+Y13+AF13+AG13+AH13+BB13+BC13+BD13+BE13+BF13+BG13+BR13+BS13)+('Index Price Deals'!B13+'Index Price Deals'!C13+'Index Price Deals'!D13+'Index Price Deals'!L13+'Index Price Deals'!M13+'Index Price Deals'!N13+'Index Price Deals'!AD13+'Index Price Deals'!AE13+'Index Price Deals'!AF13+'Index Price Deals'!AK13+'Index Price Deals'!AL13+'Index Price Deals'!AM13))*'Prices&amp;Fuel'!H13</f>
        <v>9031185.79582303</v>
      </c>
      <c r="DA13" s="1" t="n">
        <f aca="false">(B13+C13+D13)*'Prices&amp;Fuel'!H13</f>
        <v>621023</v>
      </c>
    </row>
    <row r="14" customFormat="false" ht="12.75" hidden="true" customHeight="false" outlineLevel="0" collapsed="false">
      <c r="A14" s="6" t="n">
        <f aca="false">+A13+365/12</f>
        <v>36022.75</v>
      </c>
      <c r="B14" s="7" t="n">
        <v>7255</v>
      </c>
      <c r="C14" s="7" t="n">
        <v>9300</v>
      </c>
      <c r="D14" s="7" t="n">
        <v>3478</v>
      </c>
      <c r="E14" s="8" t="n">
        <f aca="false">IF(1.766*1.03*1.03*1.03*1.03&gt;'Prices&amp;Fuel'!B14,1.766*1.03*1.03*1.03*1.03,'Prices&amp;Fuel'!B14)</f>
        <v>1.98764855846</v>
      </c>
      <c r="F14" s="8" t="n">
        <f aca="false">IF(1.83*1.03*1.03*1.03*1.03&gt;'Prices&amp;Fuel'!C14,1.83*1.03*1.03*1.03*1.03,'Prices&amp;Fuel'!C14)</f>
        <v>2.0596811223</v>
      </c>
      <c r="G14" s="8" t="n">
        <f aca="false">IF(1.859*1.03*1.03*1.03*1.03&gt;'Prices&amp;Fuel'!D14,1.859*1.03*1.03*1.03*1.03,'Prices&amp;Fuel'!D14)</f>
        <v>2.09232087779</v>
      </c>
      <c r="H14" s="8" t="n">
        <f aca="false">E14-0.01</f>
        <v>1.97764855846</v>
      </c>
      <c r="I14" s="8" t="n">
        <f aca="false">F14-0.01</f>
        <v>2.0496811223</v>
      </c>
      <c r="J14" s="8" t="n">
        <f aca="false">G14-0.01</f>
        <v>2.08232087779</v>
      </c>
      <c r="K14" s="7" t="n">
        <f aca="false">((B14*E14)+(C14*F14)+(D14*G14))*'Prices&amp;Fuel'!H14</f>
        <v>1266428.0190011</v>
      </c>
      <c r="L14" s="7" t="n">
        <f aca="false">(($B14*H14)+($C14*I14)+($D14*J14))*'Prices&amp;Fuel'!$H14</f>
        <v>1260217.7890011</v>
      </c>
      <c r="M14" s="14" t="n">
        <f aca="false">K14-L14</f>
        <v>6210.22999999952</v>
      </c>
      <c r="O14" s="7" t="n">
        <v>9036</v>
      </c>
      <c r="P14" s="7" t="n">
        <v>10794</v>
      </c>
      <c r="Q14" s="7" t="n">
        <v>5270</v>
      </c>
      <c r="R14" s="8" t="n">
        <f aca="false">R13</f>
        <v>2.2017</v>
      </c>
      <c r="S14" s="8" t="n">
        <f aca="false">S13</f>
        <v>2.1909</v>
      </c>
      <c r="T14" s="7" t="n">
        <f aca="false">(($O14*R14)+($P14*R14)+($Q14*R14))*'Prices&amp;Fuel'!$H14</f>
        <v>1713142.77</v>
      </c>
      <c r="U14" s="7" t="n">
        <f aca="false">(($O14*S14)+($P14*S14)+($Q14*S14))*'Prices&amp;Fuel'!$H14</f>
        <v>1704739.29</v>
      </c>
      <c r="V14" s="14" t="n">
        <f aca="false">T14-U14</f>
        <v>8403.48000000045</v>
      </c>
      <c r="X14" s="7" t="n">
        <f aca="false">7000*0.5</f>
        <v>3500</v>
      </c>
      <c r="Y14" s="7" t="n">
        <f aca="false">X14</f>
        <v>3500</v>
      </c>
      <c r="Z14" s="27" t="n">
        <v>2.2</v>
      </c>
      <c r="AA14" s="27" t="n">
        <v>2.18</v>
      </c>
      <c r="AB14" s="7" t="n">
        <f aca="false">($X14+$Y14)*Z14*'Prices&amp;Fuel'!$H14</f>
        <v>477400</v>
      </c>
      <c r="AC14" s="7" t="n">
        <f aca="false">($X14+$Y14)*AA14*'Prices&amp;Fuel'!$H14</f>
        <v>473060</v>
      </c>
      <c r="AD14" s="14" t="n">
        <f aca="false">AB14-AC14</f>
        <v>4340</v>
      </c>
      <c r="AF14" s="7" t="n">
        <f aca="false">3495213/0.9704/31</f>
        <v>116187.970374704</v>
      </c>
      <c r="AG14" s="7" t="n">
        <f aca="false">2077697/0.9704/31</f>
        <v>69066.8630162487</v>
      </c>
      <c r="AH14" s="7" t="n">
        <f aca="false">909086/0.9704/31</f>
        <v>30219.8627769061</v>
      </c>
      <c r="AI14" s="7" t="n">
        <v>59909</v>
      </c>
      <c r="AJ14" s="7" t="n">
        <v>105538</v>
      </c>
      <c r="AK14" s="7" t="n">
        <v>45175</v>
      </c>
      <c r="AL14" s="11" t="n">
        <f aca="false">AL13</f>
        <v>210622</v>
      </c>
      <c r="AM14" s="7" t="n">
        <f aca="false">(ROUND(((((29727+13743+1000+5000+4854+100971)/(1-'Prices&amp;Fuel'!$F14))+(25000/(1-'Prices&amp;Fuel'!$G14)))-80000),0)-57592-37849)/2+57592-AI14/2-4849</f>
        <v>27965.5</v>
      </c>
      <c r="AN14" s="7" t="n">
        <f aca="false">ROUND(((174705/(1-'Prices&amp;Fuel'!F14))-AQ14-AJ14)/2,0)-2714.5</f>
        <v>34425.5</v>
      </c>
      <c r="AO14" s="7" t="n">
        <f aca="false">((ROUND((75000/(1-'Prices&amp;Fuel'!G14)-AV14),0)-27628-47372-AK14)/2)+27628-946.5</f>
        <v>5238</v>
      </c>
      <c r="AP14" s="7" t="n">
        <f aca="false">IF(80000&gt;AF14,AF14,80000)</f>
        <v>80000</v>
      </c>
      <c r="AQ14" s="7" t="n">
        <v>217</v>
      </c>
      <c r="AR14" s="7" t="n">
        <f aca="false">(ROUND(((((29727+13743+1000+5000+4854+100971)/(1-'Prices&amp;Fuel'!$F14))+(25000/(1-'Prices&amp;Fuel'!$G14)))-80000),0)-57592-37849-AI14)/2+37849-4849</f>
        <v>8222.5</v>
      </c>
      <c r="AS14" s="7" t="n">
        <f aca="false">AN14</f>
        <v>34425.5</v>
      </c>
      <c r="AT14" s="14" t="n">
        <f aca="false">AH14-AO14-AV14</f>
        <v>24981.8627769061</v>
      </c>
      <c r="AU14" s="14" t="n">
        <f aca="false">AL14*AX14*'Prices&amp;Fuel'!H14</f>
        <v>326464.1</v>
      </c>
      <c r="AW14" s="68" t="n">
        <f aca="false">AW13</f>
        <v>0.145</v>
      </c>
      <c r="AX14" s="68" t="n">
        <f aca="false">AX13</f>
        <v>0.05</v>
      </c>
      <c r="AY14" s="5" t="n">
        <f aca="false">('Prices&amp;Fuel'!H14*('Prices&amp;Fuel'!B14)*'Long Term Deals'!AF14)+('Prices&amp;Fuel'!H14*('Prices&amp;Fuel'!C14)*(AG14+AH14))+(DE14/(1-'Prices&amp;Fuel'!F14))*'Prices&amp;Fuel'!H14*AW14</f>
        <v>14600751.793075</v>
      </c>
      <c r="AZ14" s="5" t="n">
        <f aca="false">(AP14*'Prices&amp;Fuel'!H14*'Prices&amp;Fuel'!B14)+(AQ14*'Prices&amp;Fuel'!C14*'Prices&amp;Fuel'!H14)+((AM14+AR14)*('Prices&amp;Fuel'!B14+'Long Term Deals'!AX14)*'Prices&amp;Fuel'!H14)+((AN14+AS14)*('Prices&amp;Fuel'!C14+'Long Term Deals'!AX14)*'Prices&amp;Fuel'!H14)+((AO14+AT14)*('Prices&amp;Fuel'!D14+'Long Term Deals'!AX14)*'Prices&amp;Fuel'!H14)+(AV14*'Prices&amp;Fuel'!H14*'Prices&amp;Fuel'!Q14)+AU14</f>
        <v>13088920.0650206</v>
      </c>
      <c r="BA14" s="5" t="n">
        <f aca="false">AY14-AZ14</f>
        <v>1511831.72805441</v>
      </c>
      <c r="BB14" s="5"/>
      <c r="BC14" s="5"/>
      <c r="BR14" s="7" t="n">
        <v>1000</v>
      </c>
      <c r="BT14" s="8" t="n">
        <f aca="false">IF('Prices&amp;Fuel'!$E14&lt;1.89,1.89,'Prices&amp;Fuel'!$E14)</f>
        <v>1.953</v>
      </c>
      <c r="BU14" s="8"/>
      <c r="BV14" s="13" t="n">
        <f aca="false">BT14</f>
        <v>1.953</v>
      </c>
      <c r="BW14" s="13"/>
      <c r="BX14" s="7" t="n">
        <f aca="false">(BR14*BT14+BS14*BU14)*'Prices&amp;Fuel'!H14</f>
        <v>60543</v>
      </c>
      <c r="BY14" s="7" t="n">
        <f aca="false">($BR14*BV14+$BS14*BW14)*'Prices&amp;Fuel'!H14</f>
        <v>60543</v>
      </c>
      <c r="BZ14" s="5" t="n">
        <f aca="false">BX14-BY14</f>
        <v>0</v>
      </c>
      <c r="CA14" s="5" t="n">
        <f aca="false">(AF14+AG14+AH14+AL14)*0.005*'Prices&amp;Fuel'!H14</f>
        <v>66044.9879060181</v>
      </c>
      <c r="CB14" s="5" t="n">
        <f aca="false">(B14+C14+D14+O14+P14+Q14+X14+Y14+((BB14+BC14+BD14+BE14+BF14+BG14)*(1-'Prices&amp;Fuel'!F14))+BR14+BS14)*0.005*'Prices&amp;Fuel'!H14</f>
        <v>8235.615</v>
      </c>
      <c r="CC14" s="7" t="n">
        <f aca="false">K14+T14+AB14+AY14+BL14+BX14</f>
        <v>18118265.5820761</v>
      </c>
      <c r="CD14" s="7" t="n">
        <f aca="false">L14+U14+AC14+AZ14+BP14+BY14+CA14+CB14</f>
        <v>16661760.7469277</v>
      </c>
      <c r="CE14" s="7" t="n">
        <f aca="false">CC14-CD14</f>
        <v>1456504.83514839</v>
      </c>
      <c r="CF14" s="7" t="n">
        <f aca="false">'Index Price Deals'!AR14</f>
        <v>502487.007199918</v>
      </c>
      <c r="CG14" s="7" t="n">
        <f aca="false">'Index Price Deals'!AS14</f>
        <v>1035.54333333333</v>
      </c>
      <c r="CH14" s="7" t="n">
        <f aca="false">'Index Price Deals'!AT14</f>
        <v>488395.604007185</v>
      </c>
      <c r="CI14" s="7" t="n">
        <f aca="false">'Index Price Deals'!AU14</f>
        <v>14091.4031927325</v>
      </c>
      <c r="CJ14" s="7" t="n">
        <f aca="false">CC14+CF14</f>
        <v>18620752.589276</v>
      </c>
      <c r="CK14" s="7" t="n">
        <f aca="false">CD14+CH14</f>
        <v>17150156.3509349</v>
      </c>
      <c r="CL14" s="7" t="n">
        <f aca="false">CE14+CI14</f>
        <v>1470596.23834112</v>
      </c>
      <c r="CM14" s="69"/>
      <c r="CN14" s="7" t="n">
        <f aca="false">Transport!U14</f>
        <v>1203069.3652</v>
      </c>
      <c r="CO14" s="71" t="n">
        <f aca="false">[4]Sheet1!$AL55</f>
        <v>764635.60641452</v>
      </c>
      <c r="CQ14" s="7" t="n">
        <f aca="false">((($B14+$C14+$D14+$O14+$P14+$Q14)*0.5)+BR14+BS14)*(0.005*'Prices&amp;Fuel'!$H14)+'Index Price Deals'!AV14</f>
        <v>4536.56583333333</v>
      </c>
      <c r="CR14" s="7" t="n">
        <f aca="false">((($B14+$C14+$D14+$O14+$P14+$Q14)*0.5)+X14+Y14)*(0.005*'Prices&amp;Fuel'!$H14)+CA14+'Index Price Deals'!AW14</f>
        <v>70779.5804060181</v>
      </c>
      <c r="CS14" s="14" t="n">
        <f aca="false">CS13-12200</f>
        <v>138329.7298992</v>
      </c>
      <c r="CT14" s="7" t="n">
        <f aca="false">[2]Sheet1!$O23</f>
        <v>709276.944499729</v>
      </c>
      <c r="CU14" s="7" t="n">
        <f aca="false">'[3]Long Term Deals'!$Z13</f>
        <v>252636.517824595</v>
      </c>
      <c r="CV14" s="70" t="n">
        <f aca="false">CL14-CN14-CT14+CU14+CS14+CO14</f>
        <v>713851.78277971</v>
      </c>
      <c r="CW14" s="14" t="n">
        <f aca="false">((B14+C14+D14+O14+P14+Q14+X14+Y14+AF14+AG14+AH14+BB14+BC14+BD14+BE14+BF14+BG14+BR14+BS14)+('Index Price Deals'!B14+'Index Price Deals'!C14+'Index Price Deals'!D14+'Index Price Deals'!L14+'Index Price Deals'!M14+'Index Price Deals'!N14+'Index Price Deals'!AD14+'Index Price Deals'!AE14+'Index Price Deals'!AF14+'Index Price Deals'!AK14+'Index Price Deals'!AL14+'Index Price Deals'!AM14))*'Prices&amp;Fuel'!H14</f>
        <v>8533947.24787029</v>
      </c>
      <c r="DA14" s="1" t="n">
        <f aca="false">(B14+C14+D14)*'Prices&amp;Fuel'!H14</f>
        <v>621023</v>
      </c>
      <c r="DE14" s="1" t="n">
        <v>430000</v>
      </c>
    </row>
    <row r="15" customFormat="false" ht="12.75" hidden="true" customHeight="false" outlineLevel="0" collapsed="false">
      <c r="A15" s="6" t="n">
        <f aca="false">+A14+365/12</f>
        <v>36053.1666666667</v>
      </c>
      <c r="B15" s="7" t="n">
        <v>7255</v>
      </c>
      <c r="C15" s="7" t="n">
        <v>9300</v>
      </c>
      <c r="D15" s="7" t="n">
        <v>3478</v>
      </c>
      <c r="E15" s="8" t="n">
        <f aca="false">IF(1.766*1.03*1.03*1.03*1.03&gt;'Prices&amp;Fuel'!B15,1.766*1.03*1.03*1.03*1.03,'Prices&amp;Fuel'!B15)</f>
        <v>1.98764855846</v>
      </c>
      <c r="F15" s="8" t="n">
        <f aca="false">IF(1.83*1.03*1.03*1.03*1.03&gt;'Prices&amp;Fuel'!C15,1.83*1.03*1.03*1.03*1.03,'Prices&amp;Fuel'!C15)</f>
        <v>2.0596811223</v>
      </c>
      <c r="G15" s="8" t="n">
        <f aca="false">IF(1.859*1.03*1.03*1.03*1.03&gt;'Prices&amp;Fuel'!D15,1.859*1.03*1.03*1.03*1.03,'Prices&amp;Fuel'!D15)</f>
        <v>2.09232087779</v>
      </c>
      <c r="H15" s="8" t="n">
        <f aca="false">E15-0.01</f>
        <v>1.97764855846</v>
      </c>
      <c r="I15" s="8" t="n">
        <f aca="false">F15-0.01</f>
        <v>2.0496811223</v>
      </c>
      <c r="J15" s="8" t="n">
        <f aca="false">G15-0.01</f>
        <v>2.08232087779</v>
      </c>
      <c r="K15" s="7" t="n">
        <f aca="false">((B15*E15)+(C15*F15)+(D15*G15))*'Prices&amp;Fuel'!H15</f>
        <v>1225575.50225913</v>
      </c>
      <c r="L15" s="7" t="n">
        <f aca="false">(($B15*H15)+($C15*I15)+($D15*J15))*'Prices&amp;Fuel'!$H15</f>
        <v>1219565.60225913</v>
      </c>
      <c r="M15" s="14" t="n">
        <f aca="false">K15-L15</f>
        <v>6009.89999999967</v>
      </c>
      <c r="O15" s="7" t="n">
        <v>9036</v>
      </c>
      <c r="P15" s="7" t="n">
        <v>10794</v>
      </c>
      <c r="Q15" s="7" t="n">
        <v>5270</v>
      </c>
      <c r="R15" s="8" t="n">
        <f aca="false">R14</f>
        <v>2.2017</v>
      </c>
      <c r="S15" s="8" t="n">
        <f aca="false">S14</f>
        <v>2.1909</v>
      </c>
      <c r="T15" s="7" t="n">
        <f aca="false">(($O15*R15)+($P15*R15)+($Q15*R15))*'Prices&amp;Fuel'!$H15</f>
        <v>1657880.1</v>
      </c>
      <c r="U15" s="7" t="n">
        <f aca="false">(($O15*S15)+($P15*S15)+($Q15*S15))*'Prices&amp;Fuel'!$H15</f>
        <v>1649747.7</v>
      </c>
      <c r="V15" s="14" t="n">
        <f aca="false">T15-U15</f>
        <v>8132.40000000014</v>
      </c>
      <c r="X15" s="7" t="n">
        <f aca="false">7000*0.5</f>
        <v>3500</v>
      </c>
      <c r="Y15" s="7" t="n">
        <f aca="false">X15</f>
        <v>3500</v>
      </c>
      <c r="Z15" s="27" t="n">
        <v>2.2</v>
      </c>
      <c r="AA15" s="27" t="n">
        <v>2.18</v>
      </c>
      <c r="AB15" s="7" t="n">
        <f aca="false">($X15+$Y15)*Z15*'Prices&amp;Fuel'!$H15</f>
        <v>462000</v>
      </c>
      <c r="AC15" s="7" t="n">
        <f aca="false">($X15+$Y15)*AA15*'Prices&amp;Fuel'!$H15</f>
        <v>457800</v>
      </c>
      <c r="AD15" s="14" t="n">
        <f aca="false">AB15-AC15</f>
        <v>4200</v>
      </c>
      <c r="AF15" s="7" t="n">
        <f aca="false">(155295/(1-'Prices&amp;Fuel'!F15))+(25000/(1-'Prices&amp;Fuel'!G15))-AI15</f>
        <v>125885.51772465</v>
      </c>
      <c r="AG15" s="7" t="n">
        <f aca="false">(174705/(1-'Prices&amp;Fuel'!F15))-AJ15</f>
        <v>74496.0065952185</v>
      </c>
      <c r="AH15" s="7" t="n">
        <f aca="false">(75000/(1-'Prices&amp;Fuel'!G15))-AK15</f>
        <v>32112.7164056059</v>
      </c>
      <c r="AI15" s="7" t="n">
        <v>59909</v>
      </c>
      <c r="AJ15" s="7" t="n">
        <v>105538</v>
      </c>
      <c r="AK15" s="7" t="n">
        <v>45175</v>
      </c>
      <c r="AL15" s="11" t="n">
        <f aca="false">ROUND((430000/(1-'Prices&amp;Fuel'!F15))-AF15-AG15-AH15,0)</f>
        <v>210622</v>
      </c>
      <c r="AM15" s="7" t="n">
        <f aca="false">(ROUND(((((29727+13743+1000+5000+4854+100971)/(1-'Prices&amp;Fuel'!$F15))+(25000/(1-'Prices&amp;Fuel'!$G15)))-80000),0)-57592-37849)/2+57592-AI15/2</f>
        <v>32814.5</v>
      </c>
      <c r="AN15" s="7" t="n">
        <f aca="false">ROUND(((174705/(1-'Prices&amp;Fuel'!F15))-AQ15-AJ15)/2,0)</f>
        <v>37140</v>
      </c>
      <c r="AO15" s="7" t="n">
        <f aca="false">((ROUND((75000/(1-'Prices&amp;Fuel'!G15)-AV15),0)-27628-47372-AK15)/2)+27628</f>
        <v>6184.5</v>
      </c>
      <c r="AP15" s="7" t="n">
        <f aca="false">IF(80000&gt;AF15,AF15,80000)</f>
        <v>80000</v>
      </c>
      <c r="AQ15" s="7" t="n">
        <f aca="false">+AQ14</f>
        <v>217</v>
      </c>
      <c r="AR15" s="7" t="n">
        <f aca="false">(ROUND(((((29727+13743+1000+5000+4854+100971)/(1-'Prices&amp;Fuel'!$F15))+(25000/(1-'Prices&amp;Fuel'!$G15)))-80000),0)-57592-37849-AI15)/2+37849</f>
        <v>13071.5</v>
      </c>
      <c r="AS15" s="7" t="n">
        <f aca="false">AN15</f>
        <v>37140</v>
      </c>
      <c r="AT15" s="14" t="n">
        <f aca="false">AH15-AO15-AV15</f>
        <v>25928.2164056059</v>
      </c>
      <c r="AU15" s="14" t="n">
        <f aca="false">AL15*AX15*'Prices&amp;Fuel'!H15</f>
        <v>315933</v>
      </c>
      <c r="AW15" s="68" t="n">
        <f aca="false">AW14</f>
        <v>0.145</v>
      </c>
      <c r="AX15" s="68" t="n">
        <f aca="false">AX14</f>
        <v>0.05</v>
      </c>
      <c r="AY15" s="5" t="n">
        <f aca="false">('Prices&amp;Fuel'!H15*('Prices&amp;Fuel'!B15)*'Long Term Deals'!AF15)+('Prices&amp;Fuel'!H15*('Prices&amp;Fuel'!C15)*(AG15+AH15))+(430000/0.9704)*31*AW15</f>
        <v>13070216.7078318</v>
      </c>
      <c r="AZ15" s="5" t="n">
        <f aca="false">(AP15*'Prices&amp;Fuel'!H15*'Prices&amp;Fuel'!B15)+(AQ15*'Prices&amp;Fuel'!C15*'Prices&amp;Fuel'!H15)+((AM15+AR15)*('Prices&amp;Fuel'!B15+'Long Term Deals'!AX15)*'Prices&amp;Fuel'!H15)+((AN15+AS15)*('Prices&amp;Fuel'!C15+'Long Term Deals'!AX15)*'Prices&amp;Fuel'!H15)+((AO15+AT15)*('Prices&amp;Fuel'!D15+'Long Term Deals'!AX15)*'Prices&amp;Fuel'!H15)+(AV15*'Prices&amp;Fuel'!H15*'Prices&amp;Fuel'!Q15)+AU15</f>
        <v>11584295.7173125</v>
      </c>
      <c r="BA15" s="5" t="n">
        <f aca="false">AY15-AZ15</f>
        <v>1485920.99051937</v>
      </c>
      <c r="BB15" s="9"/>
      <c r="BC15" s="9"/>
      <c r="BD15" s="9"/>
      <c r="BR15" s="7" t="n">
        <v>1000</v>
      </c>
      <c r="BT15" s="8" t="n">
        <f aca="false">IF('Prices&amp;Fuel'!$E15&lt;1.89,1.89,'Prices&amp;Fuel'!$E15)</f>
        <v>1.89</v>
      </c>
      <c r="BU15" s="8"/>
      <c r="BV15" s="13" t="n">
        <f aca="false">BT15</f>
        <v>1.89</v>
      </c>
      <c r="BW15" s="13"/>
      <c r="BX15" s="7" t="n">
        <f aca="false">(BR15*BT15+BS15*BU15)*'Prices&amp;Fuel'!H15</f>
        <v>56700</v>
      </c>
      <c r="BY15" s="7" t="n">
        <f aca="false">($BR15*BV15+$BS15*BW15)*'Prices&amp;Fuel'!H15</f>
        <v>56700</v>
      </c>
      <c r="BZ15" s="5" t="n">
        <f aca="false">BX15-BY15</f>
        <v>0</v>
      </c>
      <c r="CA15" s="5" t="n">
        <f aca="false">(AF15+AG15+AH15+AL15)*0.005*'Prices&amp;Fuel'!H15</f>
        <v>66467.4361088211</v>
      </c>
      <c r="CB15" s="5" t="n">
        <f aca="false">(B15+C15+D15+O15+P15+Q15+X15+Y15+((BB15+BC15+BD15+BE15+BF15+BG15)*(1-'Prices&amp;Fuel'!F15))+BR15+BS15)*0.005*'Prices&amp;Fuel'!H15</f>
        <v>7969.95</v>
      </c>
      <c r="CC15" s="7" t="n">
        <f aca="false">K15+T15+AB15+AY15+BL15+BX15</f>
        <v>16472372.310091</v>
      </c>
      <c r="CD15" s="7" t="n">
        <f aca="false">L15+U15+AC15+AZ15+BP15+BY15+CA15+CB15</f>
        <v>15042546.4056804</v>
      </c>
      <c r="CE15" s="7" t="n">
        <f aca="false">CC15-CD15</f>
        <v>1429825.90441055</v>
      </c>
      <c r="CF15" s="7" t="n">
        <f aca="false">'Index Price Deals'!AR15</f>
        <v>414955.405812861</v>
      </c>
      <c r="CG15" s="7" t="n">
        <f aca="false">'Index Price Deals'!AS15</f>
        <v>1000.1</v>
      </c>
      <c r="CH15" s="7" t="n">
        <f aca="false">'Index Price Deals'!AT15</f>
        <v>400870.253365885</v>
      </c>
      <c r="CI15" s="7" t="n">
        <f aca="false">'Index Price Deals'!AU15</f>
        <v>14085.152446976</v>
      </c>
      <c r="CJ15" s="7" t="n">
        <f aca="false">CC15+CF15</f>
        <v>16887327.7159038</v>
      </c>
      <c r="CK15" s="7" t="n">
        <f aca="false">CD15+CH15</f>
        <v>15443416.6590463</v>
      </c>
      <c r="CL15" s="7" t="n">
        <f aca="false">CE15+CI15</f>
        <v>1443911.05685753</v>
      </c>
      <c r="CM15" s="69"/>
      <c r="CN15" s="7" t="n">
        <f aca="false">Transport!U15</f>
        <v>1164260.676</v>
      </c>
      <c r="CO15" s="71" t="n">
        <f aca="false">[4]Sheet1!$AL56</f>
        <v>739969.941691471</v>
      </c>
      <c r="CQ15" s="7" t="n">
        <f aca="false">((($B15+$C15+$D15+$O15+$P15+$Q15)*0.5)+BR15+BS15)*(0.005*'Prices&amp;Fuel'!$H15)+'Index Price Deals'!AV15</f>
        <v>4323.875</v>
      </c>
      <c r="CR15" s="7" t="n">
        <f aca="false">((($B15+$C15+$D15+$O15+$P15+$Q15)*0.5)+X15+Y15)*(0.005*'Prices&amp;Fuel'!$H15)+CA15+'Index Price Deals'!AW15</f>
        <v>71113.6111088211</v>
      </c>
      <c r="CS15" s="11" t="n">
        <f aca="false">'Short Term Firm For Budget'!E15</f>
        <v>72549</v>
      </c>
      <c r="CT15" s="7" t="n">
        <f aca="false">[2]Sheet1!$O24</f>
        <v>686397.043064254</v>
      </c>
      <c r="CU15" s="7" t="n">
        <f aca="false">'[3]Long Term Deals'!$Z14</f>
        <v>244486.952733479</v>
      </c>
      <c r="CV15" s="70" t="n">
        <f aca="false">CL15-CN15-CT15+CU15+CS15+CO15</f>
        <v>650259.232218222</v>
      </c>
      <c r="CW15" s="14" t="n">
        <f aca="false">((B15+C15+D15+O15+P15+Q15+X15+Y15+AF15+AG15+AH15+BB15+BC15+BD15+BE15+BF15+BG15+BR15+BS15)+('Index Price Deals'!B15+'Index Price Deals'!C15+'Index Price Deals'!D15+'Index Price Deals'!L15+'Index Price Deals'!M15+'Index Price Deals'!N15+'Index Price Deals'!AD15+'Index Price Deals'!AE15+'Index Price Deals'!AF15+'Index Price Deals'!AK15+'Index Price Deals'!AL15+'Index Price Deals'!AM15))*'Prices&amp;Fuel'!H15</f>
        <v>8768837.22176422</v>
      </c>
      <c r="DA15" s="1" t="n">
        <f aca="false">(B15+C15+D15)*'Prices&amp;Fuel'!H15</f>
        <v>600990</v>
      </c>
      <c r="DE15" s="1" t="n">
        <v>430000</v>
      </c>
    </row>
    <row r="16" customFormat="false" ht="12.75" hidden="true" customHeight="false" outlineLevel="0" collapsed="false">
      <c r="A16" s="6" t="n">
        <f aca="false">+A15+365/12</f>
        <v>36083.5833333333</v>
      </c>
      <c r="B16" s="7" t="n">
        <v>8393</v>
      </c>
      <c r="C16" s="7" t="n">
        <v>8988</v>
      </c>
      <c r="E16" s="8" t="n">
        <f aca="false">IF(1.99*1.03*1.03*1.03*1.03&gt;'Prices&amp;Fuel'!B16+0.01,1.99*1.03*1.03*1.03*1.03,'Prices&amp;Fuel'!B16+0.01)</f>
        <v>2.2397625319</v>
      </c>
      <c r="F16" s="8" t="n">
        <f aca="false">IF(2.035*1.03*1.03*1.03*1.03&gt;'Prices&amp;Fuel'!C16+0.01,2.035*1.03*1.03*1.03*1.03,'Prices&amp;Fuel'!C16+0.01)</f>
        <v>2.29041042835</v>
      </c>
      <c r="G16" s="8" t="n">
        <f aca="false">IF(2.049*1.03*1.03*1.03*1.03&gt;'Prices&amp;Fuel'!D16+0.01,2.049*1.03*1.03*1.03*1.03,'Prices&amp;Fuel'!D16+0.01)</f>
        <v>2.30616755169</v>
      </c>
      <c r="H16" s="8" t="n">
        <f aca="false">E16-0.01</f>
        <v>2.2297625319</v>
      </c>
      <c r="I16" s="8" t="n">
        <f aca="false">F16-0.01</f>
        <v>2.28041042835</v>
      </c>
      <c r="J16" s="8" t="n">
        <f aca="false">G16-0.01</f>
        <v>2.29616755169</v>
      </c>
      <c r="K16" s="7" t="n">
        <f aca="false">((B16*E16)+(C16*F16)+(D16*G16))*'Prices&amp;Fuel'!H16</f>
        <v>1220920.61166764</v>
      </c>
      <c r="L16" s="7" t="n">
        <f aca="false">(($B16*H16)+($C16*I16)+($D16*J16))*'Prices&amp;Fuel'!$H16</f>
        <v>1215532.50166764</v>
      </c>
      <c r="M16" s="14" t="n">
        <f aca="false">K16-L16</f>
        <v>5388.10999999987</v>
      </c>
      <c r="O16" s="7" t="n">
        <f aca="false">9036*24/31</f>
        <v>6995.61290322581</v>
      </c>
      <c r="P16" s="7" t="n">
        <f aca="false">10794*24/31</f>
        <v>8356.64516129032</v>
      </c>
      <c r="Q16" s="7" t="n">
        <f aca="false">5270*24/31</f>
        <v>4080</v>
      </c>
      <c r="R16" s="8" t="n">
        <f aca="false">R15</f>
        <v>2.2017</v>
      </c>
      <c r="S16" s="8" t="n">
        <f aca="false">S15</f>
        <v>2.1909</v>
      </c>
      <c r="T16" s="7" t="n">
        <f aca="false">(($O16*R16)+($P16*R16)+($Q16*R16))*'Prices&amp;Fuel'!$H16</f>
        <v>1326304.08</v>
      </c>
      <c r="U16" s="7" t="n">
        <f aca="false">(($O16*S16)+($P16*S16)+($Q16*S16))*'Prices&amp;Fuel'!$H16</f>
        <v>1319798.16</v>
      </c>
      <c r="V16" s="14" t="n">
        <f aca="false">T16-U16</f>
        <v>6505.92000000039</v>
      </c>
      <c r="X16" s="7" t="n">
        <f aca="false">7000*0.5</f>
        <v>3500</v>
      </c>
      <c r="Y16" s="7" t="n">
        <f aca="false">X16</f>
        <v>3500</v>
      </c>
      <c r="Z16" s="27" t="n">
        <v>2.2</v>
      </c>
      <c r="AA16" s="27" t="n">
        <v>2.18</v>
      </c>
      <c r="AB16" s="7" t="n">
        <f aca="false">($X16+$Y16)*Z16*'Prices&amp;Fuel'!$H16</f>
        <v>477400</v>
      </c>
      <c r="AC16" s="7" t="n">
        <f aca="false">($X16+$Y16)*AA16*'Prices&amp;Fuel'!$H16</f>
        <v>473060</v>
      </c>
      <c r="AD16" s="14" t="n">
        <f aca="false">AB16-AC16</f>
        <v>4340</v>
      </c>
      <c r="AF16" s="7" t="n">
        <f aca="false">(100971/(1-'Prices&amp;Fuel'!F16))+(25000/(1-'Prices&amp;Fuel'!G16))-AI16</f>
        <v>107773.149444216</v>
      </c>
      <c r="AG16" s="7" t="n">
        <f aca="false">(99029/(1-'Prices&amp;Fuel'!F16))-AJ16</f>
        <v>15763.6311239193</v>
      </c>
      <c r="AH16" s="7" t="n">
        <f aca="false">(75000/(1-'Prices&amp;Fuel'!G16))-AK16</f>
        <v>12321.2601893783</v>
      </c>
      <c r="AI16" s="7" t="n">
        <v>21880</v>
      </c>
      <c r="AJ16" s="7" t="n">
        <f aca="false">102050-15890</f>
        <v>86160</v>
      </c>
      <c r="AK16" s="7" t="n">
        <f aca="false">77288-12035-382</f>
        <v>64871</v>
      </c>
      <c r="AL16" s="11" t="n">
        <f aca="false">ROUND((300000/(1-'Prices&amp;Fuel'!F16))-AF16-AG16-AH16,0)</f>
        <v>172911</v>
      </c>
      <c r="AM16" s="7" t="n">
        <f aca="false">(ROUND(((((100971)/(1-'Prices&amp;Fuel'!$F16))+(25000/(1-'Prices&amp;Fuel'!$G16)))-80000-AI16),0))/2</f>
        <v>13886.5</v>
      </c>
      <c r="AN16" s="7" t="n">
        <f aca="false">ROUND(((99029/(1-'Prices&amp;Fuel'!F16))-AQ16-AJ16)/2,0)</f>
        <v>7773</v>
      </c>
      <c r="AO16" s="7" t="n">
        <f aca="false">ROUND((75000/(1-'Prices&amp;Fuel'!G16)-AV16-AK16)/2,0)</f>
        <v>259</v>
      </c>
      <c r="AP16" s="7" t="n">
        <f aca="false">IF(80000&gt;AF16,AF16,80000)</f>
        <v>80000</v>
      </c>
      <c r="AQ16" s="7" t="n">
        <f aca="false">+AQ15</f>
        <v>217</v>
      </c>
      <c r="AR16" s="14" t="n">
        <f aca="false">AM16</f>
        <v>13886.5</v>
      </c>
      <c r="AS16" s="14" t="n">
        <f aca="false">AN16</f>
        <v>7773</v>
      </c>
      <c r="AT16" s="14" t="n">
        <f aca="false">AH16-AO16-AV16</f>
        <v>258.905350668665</v>
      </c>
      <c r="AU16" s="14" t="n">
        <f aca="false">AL16*AX16*'Prices&amp;Fuel'!H16</f>
        <v>268012.05</v>
      </c>
      <c r="AV16" s="7" t="n">
        <f aca="false">(279400+86504)/31</f>
        <v>11803.3548387097</v>
      </c>
      <c r="AW16" s="68" t="n">
        <f aca="false">AW15</f>
        <v>0.145</v>
      </c>
      <c r="AX16" s="68" t="n">
        <f aca="false">AX15</f>
        <v>0.05</v>
      </c>
      <c r="AY16" s="5" t="n">
        <f aca="false">('Prices&amp;Fuel'!H16*('Prices&amp;Fuel'!B16+AW16)*'Long Term Deals'!AF16)+('Prices&amp;Fuel'!H16*('Prices&amp;Fuel'!C16+'Long Term Deals'!AW16)*'Long Term Deals'!AG16)+(AH16*('Prices&amp;Fuel'!C16+AW16)*'Prices&amp;Fuel'!H16)+(AW16*AL16*'Prices&amp;Fuel'!H16)</f>
        <v>9770414.9614368</v>
      </c>
      <c r="AZ16" s="5" t="n">
        <f aca="false">(AP16*'Prices&amp;Fuel'!H16*'Prices&amp;Fuel'!B16)+(AQ16*'Prices&amp;Fuel'!C16*'Prices&amp;Fuel'!H16)+((AM16+AR16)*('Prices&amp;Fuel'!B16+'Long Term Deals'!AX16)*'Prices&amp;Fuel'!H16)+((AN16+AS16)*('Prices&amp;Fuel'!C16+'Long Term Deals'!AX16)*'Prices&amp;Fuel'!H16)+((AO16+AT16)*('Prices&amp;Fuel'!D16+'Long Term Deals'!AX16)*'Prices&amp;Fuel'!H16)+(AV16*'Prices&amp;Fuel'!H16*'Prices&amp;Fuel'!Q16)+AU16</f>
        <v>8704670.89305887</v>
      </c>
      <c r="BA16" s="5" t="n">
        <f aca="false">AY16-AZ16</f>
        <v>1065744.06837793</v>
      </c>
      <c r="BB16" s="5"/>
      <c r="BC16" s="9"/>
      <c r="BD16" s="9"/>
      <c r="BE16" s="9"/>
      <c r="BF16" s="9"/>
      <c r="BG16" s="9"/>
      <c r="BH16" s="10"/>
      <c r="BI16" s="9"/>
      <c r="BJ16" s="9"/>
      <c r="BK16" s="10"/>
      <c r="BL16" s="9"/>
      <c r="BM16" s="9"/>
      <c r="BN16" s="9"/>
      <c r="BO16" s="9"/>
      <c r="BP16" s="9"/>
      <c r="BQ16" s="5"/>
      <c r="BR16" s="7" t="n">
        <v>1000</v>
      </c>
      <c r="BT16" s="8" t="n">
        <v>2.07</v>
      </c>
      <c r="BU16" s="8"/>
      <c r="BV16" s="13" t="n">
        <f aca="false">BT16</f>
        <v>2.07</v>
      </c>
      <c r="BW16" s="13"/>
      <c r="BX16" s="7" t="n">
        <f aca="false">(BR16*BT16+BS16*BU16)*'Prices&amp;Fuel'!H16</f>
        <v>64170</v>
      </c>
      <c r="BY16" s="7" t="n">
        <f aca="false">($BR16*BV16+$BS16*BW16)*'Prices&amp;Fuel'!H16</f>
        <v>64170</v>
      </c>
      <c r="BZ16" s="5" t="n">
        <f aca="false">BX16-BY16</f>
        <v>0</v>
      </c>
      <c r="CA16" s="5" t="n">
        <f aca="false">(AF16+AG16+AH16+AL16)*0.005*'Prices&amp;Fuel'!H16</f>
        <v>47859.2013174146</v>
      </c>
      <c r="CB16" s="5" t="n">
        <f aca="false">(B16+C16+D16+O16+P16+Q16+X16+Y16+((BB16+BC16+BD16+BE16+BF16+BG16)*(1-'Prices&amp;Fuel'!F16))+BR16+BS16)*0.005*'Prices&amp;Fuel'!H16</f>
        <v>6946.055</v>
      </c>
      <c r="CC16" s="7" t="n">
        <f aca="false">K16+T16+AB16+AY16+BL16+BX16</f>
        <v>12859209.6531044</v>
      </c>
      <c r="CD16" s="7" t="n">
        <f aca="false">L16+U16+AC16+AZ16+BP16+BY16+CA16+CB16</f>
        <v>11832036.8110439</v>
      </c>
      <c r="CE16" s="7" t="n">
        <f aca="false">CC16-CD16</f>
        <v>1027172.84206052</v>
      </c>
      <c r="CF16" s="7" t="n">
        <f aca="false">'Index Price Deals'!AR16</f>
        <v>440946.995364649</v>
      </c>
      <c r="CG16" s="7" t="n">
        <f aca="false">'Index Price Deals'!AS16</f>
        <v>884.021666666667</v>
      </c>
      <c r="CH16" s="7" t="n">
        <f aca="false">'Index Price Deals'!AT16</f>
        <v>428994.573998269</v>
      </c>
      <c r="CI16" s="7" t="n">
        <f aca="false">'Index Price Deals'!AU16</f>
        <v>11952.4213663806</v>
      </c>
      <c r="CJ16" s="7" t="n">
        <f aca="false">CC16+CF16</f>
        <v>13300156.6484691</v>
      </c>
      <c r="CK16" s="7" t="n">
        <f aca="false">CD16+CH16</f>
        <v>12261031.3850422</v>
      </c>
      <c r="CL16" s="7" t="n">
        <f aca="false">CE16+CI16</f>
        <v>1039125.2634269</v>
      </c>
      <c r="CM16" s="69"/>
      <c r="CN16" s="7" t="n">
        <f aca="false">Transport!U16</f>
        <v>1235911.0132</v>
      </c>
      <c r="CO16" s="71" t="n">
        <f aca="false">[4]Sheet1!$AL57</f>
        <v>764635.60641452</v>
      </c>
      <c r="CQ16" s="7" t="n">
        <f aca="false">(((($B16+$C16+$D16+$O16+$P16+$Q16)*0.5)+BR16+BS16)*(0.005*'Prices&amp;Fuel'!$H16)+'Index Price Deals'!AV16)+(((BB16+BC16+BD16+BE16+BF16+BG16)*(1-'Prices&amp;Fuel'!F16))*0.005*0.5*'Prices&amp;Fuel'!H16)</f>
        <v>3737.66416666667</v>
      </c>
      <c r="CR16" s="7" t="n">
        <f aca="false">(((($B16+$C16+$D16+$O16+$P16+$Q16)*0.5)+X16+Y16)*(0.005*'Prices&amp;Fuel'!$H16)+CA16+'Index Price Deals'!AW16)+(((BB16+BC16+BD16+BE16+BF16+BG16)*(1-'Prices&amp;Fuel'!F16))*0.005*0.5*'Prices&amp;Fuel'!H16)</f>
        <v>51951.6138174146</v>
      </c>
      <c r="CS16" s="11" t="n">
        <f aca="false">'Short Term Firm For Budget'!E16</f>
        <v>33388.24</v>
      </c>
      <c r="CT16" s="7" t="n">
        <f aca="false">[2]Sheet1!$O25</f>
        <v>494844.379883532</v>
      </c>
      <c r="CU16" s="7" t="n">
        <f aca="false">'[3]Long Term Deals'!$Z15</f>
        <v>138667.976389252</v>
      </c>
      <c r="CV16" s="70" t="n">
        <f aca="false">CL16-CN16-CT16+CU16+CS16+CO16</f>
        <v>245061.69314714</v>
      </c>
      <c r="CW16" s="14" t="n">
        <f aca="false">((B16+C16+D16+O16+P16+Q16+X16+Y16+AF16+AG16+AH16+BB16+BC16+BD16+BE16+BF16+BG16+BR16+BS16)+('Index Price Deals'!B16+'Index Price Deals'!C16+'Index Price Deals'!D16+'Index Price Deals'!L16+'Index Price Deals'!M16+'Index Price Deals'!N16+'Index Price Deals'!AD16+'Index Price Deals'!AE16+'Index Price Deals'!AF16+'Index Price Deals'!AK16+'Index Price Deals'!AL16+'Index Price Deals'!AM16))*'Prices&amp;Fuel'!H16</f>
        <v>5777614.59681625</v>
      </c>
      <c r="DA16" s="1" t="n">
        <f aca="false">(B16+C16+D16)*'Prices&amp;Fuel'!H16</f>
        <v>538811</v>
      </c>
      <c r="DE16" s="1" t="n">
        <v>300000</v>
      </c>
    </row>
    <row r="17" customFormat="false" ht="12.75" hidden="true" customHeight="false" outlineLevel="0" collapsed="false">
      <c r="A17" s="6" t="n">
        <f aca="false">+A16+365/12</f>
        <v>36114</v>
      </c>
      <c r="B17" s="7" t="n">
        <v>4921</v>
      </c>
      <c r="C17" s="7" t="n">
        <v>4177</v>
      </c>
      <c r="D17" s="7" t="n">
        <v>1094</v>
      </c>
      <c r="E17" s="8" t="n">
        <f aca="false">IF(1.99*1.03*1.03*1.03*1.03&gt;'Prices&amp;Fuel'!B17+0.01,1.99*1.03*1.03*1.03*1.03,'Prices&amp;Fuel'!B17+0.01)</f>
        <v>2.2397625319</v>
      </c>
      <c r="F17" s="8" t="n">
        <f aca="false">IF(2.035*1.03*1.03*1.03*1.03&gt;'Prices&amp;Fuel'!C17+0.01,2.035*1.03*1.03*1.03*1.03,'Prices&amp;Fuel'!C17+0.01)</f>
        <v>2.29041042835</v>
      </c>
      <c r="G17" s="8" t="n">
        <f aca="false">IF(2.049*1.03*1.03*1.03*1.03&gt;'Prices&amp;Fuel'!D17+0.01,2.049*1.03*1.03*1.03*1.03,'Prices&amp;Fuel'!D17+0.01)</f>
        <v>2.30616755169</v>
      </c>
      <c r="H17" s="8" t="n">
        <f aca="false">E17-0.01</f>
        <v>2.2297625319</v>
      </c>
      <c r="I17" s="8" t="n">
        <f aca="false">F17-0.01</f>
        <v>2.28041042835</v>
      </c>
      <c r="J17" s="8" t="n">
        <f aca="false">G17-0.01</f>
        <v>2.29616755169</v>
      </c>
      <c r="K17" s="7" t="n">
        <f aca="false">((B17*E17)+(C17*F17)+(D17*G17))*'Prices&amp;Fuel'!H17</f>
        <v>693355.892407402</v>
      </c>
      <c r="L17" s="7" t="n">
        <f aca="false">(($B17*H17)+($C17*I17)+($D17*J17))*'Prices&amp;Fuel'!$H17</f>
        <v>690298.292407402</v>
      </c>
      <c r="M17" s="14" t="n">
        <f aca="false">K17-L17</f>
        <v>3057.59999999998</v>
      </c>
      <c r="O17" s="7" t="n">
        <v>9036</v>
      </c>
      <c r="P17" s="7" t="n">
        <v>10794</v>
      </c>
      <c r="Q17" s="7" t="n">
        <v>5270</v>
      </c>
      <c r="R17" s="8" t="n">
        <f aca="false">R16</f>
        <v>2.2017</v>
      </c>
      <c r="S17" s="8" t="n">
        <f aca="false">S16</f>
        <v>2.1909</v>
      </c>
      <c r="T17" s="7" t="n">
        <f aca="false">(($O17*R17)+($P17*R17)+($Q17*R17))*'Prices&amp;Fuel'!$H17</f>
        <v>1657880.1</v>
      </c>
      <c r="U17" s="7" t="n">
        <f aca="false">(($O17*S17)+($P17*S17)+($Q17*S17))*'Prices&amp;Fuel'!$H17</f>
        <v>1649747.7</v>
      </c>
      <c r="V17" s="14" t="n">
        <f aca="false">T17-U17</f>
        <v>8132.40000000014</v>
      </c>
      <c r="X17" s="7" t="n">
        <f aca="false">7000*0.5</f>
        <v>3500</v>
      </c>
      <c r="Y17" s="7" t="n">
        <f aca="false">X17</f>
        <v>3500</v>
      </c>
      <c r="Z17" s="27" t="n">
        <v>2.2</v>
      </c>
      <c r="AA17" s="27" t="n">
        <v>2.18</v>
      </c>
      <c r="AB17" s="7" t="n">
        <f aca="false">($X17+$Y17)*Z17*'Prices&amp;Fuel'!$H17</f>
        <v>462000</v>
      </c>
      <c r="AC17" s="7" t="n">
        <f aca="false">($X17+$Y17)*AA17*'Prices&amp;Fuel'!$H17</f>
        <v>457800</v>
      </c>
      <c r="AD17" s="14" t="n">
        <f aca="false">AB17-AC17</f>
        <v>4200</v>
      </c>
      <c r="AF17" s="7" t="n">
        <f aca="false">(93404/(1-'Prices&amp;Fuel'!F17))+(25000/(1-'Prices&amp;Fuel'!G17))-AI17</f>
        <v>99984.9650061754</v>
      </c>
      <c r="AG17" s="7" t="n">
        <f aca="false">(106596/(1-'Prices&amp;Fuel'!F17))-AJ17</f>
        <v>23551.8155619597</v>
      </c>
      <c r="AH17" s="7" t="n">
        <f aca="false">(75000/(1-'Prices&amp;Fuel'!G17))-AK17</f>
        <v>12321.2601893783</v>
      </c>
      <c r="AI17" s="7" t="n">
        <v>21880</v>
      </c>
      <c r="AJ17" s="7" t="n">
        <f aca="false">102050-15890</f>
        <v>86160</v>
      </c>
      <c r="AK17" s="7" t="n">
        <f aca="false">77288-12035-382</f>
        <v>64871</v>
      </c>
      <c r="AL17" s="11" t="n">
        <f aca="false">ROUND((300000/(1-'Prices&amp;Fuel'!F17))-AF17-AG17-AH17,0)</f>
        <v>172911</v>
      </c>
      <c r="AM17" s="7" t="n">
        <f aca="false">ROUND((((93404/(1-'Prices&amp;Fuel'!F17))+(25000/(1-'Prices&amp;Fuel'!G17)))-80000-AI17)/2,0)</f>
        <v>9992</v>
      </c>
      <c r="AN17" s="7" t="n">
        <f aca="false">ROUND(((106596/(1-'Prices&amp;Fuel'!F17))-AQ17-AJ17)/2,0)</f>
        <v>11667</v>
      </c>
      <c r="AO17" s="7" t="n">
        <f aca="false">ROUND((75000/(1-'Prices&amp;Fuel'!G17)-AV17-AK17)/2,0)</f>
        <v>-13</v>
      </c>
      <c r="AP17" s="7" t="n">
        <f aca="false">IF(80000&gt;AF17,AF17,80000)</f>
        <v>80000</v>
      </c>
      <c r="AQ17" s="7" t="n">
        <f aca="false">+AQ16</f>
        <v>217</v>
      </c>
      <c r="AR17" s="14" t="n">
        <f aca="false">AM17</f>
        <v>9992</v>
      </c>
      <c r="AS17" s="14" t="n">
        <f aca="false">AN17</f>
        <v>11667</v>
      </c>
      <c r="AT17" s="14" t="n">
        <f aca="false">AH17-AO17-AV17</f>
        <v>-13.5731439549909</v>
      </c>
      <c r="AU17" s="14" t="n">
        <f aca="false">AL17*AX17*'Prices&amp;Fuel'!H17</f>
        <v>259366.5</v>
      </c>
      <c r="AV17" s="7" t="n">
        <f aca="false">(280615+89820)/30</f>
        <v>12347.8333333333</v>
      </c>
      <c r="AW17" s="68" t="n">
        <f aca="false">AW16</f>
        <v>0.145</v>
      </c>
      <c r="AX17" s="68" t="n">
        <f aca="false">AX16</f>
        <v>0.05</v>
      </c>
      <c r="AY17" s="5" t="n">
        <f aca="false">('Prices&amp;Fuel'!H17*('Prices&amp;Fuel'!B17+AW17)*'Long Term Deals'!AF17)+('Prices&amp;Fuel'!H17*('Prices&amp;Fuel'!C17+'Long Term Deals'!AW17)*'Long Term Deals'!AG17)+(AH17*('Prices&amp;Fuel'!C17+AW17)*'Prices&amp;Fuel'!H17)+(AW17*AL17*'Prices&amp;Fuel'!H17)</f>
        <v>9243901.93400576</v>
      </c>
      <c r="AZ17" s="5" t="n">
        <f aca="false">(AP17*'Prices&amp;Fuel'!H17*'Prices&amp;Fuel'!B17)+(AQ17*'Prices&amp;Fuel'!C17*'Prices&amp;Fuel'!H17)+((AM17+AR17)*('Prices&amp;Fuel'!B17+'Long Term Deals'!AX17)*'Prices&amp;Fuel'!H17)+((AN17+AS17)*('Prices&amp;Fuel'!C17+'Long Term Deals'!AX17)*'Prices&amp;Fuel'!H17)+((AO17+AT17)*('Prices&amp;Fuel'!D17+'Long Term Deals'!AX17)*'Prices&amp;Fuel'!H17)+(AV17*'Prices&amp;Fuel'!H17*'Prices&amp;Fuel'!Q17)+AU17</f>
        <v>8204345.17913545</v>
      </c>
      <c r="BA17" s="5" t="n">
        <f aca="false">AY17-AZ17</f>
        <v>1039556.75487031</v>
      </c>
      <c r="BB17" s="5" t="n">
        <f aca="false">IF('FP Corp'!T17-((BE17+BF17+BG17)*(1-'Prices&amp;Fuel'!F17))&lt;'Prices&amp;Fuel'!R17,('FP Corp'!T17-(BE17+BF17+BG17)*(1-'Prices&amp;Fuel'!F17)),'Prices&amp;Fuel'!R17)/(1-'Prices&amp;Fuel'!F17)</f>
        <v>4329.9711815562</v>
      </c>
      <c r="BC17" s="9" t="n">
        <f aca="false">('FP Corp'!T17/(1-'Prices&amp;Fuel'!F17))-BD17-BE17-BF17-BG17-BB17</f>
        <v>0</v>
      </c>
      <c r="BD17" s="9" t="n">
        <f aca="false">ROUND(IF('FP Corp'!T17/(1-'Prices&amp;Fuel'!F17)-BE17-BF17-BG17-BB17&gt;'Prices&amp;Fuel'!T17,'Prices&amp;Fuel'!T17,'FP Corp'!T17/(1-'Prices&amp;Fuel'!F17)-BE17-BF17-BG17-BB17),9)</f>
        <v>0</v>
      </c>
      <c r="BE17" s="9" t="n">
        <f aca="false">'Prices&amp;Fuel'!U17/(1-'Prices&amp;Fuel'!F17)</f>
        <v>2637.91683820502</v>
      </c>
      <c r="BF17" s="9" t="n">
        <f aca="false">('Prices&amp;Fuel'!V17+'Prices&amp;Fuel'!X17)/(1-'Prices&amp;Fuel'!F17)</f>
        <v>3648.62083161795</v>
      </c>
      <c r="BG17" s="9" t="n">
        <f aca="false">'Prices&amp;Fuel'!W17/(1-'Prices&amp;Fuel'!F17)</f>
        <v>1734.25277892137</v>
      </c>
      <c r="BH17" s="10" t="n">
        <f aca="false">('Prices&amp;Fuel'!C17+'Prices&amp;Fuel'!D17)/2-0.05+('Prices&amp;Fuel'!M17+'Prices&amp;Fuel'!P17)*(1-'Prices&amp;Fuel'!F17)</f>
        <v>2.70574788</v>
      </c>
      <c r="BI17" s="9" t="n">
        <f aca="false">IF(AP17=80000,0,BB17)</f>
        <v>0</v>
      </c>
      <c r="BJ17" s="9"/>
      <c r="BK17" s="10" t="n">
        <f aca="false">(((BB17+BE17)*('Prices&amp;Fuel'!B17+0.025))+(('Prices&amp;Fuel'!D17+0.025)*(BD17+BG17))+(('Prices&amp;Fuel'!C17+0.025)*(BC17+BF17))-(BI17+BJ17)*0.025)/(BB17+BC17+BD17+BE17+BF17+BG17)</f>
        <v>1.964275</v>
      </c>
      <c r="BL17" s="9" t="n">
        <f aca="false">(BB17+BC17+BD17+BE17+BF17+BG17)*BH17*'Prices&amp;Fuel'!H17</f>
        <v>1002541.41292713</v>
      </c>
      <c r="BM17" s="9" t="n">
        <f aca="false">'Prices&amp;Fuel'!X17*('Prices&amp;Fuel'!N17+'Prices&amp;Fuel'!O17)*'Prices&amp;Fuel'!H17</f>
        <v>4720.896</v>
      </c>
      <c r="BN17" s="9" t="n">
        <f aca="false">('Prices&amp;Fuel'!U17+'Prices&amp;Fuel'!V17+'Prices&amp;Fuel'!W17)*('Prices&amp;Fuel'!L17+'Prices&amp;Fuel'!O17)*'Prices&amp;Fuel'!H17</f>
        <v>86941.08</v>
      </c>
      <c r="BO17" s="9" t="n">
        <f aca="false">((BB17+BC17+BD17)*(1-'Prices&amp;Fuel'!G17))*('Prices&amp;Fuel'!M17+'Prices&amp;Fuel'!P17)*'Prices&amp;Fuel'!H17</f>
        <v>104665.953</v>
      </c>
      <c r="BP17" s="9" t="n">
        <f aca="false">((BD17+BC17+BB17+BE17+BF17+BG17)*BK17*'Prices&amp;Fuel'!H17)+BM17+BN17+BO17</f>
        <v>924136.698040757</v>
      </c>
      <c r="BQ17" s="5" t="n">
        <f aca="false">BL17-BP17</f>
        <v>78404.714886373</v>
      </c>
      <c r="BR17" s="7" t="n">
        <v>1000</v>
      </c>
      <c r="BT17" s="8" t="n">
        <f aca="false">IF('Prices&amp;Fuel'!$E17&lt;1.89,1.89,'Prices&amp;Fuel'!$E17)</f>
        <v>2.126</v>
      </c>
      <c r="BU17" s="8"/>
      <c r="BV17" s="13" t="n">
        <f aca="false">BT17</f>
        <v>2.126</v>
      </c>
      <c r="BW17" s="13"/>
      <c r="BX17" s="7" t="n">
        <f aca="false">(BR17*BT17+BS17*BU17)*'Prices&amp;Fuel'!H17</f>
        <v>63780</v>
      </c>
      <c r="BY17" s="7" t="n">
        <f aca="false">($BR17*BV17+$BS17*BW17)*'Prices&amp;Fuel'!H17</f>
        <v>63780</v>
      </c>
      <c r="BZ17" s="5" t="n">
        <f aca="false">BX17-BY17</f>
        <v>0</v>
      </c>
      <c r="CA17" s="5" t="n">
        <f aca="false">(AF17+AG17+AH17+AL17)*0.005*'Prices&amp;Fuel'!H17</f>
        <v>46315.356113627</v>
      </c>
      <c r="CB17" s="5" t="n">
        <f aca="false">(B17+C17+D17+O17+P17+Q17+X17+Y17+((BB17+BC17+BD17+BE17+BF17+BG17)*(1-'Prices&amp;Fuel'!F17))+BR17+BS17)*0.005*'Prices&amp;Fuel'!H17</f>
        <v>8293.8</v>
      </c>
      <c r="CC17" s="7" t="n">
        <f aca="false">K17+T17+AB17+AY17+BL17+BX17</f>
        <v>13123459.3393403</v>
      </c>
      <c r="CD17" s="7" t="n">
        <f aca="false">L17+U17+AC17+AZ17+BP17+BY17+CA17+CB17</f>
        <v>12044717.0256972</v>
      </c>
      <c r="CE17" s="7" t="n">
        <f aca="false">CC17-CD17</f>
        <v>1078742.31364306</v>
      </c>
      <c r="CF17" s="7" t="n">
        <f aca="false">'Index Price Deals'!AR17</f>
        <v>99721.61</v>
      </c>
      <c r="CG17" s="7" t="n">
        <f aca="false">'Index Price Deals'!AS17</f>
        <v>240.76</v>
      </c>
      <c r="CH17" s="7" t="n">
        <f aca="false">'Index Price Deals'!AT17</f>
        <v>96134.7715258988</v>
      </c>
      <c r="CI17" s="7" t="n">
        <f aca="false">'Index Price Deals'!AU17</f>
        <v>3586.83847410123</v>
      </c>
      <c r="CJ17" s="7" t="n">
        <f aca="false">CC17+CF17</f>
        <v>13223180.9493403</v>
      </c>
      <c r="CK17" s="7" t="n">
        <f aca="false">CD17+CH17</f>
        <v>12140851.7972231</v>
      </c>
      <c r="CL17" s="7" t="n">
        <f aca="false">CE17+CI17</f>
        <v>1082329.15211716</v>
      </c>
      <c r="CM17" s="69"/>
      <c r="CN17" s="7" t="n">
        <f aca="false">Transport!U17</f>
        <v>631180.503</v>
      </c>
      <c r="CO17" s="71" t="n">
        <f aca="false">[4]Sheet1!$AL58</f>
        <v>739969.941691471</v>
      </c>
      <c r="CQ17" s="7" t="n">
        <f aca="false">(((($B17+$C17+$D17+$O17+$P17+$Q17)*0.5)+BR17+BS17)*(0.005*'Prices&amp;Fuel'!$H17)+'Index Price Deals'!AV17)+(((BB17+BC17+BD17+BE17+BF17+BG17)*(1-'Prices&amp;Fuel'!F17))*0.005*'Prices&amp;Fuel'!H17)</f>
        <v>4651.35</v>
      </c>
      <c r="CR17" s="7" t="n">
        <f aca="false">(((($B17+$C17+$D17+$O17+$P17+$Q17)*0.5)+X17+Y17)*(0.005*'Prices&amp;Fuel'!$H17)+CA17)</f>
        <v>50012.256113627</v>
      </c>
      <c r="CS17" s="11" t="n">
        <f aca="false">'Short Term Firm For Budget'!E17</f>
        <v>15475.8</v>
      </c>
      <c r="CT17" s="7" t="n">
        <f aca="false">[2]Sheet1!$O26</f>
        <v>478881.657951805</v>
      </c>
      <c r="CU17" s="7" t="n">
        <f aca="false">'[3]Long Term Deals'!$Z16</f>
        <v>134194.815860567</v>
      </c>
      <c r="CV17" s="70" t="n">
        <f aca="false">CL17-CN17-CT17+CU17+CS17+CO17</f>
        <v>861907.548717392</v>
      </c>
      <c r="CW17" s="14" t="n">
        <f aca="false">((B17+C17+D17+O17+P17+Q17+X17+Y17+AF17+AG17+AH17+BB17+BC17+BD17+BE17+BF17+BG17+BR17+BS17)+('Index Price Deals'!B17+'Index Price Deals'!C17+'Index Price Deals'!D17+'Index Price Deals'!L17+'Index Price Deals'!M17+'Index Price Deals'!N17+'Index Price Deals'!AD17+'Index Price Deals'!AE17+'Index Price Deals'!AF17+'Index Price Deals'!AK17+'Index Price Deals'!AL17+'Index Price Deals'!AM17))*'Prices&amp;Fuel'!H17</f>
        <v>5793176.07163442</v>
      </c>
      <c r="DA17" s="1" t="n">
        <f aca="false">(B17+C17+D17)*'Prices&amp;Fuel'!H17</f>
        <v>305760</v>
      </c>
      <c r="DE17" s="1" t="n">
        <v>300000</v>
      </c>
    </row>
    <row r="18" customFormat="false" ht="12.75" hidden="true" customHeight="false" outlineLevel="0" collapsed="false">
      <c r="A18" s="6" t="n">
        <f aca="false">+A17+365/12</f>
        <v>36144.4166666667</v>
      </c>
      <c r="B18" s="7" t="n">
        <v>4921</v>
      </c>
      <c r="C18" s="7" t="n">
        <v>1874</v>
      </c>
      <c r="E18" s="8" t="n">
        <f aca="false">IF(1.99*1.03*1.03*1.03*1.03&gt;'Prices&amp;Fuel'!B18+0.01,1.99*1.03*1.03*1.03*1.03,'Prices&amp;Fuel'!B18+0.01)</f>
        <v>2.2397625319</v>
      </c>
      <c r="F18" s="8" t="n">
        <f aca="false">IF(2.035*1.03*1.03*1.03*1.03&gt;'Prices&amp;Fuel'!C18+0.01,2.035*1.03*1.03*1.03*1.03,'Prices&amp;Fuel'!C18+0.01)</f>
        <v>2.29041042835</v>
      </c>
      <c r="G18" s="8" t="n">
        <f aca="false">IF(2.049*1.03*1.03*1.03*1.03&gt;'Prices&amp;Fuel'!D18+0.01,2.049*1.03*1.03*1.03*1.03,'Prices&amp;Fuel'!D18+0.01)</f>
        <v>2.30616755169</v>
      </c>
      <c r="H18" s="8" t="n">
        <f aca="false">E18-0.01</f>
        <v>2.2297625319</v>
      </c>
      <c r="I18" s="8" t="n">
        <f aca="false">F18-0.01</f>
        <v>2.28041042835</v>
      </c>
      <c r="J18" s="8" t="n">
        <f aca="false">G18-0.01</f>
        <v>2.29616755169</v>
      </c>
      <c r="K18" s="7" t="n">
        <f aca="false">((B18*E18)+(C18*F18)+(D18*G18))*'Prices&amp;Fuel'!H18</f>
        <v>474737.117428442</v>
      </c>
      <c r="L18" s="7" t="n">
        <f aca="false">(($B18*H18)+($C18*I18)+($D18*J18))*'Prices&amp;Fuel'!$H18</f>
        <v>472630.667428442</v>
      </c>
      <c r="M18" s="14" t="n">
        <f aca="false">K18-L18</f>
        <v>2106.44999999995</v>
      </c>
      <c r="O18" s="7" t="n">
        <v>9036</v>
      </c>
      <c r="P18" s="7" t="n">
        <v>10794</v>
      </c>
      <c r="Q18" s="7" t="n">
        <v>5270</v>
      </c>
      <c r="R18" s="8" t="n">
        <f aca="false">R17</f>
        <v>2.2017</v>
      </c>
      <c r="S18" s="8" t="n">
        <f aca="false">S17</f>
        <v>2.1909</v>
      </c>
      <c r="T18" s="7" t="n">
        <f aca="false">(($O18*R18)+($P18*R18)+($Q18*R18))*'Prices&amp;Fuel'!$H18</f>
        <v>1713142.77</v>
      </c>
      <c r="U18" s="7" t="n">
        <f aca="false">(($O18*S18)+($P18*S18)+($Q18*S18))*'Prices&amp;Fuel'!$H18</f>
        <v>1704739.29</v>
      </c>
      <c r="V18" s="14" t="n">
        <f aca="false">T18-U18</f>
        <v>8403.48000000045</v>
      </c>
      <c r="X18" s="7" t="n">
        <f aca="false">7000*0.5</f>
        <v>3500</v>
      </c>
      <c r="Y18" s="7" t="n">
        <f aca="false">X18</f>
        <v>3500</v>
      </c>
      <c r="Z18" s="27" t="n">
        <v>2.2</v>
      </c>
      <c r="AA18" s="27" t="n">
        <v>2.18</v>
      </c>
      <c r="AB18" s="7" t="n">
        <f aca="false">($X18+$Y18)*Z18*'Prices&amp;Fuel'!$H18</f>
        <v>477400</v>
      </c>
      <c r="AC18" s="7" t="n">
        <f aca="false">($X18+$Y18)*AA18*'Prices&amp;Fuel'!$H18</f>
        <v>473060</v>
      </c>
      <c r="AD18" s="14" t="n">
        <f aca="false">AB18-AC18</f>
        <v>4340</v>
      </c>
      <c r="AF18" s="7" t="n">
        <f aca="false">(93404/(1-'Prices&amp;Fuel'!F18))+(25000/(1-'Prices&amp;Fuel'!G18))-AI18</f>
        <v>121864.965006175</v>
      </c>
      <c r="AG18" s="7" t="n">
        <f aca="false">(106596/(1-'Prices&amp;Fuel'!F18))-AJ18</f>
        <v>109711.81556196</v>
      </c>
      <c r="AH18" s="7" t="n">
        <f aca="false">(75000/(1-'Prices&amp;Fuel'!G18))-AK18</f>
        <v>77192.2601893783</v>
      </c>
      <c r="AI18" s="7"/>
      <c r="AJ18" s="7"/>
      <c r="AK18" s="7"/>
      <c r="AL18" s="11" t="n">
        <f aca="false">ROUND((300000/(1-'Prices&amp;Fuel'!F18))-AF18-AG18-AH18,0)</f>
        <v>0</v>
      </c>
      <c r="AM18" s="7" t="n">
        <f aca="false">ROUND((((93404/(1-'Prices&amp;Fuel'!F18))+(25000/(1-'Prices&amp;Fuel'!G18)))-80000-AI18)/2,0)</f>
        <v>20932</v>
      </c>
      <c r="AN18" s="7" t="n">
        <f aca="false">ROUND(((106596/(1-'Prices&amp;Fuel'!F18))-AQ18-AJ18)/2,0)</f>
        <v>54747</v>
      </c>
      <c r="AO18" s="7" t="n">
        <f aca="false">ROUND((75000/(1-'Prices&amp;Fuel'!G18)-AV18-AK18)/2,0)</f>
        <v>32993</v>
      </c>
      <c r="AP18" s="7" t="n">
        <f aca="false">IF(80000&gt;AF18,AF18,80000)</f>
        <v>80000</v>
      </c>
      <c r="AQ18" s="7" t="n">
        <f aca="false">+AQ17</f>
        <v>217</v>
      </c>
      <c r="AR18" s="14" t="n">
        <f aca="false">AM18</f>
        <v>20932</v>
      </c>
      <c r="AS18" s="14" t="n">
        <f aca="false">AN18</f>
        <v>54747</v>
      </c>
      <c r="AT18" s="14" t="n">
        <f aca="false">AH18-AO18-AV18</f>
        <v>32993.2601893783</v>
      </c>
      <c r="AU18" s="14" t="n">
        <f aca="false">AL18*AX18*'Prices&amp;Fuel'!H18</f>
        <v>0</v>
      </c>
      <c r="AV18" s="7" t="n">
        <f aca="false">(255502+91884)/31</f>
        <v>11206</v>
      </c>
      <c r="AW18" s="68" t="n">
        <f aca="false">AW17</f>
        <v>0.145</v>
      </c>
      <c r="AX18" s="68" t="n">
        <f aca="false">AX17</f>
        <v>0.05</v>
      </c>
      <c r="AY18" s="5" t="n">
        <f aca="false">('Prices&amp;Fuel'!H18*('Prices&amp;Fuel'!B18+AW18)*'Long Term Deals'!AF18)+('Prices&amp;Fuel'!H18*('Prices&amp;Fuel'!C18+'Long Term Deals'!AW18)*'Long Term Deals'!AG18)+(AH18*('Prices&amp;Fuel'!C18+AW18)*'Prices&amp;Fuel'!H18)+(AW18*AL18*'Prices&amp;Fuel'!H18)</f>
        <v>21491327.5010292</v>
      </c>
      <c r="AZ18" s="5" t="n">
        <f aca="false">(AP18*'Prices&amp;Fuel'!H18*'Prices&amp;Fuel'!B18)+(AQ18*'Prices&amp;Fuel'!C18*'Prices&amp;Fuel'!H18)+((AM18+AR18)*('Prices&amp;Fuel'!B18+'Long Term Deals'!AX18)*'Prices&amp;Fuel'!H18)+((AN18+AS18)*('Prices&amp;Fuel'!C18+'Long Term Deals'!AX18)*'Prices&amp;Fuel'!H18)+((AO18+AT18)*('Prices&amp;Fuel'!D18+'Long Term Deals'!AX18)*'Prices&amp;Fuel'!H18)+(AV18*'Prices&amp;Fuel'!H18*'Prices&amp;Fuel'!Q18)+AU18</f>
        <v>20316243.9996459</v>
      </c>
      <c r="BA18" s="5" t="n">
        <f aca="false">AY18-AZ18</f>
        <v>1175083.50138329</v>
      </c>
      <c r="BB18" s="5" t="n">
        <f aca="false">IF('FP Corp'!T18-((BE18+BF18+BG18)*(1-'Prices&amp;Fuel'!F18))&lt;'Prices&amp;Fuel'!R18,('FP Corp'!T18-(BE18+BF18+BG18)*(1-'Prices&amp;Fuel'!F18)),'Prices&amp;Fuel'!R18)/(1-'Prices&amp;Fuel'!F18)</f>
        <v>4329.9711815562</v>
      </c>
      <c r="BC18" s="9" t="n">
        <f aca="false">('FP Corp'!T18/(1-'Prices&amp;Fuel'!F18))-BD18-BE18-BF18-BG18-BB18</f>
        <v>0</v>
      </c>
      <c r="BD18" s="9" t="n">
        <f aca="false">ROUND(IF('FP Corp'!T18/(1-'Prices&amp;Fuel'!F18)-BE18-BF18-BG18-BB18&gt;'Prices&amp;Fuel'!T18,'Prices&amp;Fuel'!T18,'FP Corp'!T18/(1-'Prices&amp;Fuel'!F18)-BE18-BF18-BG18-BB18),9)</f>
        <v>0</v>
      </c>
      <c r="BE18" s="9" t="n">
        <f aca="false">'Prices&amp;Fuel'!U18/(1-'Prices&amp;Fuel'!F18)</f>
        <v>2637.91683820502</v>
      </c>
      <c r="BF18" s="9" t="n">
        <f aca="false">('Prices&amp;Fuel'!V18+'Prices&amp;Fuel'!X18)/(1-'Prices&amp;Fuel'!F18)</f>
        <v>3648.62083161795</v>
      </c>
      <c r="BG18" s="9" t="n">
        <f aca="false">'Prices&amp;Fuel'!W18/(1-'Prices&amp;Fuel'!F18)</f>
        <v>1734.25277892137</v>
      </c>
      <c r="BH18" s="10" t="n">
        <f aca="false">('Prices&amp;Fuel'!C18+'Prices&amp;Fuel'!D18)/2-0.05+('Prices&amp;Fuel'!M18+'Prices&amp;Fuel'!P18)*(1-'Prices&amp;Fuel'!F18)</f>
        <v>2.85074788</v>
      </c>
      <c r="BI18" s="9" t="n">
        <f aca="false">IF(AP18=80000,0,BB18)</f>
        <v>0</v>
      </c>
      <c r="BJ18" s="9"/>
      <c r="BK18" s="10" t="n">
        <f aca="false">(((BB18+BE18)*('Prices&amp;Fuel'!B18+0.025))+(('Prices&amp;Fuel'!D18+0.025)*(BD18+BG18))+(('Prices&amp;Fuel'!C18+0.025)*(BC18+BF18))-(BI18+BJ18)*0.025)/(BB18+BC18+BD18+BE18+BF18+BG18)</f>
        <v>2.10977083333333</v>
      </c>
      <c r="BL18" s="9" t="n">
        <f aca="false">(BB18+BC18+BD18+BE18+BF18+BG18)*BH18*'Prices&amp;Fuel'!H18</f>
        <v>1091476.1335529</v>
      </c>
      <c r="BM18" s="9" t="n">
        <f aca="false">'Prices&amp;Fuel'!X18*('Prices&amp;Fuel'!N18+'Prices&amp;Fuel'!O18)*'Prices&amp;Fuel'!H18</f>
        <v>4878.2592</v>
      </c>
      <c r="BN18" s="9" t="n">
        <f aca="false">('Prices&amp;Fuel'!U18+'Prices&amp;Fuel'!V18+'Prices&amp;Fuel'!W18)*('Prices&amp;Fuel'!L18+'Prices&amp;Fuel'!O18)*'Prices&amp;Fuel'!H18</f>
        <v>89839.116</v>
      </c>
      <c r="BO18" s="9" t="n">
        <f aca="false">((BB18+BC18+BD18)*(1-'Prices&amp;Fuel'!G18))*('Prices&amp;Fuel'!M18+'Prices&amp;Fuel'!P18)*'Prices&amp;Fuel'!H18</f>
        <v>108154.8181</v>
      </c>
      <c r="BP18" s="9" t="n">
        <f aca="false">((BD18+BC18+BB18+BE18+BF18+BG18)*BK18*'Prices&amp;Fuel'!H18)+BM18+BN18+BO18</f>
        <v>1010647.76966888</v>
      </c>
      <c r="BQ18" s="5" t="n">
        <f aca="false">BL18-BP18</f>
        <v>80828.3638840263</v>
      </c>
      <c r="BR18" s="7" t="n">
        <v>1000</v>
      </c>
      <c r="BT18" s="8" t="n">
        <f aca="false">IF('Prices&amp;Fuel'!$E18&lt;1.89,1.89,'Prices&amp;Fuel'!$E18)</f>
        <v>2.1363</v>
      </c>
      <c r="BU18" s="8"/>
      <c r="BV18" s="13" t="n">
        <f aca="false">BT18</f>
        <v>2.1363</v>
      </c>
      <c r="BW18" s="13"/>
      <c r="BX18" s="7" t="n">
        <f aca="false">(BR18*BT18+BS18*BU18)*'Prices&amp;Fuel'!H18</f>
        <v>66225.3</v>
      </c>
      <c r="BY18" s="7" t="n">
        <f aca="false">($BR18*BV18+$BS18*BW18)*'Prices&amp;Fuel'!H18</f>
        <v>66225.3</v>
      </c>
      <c r="BZ18" s="5" t="n">
        <f aca="false">BX18-BY18</f>
        <v>0</v>
      </c>
      <c r="CA18" s="5" t="n">
        <f aca="false">(AF18+AG18+AH18+AL18)*0.005*'Prices&amp;Fuel'!H18</f>
        <v>47859.2013174146</v>
      </c>
      <c r="CB18" s="5" t="n">
        <f aca="false">(B18+C18+D18+O18+P18+Q18+X18+Y18+BB18+BC18+BD18+BE18+BF18+BG18+BR18+BS18)*0.005*'Prices&amp;Fuel'!H18</f>
        <v>8098.09305269658</v>
      </c>
      <c r="CC18" s="7" t="n">
        <f aca="false">K18+T18+AB18+AY18+BL18+BX18</f>
        <v>25314308.8220106</v>
      </c>
      <c r="CD18" s="7" t="n">
        <f aca="false">L18+U18+AC18+AZ18+BP18+BY18+CA18+CB18</f>
        <v>24099504.3211134</v>
      </c>
      <c r="CE18" s="7" t="n">
        <f aca="false">CC18-CD18</f>
        <v>1214804.5008972</v>
      </c>
      <c r="CF18" s="7" t="n">
        <f aca="false">'Index Price Deals'!AR18</f>
        <v>205101.463333333</v>
      </c>
      <c r="CG18" s="7" t="n">
        <f aca="false">'Index Price Deals'!AS18</f>
        <v>459.781666666667</v>
      </c>
      <c r="CH18" s="7" t="n">
        <f aca="false">'Index Price Deals'!AT18</f>
        <v>198216.214569807</v>
      </c>
      <c r="CI18" s="7" t="n">
        <f aca="false">'Index Price Deals'!AU18</f>
        <v>6885.24876352638</v>
      </c>
      <c r="CJ18" s="7" t="n">
        <f aca="false">CC18+CF18</f>
        <v>25519410.2853439</v>
      </c>
      <c r="CK18" s="7" t="n">
        <f aca="false">CD18+CH18</f>
        <v>24297720.5356832</v>
      </c>
      <c r="CL18" s="7" t="n">
        <f aca="false">CE18+CI18</f>
        <v>1221689.74966073</v>
      </c>
      <c r="CM18" s="7" t="n">
        <f aca="false">SUM(CL7:CL18)</f>
        <v>14683645.5068813</v>
      </c>
      <c r="CN18" s="7" t="n">
        <f aca="false">Transport!U18</f>
        <v>652219.8531</v>
      </c>
      <c r="CO18" s="71" t="n">
        <f aca="false">[4]Sheet1!$AL59</f>
        <v>764635.60641452</v>
      </c>
      <c r="CQ18" s="7" t="n">
        <f aca="false">(((($B18+$C18+$D18+$O18+$P18+$Q18)*0.5)+BR18+BS18)*(0.005*'Prices&amp;Fuel'!$H18)+'Index Price Deals'!AV18)+(((BB18+BC18+BD18+BE18+BF18+BG18)*(1-'Prices&amp;Fuel'!F18))*0.005*0.5*'Prices&amp;Fuel'!H18)</f>
        <v>3634.87916666667</v>
      </c>
      <c r="CR18" s="7" t="n">
        <f aca="false">(((($B18+$C18+$D18+$O18+$P18+$Q18)*0.5)+X18+Y18)*(0.005*'Prices&amp;Fuel'!$H18)+CA18+'Index Price Deals'!AW18)+(((BB18+BC18+BD18+BE18+BF18+BG18)*(1-'Prices&amp;Fuel'!F18))*0.005*0.5*'Prices&amp;Fuel'!H18)</f>
        <v>52727.8288174146</v>
      </c>
      <c r="CS18" s="11" t="n">
        <f aca="false">'Short Term Firm For Budget'!E18</f>
        <v>15991.66</v>
      </c>
      <c r="CT18" s="7" t="n">
        <f aca="false">[2]Sheet1!$O27</f>
        <v>494844.379883532</v>
      </c>
      <c r="CU18" s="7" t="n">
        <f aca="false">'[3]Long Term Deals'!$Z17</f>
        <v>138667.976389252</v>
      </c>
      <c r="CV18" s="70" t="n">
        <f aca="false">CL18-CN18-CT18+CU18+CS18+CO18</f>
        <v>993920.759480969</v>
      </c>
      <c r="CW18" s="14" t="n">
        <f aca="false">((B18+C18+D18+O18+P18+Q18+X18+Y18+AF18+AG18+AH18+BB18+BC18+BD18+BE18+BF18+BG18+BR18+BS18)+('Index Price Deals'!B18+'Index Price Deals'!C18+'Index Price Deals'!D18+'Index Price Deals'!L18+'Index Price Deals'!M18+'Index Price Deals'!N18+'Index Price Deals'!AD18+'Index Price Deals'!AE18+'Index Price Deals'!AF18+'Index Price Deals'!AK18+'Index Price Deals'!AL18+'Index Price Deals'!AM18))*'Prices&amp;Fuel'!H18</f>
        <v>11283415.2073556</v>
      </c>
      <c r="DA18" s="1" t="n">
        <f aca="false">(B18+C18+D18)*'Prices&amp;Fuel'!H18</f>
        <v>210645</v>
      </c>
      <c r="DE18" s="1" t="n">
        <v>300000</v>
      </c>
    </row>
    <row r="19" customFormat="false" ht="12.75" hidden="true" customHeight="false" outlineLevel="0" collapsed="false">
      <c r="A19" s="6" t="n">
        <f aca="false">+A18+365/12</f>
        <v>36174.8333333333</v>
      </c>
      <c r="B19" s="7" t="n">
        <v>4921</v>
      </c>
      <c r="C19" s="7" t="n">
        <v>1874</v>
      </c>
      <c r="E19" s="8" t="n">
        <f aca="false">IF(1.99*1.03*1.03*1.03*1.03&gt;'Prices&amp;Fuel'!B19+0.01,1.99*1.03*1.03*1.03*1.03,'Prices&amp;Fuel'!B19+0.01)</f>
        <v>2.2397625319</v>
      </c>
      <c r="F19" s="8" t="n">
        <f aca="false">IF(2.035*1.03*1.03*1.03*1.03&gt;'Prices&amp;Fuel'!C19+0.01,2.035*1.03*1.03*1.03*1.03,'Prices&amp;Fuel'!C19+0.01)</f>
        <v>2.29041042835</v>
      </c>
      <c r="G19" s="8" t="n">
        <f aca="false">IF(2.049*1.03*1.03*1.03*1.03&gt;'Prices&amp;Fuel'!D19+0.01,2.049*1.03*1.03*1.03*1.03,'Prices&amp;Fuel'!D19+0.01)</f>
        <v>2.30616755169</v>
      </c>
      <c r="H19" s="8" t="n">
        <f aca="false">E19-0.01</f>
        <v>2.2297625319</v>
      </c>
      <c r="I19" s="8" t="n">
        <f aca="false">F19-0.01</f>
        <v>2.28041042835</v>
      </c>
      <c r="J19" s="8" t="n">
        <f aca="false">G19-0.01</f>
        <v>2.29616755169</v>
      </c>
      <c r="K19" s="7" t="n">
        <f aca="false">((B19*E19)+(C19*F19)+(D19*G19))*'Prices&amp;Fuel'!H19</f>
        <v>474737.117428442</v>
      </c>
      <c r="L19" s="7" t="n">
        <f aca="false">(($B19*H19)+($C19*I19)+($D19*J19))*'Prices&amp;Fuel'!$H19</f>
        <v>472630.667428442</v>
      </c>
      <c r="M19" s="14" t="n">
        <f aca="false">K19-L19</f>
        <v>2106.44999999995</v>
      </c>
      <c r="O19" s="7" t="n">
        <v>9036</v>
      </c>
      <c r="P19" s="7" t="n">
        <v>10794</v>
      </c>
      <c r="Q19" s="7" t="n">
        <v>5270</v>
      </c>
      <c r="R19" s="8" t="n">
        <f aca="false">R18</f>
        <v>2.2017</v>
      </c>
      <c r="S19" s="8" t="n">
        <f aca="false">S18</f>
        <v>2.1909</v>
      </c>
      <c r="T19" s="7" t="n">
        <f aca="false">(($O19*R19)+($P19*R19)+($Q19*R19))*'Prices&amp;Fuel'!$H19</f>
        <v>1713142.77</v>
      </c>
      <c r="U19" s="7" t="n">
        <f aca="false">(($O19*S19)+($P19*S19)+($Q19*S19))*'Prices&amp;Fuel'!$H19</f>
        <v>1704739.29</v>
      </c>
      <c r="V19" s="14" t="n">
        <f aca="false">T19-U19</f>
        <v>8403.48000000045</v>
      </c>
      <c r="X19" s="7" t="n">
        <f aca="false">7000*0.5</f>
        <v>3500</v>
      </c>
      <c r="Y19" s="7" t="n">
        <f aca="false">X19</f>
        <v>3500</v>
      </c>
      <c r="Z19" s="27" t="n">
        <v>2.2</v>
      </c>
      <c r="AA19" s="27" t="n">
        <v>2.18</v>
      </c>
      <c r="AB19" s="7" t="n">
        <f aca="false">($X19+$Y19)*Z19*'Prices&amp;Fuel'!$H19</f>
        <v>477400</v>
      </c>
      <c r="AC19" s="7" t="n">
        <f aca="false">($X19+$Y19)*AA19*'Prices&amp;Fuel'!$H19</f>
        <v>473060</v>
      </c>
      <c r="AD19" s="14" t="n">
        <f aca="false">AB19-AC19</f>
        <v>4340</v>
      </c>
      <c r="AF19" s="7" t="n">
        <f aca="false">(93404/(1-'Prices&amp;Fuel'!F19))+(25000/(1-'Prices&amp;Fuel'!G19))-AI19</f>
        <v>121440</v>
      </c>
      <c r="AG19" s="7" t="n">
        <f aca="false">(106596/(1-'Prices&amp;Fuel'!F19))-AJ19</f>
        <v>109329.230769231</v>
      </c>
      <c r="AH19" s="7" t="n">
        <f aca="false">(75000/(1-'Prices&amp;Fuel'!G19))-AK19</f>
        <v>76923.0769230769</v>
      </c>
      <c r="AI19" s="7"/>
      <c r="AJ19" s="7"/>
      <c r="AK19" s="7"/>
      <c r="AL19" s="11" t="n">
        <f aca="false">ROUND((300000/(1-'Prices&amp;Fuel'!F19))-AF19-AG19-AH19,0)</f>
        <v>0</v>
      </c>
      <c r="AM19" s="7" t="n">
        <f aca="false">ROUND((((93404/(1-'Prices&amp;Fuel'!F19))+(25000/(1-'Prices&amp;Fuel'!G19)))-80000-AI19)/2,0)</f>
        <v>20720</v>
      </c>
      <c r="AN19" s="7" t="n">
        <f aca="false">ROUND(((106596/(1-'Prices&amp;Fuel'!F19))-AQ19-AJ19)/2,0)</f>
        <v>54556</v>
      </c>
      <c r="AO19" s="7" t="n">
        <f aca="false">ROUND((75000/(1-'Prices&amp;Fuel'!G19)-AV19-AK19)/2,0)</f>
        <v>32623</v>
      </c>
      <c r="AP19" s="7" t="n">
        <f aca="false">IF(80000&gt;AF19,AF19,80000)</f>
        <v>80000</v>
      </c>
      <c r="AQ19" s="7" t="n">
        <f aca="false">+AQ18</f>
        <v>217</v>
      </c>
      <c r="AR19" s="14" t="n">
        <f aca="false">AM19</f>
        <v>20720</v>
      </c>
      <c r="AS19" s="14" t="n">
        <f aca="false">AN19</f>
        <v>54556</v>
      </c>
      <c r="AT19" s="14" t="n">
        <f aca="false">AH19-AO19-AV19</f>
        <v>32622.141439206</v>
      </c>
      <c r="AU19" s="14" t="n">
        <f aca="false">AL19*AX19*'Prices&amp;Fuel'!H19</f>
        <v>0</v>
      </c>
      <c r="AV19" s="7" t="n">
        <f aca="false">(278112+83904)/31</f>
        <v>11677.935483871</v>
      </c>
      <c r="AW19" s="68" t="n">
        <v>0.14</v>
      </c>
      <c r="AX19" s="68" t="n">
        <f aca="false">AX18</f>
        <v>0.05</v>
      </c>
      <c r="AY19" s="5" t="n">
        <f aca="false">('Prices&amp;Fuel'!H19*('Prices&amp;Fuel'!B19+AW19)*'Long Term Deals'!AF19)+('Prices&amp;Fuel'!H19*('Prices&amp;Fuel'!C19+'Long Term Deals'!AW19)*'Long Term Deals'!AG19)+(AH19*('Prices&amp;Fuel'!C19+AW19)*'Prices&amp;Fuel'!H19)+(AW19*AL19*'Prices&amp;Fuel'!H19)</f>
        <v>18125614.1538462</v>
      </c>
      <c r="AZ19" s="5" t="n">
        <f aca="false">(AP19*'Prices&amp;Fuel'!H19*'Prices&amp;Fuel'!B19)+(AQ19*'Prices&amp;Fuel'!C19*'Prices&amp;Fuel'!H19)+((AM19+AR19)*('Prices&amp;Fuel'!B19+'Long Term Deals'!AX19)*'Prices&amp;Fuel'!H19)+((AN19+AS19)*('Prices&amp;Fuel'!C19+'Long Term Deals'!AX19)*'Prices&amp;Fuel'!H19)+((AO19+AT19)*('Prices&amp;Fuel'!D19+'Long Term Deals'!AX19)*'Prices&amp;Fuel'!H19)+(AV19*'Prices&amp;Fuel'!H19*'Prices&amp;Fuel'!Q19)+AU19</f>
        <v>17006154.3346154</v>
      </c>
      <c r="BA19" s="5" t="n">
        <f aca="false">AY19-AZ19</f>
        <v>1119459.81923077</v>
      </c>
      <c r="BB19" s="5" t="n">
        <f aca="false">IF('FP Corp'!T19-((BE19+BF19+BG19)*(1-'Prices&amp;Fuel'!F19))&lt;'Prices&amp;Fuel'!R19,('FP Corp'!T19-(BE19+BF19+BG19)*(1-'Prices&amp;Fuel'!F19)),'Prices&amp;Fuel'!R19)/(1-'Prices&amp;Fuel'!F19)</f>
        <v>4314.8717948718</v>
      </c>
      <c r="BC19" s="9" t="n">
        <f aca="false">('FP Corp'!T19/(1-'Prices&amp;Fuel'!F19))-BD19-BE19-BF19-BG19-BB19</f>
        <v>0</v>
      </c>
      <c r="BD19" s="9" t="n">
        <f aca="false">ROUND(IF('FP Corp'!T19/(1-'Prices&amp;Fuel'!F19)-BE19-BF19-BG19-BB19&gt;'Prices&amp;Fuel'!T19,'Prices&amp;Fuel'!T19,'FP Corp'!T19/(1-'Prices&amp;Fuel'!F19)-BE19-BF19-BG19-BB19),9)</f>
        <v>0</v>
      </c>
      <c r="BE19" s="9" t="n">
        <f aca="false">'Prices&amp;Fuel'!U19/(1-'Prices&amp;Fuel'!F19)</f>
        <v>2628.71794871795</v>
      </c>
      <c r="BF19" s="9" t="n">
        <f aca="false">('Prices&amp;Fuel'!V19+'Prices&amp;Fuel'!X19)/(1-'Prices&amp;Fuel'!F19)</f>
        <v>3635.89743589744</v>
      </c>
      <c r="BG19" s="9" t="n">
        <f aca="false">'Prices&amp;Fuel'!W19/(1-'Prices&amp;Fuel'!F19)</f>
        <v>1728.20512820513</v>
      </c>
      <c r="BH19" s="10" t="n">
        <f aca="false">('Prices&amp;Fuel'!C19+'Prices&amp;Fuel'!D19)/2-0.05+('Prices&amp;Fuel'!M19+'Prices&amp;Fuel'!P19)*(1-'Prices&amp;Fuel'!F19)</f>
        <v>2.5114225</v>
      </c>
      <c r="BI19" s="9" t="n">
        <f aca="false">IF(AP19=80000,0,BB19)</f>
        <v>0</v>
      </c>
      <c r="BJ19" s="9"/>
      <c r="BK19" s="10" t="n">
        <f aca="false">(((BB19+BE19)*('Prices&amp;Fuel'!B19+0.025))+(('Prices&amp;Fuel'!D19+0.025)*(BD19+BG19))+(('Prices&amp;Fuel'!C19+0.025)*(BC19+BF19))-(BI19+BJ19)*0.025)/(BB19+BC19+BD19+BE19+BF19+BG19)</f>
        <v>1.76977083333333</v>
      </c>
      <c r="BL19" s="9" t="n">
        <f aca="false">(BB19+BC19+BD19+BE19+BF19+BG19)*BH19*'Prices&amp;Fuel'!H19</f>
        <v>958204.276923077</v>
      </c>
      <c r="BM19" s="9" t="n">
        <f aca="false">'Prices&amp;Fuel'!X19*('Prices&amp;Fuel'!N19+'Prices&amp;Fuel'!O19)*'Prices&amp;Fuel'!H19</f>
        <v>4850.7343</v>
      </c>
      <c r="BN19" s="9" t="n">
        <f aca="false">('Prices&amp;Fuel'!U19+'Prices&amp;Fuel'!V19+'Prices&amp;Fuel'!W19)*('Prices&amp;Fuel'!L19+'Prices&amp;Fuel'!O19)*'Prices&amp;Fuel'!H19</f>
        <v>89354.214</v>
      </c>
      <c r="BO19" s="9" t="n">
        <f aca="false">((BB19+BC19+BD19)*(1-'Prices&amp;Fuel'!G19))*('Prices&amp;Fuel'!M19+'Prices&amp;Fuel'!P19)*'Prices&amp;Fuel'!H19</f>
        <v>107867.9007</v>
      </c>
      <c r="BP19" s="9" t="n">
        <f aca="false">((BD19+BC19+BB19+BE19+BF19+BG19)*BK19*'Prices&amp;Fuel'!H19)+BM19+BN19+BO19</f>
        <v>877308.490025641</v>
      </c>
      <c r="BQ19" s="5" t="n">
        <f aca="false">BL19-BP19</f>
        <v>80895.7868974359</v>
      </c>
      <c r="BR19" s="7" t="n">
        <v>1000</v>
      </c>
      <c r="BT19" s="8" t="n">
        <f aca="false">IF('Prices&amp;Fuel'!$E19&lt;1.89,1.89,'Prices&amp;Fuel'!$E19)</f>
        <v>1.89</v>
      </c>
      <c r="BU19" s="8"/>
      <c r="BV19" s="13" t="n">
        <f aca="false">BT19</f>
        <v>1.89</v>
      </c>
      <c r="BW19" s="13"/>
      <c r="BX19" s="7" t="n">
        <f aca="false">(BR19*BT19+BS19*BU19)*'Prices&amp;Fuel'!H19</f>
        <v>58590</v>
      </c>
      <c r="BY19" s="7" t="n">
        <f aca="false">($BR19*BV19+$BS19*BW19)*'Prices&amp;Fuel'!H19</f>
        <v>58590</v>
      </c>
      <c r="BZ19" s="5" t="n">
        <f aca="false">BX19-BY19</f>
        <v>0</v>
      </c>
      <c r="CA19" s="5" t="n">
        <f aca="false">(AF19+AG19+AH19+AL19)*0.005*'Prices&amp;Fuel'!H19</f>
        <v>47692.3076923077</v>
      </c>
      <c r="CB19" s="5" t="n">
        <f aca="false">(B19+C19+D19+O19+P19+Q19+X19+Y19+BB19+BC19+BD19+BE19+BF19+BG19+BR19+BS19)*0.005*'Prices&amp;Fuel'!H19</f>
        <v>8091.41730769231</v>
      </c>
      <c r="CC19" s="7" t="n">
        <f aca="false">K19+T19+AB19+AY19+BL19+BX19</f>
        <v>21807688.3181977</v>
      </c>
      <c r="CD19" s="7" t="n">
        <f aca="false">L19+U19+AC19+AZ19+BP19+BY19+CA19+CB19</f>
        <v>20648266.5070695</v>
      </c>
      <c r="CE19" s="7" t="n">
        <f aca="false">CC19-CD19</f>
        <v>1159421.81112821</v>
      </c>
      <c r="CF19" s="7" t="n">
        <f aca="false">'Index Price Deals'!AR19</f>
        <v>136333</v>
      </c>
      <c r="CG19" s="7" t="n">
        <f aca="false">'Index Price Deals'!AS19</f>
        <v>359.595</v>
      </c>
      <c r="CH19" s="7" t="n">
        <f aca="false">'Index Price Deals'!AT19</f>
        <v>130885.149365449</v>
      </c>
      <c r="CI19" s="7" t="n">
        <f aca="false">'Index Price Deals'!AU19</f>
        <v>5447.85063455065</v>
      </c>
      <c r="CJ19" s="7" t="n">
        <f aca="false">CC19+CF19</f>
        <v>21944021.3181977</v>
      </c>
      <c r="CK19" s="7" t="n">
        <f aca="false">CD19+CH19</f>
        <v>20779151.6564349</v>
      </c>
      <c r="CL19" s="7" t="n">
        <f aca="false">CE19+CI19</f>
        <v>1164869.66176276</v>
      </c>
      <c r="CM19" s="69"/>
      <c r="CN19" s="7" t="n">
        <f aca="false">Transport!U19</f>
        <v>651500.2284</v>
      </c>
      <c r="CO19" s="71" t="n">
        <f aca="false">[4]Sheet1!$AL60</f>
        <v>764635.60641452</v>
      </c>
      <c r="CQ19" s="7" t="n">
        <f aca="false">(((($B19+$C19+$D19+$O19+$P19+$Q19)*0.5)+BR19+BS19)*(0.005*'Prices&amp;Fuel'!$H19)+'Index Price Deals'!AV19)+(((BB19+BC19+BD19+BE19+BF19+BG19)*(1-'Prices&amp;Fuel'!F19))*0.005*0.5*'Prices&amp;Fuel'!H19)</f>
        <v>3607.0825</v>
      </c>
      <c r="CR19" s="7" t="n">
        <f aca="false">(((($B19+$C19+$D19+$O19+$P19+$Q19)*0.5)+X19+Y19)*(0.005*'Prices&amp;Fuel'!$H19)+CA19+'Index Price Deals'!AW19)+(((BB19+BC19+BD19+BE19+BF19+BG19)*(1-'Prices&amp;Fuel'!F19))*0.005*0.5*'Prices&amp;Fuel'!H19)</f>
        <v>52488.5451923077</v>
      </c>
      <c r="CS19" s="11" t="n">
        <f aca="false">'Short Term Firm For Budget'!E19</f>
        <v>215887.41</v>
      </c>
      <c r="CT19" s="7" t="n">
        <f aca="false">[2]Sheet1!$O29</f>
        <v>446881.51242608</v>
      </c>
      <c r="CU19" s="7" t="n">
        <f aca="false">'[3]Long Term Deals'!$Z18</f>
        <v>138667.976389252</v>
      </c>
      <c r="CV19" s="70" t="n">
        <f aca="false">CL19-CN19-CT19+CU19+CS19+CO19</f>
        <v>1185678.91374045</v>
      </c>
      <c r="CW19" s="14" t="n">
        <f aca="false">((B19+C19+D19+O19+P19+Q19+X19+Y19+AF19+AG19+AH19+BB19+BC19+BD19+BE19+BF19+BG19+BR19+BS19)+('Index Price Deals'!B19+'Index Price Deals'!C19+'Index Price Deals'!D19+'Index Price Deals'!L19+'Index Price Deals'!M19+'Index Price Deals'!N19+'Index Price Deals'!AD19+'Index Price Deals'!AE19+'Index Price Deals'!AF19+'Index Price Deals'!AK19+'Index Price Deals'!AL19+'Index Price Deals'!AM19))*'Prices&amp;Fuel'!H19</f>
        <v>11228664</v>
      </c>
      <c r="CX19" s="12" t="n">
        <f aca="false">BQ19/(BB19+BC19+BD19+BE19+BF19+BG19)/'Prices&amp;Fuel'!H19</f>
        <v>0.212025247916667</v>
      </c>
      <c r="CZ19" s="13" t="n">
        <f aca="false">(BA19-CT19+CU19)/(AF19+AG19+AH19)/'Prices&amp;Fuel'!H19</f>
        <v>0.0850500135606552</v>
      </c>
      <c r="DA19" s="1" t="n">
        <f aca="false">(B19+C19+D19)*'Prices&amp;Fuel'!$H19</f>
        <v>210645</v>
      </c>
      <c r="DB19" s="1" t="n">
        <f aca="false">(O19+P19+Q19)*'Prices&amp;Fuel'!$H19</f>
        <v>778100</v>
      </c>
      <c r="DC19" s="1" t="n">
        <f aca="false">(X19+Y19)*'Prices&amp;Fuel'!$H19</f>
        <v>217000</v>
      </c>
      <c r="DD19" s="1" t="n">
        <f aca="false">(BR19)*'Prices&amp;Fuel'!$H19</f>
        <v>31000</v>
      </c>
      <c r="DE19" s="1" t="n">
        <v>300000</v>
      </c>
    </row>
    <row r="20" customFormat="false" ht="12.75" hidden="true" customHeight="false" outlineLevel="0" collapsed="false">
      <c r="A20" s="6" t="n">
        <f aca="false">+A19+365/12</f>
        <v>36205.25</v>
      </c>
      <c r="B20" s="7" t="n">
        <v>4921</v>
      </c>
      <c r="C20" s="7" t="n">
        <v>1874</v>
      </c>
      <c r="E20" s="8" t="n">
        <f aca="false">IF(1.99*1.03*1.03*1.03*1.03&gt;'Prices&amp;Fuel'!B20+0.01,1.99*1.03*1.03*1.03*1.03,'Prices&amp;Fuel'!B20+0.01)</f>
        <v>2.2397625319</v>
      </c>
      <c r="F20" s="8" t="n">
        <f aca="false">IF(2.035*1.03*1.03*1.03*1.03&gt;'Prices&amp;Fuel'!C20+0.01,2.035*1.03*1.03*1.03*1.03,'Prices&amp;Fuel'!C20+0.01)</f>
        <v>2.29041042835</v>
      </c>
      <c r="G20" s="8" t="n">
        <f aca="false">IF(2.049*1.03*1.03*1.03*1.03&gt;'Prices&amp;Fuel'!D20+0.01,2.049*1.03*1.03*1.03*1.03,'Prices&amp;Fuel'!D20+0.01)</f>
        <v>2.30616755169</v>
      </c>
      <c r="H20" s="8" t="n">
        <f aca="false">E20-0.01</f>
        <v>2.2297625319</v>
      </c>
      <c r="I20" s="8" t="n">
        <f aca="false">F20-0.01</f>
        <v>2.28041042835</v>
      </c>
      <c r="J20" s="8" t="n">
        <f aca="false">G20-0.01</f>
        <v>2.29616755169</v>
      </c>
      <c r="K20" s="7" t="n">
        <f aca="false">((B20*E20)+(C20*F20)+(D20*G20))*'Prices&amp;Fuel'!H20</f>
        <v>428794.815741818</v>
      </c>
      <c r="L20" s="7" t="n">
        <f aca="false">(($B20*H20)+($C20*I20)+($D20*J20))*'Prices&amp;Fuel'!$H20</f>
        <v>426892.215741819</v>
      </c>
      <c r="M20" s="14" t="n">
        <f aca="false">K20-L20</f>
        <v>1902.59999999992</v>
      </c>
      <c r="O20" s="7" t="n">
        <v>9036</v>
      </c>
      <c r="P20" s="7" t="n">
        <v>10794</v>
      </c>
      <c r="Q20" s="7" t="n">
        <v>5270</v>
      </c>
      <c r="R20" s="8" t="n">
        <f aca="false">R19</f>
        <v>2.2017</v>
      </c>
      <c r="S20" s="8" t="n">
        <f aca="false">S19</f>
        <v>2.1909</v>
      </c>
      <c r="T20" s="7" t="n">
        <f aca="false">(($O20*R20)+($P20*R20)+($Q20*R20))*'Prices&amp;Fuel'!$H20</f>
        <v>1547354.76</v>
      </c>
      <c r="U20" s="7" t="n">
        <f aca="false">(($O20*S20)+($P20*S20)+($Q20*S20))*'Prices&amp;Fuel'!$H20</f>
        <v>1539764.52</v>
      </c>
      <c r="V20" s="14" t="n">
        <f aca="false">T20-U20</f>
        <v>7590.24000000022</v>
      </c>
      <c r="X20" s="7" t="n">
        <f aca="false">7000*0.5</f>
        <v>3500</v>
      </c>
      <c r="Y20" s="7" t="n">
        <f aca="false">X20</f>
        <v>3500</v>
      </c>
      <c r="Z20" s="27" t="n">
        <v>2.2</v>
      </c>
      <c r="AA20" s="27" t="n">
        <v>2.18</v>
      </c>
      <c r="AB20" s="7" t="n">
        <f aca="false">($X20+$Y20)*Z20*'Prices&amp;Fuel'!$H20</f>
        <v>431200</v>
      </c>
      <c r="AC20" s="7" t="n">
        <f aca="false">($X20+$Y20)*AA20*'Prices&amp;Fuel'!$H20</f>
        <v>427280</v>
      </c>
      <c r="AD20" s="14" t="n">
        <f aca="false">AB20-AC20</f>
        <v>3920</v>
      </c>
      <c r="AF20" s="7" t="n">
        <f aca="false">(93404/(1-'Prices&amp;Fuel'!F20))+(25000/(1-'Prices&amp;Fuel'!G20))-AI20</f>
        <v>121440</v>
      </c>
      <c r="AG20" s="7" t="n">
        <f aca="false">(106596/(1-'Prices&amp;Fuel'!F20))-AJ20</f>
        <v>109329.230769231</v>
      </c>
      <c r="AH20" s="7" t="n">
        <f aca="false">(75000/(1-'Prices&amp;Fuel'!G20))-AK20</f>
        <v>76923.0769230769</v>
      </c>
      <c r="AI20" s="7"/>
      <c r="AJ20" s="7"/>
      <c r="AK20" s="7"/>
      <c r="AL20" s="11" t="n">
        <f aca="false">ROUND((300000/(1-'Prices&amp;Fuel'!F20))-AF20-AG20-AH20,0)</f>
        <v>0</v>
      </c>
      <c r="AM20" s="7" t="n">
        <f aca="false">ROUND((((93404/(1-'Prices&amp;Fuel'!F20))+(25000/(1-'Prices&amp;Fuel'!G20)))-80000-AI20)/2,0)</f>
        <v>20720</v>
      </c>
      <c r="AN20" s="7" t="n">
        <f aca="false">ROUND(((106596/(1-'Prices&amp;Fuel'!F20))-AQ20-AJ20)/2,0)</f>
        <v>54556</v>
      </c>
      <c r="AO20" s="7" t="n">
        <f aca="false">ROUND((75000/(1-'Prices&amp;Fuel'!G20)-AV20-AK20)/2,0)</f>
        <v>31922</v>
      </c>
      <c r="AP20" s="7" t="n">
        <f aca="false">IF(80000&gt;AF20,AF20,80000)</f>
        <v>80000</v>
      </c>
      <c r="AQ20" s="7" t="n">
        <f aca="false">+AQ19</f>
        <v>217</v>
      </c>
      <c r="AR20" s="14" t="n">
        <f aca="false">AM20</f>
        <v>20720</v>
      </c>
      <c r="AS20" s="14" t="n">
        <f aca="false">AN20</f>
        <v>54556</v>
      </c>
      <c r="AT20" s="14" t="n">
        <f aca="false">AH20-AO20-AV20</f>
        <v>31921.1483516484</v>
      </c>
      <c r="AU20" s="14" t="n">
        <f aca="false">AL20*AX20*'Prices&amp;Fuel'!H20</f>
        <v>0</v>
      </c>
      <c r="AV20" s="7" t="n">
        <f aca="false">(294055+72183)/28</f>
        <v>13079.9285714286</v>
      </c>
      <c r="AW20" s="68" t="n">
        <f aca="false">AW19</f>
        <v>0.14</v>
      </c>
      <c r="AX20" s="68" t="n">
        <f aca="false">AX19</f>
        <v>0.05</v>
      </c>
      <c r="AY20" s="5" t="n">
        <f aca="false">('Prices&amp;Fuel'!H20*('Prices&amp;Fuel'!B20+AW20)*'Long Term Deals'!AF20)+('Prices&amp;Fuel'!H20*('Prices&amp;Fuel'!C20+'Long Term Deals'!AW20)*'Long Term Deals'!AG20)+(AH20*('Prices&amp;Fuel'!C20+AW20)*'Prices&amp;Fuel'!H20)+(AW20*AL20*'Prices&amp;Fuel'!H20)</f>
        <v>16353375.0153846</v>
      </c>
      <c r="AZ20" s="5" t="n">
        <f aca="false">(AP20*'Prices&amp;Fuel'!H20*'Prices&amp;Fuel'!B20)+(AQ20*'Prices&amp;Fuel'!C20*'Prices&amp;Fuel'!H20)+((AM20+AR20)*('Prices&amp;Fuel'!B20+'Long Term Deals'!AX20)*'Prices&amp;Fuel'!H20)+((AN20+AS20)*('Prices&amp;Fuel'!C20+'Long Term Deals'!AX20)*'Prices&amp;Fuel'!H20)+((AO20+AT20)*('Prices&amp;Fuel'!D20+'Long Term Deals'!AX20)*'Prices&amp;Fuel'!H20)+(AV20*'Prices&amp;Fuel'!H20*'Prices&amp;Fuel'!Q20)+AU20</f>
        <v>15389678.3053846</v>
      </c>
      <c r="BA20" s="5" t="n">
        <f aca="false">AY20-AZ20</f>
        <v>963696.710000001</v>
      </c>
      <c r="BB20" s="5" t="n">
        <f aca="false">IF('FP Corp'!T20-((BE20+BF20+BG20)*(1-'Prices&amp;Fuel'!F20))&lt;'Prices&amp;Fuel'!R20,('FP Corp'!T20-(BE20+BF20+BG20)*(1-'Prices&amp;Fuel'!F20)),'Prices&amp;Fuel'!R20)/(1-'Prices&amp;Fuel'!F20)</f>
        <v>4314.8717948718</v>
      </c>
      <c r="BC20" s="9" t="n">
        <f aca="false">('FP Corp'!T20/(1-'Prices&amp;Fuel'!F20))-BD20-BE20-BF20-BG20-BB20</f>
        <v>0</v>
      </c>
      <c r="BD20" s="9" t="n">
        <f aca="false">ROUND(IF('FP Corp'!T20/(1-'Prices&amp;Fuel'!F20)-BE20-BF20-BG20-BB20&gt;'Prices&amp;Fuel'!T20,'Prices&amp;Fuel'!T20,'FP Corp'!T20/(1-'Prices&amp;Fuel'!F20)-BE20-BF20-BG20-BB20),9)</f>
        <v>0</v>
      </c>
      <c r="BE20" s="9" t="n">
        <f aca="false">'Prices&amp;Fuel'!U20/(1-'Prices&amp;Fuel'!F20)</f>
        <v>2628.71794871795</v>
      </c>
      <c r="BF20" s="9" t="n">
        <f aca="false">('Prices&amp;Fuel'!V20+'Prices&amp;Fuel'!X20)/(1-'Prices&amp;Fuel'!F20)</f>
        <v>3635.89743589744</v>
      </c>
      <c r="BG20" s="9" t="n">
        <f aca="false">'Prices&amp;Fuel'!W20/(1-'Prices&amp;Fuel'!F20)</f>
        <v>1728.20512820513</v>
      </c>
      <c r="BH20" s="10" t="n">
        <f aca="false">('Prices&amp;Fuel'!C20+'Prices&amp;Fuel'!D20)/2-0.05+('Prices&amp;Fuel'!M20+'Prices&amp;Fuel'!P20)*(1-'Prices&amp;Fuel'!F20)</f>
        <v>2.5114225</v>
      </c>
      <c r="BI20" s="9" t="n">
        <f aca="false">IF(AP20=80000,0,BB20)</f>
        <v>0</v>
      </c>
      <c r="BJ20" s="9"/>
      <c r="BK20" s="10" t="n">
        <f aca="false">(((BB20+BE20)*('Prices&amp;Fuel'!B20+0.025))+(('Prices&amp;Fuel'!D20+0.025)*(BD20+BG20))+(('Prices&amp;Fuel'!C20+0.025)*(BC20+BF20))-(BI20+BJ20)*0.025)/(BB20+BC20+BD20+BE20+BF20+BG20)</f>
        <v>1.7738625</v>
      </c>
      <c r="BL20" s="9" t="n">
        <f aca="false">(BB20+BC20+BD20+BE20+BF20+BG20)*BH20*'Prices&amp;Fuel'!H20</f>
        <v>865474.830769231</v>
      </c>
      <c r="BM20" s="9" t="n">
        <f aca="false">'Prices&amp;Fuel'!X20*('Prices&amp;Fuel'!N20+'Prices&amp;Fuel'!O20)*'Prices&amp;Fuel'!H20</f>
        <v>4381.3084</v>
      </c>
      <c r="BN20" s="9" t="n">
        <f aca="false">('Prices&amp;Fuel'!U20+'Prices&amp;Fuel'!V20+'Prices&amp;Fuel'!W20)*('Prices&amp;Fuel'!L20+'Prices&amp;Fuel'!O20)*'Prices&amp;Fuel'!H20</f>
        <v>80707.032</v>
      </c>
      <c r="BO20" s="9" t="n">
        <f aca="false">((BB20+BC20+BD20)*(1-'Prices&amp;Fuel'!G20))*('Prices&amp;Fuel'!M20+'Prices&amp;Fuel'!P20)*'Prices&amp;Fuel'!H20</f>
        <v>97429.0716</v>
      </c>
      <c r="BP20" s="9" t="n">
        <f aca="false">((BD20+BC20+BB20+BE20+BF20+BG20)*BK20*'Prices&amp;Fuel'!H20)+BM20+BN20+BO20</f>
        <v>793817.719692308</v>
      </c>
      <c r="BQ20" s="5" t="n">
        <f aca="false">BL20-BP20</f>
        <v>71657.111076923</v>
      </c>
      <c r="BR20" s="7" t="n">
        <v>1000</v>
      </c>
      <c r="BT20" s="8" t="n">
        <f aca="false">IF('Prices&amp;Fuel'!$E20&lt;1.89,1.89,'Prices&amp;Fuel'!$E20)</f>
        <v>1.89</v>
      </c>
      <c r="BU20" s="8"/>
      <c r="BV20" s="13" t="n">
        <f aca="false">BT20</f>
        <v>1.89</v>
      </c>
      <c r="BW20" s="13"/>
      <c r="BX20" s="7" t="n">
        <f aca="false">(BR20*BT20+BS20*BU20)*'Prices&amp;Fuel'!H20</f>
        <v>52920</v>
      </c>
      <c r="BY20" s="7" t="n">
        <f aca="false">($BR20*BV20+$BS20*BW20)*'Prices&amp;Fuel'!H20</f>
        <v>52920</v>
      </c>
      <c r="BZ20" s="5" t="n">
        <f aca="false">BX20-BY20</f>
        <v>0</v>
      </c>
      <c r="CA20" s="5" t="n">
        <f aca="false">(AF20+AG20+AH20+AL20)*0.005*'Prices&amp;Fuel'!H20</f>
        <v>43076.9230769231</v>
      </c>
      <c r="CB20" s="5" t="n">
        <f aca="false">(B20+C20+D20+O20+P20+Q20+X20+Y20+BB20+BC20+BD20+BE20+BF20+BG20+BR20+BS20)*0.005*'Prices&amp;Fuel'!H20</f>
        <v>7308.37692307692</v>
      </c>
      <c r="CC20" s="7" t="n">
        <f aca="false">K20+T20+AB20+AY20+BL20+BX20</f>
        <v>19679119.4218957</v>
      </c>
      <c r="CD20" s="7" t="n">
        <f aca="false">L20+U20+AC20+AZ20+BP20+BY20+CA20+CB20</f>
        <v>18680738.0608187</v>
      </c>
      <c r="CE20" s="7" t="n">
        <f aca="false">CC20-CD20</f>
        <v>998381.361076921</v>
      </c>
      <c r="CF20" s="7" t="n">
        <f aca="false">'Index Price Deals'!AR20</f>
        <v>136415.8</v>
      </c>
      <c r="CG20" s="7" t="n">
        <f aca="false">'Index Price Deals'!AS20</f>
        <v>360.54</v>
      </c>
      <c r="CH20" s="7" t="n">
        <f aca="false">'Index Price Deals'!AT20</f>
        <v>131223.795324618</v>
      </c>
      <c r="CI20" s="7" t="n">
        <f aca="false">'Index Price Deals'!AU20</f>
        <v>5192.00467538205</v>
      </c>
      <c r="CJ20" s="7" t="n">
        <f aca="false">CC20+CF20</f>
        <v>19815535.2218957</v>
      </c>
      <c r="CK20" s="7" t="n">
        <f aca="false">CD20+CH20</f>
        <v>18811961.8561434</v>
      </c>
      <c r="CL20" s="7" t="n">
        <f aca="false">CE20+CI20</f>
        <v>1003573.3657523</v>
      </c>
      <c r="CM20" s="69"/>
      <c r="CN20" s="7" t="n">
        <f aca="false">Transport!U20</f>
        <v>588451.8192</v>
      </c>
      <c r="CO20" s="71" t="n">
        <f aca="false">[4]Sheet1!$AL61</f>
        <v>690638.612245373</v>
      </c>
      <c r="CQ20" s="7" t="n">
        <f aca="false">(((($B20+$C20+$D20+$O20+$P20+$Q20)*0.5)+BR20+BS20)*(0.005*'Prices&amp;Fuel'!$H20)+'Index Price Deals'!AV20)+(((BB20+BC20+BD20+BE20+BF20+BG20)*(1-'Prices&amp;Fuel'!F20))*0.005*0.5*'Prices&amp;Fuel'!H20)</f>
        <v>3289.93</v>
      </c>
      <c r="CR20" s="7" t="n">
        <f aca="false">(((($B20+$C20+$D20+$O20+$P20+$Q20)*0.5)+X20+Y20)*(0.005*'Prices&amp;Fuel'!$H20)+CA20+'Index Price Deals'!AW20)+(((BB20+BC20+BD20+BE20+BF20+BG20)*(1-'Prices&amp;Fuel'!F20))*0.005*0.5*'Prices&amp;Fuel'!H20)</f>
        <v>47412.8330769231</v>
      </c>
      <c r="CS20" s="11" t="n">
        <f aca="false">'Short Term Firm For Budget'!E20</f>
        <v>194995.08</v>
      </c>
      <c r="CT20" s="7" t="n">
        <f aca="false">[2]Sheet1!$O30</f>
        <v>403634.914449362</v>
      </c>
      <c r="CU20" s="7" t="n">
        <f aca="false">'[3]Long Term Deals'!$Z19</f>
        <v>125248.494803196</v>
      </c>
      <c r="CV20" s="70" t="n">
        <f aca="false">CL20-CN20-CT20+CU20+CS20+CO20</f>
        <v>1022368.81915151</v>
      </c>
      <c r="CW20" s="14" t="n">
        <f aca="false">((B20+C20+D20+O20+P20+Q20+X20+Y20+AF20+AG20+AH20+BB20+BC20+BD20+BE20+BF20+BG20+BR20+BS20)+('Index Price Deals'!B20+'Index Price Deals'!C20+'Index Price Deals'!D20+'Index Price Deals'!L20+'Index Price Deals'!M20+'Index Price Deals'!N20+'Index Price Deals'!AD20+'Index Price Deals'!AE20+'Index Price Deals'!AF20+'Index Price Deals'!AK20+'Index Price Deals'!AL20+'Index Price Deals'!AM20))*'Prices&amp;Fuel'!H20</f>
        <v>10149168</v>
      </c>
      <c r="CX20" s="12" t="n">
        <f aca="false">BQ20/(BB20+BC20+BD20+BE20+BF20+BG20)/'Prices&amp;Fuel'!H20</f>
        <v>0.20793358125</v>
      </c>
      <c r="CZ20" s="13" t="n">
        <f aca="false">(BA20-CT20+CU20)/(AF20+AG20+AH20)/'Prices&amp;Fuel'!H20</f>
        <v>0.0795449444160701</v>
      </c>
      <c r="DA20" s="1" t="n">
        <f aca="false">(B20+C20+D20)*'Prices&amp;Fuel'!H20</f>
        <v>190260</v>
      </c>
      <c r="DB20" s="1" t="n">
        <f aca="false">(O20+P20+Q20)*'Prices&amp;Fuel'!$H20</f>
        <v>702800</v>
      </c>
      <c r="DC20" s="1" t="n">
        <f aca="false">(X20+Y20)*'Prices&amp;Fuel'!$H20</f>
        <v>196000</v>
      </c>
      <c r="DD20" s="1" t="n">
        <f aca="false">(BR20)*'Prices&amp;Fuel'!$H20</f>
        <v>28000</v>
      </c>
      <c r="DE20" s="1" t="n">
        <v>300000</v>
      </c>
    </row>
    <row r="21" customFormat="false" ht="12.75" hidden="true" customHeight="false" outlineLevel="0" collapsed="false">
      <c r="A21" s="6" t="n">
        <f aca="false">+A20+365/12</f>
        <v>36235.6666666667</v>
      </c>
      <c r="B21" s="7" t="n">
        <v>4921</v>
      </c>
      <c r="C21" s="7" t="n">
        <f aca="false">4177</f>
        <v>4177</v>
      </c>
      <c r="D21" s="7" t="n">
        <v>1094</v>
      </c>
      <c r="E21" s="8" t="n">
        <f aca="false">IF(1.766*1.03*1.03*1.03*1.03&gt;'Prices&amp;Fuel'!B21+0.01,1.766*1.03*1.03*1.03*1.03,'Prices&amp;Fuel'!B21+0.01)</f>
        <v>1.98764855846</v>
      </c>
      <c r="F21" s="8" t="n">
        <f aca="false">IF(1.83*1.03*1.03*1.03*1.03&gt;'Prices&amp;Fuel'!C21+0.01,1.83*1.03*1.03*1.03*1.03,'Prices&amp;Fuel'!C21+0.01)</f>
        <v>2.0596811223</v>
      </c>
      <c r="G21" s="8" t="n">
        <f aca="false">IF(1.859*1.03*1.03*1.03*1.03&gt;'Prices&amp;Fuel'!D21+0.01,1.859*1.03*1.03*1.03*1.03,'Prices&amp;Fuel'!D21+0.01)</f>
        <v>2.09232087779</v>
      </c>
      <c r="H21" s="8" t="n">
        <f aca="false">E21-0.01</f>
        <v>1.97764855846</v>
      </c>
      <c r="I21" s="8" t="n">
        <f aca="false">F21-0.01</f>
        <v>2.0496811223</v>
      </c>
      <c r="J21" s="8" t="n">
        <f aca="false">G21-0.01</f>
        <v>2.08232087779</v>
      </c>
      <c r="K21" s="7" t="n">
        <f aca="false">((B21*E21)+(C21*F21)+(D21*G21))*'Prices&amp;Fuel'!H21</f>
        <v>640878.674974262</v>
      </c>
      <c r="L21" s="7" t="n">
        <f aca="false">(($B21*H21)+($C21*I21)+($D21*J21))*'Prices&amp;Fuel'!$H21</f>
        <v>637719.154974262</v>
      </c>
      <c r="M21" s="14" t="n">
        <f aca="false">K21-L21</f>
        <v>3159.52000000014</v>
      </c>
      <c r="O21" s="7" t="n">
        <v>9036</v>
      </c>
      <c r="P21" s="7" t="n">
        <v>10794</v>
      </c>
      <c r="Q21" s="7" t="n">
        <v>5270</v>
      </c>
      <c r="R21" s="8" t="n">
        <f aca="false">R20</f>
        <v>2.2017</v>
      </c>
      <c r="S21" s="8" t="n">
        <f aca="false">S20</f>
        <v>2.1909</v>
      </c>
      <c r="T21" s="7" t="n">
        <f aca="false">(($O21*R21)+($P21*R21)+($Q21*R21))*'Prices&amp;Fuel'!$H21</f>
        <v>1713142.77</v>
      </c>
      <c r="U21" s="7" t="n">
        <f aca="false">(($O21*S21)+($P21*S21)+($Q21*S21))*'Prices&amp;Fuel'!$H21</f>
        <v>1704739.29</v>
      </c>
      <c r="V21" s="14" t="n">
        <f aca="false">T21-U21</f>
        <v>8403.48000000045</v>
      </c>
      <c r="X21" s="7" t="n">
        <f aca="false">7000*0.5</f>
        <v>3500</v>
      </c>
      <c r="Y21" s="7" t="n">
        <f aca="false">X21</f>
        <v>3500</v>
      </c>
      <c r="Z21" s="27" t="n">
        <v>2.2</v>
      </c>
      <c r="AA21" s="27" t="n">
        <v>2.18</v>
      </c>
      <c r="AB21" s="7" t="n">
        <f aca="false">($X21+$Y21)*Z21*'Prices&amp;Fuel'!$H21</f>
        <v>477400</v>
      </c>
      <c r="AC21" s="7" t="n">
        <f aca="false">($X21+$Y21)*AA21*'Prices&amp;Fuel'!$H21</f>
        <v>473060</v>
      </c>
      <c r="AD21" s="14" t="n">
        <f aca="false">AB21-AC21</f>
        <v>4340</v>
      </c>
      <c r="AF21" s="7" t="n">
        <f aca="false">(93404/(1-'Prices&amp;Fuel'!F21))+(25000/(1-'Prices&amp;Fuel'!G21))-AI21</f>
        <v>121440</v>
      </c>
      <c r="AG21" s="7" t="n">
        <f aca="false">(106596/(1-'Prices&amp;Fuel'!F21))-AJ21</f>
        <v>109329.230769231</v>
      </c>
      <c r="AH21" s="7" t="n">
        <f aca="false">(75000/(1-'Prices&amp;Fuel'!G21))-AK21</f>
        <v>76923.0769230769</v>
      </c>
      <c r="AI21" s="7"/>
      <c r="AJ21" s="7"/>
      <c r="AK21" s="7"/>
      <c r="AL21" s="11" t="n">
        <f aca="false">ROUND((300000/(1-'Prices&amp;Fuel'!F21))-AF21-AG21-AH21,0)</f>
        <v>0</v>
      </c>
      <c r="AM21" s="7" t="n">
        <f aca="false">ROUND((((93404/(1-'Prices&amp;Fuel'!F21))+(25000/(1-'Prices&amp;Fuel'!G21)))-80000-AI21)/2,0)</f>
        <v>20720</v>
      </c>
      <c r="AN21" s="7" t="n">
        <f aca="false">ROUND(((106596/(1-'Prices&amp;Fuel'!F21))-AQ21-AJ21)/2,0)</f>
        <v>54556</v>
      </c>
      <c r="AO21" s="7" t="n">
        <f aca="false">ROUND((75000/(1-'Prices&amp;Fuel'!G21)-AV21-AK21)/2,0)</f>
        <v>33055</v>
      </c>
      <c r="AP21" s="7" t="n">
        <f aca="false">IF(80000&gt;AF21,AF21,80000)</f>
        <v>80000</v>
      </c>
      <c r="AQ21" s="7" t="n">
        <f aca="false">+AQ20</f>
        <v>217</v>
      </c>
      <c r="AR21" s="14" t="n">
        <f aca="false">AM21</f>
        <v>20720</v>
      </c>
      <c r="AS21" s="14" t="n">
        <f aca="false">AN21</f>
        <v>54556</v>
      </c>
      <c r="AT21" s="14" t="n">
        <f aca="false">AH21-AO21-AV21</f>
        <v>33055.3995037221</v>
      </c>
      <c r="AU21" s="14" t="n">
        <f aca="false">AL21*AX21*'Prices&amp;Fuel'!H21</f>
        <v>0</v>
      </c>
      <c r="AV21" s="7" t="n">
        <f aca="false">(265966+69227)/31</f>
        <v>10812.6774193548</v>
      </c>
      <c r="AW21" s="68" t="n">
        <f aca="false">AW20</f>
        <v>0.14</v>
      </c>
      <c r="AX21" s="68" t="n">
        <f aca="false">AX20</f>
        <v>0.05</v>
      </c>
      <c r="AY21" s="5" t="n">
        <f aca="false">('Prices&amp;Fuel'!H21*('Prices&amp;Fuel'!B21+AW21)*'Long Term Deals'!AF21)+('Prices&amp;Fuel'!H21*('Prices&amp;Fuel'!C21+'Long Term Deals'!AW21)*'Long Term Deals'!AG21)+(AH21*('Prices&amp;Fuel'!C21+AW21)*'Prices&amp;Fuel'!H21)+(AW21*AL21*'Prices&amp;Fuel'!H21)</f>
        <v>16732491.3230769</v>
      </c>
      <c r="AZ21" s="5" t="n">
        <f aca="false">(AP21*'Prices&amp;Fuel'!H21*'Prices&amp;Fuel'!B21)+(AQ21*'Prices&amp;Fuel'!C21*'Prices&amp;Fuel'!H21)+((AM21+AR21)*('Prices&amp;Fuel'!B21+'Long Term Deals'!AX21)*'Prices&amp;Fuel'!H21)+((AN21+AS21)*('Prices&amp;Fuel'!C21+'Long Term Deals'!AX21)*'Prices&amp;Fuel'!H21)+((AO21+AT21)*('Prices&amp;Fuel'!D21+'Long Term Deals'!AX21)*'Prices&amp;Fuel'!H21)+(AV21*'Prices&amp;Fuel'!H21*'Prices&amp;Fuel'!Q21)+AU21</f>
        <v>15660460.7046154</v>
      </c>
      <c r="BA21" s="5" t="n">
        <f aca="false">AY21-AZ21</f>
        <v>1072030.61846154</v>
      </c>
      <c r="BB21" s="5" t="n">
        <f aca="false">IF('FP Corp'!T21-((BE21+BF21+BG21)*(1-'Prices&amp;Fuel'!F21))&lt;'Prices&amp;Fuel'!R21,('FP Corp'!T21-(BE21+BF21+BG21)*(1-'Prices&amp;Fuel'!F21)),'Prices&amp;Fuel'!R21)/(1-'Prices&amp;Fuel'!F21)</f>
        <v>4314.8717948718</v>
      </c>
      <c r="BC21" s="9" t="n">
        <f aca="false">('FP Corp'!T21/(1-'Prices&amp;Fuel'!F21))-BD21-BE21-BF21-BG21-BB21</f>
        <v>0</v>
      </c>
      <c r="BD21" s="9" t="n">
        <f aca="false">ROUND(IF('FP Corp'!T21/(1-'Prices&amp;Fuel'!F21)-BE21-BF21-BG21-BB21&gt;'Prices&amp;Fuel'!T21,'Prices&amp;Fuel'!T21,'FP Corp'!T21/(1-'Prices&amp;Fuel'!F21)-BE21-BF21-BG21-BB21),9)</f>
        <v>0</v>
      </c>
      <c r="BE21" s="9" t="n">
        <f aca="false">'Prices&amp;Fuel'!U21/(1-'Prices&amp;Fuel'!F21)</f>
        <v>2628.71794871795</v>
      </c>
      <c r="BF21" s="9" t="n">
        <f aca="false">('Prices&amp;Fuel'!V21+'Prices&amp;Fuel'!X21)/(1-'Prices&amp;Fuel'!F21)</f>
        <v>3635.89743589744</v>
      </c>
      <c r="BG21" s="9" t="n">
        <f aca="false">'Prices&amp;Fuel'!W21/(1-'Prices&amp;Fuel'!F21)</f>
        <v>1728.20512820513</v>
      </c>
      <c r="BH21" s="10" t="n">
        <f aca="false">('Prices&amp;Fuel'!C21+'Prices&amp;Fuel'!D21)/2-0.05+('Prices&amp;Fuel'!M21+'Prices&amp;Fuel'!P21)*(1-'Prices&amp;Fuel'!F21)</f>
        <v>2.3367125</v>
      </c>
      <c r="BI21" s="9" t="n">
        <f aca="false">IF(AP21=80000,0,BB21)</f>
        <v>0</v>
      </c>
      <c r="BJ21" s="9"/>
      <c r="BK21" s="10" t="n">
        <f aca="false">(((BB21+BE21)*('Prices&amp;Fuel'!B21+0.025))+(('Prices&amp;Fuel'!D21+0.025)*(BD21+BG21))+(('Prices&amp;Fuel'!C21+0.025)*(BC21+BF21))-(BI21+BJ21)*0.025)/(BB21+BC21+BD21+BE21+BF21+BG21)</f>
        <v>1.62822083333333</v>
      </c>
      <c r="BL21" s="9" t="n">
        <f aca="false">(BB21+BC21+BD21+BE21+BF21+BG21)*BH21*'Prices&amp;Fuel'!H21</f>
        <v>891545.692307692</v>
      </c>
      <c r="BM21" s="9" t="n">
        <f aca="false">'Prices&amp;Fuel'!X21*('Prices&amp;Fuel'!N21+'Prices&amp;Fuel'!O21)*'Prices&amp;Fuel'!H21</f>
        <v>4850.7343</v>
      </c>
      <c r="BN21" s="9" t="n">
        <f aca="false">('Prices&amp;Fuel'!U21+'Prices&amp;Fuel'!V21+'Prices&amp;Fuel'!W21)*('Prices&amp;Fuel'!L21+'Prices&amp;Fuel'!O21)*'Prices&amp;Fuel'!H21</f>
        <v>89354.214</v>
      </c>
      <c r="BO21" s="9" t="n">
        <f aca="false">((BB21+BC21+BD21)*(1-'Prices&amp;Fuel'!G21))*('Prices&amp;Fuel'!M21+'Prices&amp;Fuel'!P21)*'Prices&amp;Fuel'!H21</f>
        <v>103225.0555</v>
      </c>
      <c r="BP21" s="9" t="n">
        <f aca="false">((BD21+BC21+BB21+BE21+BF21+BG21)*BK21*'Prices&amp;Fuel'!H21)+BM21+BN21+BO21</f>
        <v>818658.875594872</v>
      </c>
      <c r="BQ21" s="5" t="n">
        <f aca="false">BL21-BP21</f>
        <v>72886.8167128204</v>
      </c>
      <c r="BR21" s="7" t="n">
        <v>1000</v>
      </c>
      <c r="BT21" s="8" t="n">
        <f aca="false">IF('Prices&amp;Fuel'!$E21&lt;1.89,1.89,'Prices&amp;Fuel'!$E21)</f>
        <v>1.89</v>
      </c>
      <c r="BU21" s="8"/>
      <c r="BV21" s="13" t="n">
        <f aca="false">BT21</f>
        <v>1.89</v>
      </c>
      <c r="BW21" s="13"/>
      <c r="BX21" s="7" t="n">
        <f aca="false">(BR21*BT21+BS21*BU21)*'Prices&amp;Fuel'!H21</f>
        <v>58590</v>
      </c>
      <c r="BY21" s="7" t="n">
        <f aca="false">($BR21*BV21+$BS21*BW21)*'Prices&amp;Fuel'!H21</f>
        <v>58590</v>
      </c>
      <c r="BZ21" s="5" t="n">
        <f aca="false">BX21-BY21</f>
        <v>0</v>
      </c>
      <c r="CA21" s="5" t="n">
        <f aca="false">(AF21+AG21+AH21+AL21)*0.005*'Prices&amp;Fuel'!H21</f>
        <v>47692.3076923077</v>
      </c>
      <c r="CB21" s="5" t="n">
        <f aca="false">(B21+C21+D21+O21+P21+Q21+X21+Y21+BB21+BC21+BD21+BE21+BF21+BG21+BR21+BS21)*0.005*'Prices&amp;Fuel'!H21</f>
        <v>8617.95230769231</v>
      </c>
      <c r="CC21" s="7" t="n">
        <f aca="false">K21+T21+AB21+AY21+BL21+BX21</f>
        <v>20514048.4603589</v>
      </c>
      <c r="CD21" s="7" t="n">
        <f aca="false">L21+U21+AC21+AZ21+BP21+BY21+CA21+CB21</f>
        <v>19409538.2851845</v>
      </c>
      <c r="CE21" s="7" t="n">
        <f aca="false">CC21-CD21</f>
        <v>1104510.17517436</v>
      </c>
      <c r="CF21" s="7" t="n">
        <f aca="false">'Index Price Deals'!AR21</f>
        <v>121920.906666667</v>
      </c>
      <c r="CG21" s="7" t="n">
        <f aca="false">'Index Price Deals'!AS21</f>
        <v>347.465</v>
      </c>
      <c r="CH21" s="7" t="n">
        <f aca="false">'Index Price Deals'!AT21</f>
        <v>116510.755508212</v>
      </c>
      <c r="CI21" s="7" t="n">
        <f aca="false">'Index Price Deals'!AU21</f>
        <v>5410.15115845499</v>
      </c>
      <c r="CJ21" s="7" t="n">
        <f aca="false">CC21+CF21</f>
        <v>20635969.3670255</v>
      </c>
      <c r="CK21" s="7" t="n">
        <f aca="false">CD21+CH21</f>
        <v>19526049.0406927</v>
      </c>
      <c r="CL21" s="7" t="n">
        <f aca="false">CE21+CI21</f>
        <v>1109920.32633281</v>
      </c>
      <c r="CM21" s="69"/>
      <c r="CN21" s="7" t="n">
        <f aca="false">Transport!U21</f>
        <v>623274.9485</v>
      </c>
      <c r="CO21" s="71" t="n">
        <f aca="false">[4]Sheet1!$AL62</f>
        <v>764635.60641452</v>
      </c>
      <c r="CQ21" s="7" t="n">
        <f aca="false">(((($B21+$C21+$D21+$O21+$P21+$Q21)*0.5)+BR21+BS21)*(0.005*'Prices&amp;Fuel'!$H21)+'Index Price Deals'!AV21)+(((BB21+BC21+BD21+BE21+BF21+BG21)*(1-'Prices&amp;Fuel'!F21))*0.005*0.5*'Prices&amp;Fuel'!H21)</f>
        <v>3875.93</v>
      </c>
      <c r="CR21" s="7" t="n">
        <f aca="false">(((($B21+$C21+$D21+$O21+$P21+$Q21)*0.5)+X21+Y21)*(0.005*'Prices&amp;Fuel'!$H21)+CA21+'Index Price Deals'!AW21)+(((BB21+BC21+BD21+BE21+BF21+BG21)*(1-'Prices&amp;Fuel'!F21))*0.005*0.5*'Prices&amp;Fuel'!H21)</f>
        <v>52734.1026923077</v>
      </c>
      <c r="CS21" s="11" t="n">
        <f aca="false">'Short Term Firm For Budget'!E21</f>
        <v>215887.41</v>
      </c>
      <c r="CT21" s="7" t="n">
        <f aca="false">[2]Sheet1!$O31</f>
        <v>446881.51242608</v>
      </c>
      <c r="CU21" s="7" t="n">
        <f aca="false">'[3]Long Term Deals'!$Z20</f>
        <v>138667.976389252</v>
      </c>
      <c r="CV21" s="70" t="n">
        <f aca="false">CL21-CN21-CT21+CU21+CS21+CO21</f>
        <v>1158954.8582105</v>
      </c>
      <c r="CW21" s="14" t="n">
        <f aca="false">((B21+C21+D21+O21+P21+Q21+X21+Y21+AF21+AG21+AH21+BB21+BC21+BD21+BE21+BF21+BG21+BR21+BS21)+('Index Price Deals'!B21+'Index Price Deals'!C21+'Index Price Deals'!D21+'Index Price Deals'!L21+'Index Price Deals'!M21+'Index Price Deals'!N21+'Index Price Deals'!AD21+'Index Price Deals'!AE21+'Index Price Deals'!AF21+'Index Price Deals'!AK21+'Index Price Deals'!AL21+'Index Price Deals'!AM21))*'Prices&amp;Fuel'!H21</f>
        <v>11331545</v>
      </c>
      <c r="CX21" s="12" t="n">
        <f aca="false">BQ21/(BB21+BC21+BD21+BE21+BF21+BG21)/'Prices&amp;Fuel'!H21</f>
        <v>0.191033995416666</v>
      </c>
      <c r="CZ21" s="13" t="n">
        <f aca="false">(BA21-CT21+CU21)/(AF21+AG21+AH21)/'Prices&amp;Fuel'!H21</f>
        <v>0.0800775973509777</v>
      </c>
      <c r="DA21" s="1" t="n">
        <f aca="false">(B21+C21+D21)*'Prices&amp;Fuel'!H21</f>
        <v>315952</v>
      </c>
      <c r="DB21" s="1" t="n">
        <f aca="false">(O21+P21+Q21)*'Prices&amp;Fuel'!$H21</f>
        <v>778100</v>
      </c>
      <c r="DC21" s="1" t="n">
        <f aca="false">(X21+Y21)*'Prices&amp;Fuel'!$H21</f>
        <v>217000</v>
      </c>
      <c r="DD21" s="1" t="n">
        <f aca="false">(BR21)*'Prices&amp;Fuel'!$H21</f>
        <v>31000</v>
      </c>
      <c r="DE21" s="1" t="n">
        <v>300000</v>
      </c>
    </row>
    <row r="22" customFormat="false" ht="12.75" hidden="true" customHeight="false" outlineLevel="0" collapsed="false">
      <c r="A22" s="6" t="n">
        <f aca="false">+A21+365/12</f>
        <v>36266.0833333333</v>
      </c>
      <c r="M22" s="25"/>
      <c r="O22" s="7" t="n">
        <v>9036</v>
      </c>
      <c r="P22" s="7" t="n">
        <v>10794</v>
      </c>
      <c r="Q22" s="7" t="n">
        <v>5270</v>
      </c>
      <c r="R22" s="8" t="n">
        <f aca="false">R21</f>
        <v>2.2017</v>
      </c>
      <c r="S22" s="8" t="n">
        <f aca="false">S21</f>
        <v>2.1909</v>
      </c>
      <c r="T22" s="7" t="n">
        <f aca="false">(($O22*R22)+($P22*R22)+($Q22*R22))*'Prices&amp;Fuel'!$H22</f>
        <v>1657880.1</v>
      </c>
      <c r="U22" s="7" t="n">
        <f aca="false">(($O22*S22)+($P22*S22)+($Q22*S22))*'Prices&amp;Fuel'!$H22</f>
        <v>1649747.7</v>
      </c>
      <c r="V22" s="14" t="n">
        <f aca="false">T22-U22</f>
        <v>8132.40000000014</v>
      </c>
      <c r="X22" s="7" t="n">
        <f aca="false">7000*0.5</f>
        <v>3500</v>
      </c>
      <c r="Y22" s="7" t="n">
        <f aca="false">X22</f>
        <v>3500</v>
      </c>
      <c r="Z22" s="27" t="n">
        <v>2.2</v>
      </c>
      <c r="AA22" s="27" t="n">
        <v>2.18</v>
      </c>
      <c r="AB22" s="7" t="n">
        <f aca="false">($X22+$Y22)*Z22*'Prices&amp;Fuel'!$H22</f>
        <v>462000</v>
      </c>
      <c r="AC22" s="7" t="n">
        <f aca="false">($X22+$Y22)*AA22*'Prices&amp;Fuel'!$H22</f>
        <v>457800</v>
      </c>
      <c r="AD22" s="14" t="n">
        <f aca="false">AB22-AC22</f>
        <v>4200</v>
      </c>
      <c r="AF22" s="7" t="n">
        <f aca="false">(102383/(1-'Prices&amp;Fuel'!F22))+(25000/(1-'Prices&amp;Fuel'!G22))-AI22</f>
        <v>130649.230769231</v>
      </c>
      <c r="AG22" s="7" t="n">
        <f aca="false">(97617/(1-'Prices&amp;Fuel'!F22))-AJ22</f>
        <v>100120</v>
      </c>
      <c r="AH22" s="7" t="n">
        <f aca="false">(75000/(1-'Prices&amp;Fuel'!G22))-AK22</f>
        <v>76923.0769230769</v>
      </c>
      <c r="AI22" s="7"/>
      <c r="AJ22" s="7"/>
      <c r="AK22" s="7"/>
      <c r="AL22" s="11" t="n">
        <f aca="false">ROUND((300000/(1-'Prices&amp;Fuel'!F22))-AF22-AG22-AH22,0)</f>
        <v>0</v>
      </c>
      <c r="AM22" s="7" t="n">
        <f aca="false">ROUND(((((99813+2570)/(1-'Prices&amp;Fuel'!F22))+(25000/(1-'Prices&amp;Fuel'!G22)))-80000)/2,0)-AI22/2</f>
        <v>25325</v>
      </c>
      <c r="AN22" s="7" t="n">
        <f aca="false">ROUND(((97617/(1-'Prices&amp;Fuel'!F22))-AQ22-AJ22)/2,0)</f>
        <v>49952</v>
      </c>
      <c r="AO22" s="7" t="n">
        <f aca="false">ROUND((75000/(1-'Prices&amp;Fuel'!G22)-AV22-AK22)/2,0)</f>
        <v>33031</v>
      </c>
      <c r="AP22" s="7" t="n">
        <f aca="false">IF(80000&gt;AF22,AF22,80000)</f>
        <v>80000</v>
      </c>
      <c r="AQ22" s="7" t="n">
        <f aca="false">+AQ21</f>
        <v>217</v>
      </c>
      <c r="AR22" s="14" t="n">
        <f aca="false">AM22</f>
        <v>25325</v>
      </c>
      <c r="AS22" s="14" t="n">
        <f aca="false">AN22</f>
        <v>49952</v>
      </c>
      <c r="AT22" s="14" t="n">
        <f aca="false">AH22-AO22-AV22</f>
        <v>33031.9102564103</v>
      </c>
      <c r="AU22" s="14" t="n">
        <f aca="false">AL22*AX22*'Prices&amp;Fuel'!H22</f>
        <v>0</v>
      </c>
      <c r="AV22" s="7" t="n">
        <f aca="false">(260184+65621)/30</f>
        <v>10860.1666666667</v>
      </c>
      <c r="AW22" s="68" t="n">
        <f aca="false">AW21</f>
        <v>0.14</v>
      </c>
      <c r="AX22" s="68" t="n">
        <f aca="false">AX21</f>
        <v>0.05</v>
      </c>
      <c r="AY22" s="5" t="n">
        <f aca="false">('Prices&amp;Fuel'!H22*('Prices&amp;Fuel'!B22+AW22)*'Long Term Deals'!AF22)+('Prices&amp;Fuel'!H22*('Prices&amp;Fuel'!C22+'Long Term Deals'!AW22)*'Long Term Deals'!AG22)+(AH22*('Prices&amp;Fuel'!C22+AW22)*'Prices&amp;Fuel'!H22)+(AW22*AL22*'Prices&amp;Fuel'!H22)</f>
        <v>18489374.7692308</v>
      </c>
      <c r="AZ22" s="5" t="n">
        <f aca="false">(AP22*'Prices&amp;Fuel'!H22*'Prices&amp;Fuel'!B22)+(AQ22*'Prices&amp;Fuel'!C22*'Prices&amp;Fuel'!H22)+((AM22+AR22)*('Prices&amp;Fuel'!B22+'Long Term Deals'!AX22)*'Prices&amp;Fuel'!H22)+((AN22+AS22)*('Prices&amp;Fuel'!C22+'Long Term Deals'!AX22)*'Prices&amp;Fuel'!H22)+((AO22+AT22)*('Prices&amp;Fuel'!D22+'Long Term Deals'!AX22)*'Prices&amp;Fuel'!H22)+(AV22*'Prices&amp;Fuel'!H22*'Prices&amp;Fuel'!Q22)+AU22</f>
        <v>17446985.5846154</v>
      </c>
      <c r="BA22" s="5" t="n">
        <f aca="false">AY22-AZ22</f>
        <v>1042389.18461538</v>
      </c>
      <c r="BB22" s="5" t="n">
        <f aca="false">IF('FP Corp'!T22-((BE22+BF22+BG22)*(1-'Prices&amp;Fuel'!F22))&lt;'Prices&amp;Fuel'!R22,('FP Corp'!T22-(BE22+BF22+BG22)*(1-'Prices&amp;Fuel'!F22)),'Prices&amp;Fuel'!R22)/(1-'Prices&amp;Fuel'!F22)</f>
        <v>6262.5641025641</v>
      </c>
      <c r="BC22" s="9" t="n">
        <f aca="false">('FP Corp'!T22/(1-'Prices&amp;Fuel'!F22))-BD22-BE22-BF22-BG22-BB22</f>
        <v>0</v>
      </c>
      <c r="BD22" s="9" t="n">
        <f aca="false">ROUND(IF('FP Corp'!T22/(1-'Prices&amp;Fuel'!F22)-BE22-BF22-BG22-BB22&gt;'Prices&amp;Fuel'!T22,'Prices&amp;Fuel'!T22,'FP Corp'!T22/(1-'Prices&amp;Fuel'!F22)-BE22-BF22-BG22-BB22),9)</f>
        <v>0</v>
      </c>
      <c r="BE22" s="9" t="n">
        <f aca="false">'Prices&amp;Fuel'!U22/(1-'Prices&amp;Fuel'!F22)</f>
        <v>1928.20512820513</v>
      </c>
      <c r="BF22" s="9" t="n">
        <f aca="false">('Prices&amp;Fuel'!V22+'Prices&amp;Fuel'!X22)/(1-'Prices&amp;Fuel'!F22)</f>
        <v>2826.66666666667</v>
      </c>
      <c r="BG22" s="9" t="n">
        <f aca="false">'Prices&amp;Fuel'!W22/(1-'Prices&amp;Fuel'!F22)</f>
        <v>1290.25641025641</v>
      </c>
      <c r="BH22" s="10" t="n">
        <f aca="false">('Prices&amp;Fuel'!C22+'Prices&amp;Fuel'!D22)/2-0.05+('Prices&amp;Fuel'!M22+'Prices&amp;Fuel'!P22)*(1-'Prices&amp;Fuel'!F22)</f>
        <v>2.5933425</v>
      </c>
      <c r="BI22" s="9" t="n">
        <f aca="false">IF(AP22=80000,0,BB22)</f>
        <v>0</v>
      </c>
      <c r="BJ22" s="9"/>
      <c r="BK22" s="10" t="n">
        <f aca="false">(((BB22+BE22)*('Prices&amp;Fuel'!B22+0.025))+(('Prices&amp;Fuel'!D22+0.025)*(BD22+BG22))+(('Prices&amp;Fuel'!C22+0.025)*(BC22+BF22))-(BI22+BJ22)*0.025)/(BB22+BC22+BD22+BE22+BF22+BG22)</f>
        <v>1.875235</v>
      </c>
      <c r="BL22" s="9" t="n">
        <f aca="false">(BB22+BC22+BD22+BE22+BF22+BG22)*BH22*'Prices&amp;Fuel'!H22</f>
        <v>957541.846153846</v>
      </c>
      <c r="BM22" s="9" t="n">
        <f aca="false">'Prices&amp;Fuel'!X22*('Prices&amp;Fuel'!N22+'Prices&amp;Fuel'!O22)*'Prices&amp;Fuel'!H22</f>
        <v>4833.591</v>
      </c>
      <c r="BN22" s="9" t="n">
        <f aca="false">('Prices&amp;Fuel'!U22+'Prices&amp;Fuel'!V22+'Prices&amp;Fuel'!W22)*('Prices&amp;Fuel'!L22+'Prices&amp;Fuel'!O22)*'Prices&amp;Fuel'!H22</f>
        <v>64439.226</v>
      </c>
      <c r="BO22" s="9" t="n">
        <f aca="false">((BB22+BC22+BD22)*(1-'Prices&amp;Fuel'!G22))*('Prices&amp;Fuel'!M22+'Prices&amp;Fuel'!P22)*'Prices&amp;Fuel'!H22</f>
        <v>146232.594</v>
      </c>
      <c r="BP22" s="9" t="n">
        <f aca="false">((BD22+BC22+BB22+BE22+BF22+BG22)*BK22*'Prices&amp;Fuel'!H22)+BM22+BN22+BO22</f>
        <v>907899.872538462</v>
      </c>
      <c r="BQ22" s="5" t="n">
        <f aca="false">BL22-BP22</f>
        <v>49641.9736153844</v>
      </c>
      <c r="BR22" s="7" t="n">
        <v>1000</v>
      </c>
      <c r="BT22" s="8" t="n">
        <f aca="false">IF('Prices&amp;Fuel'!$E22&lt;1.89,1.89,'Prices&amp;Fuel'!$E22)</f>
        <v>1.89</v>
      </c>
      <c r="BU22" s="8"/>
      <c r="BV22" s="13" t="n">
        <f aca="false">BT22</f>
        <v>1.89</v>
      </c>
      <c r="BW22" s="13"/>
      <c r="BX22" s="7" t="n">
        <f aca="false">(BR22*BT22+BS22*BU22)*'Prices&amp;Fuel'!H22</f>
        <v>56700</v>
      </c>
      <c r="BY22" s="7" t="n">
        <f aca="false">($BR22*BV22+$BS22*BW22)*'Prices&amp;Fuel'!H22</f>
        <v>56700</v>
      </c>
      <c r="BZ22" s="5" t="n">
        <f aca="false">BX22-BY22</f>
        <v>0</v>
      </c>
      <c r="CA22" s="5" t="n">
        <f aca="false">(AF22+AG22+AH22+AL22)*0.005*'Prices&amp;Fuel'!H22</f>
        <v>46153.8461538462</v>
      </c>
      <c r="CB22" s="5" t="n">
        <f aca="false">(B22+C22+D22+O22+P22+Q22+X22+Y22+BB22+BC22+BD22+BE22+BF22+BG22+BR22+BS22)*0.005*'Prices&amp;Fuel'!H22</f>
        <v>6811.15384615385</v>
      </c>
      <c r="CC22" s="7" t="n">
        <f aca="false">K22+T22+AB22+AY22+BL22+BX22</f>
        <v>21623496.7153846</v>
      </c>
      <c r="CD22" s="7" t="n">
        <f aca="false">L22+U22+AC22+AZ22+BP22+BY22+CA22+CB22</f>
        <v>20572098.1571538</v>
      </c>
      <c r="CE22" s="7" t="n">
        <f aca="false">CC22-CD22</f>
        <v>1051398.55823077</v>
      </c>
      <c r="CF22" s="7" t="n">
        <f aca="false">'Index Price Deals'!AR22</f>
        <v>97574.3833333333</v>
      </c>
      <c r="CG22" s="7" t="n">
        <f aca="false">'Index Price Deals'!AS22</f>
        <v>243.64</v>
      </c>
      <c r="CH22" s="7" t="n">
        <f aca="false">'Index Price Deals'!AT22</f>
        <v>93899.9964701069</v>
      </c>
      <c r="CI22" s="7" t="n">
        <f aca="false">'Index Price Deals'!AU22</f>
        <v>3674.38686322642</v>
      </c>
      <c r="CJ22" s="7" t="n">
        <f aca="false">CC22+CF22</f>
        <v>21721071.098718</v>
      </c>
      <c r="CK22" s="7" t="n">
        <f aca="false">CD22+CH22</f>
        <v>20665998.153624</v>
      </c>
      <c r="CL22" s="7" t="n">
        <f aca="false">CE22+CI22</f>
        <v>1055072.945094</v>
      </c>
      <c r="CM22" s="69"/>
      <c r="CN22" s="7" t="n">
        <f aca="false">Transport!U22</f>
        <v>558761.19</v>
      </c>
      <c r="CO22" s="71" t="n">
        <f aca="false">[4]Sheet1!$AL63</f>
        <v>739969.941691471</v>
      </c>
      <c r="CQ22" s="7" t="n">
        <f aca="false">(((($B22+$C22+$D22+$O22+$P22+$Q22)*0.5)+BR22+BS22)*(0.005*'Prices&amp;Fuel'!$H22)+'Index Price Deals'!AV22)+(((BB22+BC22+BD22+BE22+BF22+BG22)*(1-'Prices&amp;Fuel'!F22))*0.005*0.5*'Prices&amp;Fuel'!H22)</f>
        <v>2988.75</v>
      </c>
      <c r="CR22" s="7" t="n">
        <f aca="false">(((($B22+$C22+$D22+$O22+$P22+$Q22)*0.5)+X22+Y22)*(0.005*'Prices&amp;Fuel'!$H22)+CA22+'Index Price Deals'!AW22)+(((BB22+BC22+BD22+BE22+BF22+BG22)*(1-'Prices&amp;Fuel'!F22))*0.005*0.5*'Prices&amp;Fuel'!H22)</f>
        <v>50173.7361538462</v>
      </c>
      <c r="CS22" s="11" t="n">
        <f aca="false">'Short Term Firm For Budget'!E22</f>
        <v>193541.4</v>
      </c>
      <c r="CT22" s="7" t="n">
        <f aca="false">[2]Sheet1!$O32</f>
        <v>432465.979767174</v>
      </c>
      <c r="CU22" s="7" t="n">
        <f aca="false">'[3]Long Term Deals'!$Z21</f>
        <v>134194.815860567</v>
      </c>
      <c r="CV22" s="70" t="n">
        <f aca="false">CL22-CN22-CT22+CU22+CS22+CO22</f>
        <v>1131551.93287886</v>
      </c>
      <c r="CW22" s="14" t="n">
        <f aca="false">((B22+C22+D22+O22+P22+Q22+X22+Y22+AF22+AG22+AH22+BB22+BC22+BD22+BE22+BF22+BG22+BR22+BS22)+('Index Price Deals'!B22+'Index Price Deals'!C22+'Index Price Deals'!D22+'Index Price Deals'!L22+'Index Price Deals'!M22+'Index Price Deals'!N22+'Index Price Deals'!AD22+'Index Price Deals'!AE22+'Index Price Deals'!AF22+'Index Price Deals'!AK22+'Index Price Deals'!AL22+'Index Price Deals'!AM22))*'Prices&amp;Fuel'!H22</f>
        <v>10641728</v>
      </c>
      <c r="CX22" s="12" t="n">
        <f aca="false">BQ22/(BB22+BC22+BD22+BE22+BF22+BG22)/'Prices&amp;Fuel'!H22</f>
        <v>0.134447011875</v>
      </c>
      <c r="CZ22" s="13" t="n">
        <f aca="false">(BA22-CT22+CU22)/(AF22+AG22+AH22)/'Prices&amp;Fuel'!H22</f>
        <v>0.0806127855767843</v>
      </c>
      <c r="DB22" s="1" t="n">
        <f aca="false">(O22+P22+Q22)*'Prices&amp;Fuel'!$H22</f>
        <v>753000</v>
      </c>
      <c r="DC22" s="1" t="n">
        <f aca="false">(X22+Y22)*'Prices&amp;Fuel'!$H22</f>
        <v>210000</v>
      </c>
      <c r="DD22" s="1" t="n">
        <f aca="false">(BR22)*'Prices&amp;Fuel'!$H22</f>
        <v>30000</v>
      </c>
      <c r="DE22" s="1" t="n">
        <v>300000</v>
      </c>
    </row>
    <row r="23" customFormat="false" ht="12.75" hidden="true" customHeight="false" outlineLevel="0" collapsed="false">
      <c r="A23" s="6" t="n">
        <f aca="false">+A22+365/12</f>
        <v>36296.5</v>
      </c>
      <c r="M23" s="25"/>
      <c r="O23" s="7" t="n">
        <v>9036</v>
      </c>
      <c r="P23" s="7" t="n">
        <v>10794</v>
      </c>
      <c r="Q23" s="7" t="n">
        <v>5270</v>
      </c>
      <c r="R23" s="8" t="n">
        <f aca="false">R22</f>
        <v>2.2017</v>
      </c>
      <c r="S23" s="8" t="n">
        <f aca="false">S22</f>
        <v>2.1909</v>
      </c>
      <c r="T23" s="7" t="n">
        <f aca="false">(($O23*R23)+($P23*R23)+($Q23*R23))*'Prices&amp;Fuel'!$H23</f>
        <v>1713142.77</v>
      </c>
      <c r="U23" s="7" t="n">
        <f aca="false">(($O23*S23)+($P23*S23)+($Q23*S23))*'Prices&amp;Fuel'!$H23</f>
        <v>1704739.29</v>
      </c>
      <c r="V23" s="14" t="n">
        <f aca="false">T23-U23</f>
        <v>8403.48000000045</v>
      </c>
      <c r="X23" s="7" t="n">
        <f aca="false">7000*0.5</f>
        <v>3500</v>
      </c>
      <c r="Y23" s="7" t="n">
        <f aca="false">X23</f>
        <v>3500</v>
      </c>
      <c r="Z23" s="27" t="n">
        <v>2.2</v>
      </c>
      <c r="AA23" s="27" t="n">
        <v>2.18</v>
      </c>
      <c r="AB23" s="7" t="n">
        <f aca="false">($X23+$Y23)*Z23*'Prices&amp;Fuel'!$H23</f>
        <v>477400</v>
      </c>
      <c r="AC23" s="7" t="n">
        <f aca="false">($X23+$Y23)*AA23*'Prices&amp;Fuel'!$H23</f>
        <v>473060</v>
      </c>
      <c r="AD23" s="14" t="n">
        <f aca="false">AB23-AC23</f>
        <v>4340</v>
      </c>
      <c r="AF23" s="7" t="n">
        <f aca="false">(155295/(1-'Prices&amp;Fuel'!F23))+(25000/(1-'Prices&amp;Fuel'!G23))-AI23</f>
        <v>185871.134020619</v>
      </c>
      <c r="AG23" s="7" t="n">
        <f aca="false">(174705/(1-'Prices&amp;Fuel'!F23))-AJ23</f>
        <v>180108.24742268</v>
      </c>
      <c r="AH23" s="7" t="n">
        <f aca="false">(75000/(1-'Prices&amp;Fuel'!G23))-AK23</f>
        <v>77319.587628866</v>
      </c>
      <c r="AI23" s="7"/>
      <c r="AJ23" s="7"/>
      <c r="AK23" s="7"/>
      <c r="AL23" s="11" t="n">
        <f aca="false">ROUND((430000/(1-'Prices&amp;Fuel'!F23))-AF23-AG23-AH23,0)</f>
        <v>0</v>
      </c>
      <c r="AM23" s="7" t="n">
        <f aca="false">(ROUND(((((29727+13743+1000+5000+4854+100971)/(1-'Prices&amp;Fuel'!$F23))+(25000/(1-'Prices&amp;Fuel'!$G23)))-80000),0)-57592-37849)/2+57592-AI23/2</f>
        <v>62807</v>
      </c>
      <c r="AN23" s="7" t="n">
        <f aca="false">ROUND(((174705/(1-'Prices&amp;Fuel'!F23))-AQ23-AJ23)/2,0)</f>
        <v>89946</v>
      </c>
      <c r="AO23" s="7" t="n">
        <f aca="false">((ROUND((75000/(1-'Prices&amp;Fuel'!G23)-AV23),0)-27628-47372-AK23)/2)+27628</f>
        <v>23042</v>
      </c>
      <c r="AP23" s="7" t="n">
        <f aca="false">IF(80000&gt;AF23,AF23,80000)</f>
        <v>80000</v>
      </c>
      <c r="AQ23" s="7" t="n">
        <f aca="false">+AQ22</f>
        <v>217</v>
      </c>
      <c r="AR23" s="7" t="n">
        <f aca="false">(ROUND(((((29727+13743+1000+5000+4854+100971)/(1-'Prices&amp;Fuel'!$F23))+(25000/(1-'Prices&amp;Fuel'!$G23)))-80000),0)-57592-37849-AK23)/2+37849</f>
        <v>43064</v>
      </c>
      <c r="AS23" s="7" t="n">
        <f aca="false">AN23</f>
        <v>89946</v>
      </c>
      <c r="AT23" s="14" t="n">
        <f aca="false">AH23-AO23-AV23</f>
        <v>42786.1037578982</v>
      </c>
      <c r="AU23" s="14" t="n">
        <f aca="false">AL23*AX23*'Prices&amp;Fuel'!H23</f>
        <v>0</v>
      </c>
      <c r="AV23" s="7" t="n">
        <f aca="false">(294589+61647)/31</f>
        <v>11491.4838709677</v>
      </c>
      <c r="AW23" s="68" t="n">
        <f aca="false">AW22</f>
        <v>0.14</v>
      </c>
      <c r="AX23" s="68" t="n">
        <f aca="false">AX22</f>
        <v>0.05</v>
      </c>
      <c r="AY23" s="5" t="n">
        <f aca="false">('Prices&amp;Fuel'!H23*('Prices&amp;Fuel'!B23+AW23)*'Long Term Deals'!AF23)+('Prices&amp;Fuel'!H23*('Prices&amp;Fuel'!C23+'Long Term Deals'!AW23)*'Long Term Deals'!AG23)+(AH23*('Prices&amp;Fuel'!C23+AW23)*'Prices&amp;Fuel'!H23)+(AW23*AL23*'Prices&amp;Fuel'!H23)</f>
        <v>33930147.1649485</v>
      </c>
      <c r="AZ23" s="5" t="n">
        <f aca="false">(AP23*'Prices&amp;Fuel'!H23*'Prices&amp;Fuel'!B23)+(AQ23*'Prices&amp;Fuel'!C23*'Prices&amp;Fuel'!H23)+((AM23+AR23)*('Prices&amp;Fuel'!B23+'Long Term Deals'!AX23)*'Prices&amp;Fuel'!H23)+((AN23+AS23)*('Prices&amp;Fuel'!C23+'Long Term Deals'!AX23)*'Prices&amp;Fuel'!H23)+((AO23+AT23)*('Prices&amp;Fuel'!D23+'Long Term Deals'!AX23)*'Prices&amp;Fuel'!H23)+(AV23*'Prices&amp;Fuel'!H23*'Prices&amp;Fuel'!Q23)+AU23</f>
        <v>32430351.5787629</v>
      </c>
      <c r="BA23" s="5" t="n">
        <f aca="false">AY23-AZ23</f>
        <v>1499795.58618557</v>
      </c>
      <c r="BB23" s="5" t="n">
        <f aca="false">IF('FP Corp'!T23-((BE23+BF23+BG23)*(1-'Prices&amp;Fuel'!F23))&lt;'Prices&amp;Fuel'!R23,('FP Corp'!T23-(BE23+BF23+BG23)*(1-'Prices&amp;Fuel'!F23)),'Prices&amp;Fuel'!R23)/(1-'Prices&amp;Fuel'!F23)</f>
        <v>9000</v>
      </c>
      <c r="BC23" s="9" t="n">
        <f aca="false">('FP Corp'!T23/(1-'Prices&amp;Fuel'!F23))-BD23-BE23-BF23-BG23-BB23</f>
        <v>-3.38332029059529E-010</v>
      </c>
      <c r="BD23" s="9" t="n">
        <f aca="false">ROUND(IF('FP Corp'!T23/(1-'Prices&amp;Fuel'!F23)-BE23-BF23-BG23-BB23&gt;'Prices&amp;Fuel'!T23,'Prices&amp;Fuel'!T23,'FP Corp'!T23/(1-'Prices&amp;Fuel'!F23)-BE23-BF23-BG23-BB23),9)</f>
        <v>6573.195876289</v>
      </c>
      <c r="BE23" s="9" t="n">
        <f aca="false">'Prices&amp;Fuel'!U23/(1-'Prices&amp;Fuel'!F23)</f>
        <v>1938.14432989691</v>
      </c>
      <c r="BF23" s="9" t="n">
        <f aca="false">('Prices&amp;Fuel'!V23+'Prices&amp;Fuel'!X23)/(1-'Prices&amp;Fuel'!F23)</f>
        <v>3070.10309278351</v>
      </c>
      <c r="BG23" s="9" t="n">
        <f aca="false">'Prices&amp;Fuel'!W23/(1-'Prices&amp;Fuel'!F23)</f>
        <v>1068.0412371134</v>
      </c>
      <c r="BH23" s="10" t="n">
        <f aca="false">('Prices&amp;Fuel'!C23+'Prices&amp;Fuel'!D23)/2-0.05+('Prices&amp;Fuel'!M23+'Prices&amp;Fuel'!P23)*(1-'Prices&amp;Fuel'!F23)</f>
        <v>3.049351</v>
      </c>
      <c r="BI23" s="9" t="n">
        <f aca="false">IF(AP23=80000,0,BB23)</f>
        <v>0</v>
      </c>
      <c r="BJ23" s="9"/>
      <c r="BK23" s="10" t="n">
        <f aca="false">(((BB23+BE23)*('Prices&amp;Fuel'!B23+0.025))+(('Prices&amp;Fuel'!D23+0.025)*(BD23+BG23))+(('Prices&amp;Fuel'!C23+0.025)*(BC23+BF23))-(BI23+BJ23)*0.025)/(BB23+BC23+BD23+BE23+BF23+BG23)</f>
        <v>2.33209047619048</v>
      </c>
      <c r="BL23" s="9" t="n">
        <f aca="false">(BB23+BC23+BD23+BE23+BF23+BG23)*BH23*'Prices&amp;Fuel'!H23</f>
        <v>2046523.19690722</v>
      </c>
      <c r="BM23" s="9" t="n">
        <f aca="false">'Prices&amp;Fuel'!X23*('Prices&amp;Fuel'!N23+'Prices&amp;Fuel'!O23)*'Prices&amp;Fuel'!H23</f>
        <v>4994.7107</v>
      </c>
      <c r="BN23" s="9" t="n">
        <f aca="false">('Prices&amp;Fuel'!U23+'Prices&amp;Fuel'!V23+'Prices&amp;Fuel'!W23)*('Prices&amp;Fuel'!L23+'Prices&amp;Fuel'!O23)*'Prices&amp;Fuel'!H23</f>
        <v>66587.2002</v>
      </c>
      <c r="BO23" s="9" t="n">
        <f aca="false">((BB23+BC23+BD23)*(1-'Prices&amp;Fuel'!G23))*('Prices&amp;Fuel'!M23+'Prices&amp;Fuel'!P23)*'Prices&amp;Fuel'!H23</f>
        <v>373832.7138</v>
      </c>
      <c r="BP23" s="9" t="n">
        <f aca="false">((BD23+BC23+BB23+BE23+BF23+BG23)*BK23*'Prices&amp;Fuel'!H23)+BM23+BN23+BO23</f>
        <v>2010559.88243196</v>
      </c>
      <c r="BQ23" s="5" t="n">
        <f aca="false">BL23-BP23</f>
        <v>35963.3144752586</v>
      </c>
      <c r="BR23" s="7" t="n">
        <v>1000</v>
      </c>
      <c r="BT23" s="8" t="n">
        <f aca="false">IF('Prices&amp;Fuel'!$E23&lt;1.89,1.89,'Prices&amp;Fuel'!$E23)</f>
        <v>2.326</v>
      </c>
      <c r="BU23" s="8"/>
      <c r="BV23" s="13" t="n">
        <f aca="false">BT23</f>
        <v>2.326</v>
      </c>
      <c r="BW23" s="13"/>
      <c r="BX23" s="7" t="n">
        <f aca="false">(BR23*BT23+BS23*BU23)*'Prices&amp;Fuel'!H23</f>
        <v>72106</v>
      </c>
      <c r="BY23" s="7" t="n">
        <f aca="false">($BR23*BV23+$BS23*BW23)*'Prices&amp;Fuel'!H23</f>
        <v>72106</v>
      </c>
      <c r="BZ23" s="5" t="n">
        <f aca="false">BX23-BY23</f>
        <v>0</v>
      </c>
      <c r="CA23" s="5" t="n">
        <f aca="false">(AF23+AG23+AH23+AL23)*0.005*'Prices&amp;Fuel'!H23</f>
        <v>68711.3402061856</v>
      </c>
      <c r="CB23" s="5" t="n">
        <f aca="false">(B23+C23+D23+O23+P23+Q23+X23+Y23+BB23+BC23+BD23+BE23+BF23+BG23+BR23+BS23)*0.005*'Prices&amp;Fuel'!H23</f>
        <v>8486.17010309279</v>
      </c>
      <c r="CC23" s="7" t="n">
        <f aca="false">K23+T23+AB23+AY23+BL23+BX23</f>
        <v>38239319.1318557</v>
      </c>
      <c r="CD23" s="7" t="n">
        <f aca="false">L23+U23+AC23+AZ23+BP23+BY23+CA23+CB23</f>
        <v>36768014.2615041</v>
      </c>
      <c r="CE23" s="7" t="n">
        <f aca="false">CC23-CD23</f>
        <v>1471304.87035155</v>
      </c>
      <c r="CF23" s="7" t="n">
        <f aca="false">'Index Price Deals'!AR23</f>
        <v>96781.6583333333</v>
      </c>
      <c r="CG23" s="7" t="n">
        <f aca="false">'Index Price Deals'!AS23</f>
        <v>196.27</v>
      </c>
      <c r="CH23" s="7" t="n">
        <f aca="false">'Index Price Deals'!AT23</f>
        <v>93959.1291458834</v>
      </c>
      <c r="CI23" s="7" t="n">
        <f aca="false">'Index Price Deals'!AU23</f>
        <v>2822.52918744997</v>
      </c>
      <c r="CJ23" s="7" t="n">
        <f aca="false">CC23+CF23</f>
        <v>38336100.790189</v>
      </c>
      <c r="CK23" s="7" t="n">
        <f aca="false">CD23+CH23</f>
        <v>36861973.39065</v>
      </c>
      <c r="CL23" s="7" t="n">
        <f aca="false">CE23+CI23</f>
        <v>1474127.399539</v>
      </c>
      <c r="CM23" s="69"/>
      <c r="CN23" s="7" t="n">
        <f aca="false">Transport!U23</f>
        <v>480728.563</v>
      </c>
      <c r="CO23" s="71" t="n">
        <f aca="false">[4]Sheet1!$AL64</f>
        <v>764635.60641452</v>
      </c>
      <c r="CQ23" s="7" t="n">
        <f aca="false">(((($B23+$C23+$D23+$O23+$P23+$Q23)*0.5)+BR23+BS23)*(0.005*'Prices&amp;Fuel'!$H23)+'Index Price Deals'!AV23)+(((BB23+BC23+BD23+BE23+BF23+BG23)*(1-'Prices&amp;Fuel'!F23))*0.005*0.5*'Prices&amp;Fuel'!H23)</f>
        <v>3772.855</v>
      </c>
      <c r="CR23" s="7" t="n">
        <f aca="false">(((($B23+$C23+$D23+$O23+$P23+$Q23)*0.5)+X23+Y23)*(0.005*'Prices&amp;Fuel'!$H23)+CA23+'Index Price Deals'!AW23)+(((BB23+BC23+BD23+BE23+BF23+BG23)*(1-'Prices&amp;Fuel'!F23))*0.005*0.5*'Prices&amp;Fuel'!H23)</f>
        <v>73520.2552061856</v>
      </c>
      <c r="CS23" s="11" t="n">
        <f aca="false">'Short Term Firm For Budget'!E23</f>
        <v>166512.78</v>
      </c>
      <c r="CT23" s="7" t="n">
        <f aca="false">[2]Sheet1!$O33</f>
        <v>640530.167810714</v>
      </c>
      <c r="CU23" s="7" t="n">
        <f aca="false">'[3]Long Term Deals'!$Z22</f>
        <v>252636.517824595</v>
      </c>
      <c r="CV23" s="70" t="n">
        <f aca="false">CL23-CN23-CT23+CU23+CS23+CO23</f>
        <v>1536653.5729674</v>
      </c>
      <c r="CW23" s="14" t="n">
        <f aca="false">((B23+C23+D23+O23+P23+Q23+X23+Y23+AF23+AG23+AH23+BB23+BC23+BD23+BE23+BF23+BG23+BR23+BS23)+('Index Price Deals'!B23+'Index Price Deals'!C23+'Index Price Deals'!D23+'Index Price Deals'!L23+'Index Price Deals'!M23+'Index Price Deals'!N23+'Index Price Deals'!AD23+'Index Price Deals'!AE23+'Index Price Deals'!AF23+'Index Price Deals'!AK23+'Index Price Deals'!AL23+'Index Price Deals'!AM23))*'Prices&amp;Fuel'!H23</f>
        <v>15478756.0618557</v>
      </c>
      <c r="CX23" s="12" t="n">
        <f aca="false">BQ23/(BB23+BC23+BD23+BE23+BF23+BG23)/'Prices&amp;Fuel'!H23</f>
        <v>0.0535858910000013</v>
      </c>
      <c r="CZ23" s="13" t="n">
        <f aca="false">(BA23-CT23+CU23)/(AF23+AG23+AH23)/'Prices&amp;Fuel'!H23</f>
        <v>0.0809110936319178</v>
      </c>
      <c r="DB23" s="1" t="n">
        <f aca="false">(O23+P23+Q23)*'Prices&amp;Fuel'!$H23</f>
        <v>778100</v>
      </c>
      <c r="DC23" s="1" t="n">
        <f aca="false">(X23+Y23)*'Prices&amp;Fuel'!$H23</f>
        <v>217000</v>
      </c>
      <c r="DD23" s="1" t="n">
        <f aca="false">(BR23)*'Prices&amp;Fuel'!$H23</f>
        <v>31000</v>
      </c>
      <c r="DE23" s="1" t="n">
        <v>430000</v>
      </c>
    </row>
    <row r="24" customFormat="false" ht="12.75" hidden="true" customHeight="false" outlineLevel="0" collapsed="false">
      <c r="A24" s="6" t="n">
        <f aca="false">+A23+365/12</f>
        <v>36326.9166666667</v>
      </c>
      <c r="O24" s="7" t="n">
        <v>9036</v>
      </c>
      <c r="P24" s="7" t="n">
        <v>10794</v>
      </c>
      <c r="Q24" s="7" t="n">
        <v>5270</v>
      </c>
      <c r="R24" s="8" t="n">
        <f aca="false">R23</f>
        <v>2.2017</v>
      </c>
      <c r="S24" s="8" t="n">
        <f aca="false">S23</f>
        <v>2.1909</v>
      </c>
      <c r="T24" s="7" t="n">
        <f aca="false">(($O24*R24)+($P24*R24)+($Q24*R24))*'Prices&amp;Fuel'!$H24</f>
        <v>1657880.1</v>
      </c>
      <c r="U24" s="7" t="n">
        <f aca="false">(($O24*S24)+($P24*S24)+($Q24*S24))*'Prices&amp;Fuel'!$H24</f>
        <v>1649747.7</v>
      </c>
      <c r="V24" s="14" t="n">
        <f aca="false">T24-U24</f>
        <v>8132.40000000014</v>
      </c>
      <c r="X24" s="7" t="n">
        <f aca="false">7000*0.5</f>
        <v>3500</v>
      </c>
      <c r="Y24" s="7" t="n">
        <f aca="false">X24</f>
        <v>3500</v>
      </c>
      <c r="Z24" s="27" t="n">
        <v>2.2</v>
      </c>
      <c r="AA24" s="27" t="n">
        <v>2.18</v>
      </c>
      <c r="AB24" s="7" t="n">
        <f aca="false">($X24+$Y24)*Z24*'Prices&amp;Fuel'!$H24</f>
        <v>462000</v>
      </c>
      <c r="AC24" s="7" t="n">
        <f aca="false">($X24+$Y24)*AA24*'Prices&amp;Fuel'!$H24</f>
        <v>457800</v>
      </c>
      <c r="AD24" s="14" t="n">
        <f aca="false">AB24-AC24</f>
        <v>4200</v>
      </c>
      <c r="AF24" s="7" t="n">
        <f aca="false">(155295/(1-'Prices&amp;Fuel'!F24))+(25000/(1-'Prices&amp;Fuel'!G24))-AI24</f>
        <v>185871.134020619</v>
      </c>
      <c r="AG24" s="7" t="n">
        <f aca="false">(174705/(1-'Prices&amp;Fuel'!F24))-AJ24</f>
        <v>180108.24742268</v>
      </c>
      <c r="AH24" s="7" t="n">
        <f aca="false">(75000/(1-'Prices&amp;Fuel'!G24))-AK24</f>
        <v>77319.587628866</v>
      </c>
      <c r="AI24" s="7"/>
      <c r="AJ24" s="7"/>
      <c r="AK24" s="7"/>
      <c r="AL24" s="11" t="n">
        <f aca="false">ROUND((430000/(1-'Prices&amp;Fuel'!F24))-AF24-AG24-AH24,0)</f>
        <v>0</v>
      </c>
      <c r="AM24" s="7" t="n">
        <f aca="false">(ROUND(((((29727+13743+1000+5000+4854+100971)/(1-'Prices&amp;Fuel'!$F24))+(25000/(1-'Prices&amp;Fuel'!$G24)))-80000),0)-57592-37849)/2+57592-AI24/2</f>
        <v>62807</v>
      </c>
      <c r="AN24" s="7" t="n">
        <f aca="false">ROUND(((174705/(1-'Prices&amp;Fuel'!F24))-AQ24-AJ24)/2,0)</f>
        <v>89946</v>
      </c>
      <c r="AO24" s="7" t="n">
        <f aca="false">((ROUND((75000/(1-'Prices&amp;Fuel'!G24)-AV24),0)-27628-47372-AK24)/2)+27628</f>
        <v>22881</v>
      </c>
      <c r="AP24" s="7" t="n">
        <f aca="false">IF(80000&gt;AF24,AF24,80000)</f>
        <v>80000</v>
      </c>
      <c r="AQ24" s="7" t="n">
        <f aca="false">+AQ23</f>
        <v>217</v>
      </c>
      <c r="AR24" s="7" t="n">
        <f aca="false">(ROUND(((((29727+13743+1000+5000+4854+100971)/(1-'Prices&amp;Fuel'!$F24))+(25000/(1-'Prices&amp;Fuel'!$G24)))-80000),0)-57592-37849-AK24)/2+37849</f>
        <v>43064</v>
      </c>
      <c r="AS24" s="7" t="n">
        <f aca="false">AN24</f>
        <v>89946</v>
      </c>
      <c r="AT24" s="14" t="n">
        <f aca="false">AH24-AO24-AV24</f>
        <v>42625.4542955327</v>
      </c>
      <c r="AU24" s="14" t="n">
        <f aca="false">AL24*AX24*'Prices&amp;Fuel'!H24</f>
        <v>0</v>
      </c>
      <c r="AV24" s="7" t="n">
        <f aca="false">(282846+71548)/30</f>
        <v>11813.1333333333</v>
      </c>
      <c r="AW24" s="68" t="n">
        <f aca="false">AW23</f>
        <v>0.14</v>
      </c>
      <c r="AX24" s="68" t="n">
        <f aca="false">AX23</f>
        <v>0.05</v>
      </c>
      <c r="AY24" s="5" t="n">
        <f aca="false">('Prices&amp;Fuel'!H24*('Prices&amp;Fuel'!B24+AW24)*'Long Term Deals'!AF24)+('Prices&amp;Fuel'!H24*('Prices&amp;Fuel'!C24+'Long Term Deals'!AW24)*'Long Term Deals'!AG24)+(AH24*('Prices&amp;Fuel'!C24+AW24)*'Prices&amp;Fuel'!H24)+(AW24*AL24*'Prices&amp;Fuel'!H24)</f>
        <v>31351272.6804124</v>
      </c>
      <c r="AZ24" s="5" t="n">
        <f aca="false">(AP24*'Prices&amp;Fuel'!H24*'Prices&amp;Fuel'!B24)+(AQ24*'Prices&amp;Fuel'!C24*'Prices&amp;Fuel'!H24)+((AM24+AR24)*('Prices&amp;Fuel'!B24+'Long Term Deals'!AX24)*'Prices&amp;Fuel'!H24)+((AN24+AS24)*('Prices&amp;Fuel'!C24+'Long Term Deals'!AX24)*'Prices&amp;Fuel'!H24)+((AO24+AT24)*('Prices&amp;Fuel'!D24+'Long Term Deals'!AX24)*'Prices&amp;Fuel'!H24)+(AV24*'Prices&amp;Fuel'!H24*'Prices&amp;Fuel'!Q24)+AU24</f>
        <v>29958762.2412371</v>
      </c>
      <c r="BA24" s="5" t="n">
        <f aca="false">AY24-AZ24</f>
        <v>1392510.43917526</v>
      </c>
      <c r="BB24" s="5" t="n">
        <f aca="false">IF('FP Corp'!T24-((BE24+BF24+BG24)*(1-'Prices&amp;Fuel'!F24))&lt;'Prices&amp;Fuel'!R24,('FP Corp'!T24-(BE24+BF24+BG24)*(1-'Prices&amp;Fuel'!F24)),'Prices&amp;Fuel'!R24)/(1-'Prices&amp;Fuel'!F24)</f>
        <v>9000</v>
      </c>
      <c r="BC24" s="9" t="n">
        <f aca="false">('FP Corp'!T24/(1-'Prices&amp;Fuel'!F24))-BD24-BE24-BF24-BG24-BB24</f>
        <v>-3.38332029059529E-010</v>
      </c>
      <c r="BD24" s="9" t="n">
        <f aca="false">ROUND(IF('FP Corp'!T24/(1-'Prices&amp;Fuel'!F24)-BE24-BF24-BG24-BB24&gt;'Prices&amp;Fuel'!T24,'Prices&amp;Fuel'!T24,'FP Corp'!T24/(1-'Prices&amp;Fuel'!F24)-BE24-BF24-BG24-BB24),9)</f>
        <v>6573.195876289</v>
      </c>
      <c r="BE24" s="9" t="n">
        <f aca="false">'Prices&amp;Fuel'!U24/(1-'Prices&amp;Fuel'!F24)</f>
        <v>1938.14432989691</v>
      </c>
      <c r="BF24" s="9" t="n">
        <f aca="false">('Prices&amp;Fuel'!V24+'Prices&amp;Fuel'!X24)/(1-'Prices&amp;Fuel'!F24)</f>
        <v>3070.10309278351</v>
      </c>
      <c r="BG24" s="9" t="n">
        <f aca="false">'Prices&amp;Fuel'!W24/(1-'Prices&amp;Fuel'!F24)</f>
        <v>1068.0412371134</v>
      </c>
      <c r="BH24" s="10" t="n">
        <f aca="false">('Prices&amp;Fuel'!C24+'Prices&amp;Fuel'!D24)/2-0.05+('Prices&amp;Fuel'!M24+'Prices&amp;Fuel'!P24)*(1-'Prices&amp;Fuel'!F24)</f>
        <v>2.944351</v>
      </c>
      <c r="BI24" s="9" t="n">
        <f aca="false">IF(AP24=80000,0,BB24)</f>
        <v>0</v>
      </c>
      <c r="BJ24" s="9"/>
      <c r="BK24" s="10" t="n">
        <f aca="false">(((BB24+BE24)*('Prices&amp;Fuel'!B24+0.025))+(('Prices&amp;Fuel'!D24+0.025)*(BD24+BG24))+(('Prices&amp;Fuel'!C24+0.025)*(BC24+BF24))-(BI24+BJ24)*0.025)/(BB24+BC24+BD24+BE24+BF24+BG24)</f>
        <v>2.23278380952381</v>
      </c>
      <c r="BL24" s="9" t="n">
        <f aca="false">(BB24+BC24+BD24+BE24+BF24+BG24)*BH24*'Prices&amp;Fuel'!H24</f>
        <v>1912310.44329897</v>
      </c>
      <c r="BM24" s="9" t="n">
        <f aca="false">'Prices&amp;Fuel'!X24*('Prices&amp;Fuel'!N24+'Prices&amp;Fuel'!O24)*'Prices&amp;Fuel'!H24</f>
        <v>4833.591</v>
      </c>
      <c r="BN24" s="9" t="n">
        <f aca="false">('Prices&amp;Fuel'!U24+'Prices&amp;Fuel'!V24+'Prices&amp;Fuel'!W24)*('Prices&amp;Fuel'!L24+'Prices&amp;Fuel'!O24)*'Prices&amp;Fuel'!H24</f>
        <v>64439.226</v>
      </c>
      <c r="BO24" s="9" t="n">
        <f aca="false">((BB24+BC24+BD24)*(1-'Prices&amp;Fuel'!G24))*('Prices&amp;Fuel'!M24+'Prices&amp;Fuel'!P24)*'Prices&amp;Fuel'!H24</f>
        <v>361773.594</v>
      </c>
      <c r="BP24" s="9" t="n">
        <f aca="false">((BD24+BC24+BB24+BE24+BF24+BG24)*BK24*'Prices&amp;Fuel'!H24)+BM24+BN24+BO24</f>
        <v>1881204.96770103</v>
      </c>
      <c r="BQ24" s="5" t="n">
        <f aca="false">BL24-BP24</f>
        <v>31105.4755979383</v>
      </c>
      <c r="BR24" s="7" t="n">
        <v>1000</v>
      </c>
      <c r="BT24" s="8" t="n">
        <f aca="false">IF('Prices&amp;Fuel'!$E24&lt;1.89,1.89,'Prices&amp;Fuel'!$E24)</f>
        <v>2.2007</v>
      </c>
      <c r="BU24" s="8"/>
      <c r="BV24" s="13" t="n">
        <f aca="false">BT24</f>
        <v>2.2007</v>
      </c>
      <c r="BW24" s="13"/>
      <c r="BX24" s="7" t="n">
        <f aca="false">(BR24*BT24+BS24*BU24)*'Prices&amp;Fuel'!H24</f>
        <v>66021</v>
      </c>
      <c r="BY24" s="7" t="n">
        <f aca="false">($BR24*BV24+$BS24*BW24)*'Prices&amp;Fuel'!H24</f>
        <v>66021</v>
      </c>
      <c r="BZ24" s="5" t="n">
        <f aca="false">BX24-BY24</f>
        <v>0</v>
      </c>
      <c r="CA24" s="5" t="n">
        <f aca="false">(AF24+AG24+AH24+AL24)*0.005*'Prices&amp;Fuel'!H24</f>
        <v>66494.8453608248</v>
      </c>
      <c r="CB24" s="5" t="n">
        <f aca="false">(B24+C24+D24+O24+P24+Q24+X24+Y24+BB24+BC24+BD24+BE24+BF24+BG24+BR24+BS24)*0.005*'Prices&amp;Fuel'!H24</f>
        <v>8212.42268041237</v>
      </c>
      <c r="CC24" s="7" t="n">
        <f aca="false">K24+T24+AB24+AY24+BL24+BX24</f>
        <v>35449484.2237113</v>
      </c>
      <c r="CD24" s="7" t="n">
        <f aca="false">L24+U24+AC24+AZ24+BP24+BY24+CA24+CB24</f>
        <v>34088243.1769794</v>
      </c>
      <c r="CE24" s="7" t="n">
        <f aca="false">CC24-CD24</f>
        <v>1361241.04673196</v>
      </c>
      <c r="CF24" s="7" t="n">
        <f aca="false">'Index Price Deals'!AR24</f>
        <v>79917.7533333333</v>
      </c>
      <c r="CG24" s="7" t="n">
        <f aca="false">'Index Price Deals'!AS24</f>
        <v>168.89</v>
      </c>
      <c r="CH24" s="7" t="n">
        <f aca="false">'Index Price Deals'!AT24</f>
        <v>77596.0498692627</v>
      </c>
      <c r="CI24" s="7" t="n">
        <f aca="false">'Index Price Deals'!AU24</f>
        <v>2321.70346407061</v>
      </c>
      <c r="CJ24" s="7" t="n">
        <f aca="false">CC24+CF24</f>
        <v>35529401.9770447</v>
      </c>
      <c r="CK24" s="7" t="n">
        <f aca="false">CD24+CH24</f>
        <v>34165839.2268486</v>
      </c>
      <c r="CL24" s="7" t="n">
        <f aca="false">CE24+CI24</f>
        <v>1363562.75019603</v>
      </c>
      <c r="CM24" s="69"/>
      <c r="CN24" s="7" t="n">
        <f aca="false">Transport!U24</f>
        <v>465221.19</v>
      </c>
      <c r="CO24" s="71" t="n">
        <f aca="false">[4]Sheet1!$AL65</f>
        <v>739969.941691471</v>
      </c>
      <c r="CQ24" s="7" t="n">
        <f aca="false">(((($B24+$C24+$D24+$O24+$P24+$Q24)*0.5)+BR24+BS24)*(0.005*'Prices&amp;Fuel'!$H24)+'Index Price Deals'!AV24)+(((BB24+BC24+BD24+BE24+BF24+BG24)*(1-'Prices&amp;Fuel'!F24))*0.005*0.5*'Prices&amp;Fuel'!H24)</f>
        <v>3644.4</v>
      </c>
      <c r="CR24" s="7" t="n">
        <f aca="false">(((($B24+$C24+$D24+$O24+$P24+$Q24)*0.5)+X24+Y24)*(0.005*'Prices&amp;Fuel'!$H24)+CA24+'Index Price Deals'!AW24)+(((BB24+BC24+BD24+BE24+BF24+BG24)*(1-'Prices&amp;Fuel'!F24))*0.005*0.5*'Prices&amp;Fuel'!H24)</f>
        <v>71134.3353608248</v>
      </c>
      <c r="CS24" s="11" t="n">
        <f aca="false">'Short Term Firm For Budget'!E24</f>
        <v>161141.4</v>
      </c>
      <c r="CT24" s="7" t="n">
        <f aca="false">[2]Sheet1!$O34</f>
        <v>619867.904332949</v>
      </c>
      <c r="CU24" s="7" t="n">
        <f aca="false">'[3]Long Term Deals'!$Z23</f>
        <v>244486.952733479</v>
      </c>
      <c r="CV24" s="70" t="n">
        <f aca="false">CL24-CN24-CT24+CU24+CS24+CO24</f>
        <v>1424071.95028803</v>
      </c>
      <c r="CW24" s="14" t="n">
        <f aca="false">((B24+C24+D24+O24+P24+Q24+X24+Y24+AF24+AG24+AH24+BB24+BC24+BD24+BE24+BF24+BG24+BR24+BS24)+('Index Price Deals'!B24+'Index Price Deals'!C24+'Index Price Deals'!D24+'Index Price Deals'!L24+'Index Price Deals'!M24+'Index Price Deals'!N24+'Index Price Deals'!AD24+'Index Price Deals'!AE24+'Index Price Deals'!AF24+'Index Price Deals'!AK24+'Index Price Deals'!AL24+'Index Price Deals'!AM24))*'Prices&amp;Fuel'!H24</f>
        <v>14975231.6082474</v>
      </c>
      <c r="CX24" s="12" t="n">
        <f aca="false">BQ24/(BB24+BC24+BD24+BE24+BF24+BG24)/'Prices&amp;Fuel'!H24</f>
        <v>0.0478925576666669</v>
      </c>
      <c r="CZ24" s="13" t="n">
        <f aca="false">(BA24-CT24+CU24)/(AF24+AG24+AH24)/'Prices&amp;Fuel'!H24</f>
        <v>0.0764818296859314</v>
      </c>
      <c r="DB24" s="1" t="n">
        <f aca="false">(O24+P24+Q24)*'Prices&amp;Fuel'!$H24</f>
        <v>753000</v>
      </c>
      <c r="DC24" s="1" t="n">
        <f aca="false">(X24+Y24)*'Prices&amp;Fuel'!$H24</f>
        <v>210000</v>
      </c>
      <c r="DD24" s="1" t="n">
        <f aca="false">(BR24)*'Prices&amp;Fuel'!$H24</f>
        <v>30000</v>
      </c>
      <c r="DE24" s="1" t="n">
        <v>430000</v>
      </c>
    </row>
    <row r="25" customFormat="false" ht="12.75" hidden="true" customHeight="false" outlineLevel="0" collapsed="false">
      <c r="A25" s="6" t="n">
        <f aca="false">+A24+365/12</f>
        <v>36357.3333333333</v>
      </c>
      <c r="O25" s="7" t="n">
        <v>9036</v>
      </c>
      <c r="P25" s="7" t="n">
        <v>10794</v>
      </c>
      <c r="Q25" s="7" t="n">
        <v>5270</v>
      </c>
      <c r="R25" s="8" t="n">
        <f aca="false">ROUND(2.034*1.02*1.02*1.02*1.02*1.02,4)</f>
        <v>2.2457</v>
      </c>
      <c r="S25" s="8" t="n">
        <f aca="false">R25-ROUND(0.01*1.02*1.02*1.02*1.02*1.02,4)</f>
        <v>2.2347</v>
      </c>
      <c r="T25" s="7" t="n">
        <f aca="false">(($O25*R25)+($P25*R25)+($Q25*R25))*'Prices&amp;Fuel'!$H25</f>
        <v>1747379.17</v>
      </c>
      <c r="U25" s="7" t="n">
        <f aca="false">(($O25*S25)+($P25*S25)+($Q25*S25))*'Prices&amp;Fuel'!$H25</f>
        <v>1738820.07</v>
      </c>
      <c r="V25" s="14" t="n">
        <f aca="false">T25-U25</f>
        <v>8559.10000000009</v>
      </c>
      <c r="X25" s="7" t="n">
        <f aca="false">7000*0.5</f>
        <v>3500</v>
      </c>
      <c r="Y25" s="7" t="n">
        <f aca="false">X25</f>
        <v>3500</v>
      </c>
      <c r="Z25" s="27" t="n">
        <v>2.2</v>
      </c>
      <c r="AA25" s="27" t="n">
        <v>2.18</v>
      </c>
      <c r="AB25" s="7" t="n">
        <f aca="false">($X25+$Y25)*Z25*'Prices&amp;Fuel'!$H25</f>
        <v>477400</v>
      </c>
      <c r="AC25" s="7" t="n">
        <f aca="false">($X25+$Y25)*AA25*'Prices&amp;Fuel'!$H25</f>
        <v>473060</v>
      </c>
      <c r="AD25" s="14" t="n">
        <f aca="false">AB25-AC25</f>
        <v>4340</v>
      </c>
      <c r="AF25" s="7" t="n">
        <f aca="false">((126000)/(1-'Prices&amp;Fuel'!F25))+(25000/(1-'Prices&amp;Fuel'!G25))-AI25</f>
        <v>155670.103092784</v>
      </c>
      <c r="AH25" s="7" t="n">
        <f aca="false">(75000/(1-'Prices&amp;Fuel'!G25))-AK25</f>
        <v>77319.587628866</v>
      </c>
      <c r="AI25" s="7"/>
      <c r="AJ25" s="7"/>
      <c r="AK25" s="7"/>
      <c r="AL25" s="11" t="n">
        <f aca="false">ROUND((226000/(1-'Prices&amp;Fuel'!F25))-AF25-AG25-AH25,0)</f>
        <v>0</v>
      </c>
      <c r="AM25" s="7" t="n">
        <f aca="false">ROUND(IF(AF25&lt;AP25,0,(AF25-AP25-AI25)/2),0)</f>
        <v>37835</v>
      </c>
      <c r="AN25" s="7"/>
      <c r="AO25" s="7" t="n">
        <f aca="false">ROUND((75000/(1-'Prices&amp;Fuel'!G25)-AV25-AK25)/2,0)</f>
        <v>32615</v>
      </c>
      <c r="AP25" s="7" t="n">
        <f aca="false">IF(80000&gt;AF25,AF25,80000)</f>
        <v>80000</v>
      </c>
      <c r="AQ25" s="7"/>
      <c r="AR25" s="7" t="n">
        <f aca="false">IF(AP25&gt;AF25,0,AF25-AM25-AP25)</f>
        <v>37835.1030927835</v>
      </c>
      <c r="AS25" s="7"/>
      <c r="AT25" s="14" t="n">
        <f aca="false">AH25-AO25-AV25</f>
        <v>32615.4263385434</v>
      </c>
      <c r="AU25" s="14" t="n">
        <f aca="false">AL25*AX25*'Prices&amp;Fuel'!H25</f>
        <v>0</v>
      </c>
      <c r="AV25" s="7" t="n">
        <f aca="false">(70669+9255+294840)/31</f>
        <v>12089.1612903226</v>
      </c>
      <c r="AW25" s="68" t="n">
        <v>0.135</v>
      </c>
      <c r="AX25" s="68" t="n">
        <v>0.025</v>
      </c>
      <c r="AY25" s="5" t="n">
        <f aca="false">('Prices&amp;Fuel'!H25*('Prices&amp;Fuel'!B25+AW25)*'Long Term Deals'!AF25)+('Prices&amp;Fuel'!H25*('Prices&amp;Fuel'!C25+'Long Term Deals'!AW25)*'Long Term Deals'!AG25)+(AH25*('Prices&amp;Fuel'!C25+AW25)*'Prices&amp;Fuel'!H25)+(AW25*AL25*'Prices&amp;Fuel'!H25)</f>
        <v>17225773.1958763</v>
      </c>
      <c r="AZ25" s="5" t="n">
        <f aca="false">(AP25*'Prices&amp;Fuel'!H25*'Prices&amp;Fuel'!B25)+(AQ25*'Prices&amp;Fuel'!C25*'Prices&amp;Fuel'!H25)+((AM25+AR25)*('Prices&amp;Fuel'!B25+'Long Term Deals'!AX25)*'Prices&amp;Fuel'!H25)+((AN25+AS25)*('Prices&amp;Fuel'!C25+'Long Term Deals'!AX25)*'Prices&amp;Fuel'!H25)+((AO25+AT25)*('Prices&amp;Fuel'!D25+'Long Term Deals'!AX25)*'Prices&amp;Fuel'!H25)+(AV25*'Prices&amp;Fuel'!H25*'Prices&amp;Fuel'!Q25)+AU25</f>
        <v>16281861.7940206</v>
      </c>
      <c r="BA25" s="5" t="n">
        <f aca="false">AY25-AZ25</f>
        <v>943911.401855668</v>
      </c>
      <c r="BB25" s="5" t="n">
        <f aca="false">IF('FP Corp'!T25-((BE25+BF25+BG25)*(1-'Prices&amp;Fuel'!F25))&lt;'Prices&amp;Fuel'!R25,('FP Corp'!T25-(BE25+BF25+BG25)*(1-'Prices&amp;Fuel'!F25)),'Prices&amp;Fuel'!R25)/(1-'Prices&amp;Fuel'!F25)</f>
        <v>9000</v>
      </c>
      <c r="BC25" s="9" t="n">
        <f aca="false">('FP Corp'!T25/(1-'Prices&amp;Fuel'!F25))-BD25-BE25-BF25-BG25-BB25</f>
        <v>216.999999999662</v>
      </c>
      <c r="BD25" s="9" t="n">
        <f aca="false">ROUND(IF('FP Corp'!T25/(1-'Prices&amp;Fuel'!F25)-BE25-BF25-BG25-BB25&gt;'Prices&amp;Fuel'!T25,'Prices&amp;Fuel'!T25,'FP Corp'!T25/(1-'Prices&amp;Fuel'!F25)-BE25-BF25-BG25-BB25),9)-217</f>
        <v>6356.195876289</v>
      </c>
      <c r="BE25" s="9" t="n">
        <f aca="false">'Prices&amp;Fuel'!U25/(1-'Prices&amp;Fuel'!F25)</f>
        <v>1938.14432989691</v>
      </c>
      <c r="BF25" s="9" t="n">
        <f aca="false">('Prices&amp;Fuel'!V25+'Prices&amp;Fuel'!X25)/(1-'Prices&amp;Fuel'!F25)</f>
        <v>3070.10309278351</v>
      </c>
      <c r="BG25" s="9" t="n">
        <f aca="false">'Prices&amp;Fuel'!W25/(1-'Prices&amp;Fuel'!F25)</f>
        <v>1068.0412371134</v>
      </c>
      <c r="BH25" s="10" t="n">
        <f aca="false">('Prices&amp;Fuel'!C25+'Prices&amp;Fuel'!D25)/2-0.05+('Prices&amp;Fuel'!M25+'Prices&amp;Fuel'!P25)*(1-'Prices&amp;Fuel'!F25)</f>
        <v>2.979351</v>
      </c>
      <c r="BI25" s="9" t="n">
        <f aca="false">IF(AP25=80000,0,BB25)</f>
        <v>0</v>
      </c>
      <c r="BJ25" s="9" t="n">
        <v>217</v>
      </c>
      <c r="BK25" s="10" t="n">
        <f aca="false">(((BB25+BE25)*('Prices&amp;Fuel'!B25+0.025))+(('Prices&amp;Fuel'!D25+0.025)*(BD25+BG25))+(('Prices&amp;Fuel'!C25+0.025)*(BC25+BF25))-(BI25+BJ25)*0.025)/(BB25+BC25+BD25+BE25+BF25+BG25)</f>
        <v>2.26930440238095</v>
      </c>
      <c r="BL25" s="9" t="n">
        <f aca="false">(BB25+BC25+BD25+BE25+BF25+BG25)*BH25*'Prices&amp;Fuel'!H25</f>
        <v>1999543.81546392</v>
      </c>
      <c r="BM25" s="9" t="n">
        <f aca="false">'Prices&amp;Fuel'!X25*('Prices&amp;Fuel'!N25+'Prices&amp;Fuel'!O25)*'Prices&amp;Fuel'!H25</f>
        <v>4994.7107</v>
      </c>
      <c r="BN25" s="9" t="n">
        <f aca="false">('Prices&amp;Fuel'!U25+'Prices&amp;Fuel'!V25+'Prices&amp;Fuel'!W25)*('Prices&amp;Fuel'!L25+'Prices&amp;Fuel'!O25)*'Prices&amp;Fuel'!H25</f>
        <v>66587.2002</v>
      </c>
      <c r="BO25" s="9" t="n">
        <f aca="false">((BB25+BC25+BD25)*(1-'Prices&amp;Fuel'!G25))*('Prices&amp;Fuel'!M25+'Prices&amp;Fuel'!P25)*'Prices&amp;Fuel'!H25</f>
        <v>373832.7138</v>
      </c>
      <c r="BP25" s="9" t="n">
        <f aca="false">((BD25+BC25+BB25+BE25+BF25+BG25)*BK25*'Prices&amp;Fuel'!H25)+BM25+BN25+BO25</f>
        <v>1968422.01227732</v>
      </c>
      <c r="BQ25" s="5" t="n">
        <f aca="false">BL25-BP25</f>
        <v>31121.8031865982</v>
      </c>
      <c r="BR25" s="7" t="n">
        <v>1000</v>
      </c>
      <c r="BT25" s="8" t="n">
        <f aca="false">IF('Prices&amp;Fuel'!$E25&lt;1.89,1.89,'Prices&amp;Fuel'!$E25)</f>
        <v>2.2717</v>
      </c>
      <c r="BU25" s="8"/>
      <c r="BV25" s="13" t="n">
        <f aca="false">BT25</f>
        <v>2.2717</v>
      </c>
      <c r="BW25" s="13"/>
      <c r="BX25" s="7" t="n">
        <f aca="false">(BR25*BT25+BS25*BU25)*'Prices&amp;Fuel'!H25</f>
        <v>70422.7</v>
      </c>
      <c r="BY25" s="7" t="n">
        <f aca="false">($BR25*BV25+$BS25*BW25)*'Prices&amp;Fuel'!H25</f>
        <v>70422.7</v>
      </c>
      <c r="BZ25" s="5" t="n">
        <f aca="false">BX25-BY25</f>
        <v>0</v>
      </c>
      <c r="CA25" s="5" t="n">
        <f aca="false">(AF25+AG25+AH25+AL25)*0.005*'Prices&amp;Fuel'!H25</f>
        <v>36113.4020618557</v>
      </c>
      <c r="CB25" s="5" t="n">
        <f aca="false">(B25+C25+D25+O25+P25+Q25+X25+Y25+BB25+BC25+BD25+BE25+BF25+BG25+BR25+BS25)*0.005*'Prices&amp;Fuel'!H25</f>
        <v>8486.17010309279</v>
      </c>
      <c r="CC25" s="7" t="n">
        <f aca="false">K25+T25+AB25+AY25+BL25+BX25</f>
        <v>21520518.8813402</v>
      </c>
      <c r="CD25" s="7" t="n">
        <f aca="false">L25+U25+AC25+AZ25+BP25+BY25+CA25+CB25</f>
        <v>20577186.1484629</v>
      </c>
      <c r="CE25" s="7" t="n">
        <f aca="false">CC25-CD25</f>
        <v>943332.732877318</v>
      </c>
      <c r="CF25" s="7" t="n">
        <f aca="false">'Index Price Deals'!AR25</f>
        <v>94194.865</v>
      </c>
      <c r="CG25" s="7" t="n">
        <f aca="false">'Index Price Deals'!AS25</f>
        <v>195.8</v>
      </c>
      <c r="CH25" s="7" t="n">
        <f aca="false">'Index Price Deals'!AT25</f>
        <v>91334.9309047777</v>
      </c>
      <c r="CI25" s="7" t="n">
        <f aca="false">'Index Price Deals'!AU25</f>
        <v>2859.93409522237</v>
      </c>
      <c r="CJ25" s="7" t="n">
        <f aca="false">CC25+CF25</f>
        <v>21614713.7463402</v>
      </c>
      <c r="CK25" s="7" t="n">
        <f aca="false">CD25+CH25</f>
        <v>20668521.0793677</v>
      </c>
      <c r="CL25" s="7" t="n">
        <f aca="false">CE25+CI25</f>
        <v>946192.66697254</v>
      </c>
      <c r="CM25" s="69"/>
      <c r="CN25" s="7" t="n">
        <f aca="false">Transport!U25</f>
        <v>480728.563</v>
      </c>
      <c r="CO25" s="71" t="n">
        <f aca="false">[4]Sheet1!$AL66</f>
        <v>764635.60641452</v>
      </c>
      <c r="CQ25" s="7" t="n">
        <f aca="false">(((($B25+$C25+$D25+$O25+$P25+$Q25)*0.5)+BR25+BS25)*(0.005*'Prices&amp;Fuel'!$H25)+'Index Price Deals'!AV25)+(((BB25+BC25+BD25+BE25+BF25+BG25)*(1-'Prices&amp;Fuel'!F25))*0.005*0.5*'Prices&amp;Fuel'!H25)</f>
        <v>3761.695</v>
      </c>
      <c r="CR25" s="7" t="n">
        <f aca="false">(((($B25+$C25+$D25+$O25+$P25+$Q25)*0.5)+X25+Y25)*(0.005*'Prices&amp;Fuel'!$H25)+CA25+'Index Price Deals'!AW25)+(((BB25+BC25+BD25+BE25+BF25+BG25)*(1-'Prices&amp;Fuel'!F25))*0.005*0.5*'Prices&amp;Fuel'!H25)</f>
        <v>40933.0070618557</v>
      </c>
      <c r="CS25" s="11" t="n">
        <f aca="false">'Short Term Firm For Budget'!E25</f>
        <v>166512.78</v>
      </c>
      <c r="CT25" s="7" t="n">
        <f aca="false">[2]Sheet1!$O35</f>
        <v>300518.712543033</v>
      </c>
      <c r="CU25" s="7" t="n">
        <f aca="false">'[3]Long Term Deals'!$Z24</f>
        <v>-44141.0768835924</v>
      </c>
      <c r="CV25" s="70" t="n">
        <f aca="false">CL25-CN25-CT25+CU25+CS25+CO25</f>
        <v>1051952.70096043</v>
      </c>
      <c r="CW25" s="14" t="n">
        <f aca="false">((B25+C25+D25+O25+P25+Q25+X25+Y25+AF25+AG25+AH25+BB25+BC25+BD25+BE25+BF25+BG25+BR25+BS25)+('Index Price Deals'!B25+'Index Price Deals'!C25+'Index Price Deals'!D25+'Index Price Deals'!L25+'Index Price Deals'!M25+'Index Price Deals'!N25+'Index Price Deals'!AD25+'Index Price Deals'!AE25+'Index Price Deals'!AF25+'Index Price Deals'!AK25+'Index Price Deals'!AL25+'Index Price Deals'!AM25))*'Prices&amp;Fuel'!H25</f>
        <v>8959074.43298969</v>
      </c>
      <c r="CX25" s="12" t="n">
        <f aca="false">BQ25/(BB25+BC25+BD25+BE25+BF25+BG25)/'Prices&amp;Fuel'!H25</f>
        <v>0.0463719648095243</v>
      </c>
      <c r="CZ25" s="13" t="n">
        <f aca="false">(BA25-CT25+CU25)/(AF25+AG25+AH25)/'Prices&amp;Fuel'!H25</f>
        <v>0.0829680365481261</v>
      </c>
      <c r="DB25" s="1" t="n">
        <f aca="false">(O25+P25+Q25)*'Prices&amp;Fuel'!$H25</f>
        <v>778100</v>
      </c>
      <c r="DC25" s="1" t="n">
        <f aca="false">(X25+Y25)*'Prices&amp;Fuel'!$H25</f>
        <v>217000</v>
      </c>
      <c r="DD25" s="1" t="n">
        <f aca="false">(BR25)*'Prices&amp;Fuel'!$H25</f>
        <v>31000</v>
      </c>
      <c r="DE25" s="1" t="n">
        <v>226000</v>
      </c>
    </row>
    <row r="26" customFormat="false" ht="12.75" hidden="true" customHeight="false" outlineLevel="0" collapsed="false">
      <c r="A26" s="6" t="n">
        <f aca="false">+A25+365/12</f>
        <v>36387.75</v>
      </c>
      <c r="O26" s="7" t="n">
        <v>9036</v>
      </c>
      <c r="P26" s="7" t="n">
        <v>10794</v>
      </c>
      <c r="Q26" s="7" t="n">
        <v>5270</v>
      </c>
      <c r="R26" s="8" t="n">
        <f aca="false">R25</f>
        <v>2.2457</v>
      </c>
      <c r="S26" s="8" t="n">
        <f aca="false">S25</f>
        <v>2.2347</v>
      </c>
      <c r="T26" s="7" t="n">
        <f aca="false">(($O26*R26)+($P26*R26)+($Q26*R26))*'Prices&amp;Fuel'!$H26</f>
        <v>1747379.17</v>
      </c>
      <c r="U26" s="7" t="n">
        <f aca="false">(($O26*S26)+($P26*S26)+($Q26*S26))*'Prices&amp;Fuel'!$H26</f>
        <v>1738820.07</v>
      </c>
      <c r="V26" s="14" t="n">
        <f aca="false">T26-U26</f>
        <v>8559.10000000009</v>
      </c>
      <c r="X26" s="7" t="n">
        <f aca="false">7000*0.5</f>
        <v>3500</v>
      </c>
      <c r="Y26" s="7" t="n">
        <f aca="false">X26</f>
        <v>3500</v>
      </c>
      <c r="Z26" s="27" t="n">
        <v>2.2</v>
      </c>
      <c r="AA26" s="27" t="n">
        <v>2.18</v>
      </c>
      <c r="AB26" s="7" t="n">
        <f aca="false">($X26+$Y26)*Z26*'Prices&amp;Fuel'!$H26</f>
        <v>477400</v>
      </c>
      <c r="AC26" s="7" t="n">
        <f aca="false">($X26+$Y26)*AA26*'Prices&amp;Fuel'!$H26</f>
        <v>473060</v>
      </c>
      <c r="AD26" s="14" t="n">
        <f aca="false">AB26-AC26</f>
        <v>4340</v>
      </c>
      <c r="AF26" s="7" t="n">
        <f aca="false">((126000)/(1-'Prices&amp;Fuel'!F26))+(25000/(1-'Prices&amp;Fuel'!G26))-AI26</f>
        <v>155670.103092784</v>
      </c>
      <c r="AG26" s="7" t="n">
        <v>0</v>
      </c>
      <c r="AH26" s="7" t="n">
        <f aca="false">(75000/(1-'Prices&amp;Fuel'!G26))-AK26</f>
        <v>77319.587628866</v>
      </c>
      <c r="AI26" s="7"/>
      <c r="AJ26" s="7"/>
      <c r="AK26" s="7"/>
      <c r="AL26" s="11" t="n">
        <f aca="false">ROUND((226000/(1-'Prices&amp;Fuel'!F26))-AF26-AG26-AH26,0)</f>
        <v>0</v>
      </c>
      <c r="AM26" s="7" t="n">
        <f aca="false">ROUND(IF(AF26&lt;AP26,0,(AF26-AP26-AI26)/2),0)</f>
        <v>37835</v>
      </c>
      <c r="AN26" s="7"/>
      <c r="AO26" s="7" t="n">
        <f aca="false">ROUND((75000/(1-'Prices&amp;Fuel'!G26)-AV26-AK26)/2,0)</f>
        <v>34109</v>
      </c>
      <c r="AP26" s="7" t="n">
        <f aca="false">IF(80000&gt;AF26,AF26,80000)</f>
        <v>80000</v>
      </c>
      <c r="AQ26" s="7"/>
      <c r="AR26" s="7" t="n">
        <f aca="false">IF(AP26&gt;AF26,0,AF26-AM26-AP26)</f>
        <v>37835.1030927835</v>
      </c>
      <c r="AS26" s="7"/>
      <c r="AT26" s="14" t="n">
        <f aca="false">AH26-AO26-AV26</f>
        <v>34108.7489191886</v>
      </c>
      <c r="AU26" s="14" t="n">
        <f aca="false">AL26*AX26*'Prices&amp;Fuel'!H26</f>
        <v>0</v>
      </c>
      <c r="AV26" s="7" t="n">
        <f aca="false">(215493+66664)/31</f>
        <v>9101.83870967742</v>
      </c>
      <c r="AW26" s="68" t="n">
        <f aca="false">AW25</f>
        <v>0.135</v>
      </c>
      <c r="AX26" s="68" t="n">
        <f aca="false">AX25</f>
        <v>0.025</v>
      </c>
      <c r="AY26" s="5" t="n">
        <f aca="false">('Prices&amp;Fuel'!H26*('Prices&amp;Fuel'!B26+AW26)*'Long Term Deals'!AF26)+('Prices&amp;Fuel'!H26*('Prices&amp;Fuel'!C26+'Long Term Deals'!AW26)*'Long Term Deals'!AG26)+(AH26*('Prices&amp;Fuel'!C26+AW26)*'Prices&amp;Fuel'!H26)+(AW26*AL26*'Prices&amp;Fuel'!H26)</f>
        <v>19633226.8041237</v>
      </c>
      <c r="AZ26" s="5" t="n">
        <f aca="false">(AP26*'Prices&amp;Fuel'!H26*'Prices&amp;Fuel'!B26)+(AQ26*'Prices&amp;Fuel'!C26*'Prices&amp;Fuel'!H26)+((AM26+AR26)*('Prices&amp;Fuel'!B26+'Long Term Deals'!AX26)*'Prices&amp;Fuel'!H26)+((AN26+AS26)*('Prices&amp;Fuel'!C26+'Long Term Deals'!AX26)*'Prices&amp;Fuel'!H26)+((AO26+AT26)*('Prices&amp;Fuel'!D26+'Long Term Deals'!AX26)*'Prices&amp;Fuel'!H26)+(AV26*'Prices&amp;Fuel'!H26*'Prices&amp;Fuel'!Q26)+AU26</f>
        <v>18670379.6451031</v>
      </c>
      <c r="BA26" s="5" t="n">
        <f aca="false">AY26-AZ26</f>
        <v>962847.159020621</v>
      </c>
      <c r="BB26" s="5" t="n">
        <f aca="false">IF('FP Corp'!T26-((BE26+BF26+BG26)*(1-'Prices&amp;Fuel'!F26))&lt;'Prices&amp;Fuel'!R26,('FP Corp'!T26-(BE26+BF26+BG26)*(1-'Prices&amp;Fuel'!F26)),'Prices&amp;Fuel'!R26)/(1-'Prices&amp;Fuel'!F26)</f>
        <v>9000</v>
      </c>
      <c r="BC26" s="9" t="n">
        <f aca="false">('FP Corp'!T26/(1-'Prices&amp;Fuel'!F26))-BD26-BE26-BF26-BG26-BB26</f>
        <v>67.9999999996617</v>
      </c>
      <c r="BD26" s="9" t="n">
        <f aca="false">ROUND(IF('FP Corp'!T26/(1-'Prices&amp;Fuel'!F26)-BE26-BF26-BG26-BB26&gt;'Prices&amp;Fuel'!T26,'Prices&amp;Fuel'!T26,'FP Corp'!T26/(1-'Prices&amp;Fuel'!F26)-BE26-BF26-BG26-BB26),9)-68</f>
        <v>6505.195876289</v>
      </c>
      <c r="BE26" s="9" t="n">
        <f aca="false">'Prices&amp;Fuel'!U26/(1-'Prices&amp;Fuel'!F26)</f>
        <v>1938.14432989691</v>
      </c>
      <c r="BF26" s="9" t="n">
        <f aca="false">('Prices&amp;Fuel'!V26+'Prices&amp;Fuel'!X26)/(1-'Prices&amp;Fuel'!F26)</f>
        <v>3070.10309278351</v>
      </c>
      <c r="BG26" s="9" t="n">
        <f aca="false">'Prices&amp;Fuel'!W26/(1-'Prices&amp;Fuel'!F26)</f>
        <v>1068.0412371134</v>
      </c>
      <c r="BH26" s="10" t="n">
        <f aca="false">('Prices&amp;Fuel'!C26+'Prices&amp;Fuel'!D26)/2-0.05+('Prices&amp;Fuel'!M26+'Prices&amp;Fuel'!P26)*(1-'Prices&amp;Fuel'!F26)</f>
        <v>3.314351</v>
      </c>
      <c r="BI26" s="9" t="n">
        <f aca="false">IF(AP26=80000,0,BB26)</f>
        <v>0</v>
      </c>
      <c r="BJ26" s="9" t="n">
        <v>68</v>
      </c>
      <c r="BK26" s="10" t="n">
        <f aca="false">(((BB26+BE26)*('Prices&amp;Fuel'!B26+0.025))+(('Prices&amp;Fuel'!D26+0.025)*(BD26+BG26))+(('Prices&amp;Fuel'!C26+0.025)*(BC26+BF26))-(BI26+BJ26)*0.025)/(BB26+BC26+BD26+BE26+BF26+BG26)</f>
        <v>2.6007194952381</v>
      </c>
      <c r="BL26" s="9" t="n">
        <f aca="false">(BB26+BC26+BD26+BE26+BF26+BG26)*BH26*'Prices&amp;Fuel'!H26</f>
        <v>2224373.71237113</v>
      </c>
      <c r="BM26" s="9" t="n">
        <f aca="false">'Prices&amp;Fuel'!X26*('Prices&amp;Fuel'!N26+'Prices&amp;Fuel'!O26)*'Prices&amp;Fuel'!H26</f>
        <v>4994.7107</v>
      </c>
      <c r="BN26" s="9" t="n">
        <f aca="false">('Prices&amp;Fuel'!U26+'Prices&amp;Fuel'!V26+'Prices&amp;Fuel'!W26)*('Prices&amp;Fuel'!L26+'Prices&amp;Fuel'!O26)*'Prices&amp;Fuel'!H26</f>
        <v>66587.2002</v>
      </c>
      <c r="BO26" s="9" t="n">
        <f aca="false">((BB26+BC26+BD26)*(1-'Prices&amp;Fuel'!G26))*('Prices&amp;Fuel'!M26+'Prices&amp;Fuel'!P26)*'Prices&amp;Fuel'!H26</f>
        <v>373832.7138</v>
      </c>
      <c r="BP26" s="9" t="n">
        <f aca="false">((BD26+BC26+BB26+BE26+BF26+BG26)*BK26*'Prices&amp;Fuel'!H26)+BM26+BN26+BO26</f>
        <v>2190845.95604021</v>
      </c>
      <c r="BQ26" s="5" t="n">
        <f aca="false">BL26-BP26</f>
        <v>33527.7563309278</v>
      </c>
      <c r="BR26" s="7" t="n">
        <v>1000</v>
      </c>
      <c r="BT26" s="8" t="n">
        <f aca="false">IF('Prices&amp;Fuel'!$E26&lt;1.89,1.89,'Prices&amp;Fuel'!$E26)</f>
        <v>2.5527</v>
      </c>
      <c r="BU26" s="8"/>
      <c r="BV26" s="13" t="n">
        <f aca="false">BT26</f>
        <v>2.5527</v>
      </c>
      <c r="BW26" s="13"/>
      <c r="BX26" s="7" t="n">
        <f aca="false">(BR26*BT26+BS26*BU26)*'Prices&amp;Fuel'!H26</f>
        <v>79133.7</v>
      </c>
      <c r="BY26" s="7" t="n">
        <f aca="false">($BR26*BV26+$BS26*BW26)*'Prices&amp;Fuel'!H26</f>
        <v>79133.7</v>
      </c>
      <c r="BZ26" s="5" t="n">
        <f aca="false">BX26-BY26</f>
        <v>0</v>
      </c>
      <c r="CA26" s="5" t="n">
        <f aca="false">(AF26+AG26+AH26+AL26)*0.005*'Prices&amp;Fuel'!H26</f>
        <v>36113.4020618557</v>
      </c>
      <c r="CB26" s="5" t="n">
        <f aca="false">(B26+C26+D26+O26+P26+Q26+X26+Y26+BB26+BC26+BD26+BE26+BF26+BG26+BR26+BS26)*0.005*'Prices&amp;Fuel'!H26</f>
        <v>8486.17010309279</v>
      </c>
      <c r="CC26" s="7" t="n">
        <f aca="false">K26+T26+AB26+AY26+BL26+BX26</f>
        <v>24161513.3864949</v>
      </c>
      <c r="CD26" s="7" t="n">
        <f aca="false">L26+U26+AC26+AZ26+BP26+BY26+CA26+CB26</f>
        <v>23196838.9433083</v>
      </c>
      <c r="CE26" s="7" t="n">
        <f aca="false">CC26-CD26</f>
        <v>964674.4431866</v>
      </c>
      <c r="CF26" s="7" t="n">
        <f aca="false">'Index Price Deals'!AR26</f>
        <v>88209.7816666666</v>
      </c>
      <c r="CG26" s="7" t="n">
        <f aca="false">'Index Price Deals'!AS26</f>
        <v>159.97</v>
      </c>
      <c r="CH26" s="7" t="n">
        <f aca="false">'Index Price Deals'!AT26</f>
        <v>85648.8510747347</v>
      </c>
      <c r="CI26" s="7" t="n">
        <f aca="false">'Index Price Deals'!AU26</f>
        <v>2560.93059193193</v>
      </c>
      <c r="CJ26" s="7" t="n">
        <f aca="false">CC26+CF26</f>
        <v>24249723.1681615</v>
      </c>
      <c r="CK26" s="7" t="n">
        <f aca="false">CD26+CH26</f>
        <v>23282487.794383</v>
      </c>
      <c r="CL26" s="7" t="n">
        <f aca="false">CE26+CI26</f>
        <v>967235.373778532</v>
      </c>
      <c r="CM26" s="69"/>
      <c r="CN26" s="7" t="n">
        <f aca="false">Transport!U26</f>
        <v>480728.563</v>
      </c>
      <c r="CO26" s="71" t="n">
        <f aca="false">[4]Sheet1!$AL67</f>
        <v>763215.32511061</v>
      </c>
      <c r="CQ26" s="7" t="n">
        <f aca="false">(((($B26+$C26+$D26+$O26+$P26+$Q26)*0.5)+BR26+BS26)*(0.005*'Prices&amp;Fuel'!$H26)+'Index Price Deals'!AV26)+(((BB26+BC26+BD26+BE26+BF26+BG26)*(1-'Prices&amp;Fuel'!F26))*0.005*0.5*'Prices&amp;Fuel'!H26)</f>
        <v>3734.725</v>
      </c>
      <c r="CR26" s="7" t="n">
        <f aca="false">(((($B26+$C26+$D26+$O26+$P26+$Q26)*0.5)+X26+Y26)*(0.005*'Prices&amp;Fuel'!$H26)+CA26+'Index Price Deals'!AW26)+(((BB26+BC26+BD26+BE26+BF26+BG26)*(1-'Prices&amp;Fuel'!F26))*0.005*0.5*'Prices&amp;Fuel'!H26)</f>
        <v>40924.1470618557</v>
      </c>
      <c r="CS26" s="11" t="n">
        <f aca="false">'Short Term Firm For Budget'!E26</f>
        <v>166512.78</v>
      </c>
      <c r="CT26" s="7" t="n">
        <f aca="false">[2]Sheet1!$O36</f>
        <v>300518.712543033</v>
      </c>
      <c r="CU26" s="7" t="n">
        <f aca="false">'[3]Long Term Deals'!$Z25</f>
        <v>-44025.6018835929</v>
      </c>
      <c r="CV26" s="70" t="n">
        <f aca="false">CL26-CN26-CT26+CU26+CS26+CO26</f>
        <v>1071690.60146252</v>
      </c>
      <c r="CW26" s="14" t="n">
        <f aca="false">((B26+C26+D26+O26+P26+Q26+X26+Y26+AF26+AG26+AH26+BB26+BC26+BD26+BE26+BF26+BG26+BR26+BS26)+('Index Price Deals'!B26+'Index Price Deals'!C26+'Index Price Deals'!D26+'Index Price Deals'!L26+'Index Price Deals'!M26+'Index Price Deals'!N26+'Index Price Deals'!AD26+'Index Price Deals'!AE26+'Index Price Deals'!AF26+'Index Price Deals'!AK26+'Index Price Deals'!AL26+'Index Price Deals'!AM26))*'Prices&amp;Fuel'!H26</f>
        <v>8951908.43298969</v>
      </c>
      <c r="CX26" s="12" t="n">
        <f aca="false">BQ26/(BB26+BC26+BD26+BE26+BF26+BG26)/'Prices&amp;Fuel'!H26</f>
        <v>0.049956871952381</v>
      </c>
      <c r="CZ26" s="13" t="n">
        <f aca="false">(BA26-CT26+CU26)/(AF26+AG26+AH26)/'Prices&amp;Fuel'!H26</f>
        <v>0.085605732123348</v>
      </c>
      <c r="DB26" s="1" t="n">
        <f aca="false">(O26+P26+Q26)*'Prices&amp;Fuel'!$H26</f>
        <v>778100</v>
      </c>
      <c r="DC26" s="1" t="n">
        <f aca="false">(X26+Y26)*'Prices&amp;Fuel'!$H26</f>
        <v>217000</v>
      </c>
      <c r="DD26" s="1" t="n">
        <f aca="false">(BR26)*'Prices&amp;Fuel'!$H26</f>
        <v>31000</v>
      </c>
      <c r="DE26" s="1" t="n">
        <v>226000</v>
      </c>
    </row>
    <row r="27" customFormat="false" ht="12.75" hidden="true" customHeight="false" outlineLevel="0" collapsed="false">
      <c r="A27" s="6" t="n">
        <f aca="false">+A26+365/12</f>
        <v>36418.1666666667</v>
      </c>
      <c r="O27" s="7" t="n">
        <v>9036</v>
      </c>
      <c r="P27" s="7" t="n">
        <v>10794</v>
      </c>
      <c r="Q27" s="7" t="n">
        <v>5270</v>
      </c>
      <c r="R27" s="8" t="n">
        <f aca="false">R26</f>
        <v>2.2457</v>
      </c>
      <c r="S27" s="8" t="n">
        <f aca="false">S26</f>
        <v>2.2347</v>
      </c>
      <c r="T27" s="7" t="n">
        <f aca="false">(($O27*R27)+($P27*R27)+($Q27*R27))*'Prices&amp;Fuel'!$H27</f>
        <v>1691012.1</v>
      </c>
      <c r="U27" s="7" t="n">
        <f aca="false">(($O27*S27)+($P27*S27)+($Q27*S27))*'Prices&amp;Fuel'!$H27</f>
        <v>1682729.1</v>
      </c>
      <c r="V27" s="14" t="n">
        <f aca="false">T27-U27</f>
        <v>8283.00000000023</v>
      </c>
      <c r="X27" s="7" t="n">
        <f aca="false">7000*0.5</f>
        <v>3500</v>
      </c>
      <c r="Y27" s="7" t="n">
        <f aca="false">X27</f>
        <v>3500</v>
      </c>
      <c r="Z27" s="27" t="n">
        <v>2.2</v>
      </c>
      <c r="AA27" s="27" t="n">
        <v>2.18</v>
      </c>
      <c r="AB27" s="7" t="n">
        <f aca="false">($X27+$Y27)*Z27*'Prices&amp;Fuel'!$H27</f>
        <v>462000</v>
      </c>
      <c r="AC27" s="7" t="n">
        <f aca="false">($X27+$Y27)*AA27*'Prices&amp;Fuel'!$H27</f>
        <v>457800</v>
      </c>
      <c r="AD27" s="14" t="n">
        <f aca="false">AB27-AC27</f>
        <v>4200</v>
      </c>
      <c r="AF27" s="7" t="n">
        <f aca="false">((126000)/(1-'Prices&amp;Fuel'!F27))+(25000/(1-'Prices&amp;Fuel'!G27))-AI27</f>
        <v>155670.103092784</v>
      </c>
      <c r="AG27" s="7" t="n">
        <v>0</v>
      </c>
      <c r="AH27" s="7" t="n">
        <f aca="false">(75000/(1-'Prices&amp;Fuel'!G27))-AK27</f>
        <v>77319.587628866</v>
      </c>
      <c r="AI27" s="7"/>
      <c r="AJ27" s="7"/>
      <c r="AK27" s="7"/>
      <c r="AL27" s="11" t="n">
        <f aca="false">ROUND((226000/(1-'Prices&amp;Fuel'!F27))-AF27-AG27-AH27,0)</f>
        <v>0</v>
      </c>
      <c r="AM27" s="7" t="n">
        <f aca="false">ROUND(IF(AF27&lt;AP27,0,(AF27-AP27-AI27)/2),0)</f>
        <v>37835</v>
      </c>
      <c r="AN27" s="7"/>
      <c r="AO27" s="7" t="n">
        <f aca="false">ROUND((75000/(1-'Prices&amp;Fuel'!G27)-AV27-AK27)/2,0)</f>
        <v>34115</v>
      </c>
      <c r="AP27" s="7" t="n">
        <f aca="false">IF(80000&gt;AF27,AF27,80000)</f>
        <v>80000</v>
      </c>
      <c r="AQ27" s="7"/>
      <c r="AR27" s="7" t="n">
        <f aca="false">IF(AP27&gt;AF27,0,AF27-AM27-AP27)</f>
        <v>37835.1030927835</v>
      </c>
      <c r="AS27" s="7"/>
      <c r="AT27" s="14" t="n">
        <f aca="false">AH27-AO27-AV27</f>
        <v>34115.6542955326</v>
      </c>
      <c r="AU27" s="14" t="n">
        <f aca="false">AL27*AX27*'Prices&amp;Fuel'!H27</f>
        <v>0</v>
      </c>
      <c r="AV27" s="7" t="n">
        <f aca="false">(216868+55800)/30</f>
        <v>9088.93333333333</v>
      </c>
      <c r="AW27" s="68" t="n">
        <f aca="false">AW26</f>
        <v>0.135</v>
      </c>
      <c r="AX27" s="68" t="n">
        <f aca="false">AX26</f>
        <v>0.025</v>
      </c>
      <c r="AY27" s="5" t="n">
        <f aca="false">('Prices&amp;Fuel'!H27*('Prices&amp;Fuel'!B27+AW27)*'Long Term Deals'!AF27)+('Prices&amp;Fuel'!H27*('Prices&amp;Fuel'!C27+'Long Term Deals'!AW27)*'Long Term Deals'!AG27)+(AH27*('Prices&amp;Fuel'!C27+AW27)*'Prices&amp;Fuel'!H27)+(AW27*AL27*'Prices&amp;Fuel'!H27)</f>
        <v>21026907.2164948</v>
      </c>
      <c r="AZ27" s="5" t="n">
        <f aca="false">(AP27*'Prices&amp;Fuel'!H27*'Prices&amp;Fuel'!B27)+(AQ27*'Prices&amp;Fuel'!C27*'Prices&amp;Fuel'!H27)+((AM27+AR27)*('Prices&amp;Fuel'!B27+'Long Term Deals'!AX27)*'Prices&amp;Fuel'!H27)+((AN27+AS27)*('Prices&amp;Fuel'!C27+'Long Term Deals'!AX27)*'Prices&amp;Fuel'!H27)+((AO27+AT27)*('Prices&amp;Fuel'!D27+'Long Term Deals'!AX27)*'Prices&amp;Fuel'!H27)+(AV27*'Prices&amp;Fuel'!H27*'Prices&amp;Fuel'!Q27)+AU27</f>
        <v>20090925.3519588</v>
      </c>
      <c r="BA27" s="5" t="n">
        <f aca="false">AY27-AZ27</f>
        <v>935981.864536084</v>
      </c>
      <c r="BB27" s="5" t="n">
        <f aca="false">IF('FP Corp'!T27-((BE27+BF27+BG27)*(1-'Prices&amp;Fuel'!F27))&lt;'Prices&amp;Fuel'!R27,('FP Corp'!T27-(BE27+BF27+BG27)*(1-'Prices&amp;Fuel'!F27)),'Prices&amp;Fuel'!R27)/(1-'Prices&amp;Fuel'!F27)</f>
        <v>9000</v>
      </c>
      <c r="BC27" s="9" t="n">
        <f aca="false">('FP Corp'!T27/(1-'Prices&amp;Fuel'!F27))-BD27-BE27-BF27-BG27-BB27</f>
        <v>67.9999999996617</v>
      </c>
      <c r="BD27" s="9" t="n">
        <f aca="false">ROUND(IF('FP Corp'!T27/(1-'Prices&amp;Fuel'!F27)-BE27-BF27-BG27-BB27&gt;'Prices&amp;Fuel'!T27,'Prices&amp;Fuel'!T27,'FP Corp'!T27/(1-'Prices&amp;Fuel'!F27)-BE27-BF27-BG27-BB27),9)-68</f>
        <v>6505.195876289</v>
      </c>
      <c r="BE27" s="9" t="n">
        <f aca="false">'Prices&amp;Fuel'!U27/(1-'Prices&amp;Fuel'!F27)</f>
        <v>1938.14432989691</v>
      </c>
      <c r="BF27" s="9" t="n">
        <f aca="false">('Prices&amp;Fuel'!V27+'Prices&amp;Fuel'!X27)/(1-'Prices&amp;Fuel'!F27)</f>
        <v>3070.10309278351</v>
      </c>
      <c r="BG27" s="9" t="n">
        <f aca="false">'Prices&amp;Fuel'!W27/(1-'Prices&amp;Fuel'!F27)</f>
        <v>1068.0412371134</v>
      </c>
      <c r="BH27" s="10" t="n">
        <f aca="false">('Prices&amp;Fuel'!C27+'Prices&amp;Fuel'!D27)/2-0.05+('Prices&amp;Fuel'!M27+'Prices&amp;Fuel'!P27)*(1-'Prices&amp;Fuel'!F27)</f>
        <v>3.604351</v>
      </c>
      <c r="BI27" s="9" t="n">
        <f aca="false">IF(AP27=80000,0,BB27)</f>
        <v>0</v>
      </c>
      <c r="BJ27" s="9" t="n">
        <v>68</v>
      </c>
      <c r="BK27" s="10" t="n">
        <f aca="false">(((BB27+BE27)*('Prices&amp;Fuel'!B27+0.025))+(('Prices&amp;Fuel'!D27+0.025)*(BD27+BG27))+(('Prices&amp;Fuel'!C27+0.025)*(BC27+BF27))-(BI27+BJ27)*0.025)/(BB27+BC27+BD27+BE27+BF27+BG27)</f>
        <v>2.8907194952381</v>
      </c>
      <c r="BL27" s="9" t="n">
        <f aca="false">(BB27+BC27+BD27+BE27+BF27+BG27)*BH27*'Prices&amp;Fuel'!H27</f>
        <v>2340970.2371134</v>
      </c>
      <c r="BM27" s="9" t="n">
        <f aca="false">'Prices&amp;Fuel'!X27*('Prices&amp;Fuel'!N27+'Prices&amp;Fuel'!O27)*'Prices&amp;Fuel'!H27</f>
        <v>4833.591</v>
      </c>
      <c r="BN27" s="9" t="n">
        <f aca="false">('Prices&amp;Fuel'!U27+'Prices&amp;Fuel'!V27+'Prices&amp;Fuel'!W27)*('Prices&amp;Fuel'!L27+'Prices&amp;Fuel'!O27)*'Prices&amp;Fuel'!H27</f>
        <v>64439.226</v>
      </c>
      <c r="BO27" s="9" t="n">
        <f aca="false">((BB27+BC27+BD27)*(1-'Prices&amp;Fuel'!G27))*('Prices&amp;Fuel'!M27+'Prices&amp;Fuel'!P27)*'Prices&amp;Fuel'!H27</f>
        <v>361773.594</v>
      </c>
      <c r="BP27" s="9" t="n">
        <f aca="false">((BD27+BC27+BB27+BE27+BF27+BG27)*BK27*'Prices&amp;Fuel'!H27)+BM27+BN27+BO27</f>
        <v>2308524.02130928</v>
      </c>
      <c r="BQ27" s="5" t="n">
        <f aca="false">BL27-BP27</f>
        <v>32446.2158041243</v>
      </c>
      <c r="BR27" s="7" t="n">
        <v>1000</v>
      </c>
      <c r="BT27" s="8" t="n">
        <f aca="false">IF('Prices&amp;Fuel'!$E27&lt;1.89,1.89,'Prices&amp;Fuel'!$E27)</f>
        <v>2.9633</v>
      </c>
      <c r="BU27" s="8"/>
      <c r="BV27" s="13" t="n">
        <f aca="false">BT27</f>
        <v>2.9633</v>
      </c>
      <c r="BW27" s="13"/>
      <c r="BX27" s="7" t="n">
        <f aca="false">(BR27*BT27+BS27*BU27)*'Prices&amp;Fuel'!H27</f>
        <v>88899</v>
      </c>
      <c r="BY27" s="7" t="n">
        <f aca="false">($BR27*BV27+$BS27*BW27)*'Prices&amp;Fuel'!H27</f>
        <v>88899</v>
      </c>
      <c r="BZ27" s="5" t="n">
        <f aca="false">BX27-BY27</f>
        <v>0</v>
      </c>
      <c r="CA27" s="5" t="n">
        <f aca="false">(AF27+AG27+AH27+AL27)*0.005*'Prices&amp;Fuel'!H27</f>
        <v>34948.4536082474</v>
      </c>
      <c r="CB27" s="5" t="n">
        <f aca="false">(B27+C27+D27+O27+P27+Q27+X27+Y27+BB27+BC27+BD27+BE27+BF27+BG27+BR27+BS27)*0.005*'Prices&amp;Fuel'!H27</f>
        <v>8212.42268041237</v>
      </c>
      <c r="CC27" s="7" t="n">
        <f aca="false">K27+T27+AB27+AY27+BL27+BX27</f>
        <v>25609788.5536083</v>
      </c>
      <c r="CD27" s="7" t="n">
        <f aca="false">L27+U27+AC27+AZ27+BP27+BY27+CA27+CB27</f>
        <v>24672038.3495567</v>
      </c>
      <c r="CE27" s="7" t="n">
        <f aca="false">CC27-CD27</f>
        <v>937750.204051547</v>
      </c>
      <c r="CF27" s="7" t="n">
        <f aca="false">'Index Price Deals'!AR27</f>
        <v>112415.2</v>
      </c>
      <c r="CG27" s="7" t="n">
        <f aca="false">'Index Price Deals'!AS27</f>
        <v>185.505</v>
      </c>
      <c r="CH27" s="7" t="n">
        <f aca="false">'Index Price Deals'!AT27</f>
        <v>109578.586424868</v>
      </c>
      <c r="CI27" s="7" t="n">
        <f aca="false">'Index Price Deals'!AU27</f>
        <v>2836.61357513162</v>
      </c>
      <c r="CJ27" s="7" t="n">
        <f aca="false">CC27+CF27</f>
        <v>25722203.7536083</v>
      </c>
      <c r="CK27" s="7" t="n">
        <f aca="false">CD27+CH27</f>
        <v>24781616.9359816</v>
      </c>
      <c r="CL27" s="7" t="n">
        <f aca="false">CE27+CI27</f>
        <v>940586.817626678</v>
      </c>
      <c r="CM27" s="69"/>
      <c r="CN27" s="7" t="n">
        <f aca="false">Transport!U27</f>
        <v>465221.19</v>
      </c>
      <c r="CO27" s="71" t="n">
        <f aca="false">[4]Sheet1!$AL68</f>
        <v>738595.475913493</v>
      </c>
      <c r="CQ27" s="7" t="n">
        <f aca="false">(((($B27+$C27+$D27+$O27+$P27+$Q27)*0.5)+BR27+BS27)*(0.005*'Prices&amp;Fuel'!$H27)+'Index Price Deals'!AV27)+(((BB27+BC27+BD27+BE27+BF27+BG27)*(1-'Prices&amp;Fuel'!F27))*0.005*0.5*'Prices&amp;Fuel'!H27)</f>
        <v>3639</v>
      </c>
      <c r="CR27" s="7" t="n">
        <f aca="false">(((($B27+$C27+$D27+$O27+$P27+$Q27)*0.5)+X27+Y27)*(0.005*'Prices&amp;Fuel'!$H27)+CA27+'Index Price Deals'!AW27)+(((BB27+BC27+BD27+BE27+BF27+BG27)*(1-'Prices&amp;Fuel'!F27))*0.005*0.5*'Prices&amp;Fuel'!H27)</f>
        <v>39609.9586082474</v>
      </c>
      <c r="CS27" s="11" t="n">
        <f aca="false">'Short Term Firm For Budget'!E27</f>
        <v>161141.4</v>
      </c>
      <c r="CT27" s="7" t="n">
        <f aca="false">[2]Sheet1!$O37</f>
        <v>290824.560525515</v>
      </c>
      <c r="CU27" s="7" t="n">
        <f aca="false">'[3]Long Term Deals'!$Z26</f>
        <v>-42605.4211776705</v>
      </c>
      <c r="CV27" s="70" t="n">
        <f aca="false">CL27-CN27-CT27+CU27+CS27+CO27</f>
        <v>1041672.52183699</v>
      </c>
      <c r="CW27" s="14" t="n">
        <f aca="false">((B27+C27+D27+O27+P27+Q27+X27+Y27+AF27+AG27+AH27+BB27+BC27+BD27+BE27+BF27+BG27+BR27+BS27)+('Index Price Deals'!B27+'Index Price Deals'!C27+'Index Price Deals'!D27+'Index Price Deals'!L27+'Index Price Deals'!M27+'Index Price Deals'!N27+'Index Price Deals'!AD27+'Index Price Deals'!AE27+'Index Price Deals'!AF27+'Index Price Deals'!AK27+'Index Price Deals'!AL27+'Index Price Deals'!AM27))*'Prices&amp;Fuel'!H27</f>
        <v>8669276.25773196</v>
      </c>
      <c r="CX27" s="12" t="n">
        <f aca="false">BQ27/(BB27+BC27+BD27+BE27+BF27+BG27)/'Prices&amp;Fuel'!H27</f>
        <v>0.0499568719523818</v>
      </c>
      <c r="CZ27" s="13" t="n">
        <f aca="false">(BA27-CT27+CU27)/(AF27+AG27+AH27)/'Prices&amp;Fuel'!H27</f>
        <v>0.0862058003462996</v>
      </c>
      <c r="DB27" s="1" t="n">
        <f aca="false">(O27+P27+Q27)*'Prices&amp;Fuel'!$H27</f>
        <v>753000</v>
      </c>
      <c r="DC27" s="1" t="n">
        <f aca="false">(X27+Y27)*'Prices&amp;Fuel'!$H27</f>
        <v>210000</v>
      </c>
      <c r="DD27" s="1" t="n">
        <f aca="false">(BR27)*'Prices&amp;Fuel'!$H27</f>
        <v>30000</v>
      </c>
      <c r="DE27" s="1" t="n">
        <v>226000</v>
      </c>
    </row>
    <row r="28" customFormat="false" ht="12.75" hidden="true" customHeight="false" outlineLevel="0" collapsed="false">
      <c r="A28" s="6" t="n">
        <f aca="false">+A27+365/12</f>
        <v>36448.5833333333</v>
      </c>
      <c r="O28" s="7" t="n">
        <v>9036</v>
      </c>
      <c r="P28" s="7" t="n">
        <v>10794</v>
      </c>
      <c r="Q28" s="7" t="n">
        <v>5270</v>
      </c>
      <c r="R28" s="8" t="n">
        <f aca="false">R27</f>
        <v>2.2457</v>
      </c>
      <c r="S28" s="8" t="n">
        <f aca="false">S27</f>
        <v>2.2347</v>
      </c>
      <c r="T28" s="7" t="n">
        <f aca="false">(($O28*R28)+($P28*R28)+($Q28*R28))*'Prices&amp;Fuel'!$H28</f>
        <v>1747379.17</v>
      </c>
      <c r="U28" s="7" t="n">
        <f aca="false">(($O28*S28)+($P28*S28)+($Q28*S28))*'Prices&amp;Fuel'!$H28</f>
        <v>1738820.07</v>
      </c>
      <c r="V28" s="14" t="n">
        <f aca="false">T28-U28</f>
        <v>8559.10000000009</v>
      </c>
      <c r="X28" s="7" t="n">
        <f aca="false">7000*0.5</f>
        <v>3500</v>
      </c>
      <c r="Y28" s="7" t="n">
        <f aca="false">X28</f>
        <v>3500</v>
      </c>
      <c r="Z28" s="27" t="n">
        <v>2.2</v>
      </c>
      <c r="AA28" s="27" t="n">
        <v>2.18</v>
      </c>
      <c r="AB28" s="7" t="n">
        <f aca="false">($X28+$Y28)*Z28*'Prices&amp;Fuel'!$H28</f>
        <v>477400</v>
      </c>
      <c r="AC28" s="7" t="n">
        <f aca="false">($X28+$Y28)*AA28*'Prices&amp;Fuel'!$H28</f>
        <v>473060</v>
      </c>
      <c r="AD28" s="14" t="n">
        <f aca="false">AB28-AC28</f>
        <v>4340</v>
      </c>
      <c r="AF28" s="7" t="n">
        <f aca="false">(32000/(1-'Prices&amp;Fuel'!F28))+(25000/(1-'Prices&amp;Fuel'!G28))-AI28</f>
        <v>58611.8251928021</v>
      </c>
      <c r="AG28" s="7" t="n">
        <v>0</v>
      </c>
      <c r="AH28" s="7" t="n">
        <f aca="false">(75000/(1-'Prices&amp;Fuel'!G28))-AK28</f>
        <v>77120.822622108</v>
      </c>
      <c r="AI28" s="7"/>
      <c r="AJ28" s="7"/>
      <c r="AK28" s="7"/>
      <c r="AL28" s="11" t="n">
        <f aca="false">ROUND((132000/(1-'Prices&amp;Fuel'!F28))-AF28-AG28-AH28,0)</f>
        <v>0</v>
      </c>
      <c r="AM28" s="7" t="n">
        <f aca="false">ROUND(IF(AF28&lt;AP28,0,(AF28-AP28-AI28)/2),0)</f>
        <v>0</v>
      </c>
      <c r="AN28" s="7"/>
      <c r="AO28" s="7" t="n">
        <f aca="false">ROUND((75000/(1-'Prices&amp;Fuel'!G28)-AV28-AK28)/2,0)</f>
        <v>33442</v>
      </c>
      <c r="AP28" s="7" t="n">
        <f aca="false">IF(80000&gt;AF28,AF28,80000)</f>
        <v>58611.8251928021</v>
      </c>
      <c r="AQ28" s="7"/>
      <c r="AR28" s="7" t="n">
        <f aca="false">IF(AP28&gt;AF28,0,AF28-AM28-AP28)</f>
        <v>0</v>
      </c>
      <c r="AS28" s="14"/>
      <c r="AT28" s="14" t="n">
        <f aca="false">AH28-AO28-AV28</f>
        <v>33442.0484285596</v>
      </c>
      <c r="AU28" s="14" t="n">
        <f aca="false">AL28*AX28*'Prices&amp;Fuel'!H28</f>
        <v>0</v>
      </c>
      <c r="AV28" s="7" t="n">
        <f aca="false">(261850+55490)/31</f>
        <v>10236.7741935484</v>
      </c>
      <c r="AW28" s="68" t="n">
        <f aca="false">AW27</f>
        <v>0.135</v>
      </c>
      <c r="AX28" s="68" t="n">
        <f aca="false">AX27</f>
        <v>0.025</v>
      </c>
      <c r="AY28" s="5" t="n">
        <f aca="false">('Prices&amp;Fuel'!H28*('Prices&amp;Fuel'!B28+AW28)*'Long Term Deals'!AF28)+('Prices&amp;Fuel'!H28*('Prices&amp;Fuel'!C28+'Long Term Deals'!AW28)*'Long Term Deals'!AG28)+(AH28*('Prices&amp;Fuel'!C28+AW28)*'Prices&amp;Fuel'!H28)+(AW28*AL28*'Prices&amp;Fuel'!H28)</f>
        <v>11140874.0359897</v>
      </c>
      <c r="AZ28" s="5" t="n">
        <f aca="false">(AP28*'Prices&amp;Fuel'!H28*'Prices&amp;Fuel'!B28)+(AQ28*'Prices&amp;Fuel'!C28*'Prices&amp;Fuel'!H28)+((AM28+AR28)*('Prices&amp;Fuel'!B28+'Long Term Deals'!AX28)*'Prices&amp;Fuel'!H28)+((AN28+AS28)*('Prices&amp;Fuel'!C28+'Long Term Deals'!AX28)*'Prices&amp;Fuel'!H28)+((AO28+AT28)*('Prices&amp;Fuel'!D28+'Long Term Deals'!AX28)*'Prices&amp;Fuel'!H28)+(AV28*'Prices&amp;Fuel'!H28*'Prices&amp;Fuel'!Q28)+AU28</f>
        <v>10526748.142365</v>
      </c>
      <c r="BA28" s="5" t="n">
        <f aca="false">AY28-AZ28</f>
        <v>614125.893624678</v>
      </c>
      <c r="BB28" s="5" t="n">
        <f aca="false">IF('FP Corp'!T28-((BE28+BF28+BG28)*(1-'Prices&amp;Fuel'!F28))&lt;'Prices&amp;Fuel'!R28,('FP Corp'!T28-(BE28+BF28+BG28)*(1-'Prices&amp;Fuel'!F28)),'Prices&amp;Fuel'!R28)/(1-'Prices&amp;Fuel'!F28)</f>
        <v>8976.86375321337</v>
      </c>
      <c r="BC28" s="9" t="n">
        <f aca="false">('FP Corp'!T28/(1-'Prices&amp;Fuel'!F28))-BD28-BE28-BF28-BG28-BB28</f>
        <v>68.0000000002019</v>
      </c>
      <c r="BD28" s="9" t="n">
        <f aca="false">ROUND(IF('FP Corp'!T28/(1-'Prices&amp;Fuel'!F28)-BE28-BF28-BG28-BB28&gt;'Prices&amp;Fuel'!T28,'Prices&amp;Fuel'!T28,'FP Corp'!T28/(1-'Prices&amp;Fuel'!F28)-BE28-BF28-BG28-BB28),9)-68</f>
        <v>3446.652956298</v>
      </c>
      <c r="BE28" s="9" t="n">
        <f aca="false">'Prices&amp;Fuel'!U28/(1-'Prices&amp;Fuel'!F28)</f>
        <v>2910.02570694087</v>
      </c>
      <c r="BF28" s="9" t="n">
        <f aca="false">('Prices&amp;Fuel'!V28+'Prices&amp;Fuel'!X28)/(1-'Prices&amp;Fuel'!F28)</f>
        <v>4628.27763496144</v>
      </c>
      <c r="BG28" s="9" t="n">
        <f aca="false">'Prices&amp;Fuel'!W28/(1-'Prices&amp;Fuel'!F28)</f>
        <v>1564.01028277635</v>
      </c>
      <c r="BH28" s="10" t="n">
        <f aca="false">('Prices&amp;Fuel'!C28+'Prices&amp;Fuel'!D28)/2-0.05+('Prices&amp;Fuel'!M28+'Prices&amp;Fuel'!P28)*(1-'Prices&amp;Fuel'!F28)</f>
        <v>3.24393225</v>
      </c>
      <c r="BI28" s="9" t="n">
        <f aca="false">IF(AP28=80000,0,BB28)</f>
        <v>8976.86375321337</v>
      </c>
      <c r="BJ28" s="9" t="n">
        <v>68</v>
      </c>
      <c r="BK28" s="10" t="n">
        <f aca="false">(((BB28+BE28)*('Prices&amp;Fuel'!B28+0.025))+(('Prices&amp;Fuel'!D28+0.025)*(BD28+BG28))+(('Prices&amp;Fuel'!C28+0.025)*(BC28+BF28))-(BI28+BJ28)*0.025)/(BB28+BC28+BD28+BE28+BF28+BG28)</f>
        <v>2.51322771190476</v>
      </c>
      <c r="BL28" s="9" t="n">
        <f aca="false">(BB28+BC28+BD28+BE28+BF28+BG28)*BH28*'Prices&amp;Fuel'!H28</f>
        <v>2171516.60128535</v>
      </c>
      <c r="BM28" s="9" t="n">
        <f aca="false">'Prices&amp;Fuel'!X28*('Prices&amp;Fuel'!N28+'Prices&amp;Fuel'!O28)*'Prices&amp;Fuel'!H28</f>
        <v>7562.2547</v>
      </c>
      <c r="BN28" s="9" t="n">
        <f aca="false">('Prices&amp;Fuel'!U28+'Prices&amp;Fuel'!V28+'Prices&amp;Fuel'!W28)*('Prices&amp;Fuel'!L28+'Prices&amp;Fuel'!O28)*'Prices&amp;Fuel'!H28</f>
        <v>102220.02</v>
      </c>
      <c r="BO28" s="9" t="n">
        <f aca="false">((BB28+BC28+BD28)*(1-'Prices&amp;Fuel'!G28))*('Prices&amp;Fuel'!M28+'Prices&amp;Fuel'!P28)*'Prices&amp;Fuel'!H28</f>
        <v>303567.5868</v>
      </c>
      <c r="BP28" s="9" t="n">
        <f aca="false">((BD28+BC28+BB28+BE28+BF28+BG28)*BK28*'Prices&amp;Fuel'!H28)+BM28+BN28+BO28</f>
        <v>2095726.45836375</v>
      </c>
      <c r="BQ28" s="5" t="n">
        <f aca="false">BL28-BP28</f>
        <v>75790.1429215937</v>
      </c>
      <c r="BR28" s="7" t="n">
        <v>1000</v>
      </c>
      <c r="BT28" s="8" t="n">
        <f aca="false">IF('Prices&amp;Fuel'!$E28&lt;1.89,1.89,'Prices&amp;Fuel'!$E28)</f>
        <v>2.6073</v>
      </c>
      <c r="BU28" s="8"/>
      <c r="BV28" s="13" t="n">
        <f aca="false">BT28</f>
        <v>2.6073</v>
      </c>
      <c r="BW28" s="13"/>
      <c r="BX28" s="7" t="n">
        <f aca="false">(BR28*BT28+BS28*BU28)*'Prices&amp;Fuel'!H28</f>
        <v>80826.3</v>
      </c>
      <c r="BY28" s="7" t="n">
        <f aca="false">($BR28*BV28+$BS28*BW28)*'Prices&amp;Fuel'!H28</f>
        <v>80826.3</v>
      </c>
      <c r="BZ28" s="5" t="n">
        <f aca="false">BX28-BY28</f>
        <v>0</v>
      </c>
      <c r="CA28" s="5" t="n">
        <f aca="false">(AF28+AG28+AH28+AL28)*0.005*'Prices&amp;Fuel'!H28</f>
        <v>21038.5604113111</v>
      </c>
      <c r="CB28" s="5" t="n">
        <f aca="false">(B28+C28+D28+O28+P28+Q28+X28+Y28+BB28+BC28+BD28+BE28+BF28+BG28+BR28+BS28)*0.005*'Prices&amp;Fuel'!H28</f>
        <v>8477.54370179949</v>
      </c>
      <c r="CC28" s="7" t="n">
        <f aca="false">K28+T28+AB28+AY28+BL28+BX28</f>
        <v>15617996.1072751</v>
      </c>
      <c r="CD28" s="7" t="n">
        <f aca="false">L28+U28+AC28+AZ28+BP28+BY28+CA28+CB28</f>
        <v>14944697.0748419</v>
      </c>
      <c r="CE28" s="7" t="n">
        <f aca="false">CC28-CD28</f>
        <v>673299.032433162</v>
      </c>
      <c r="CF28" s="7" t="n">
        <f aca="false">'Index Price Deals'!AR28</f>
        <v>132133.911666667</v>
      </c>
      <c r="CG28" s="7" t="n">
        <f aca="false">'Index Price Deals'!AS28</f>
        <v>249.565</v>
      </c>
      <c r="CH28" s="7" t="n">
        <f aca="false">'Index Price Deals'!AT28</f>
        <v>128336.600314817</v>
      </c>
      <c r="CI28" s="7" t="n">
        <f aca="false">'Index Price Deals'!AU28</f>
        <v>3797.3113518492</v>
      </c>
      <c r="CJ28" s="7" t="n">
        <f aca="false">CC28+CF28</f>
        <v>15750130.0189417</v>
      </c>
      <c r="CK28" s="7" t="n">
        <f aca="false">CD28+CH28</f>
        <v>15073033.6751567</v>
      </c>
      <c r="CL28" s="7" t="n">
        <f aca="false">CE28+CI28</f>
        <v>677096.343785011</v>
      </c>
      <c r="CM28" s="69"/>
      <c r="CN28" s="7" t="n">
        <f aca="false">Transport!U28</f>
        <v>552207.154</v>
      </c>
      <c r="CO28" s="71" t="n">
        <f aca="false">[4]Sheet1!$AL69</f>
        <v>763215.32511061</v>
      </c>
      <c r="CQ28" s="7" t="n">
        <f aca="false">(((($B28+$C28+$D28+$O28+$P28+$Q28)*0.5)+BR28+BS28)*(0.005*'Prices&amp;Fuel'!$H28)+'Index Price Deals'!AV28)+(((BB28+BC28+BD28+BE28+BF28+BG28)*(1-'Prices&amp;Fuel'!F28))*0.005*0.5*'Prices&amp;Fuel'!H28)</f>
        <v>3788.665</v>
      </c>
      <c r="CR28" s="7" t="n">
        <f aca="false">(((($B28+$C28+$D28+$O28+$P28+$Q28)*0.5)+X28+Y28)*(0.005*'Prices&amp;Fuel'!$H28)+CA28+'Index Price Deals'!AW28)+(((BB28+BC28+BD28+BE28+BF28+BG28)*(1-'Prices&amp;Fuel'!F28))*0.005*0.5*'Prices&amp;Fuel'!H28)</f>
        <v>25884.9604113111</v>
      </c>
      <c r="CS28" s="11" t="n">
        <f aca="false">'Short Term Firm For Budget'!E28</f>
        <v>191271.24</v>
      </c>
      <c r="CT28" s="7" t="n">
        <f aca="false">[2]Sheet1!$O38</f>
        <v>175524.203786196</v>
      </c>
      <c r="CU28" s="7" t="n">
        <f aca="false">'[3]Long Term Deals'!$Z27</f>
        <v>-34947.7629697056</v>
      </c>
      <c r="CV28" s="70" t="n">
        <f aca="false">CL28-CN28-CT28+CU28+CS28+CO28</f>
        <v>868903.788139719</v>
      </c>
      <c r="CW28" s="14" t="n">
        <f aca="false">((B28+C28+D28+O28+P28+Q28+X28+Y28+AF28+AG28+AH28+BB28+BC28+BD28+BE28+BF28+BG28+BR28+BS28)+('Index Price Deals'!B28+'Index Price Deals'!C28+'Index Price Deals'!D28+'Index Price Deals'!L28+'Index Price Deals'!M28+'Index Price Deals'!N28+'Index Price Deals'!AD28+'Index Price Deals'!AE28+'Index Price Deals'!AF28+'Index Price Deals'!AK28+'Index Price Deals'!AL28+'Index Price Deals'!AM28))*'Prices&amp;Fuel'!H28</f>
        <v>5953133.82262211</v>
      </c>
      <c r="CX28" s="12" t="n">
        <f aca="false">BQ28/(BB28+BC28+BD28+BE28+BF28+BG28)/'Prices&amp;Fuel'!H28</f>
        <v>0.113219529940476</v>
      </c>
      <c r="CZ28" s="13" t="n">
        <f aca="false">(BA28-CT28+CU28)/(AF28+AG28+AH28)/'Prices&amp;Fuel'!H28</f>
        <v>0.0959319266568634</v>
      </c>
      <c r="DB28" s="1" t="n">
        <f aca="false">(O28+P28+Q28)*'Prices&amp;Fuel'!$H28</f>
        <v>778100</v>
      </c>
      <c r="DC28" s="1" t="n">
        <f aca="false">(X28+Y28)*'Prices&amp;Fuel'!$H28</f>
        <v>217000</v>
      </c>
      <c r="DD28" s="1" t="n">
        <f aca="false">(BR28)*'Prices&amp;Fuel'!$H28</f>
        <v>31000</v>
      </c>
      <c r="DE28" s="1" t="n">
        <v>132000</v>
      </c>
    </row>
    <row r="29" customFormat="false" ht="12.75" hidden="true" customHeight="false" outlineLevel="0" collapsed="false">
      <c r="A29" s="6" t="n">
        <f aca="false">+A28+365/12</f>
        <v>36479</v>
      </c>
      <c r="O29" s="7" t="n">
        <v>9036</v>
      </c>
      <c r="P29" s="7" t="n">
        <v>10794</v>
      </c>
      <c r="Q29" s="7" t="n">
        <v>5270</v>
      </c>
      <c r="R29" s="8" t="n">
        <f aca="false">R28</f>
        <v>2.2457</v>
      </c>
      <c r="S29" s="8" t="n">
        <f aca="false">S28</f>
        <v>2.2347</v>
      </c>
      <c r="T29" s="7" t="n">
        <f aca="false">(($O29*R29)+($P29*R29)+($Q29*R29))*'Prices&amp;Fuel'!$H29</f>
        <v>1691012.1</v>
      </c>
      <c r="U29" s="7" t="n">
        <f aca="false">(($O29*S29)+($P29*S29)+($Q29*S29))*'Prices&amp;Fuel'!$H29</f>
        <v>1682729.1</v>
      </c>
      <c r="V29" s="14" t="n">
        <f aca="false">T29-U29</f>
        <v>8283.00000000023</v>
      </c>
      <c r="X29" s="7" t="n">
        <f aca="false">7000*0.5</f>
        <v>3500</v>
      </c>
      <c r="Y29" s="7" t="n">
        <f aca="false">X29</f>
        <v>3500</v>
      </c>
      <c r="Z29" s="27" t="n">
        <v>2.2</v>
      </c>
      <c r="AA29" s="27" t="n">
        <v>2.18</v>
      </c>
      <c r="AB29" s="7" t="n">
        <f aca="false">($X29+$Y29)*Z29*'Prices&amp;Fuel'!$H29</f>
        <v>462000</v>
      </c>
      <c r="AC29" s="7" t="n">
        <f aca="false">($X29+$Y29)*AA29*'Prices&amp;Fuel'!$H29</f>
        <v>457800</v>
      </c>
      <c r="AD29" s="14" t="n">
        <f aca="false">AB29-AC29</f>
        <v>4200</v>
      </c>
      <c r="AF29" s="7" t="n">
        <f aca="false">(32000/(1-'Prices&amp;Fuel'!F29))+(25000/(1-'Prices&amp;Fuel'!G29))-AI29</f>
        <v>58611.8251928021</v>
      </c>
      <c r="AG29" s="7" t="n">
        <v>0</v>
      </c>
      <c r="AH29" s="7" t="n">
        <f aca="false">(75000/(1-'Prices&amp;Fuel'!G29))-AK29</f>
        <v>77120.822622108</v>
      </c>
      <c r="AI29" s="7"/>
      <c r="AJ29" s="7"/>
      <c r="AK29" s="7"/>
      <c r="AL29" s="11" t="n">
        <f aca="false">ROUND((132000/(1-'Prices&amp;Fuel'!F29))-AF29-AG29-AH29,0)</f>
        <v>0</v>
      </c>
      <c r="AM29" s="7" t="n">
        <f aca="false">ROUND(IF(AF29&lt;AP29,0,(AF29-AP29-AI29)/2),0)</f>
        <v>0</v>
      </c>
      <c r="AN29" s="7"/>
      <c r="AO29" s="7" t="n">
        <f aca="false">ROUND((75000/(1-'Prices&amp;Fuel'!G29)-AV29-AK29)/2,0)</f>
        <v>33099</v>
      </c>
      <c r="AP29" s="7" t="n">
        <f aca="false">IF(80000&gt;AF29,AF29,80000)</f>
        <v>58611.8251928021</v>
      </c>
      <c r="AQ29" s="7"/>
      <c r="AR29" s="7" t="n">
        <f aca="false">IF(AP29&gt;AF29,0,AF29-AM29-AP29)</f>
        <v>0</v>
      </c>
      <c r="AS29" s="14"/>
      <c r="AT29" s="14" t="n">
        <f aca="false">AH29-AO29-AV29</f>
        <v>33099.922622108</v>
      </c>
      <c r="AU29" s="14" t="n">
        <f aca="false">AL29*AX29*'Prices&amp;Fuel'!H29</f>
        <v>0</v>
      </c>
      <c r="AV29" s="7" t="n">
        <f aca="false">(268304+59353)/30</f>
        <v>10921.9</v>
      </c>
      <c r="AW29" s="68" t="n">
        <f aca="false">AW28</f>
        <v>0.135</v>
      </c>
      <c r="AX29" s="68" t="n">
        <f aca="false">AX28</f>
        <v>0.025</v>
      </c>
      <c r="AY29" s="5" t="n">
        <f aca="false">('Prices&amp;Fuel'!H29*('Prices&amp;Fuel'!B29+AW29)*'Long Term Deals'!AF29)+('Prices&amp;Fuel'!H29*('Prices&amp;Fuel'!C29+'Long Term Deals'!AW29)*'Long Term Deals'!AG29)+(AH29*('Prices&amp;Fuel'!C29+AW29)*'Prices&amp;Fuel'!H29)+(AW29*AL29*'Prices&amp;Fuel'!H29)</f>
        <v>12776760.9254499</v>
      </c>
      <c r="AZ29" s="5" t="n">
        <f aca="false">(AP29*'Prices&amp;Fuel'!H29*'Prices&amp;Fuel'!B29)+(AQ29*'Prices&amp;Fuel'!C29*'Prices&amp;Fuel'!H29)+((AM29+AR29)*('Prices&amp;Fuel'!B29+'Long Term Deals'!AX29)*'Prices&amp;Fuel'!H29)+((AN29+AS29)*('Prices&amp;Fuel'!C29+'Long Term Deals'!AX29)*'Prices&amp;Fuel'!H29)+((AO29+AT29)*('Prices&amp;Fuel'!D29+'Long Term Deals'!AX29)*'Prices&amp;Fuel'!H29)+(AV29*'Prices&amp;Fuel'!H29*'Prices&amp;Fuel'!Q29)+AU29</f>
        <v>12177932.6366195</v>
      </c>
      <c r="BA29" s="5" t="n">
        <f aca="false">AY29-AZ29</f>
        <v>598828.288830338</v>
      </c>
      <c r="BB29" s="5" t="n">
        <f aca="false">IF('FP Corp'!T29-((BE29+BF29+BG29)*(1-'Prices&amp;Fuel'!F29))&lt;'Prices&amp;Fuel'!R29,('FP Corp'!T29-(BE29+BF29+BG29)*(1-'Prices&amp;Fuel'!F29)),'Prices&amp;Fuel'!R29)/(1-'Prices&amp;Fuel'!F29)-68</f>
        <v>4257.96401028278</v>
      </c>
      <c r="BC29" s="9" t="n">
        <f aca="false">('FP Corp'!T29/(1-'Prices&amp;Fuel'!F29))-BD29-BE29-BF29-BG29-BB29</f>
        <v>68.0000000000018</v>
      </c>
      <c r="BD29" s="9" t="n">
        <f aca="false">ROUND(IF('FP Corp'!T29/(1-'Prices&amp;Fuel'!F29)-BE29-BF29-BG29-BB29&gt;'Prices&amp;Fuel'!T29,'Prices&amp;Fuel'!T29,'FP Corp'!T29/(1-'Prices&amp;Fuel'!F29)-BE29-BF29-BG29-BB29),9)-68</f>
        <v>0</v>
      </c>
      <c r="BE29" s="9" t="n">
        <f aca="false">'Prices&amp;Fuel'!U29/(1-'Prices&amp;Fuel'!F29)</f>
        <v>2635.47557840617</v>
      </c>
      <c r="BF29" s="9" t="n">
        <f aca="false">('Prices&amp;Fuel'!V29+'Prices&amp;Fuel'!X29)/(1-'Prices&amp;Fuel'!F29)</f>
        <v>3645.2442159383</v>
      </c>
      <c r="BG29" s="9" t="n">
        <f aca="false">'Prices&amp;Fuel'!W29/(1-'Prices&amp;Fuel'!F29)</f>
        <v>1732.64781491003</v>
      </c>
      <c r="BH29" s="10" t="n">
        <f aca="false">('Prices&amp;Fuel'!C29+'Prices&amp;Fuel'!D29)/2-0.05+('Prices&amp;Fuel'!M29+'Prices&amp;Fuel'!P29)*(1-'Prices&amp;Fuel'!F29)</f>
        <v>3.73393225</v>
      </c>
      <c r="BI29" s="9" t="n">
        <f aca="false">IF(AP29=80000,0,BB29)</f>
        <v>4257.96401028278</v>
      </c>
      <c r="BJ29" s="9" t="n">
        <v>68</v>
      </c>
      <c r="BK29" s="10" t="n">
        <f aca="false">(((BB29+BE29)*('Prices&amp;Fuel'!B29+0.025))+(('Prices&amp;Fuel'!D29+0.025)*(BD29+BG29))+(('Prices&amp;Fuel'!C29+0.025)*(BC29+BF29))-(BI29+BJ29)*0.025)/(BB29+BC29+BD29+BE29+BF29+BG29)</f>
        <v>3.00827251666667</v>
      </c>
      <c r="BL29" s="9" t="n">
        <f aca="false">(BB29+BC29+BD29+BE29+BF29+BG29)*BH29*'Prices&amp;Fuel'!H29</f>
        <v>1382226.84832905</v>
      </c>
      <c r="BM29" s="9" t="n">
        <f aca="false">'Prices&amp;Fuel'!X29*('Prices&amp;Fuel'!N29+'Prices&amp;Fuel'!O29)*'Prices&amp;Fuel'!H29</f>
        <v>4993.413</v>
      </c>
      <c r="BN29" s="9" t="n">
        <f aca="false">('Prices&amp;Fuel'!U29+'Prices&amp;Fuel'!V29+'Prices&amp;Fuel'!W29)*('Prices&amp;Fuel'!L29+'Prices&amp;Fuel'!O29)*'Prices&amp;Fuel'!H29</f>
        <v>89586</v>
      </c>
      <c r="BO29" s="9" t="n">
        <f aca="false">((BB29+BC29+BD29)*(1-'Prices&amp;Fuel'!G29))*('Prices&amp;Fuel'!M29+'Prices&amp;Fuel'!P29)*'Prices&amp;Fuel'!H29</f>
        <v>101737.881</v>
      </c>
      <c r="BP29" s="9" t="n">
        <f aca="false">((BD29+BC29+BB29+BE29+BF29+BG29)*BK29*'Prices&amp;Fuel'!H29)+BM29+BN29+BO29</f>
        <v>1309919.4595527</v>
      </c>
      <c r="BQ29" s="5" t="n">
        <f aca="false">BL29-BP29</f>
        <v>72307.3887763496</v>
      </c>
      <c r="BR29" s="7" t="n">
        <v>1000</v>
      </c>
      <c r="BT29" s="8" t="n">
        <f aca="false">IF('Prices&amp;Fuel'!$E29&lt;1.89,1.89,'Prices&amp;Fuel'!$E29)</f>
        <v>3.0397</v>
      </c>
      <c r="BU29" s="8"/>
      <c r="BV29" s="13" t="n">
        <f aca="false">BT29</f>
        <v>3.0397</v>
      </c>
      <c r="BW29" s="13"/>
      <c r="BX29" s="7" t="n">
        <f aca="false">(BR29*BT29+BS29*BU29)*'Prices&amp;Fuel'!H29</f>
        <v>91191</v>
      </c>
      <c r="BY29" s="7" t="n">
        <f aca="false">($BR29*BV29+$BS29*BW29)*'Prices&amp;Fuel'!H29</f>
        <v>91191</v>
      </c>
      <c r="BZ29" s="5" t="n">
        <f aca="false">BX29-BY29</f>
        <v>0</v>
      </c>
      <c r="CA29" s="5" t="n">
        <f aca="false">(AF29+AG29+AH29+AL29)*0.005*'Prices&amp;Fuel'!H29</f>
        <v>20359.8971722365</v>
      </c>
      <c r="CB29" s="5" t="n">
        <f aca="false">(B29+C29+D29+O29+P29+Q29+X29+Y29+BB29+BC29+BD29+BE29+BF29+BG29+BR29+BS29)*0.005*'Prices&amp;Fuel'!H29</f>
        <v>6815.89974293059</v>
      </c>
      <c r="CC29" s="7" t="n">
        <f aca="false">K29+T29+AB29+AY29+BL29+BX29</f>
        <v>16403190.8737789</v>
      </c>
      <c r="CD29" s="7" t="n">
        <f aca="false">L29+U29+AC29+AZ29+BP29+BY29+CA29+CB29</f>
        <v>15746747.9930874</v>
      </c>
      <c r="CE29" s="7" t="n">
        <f aca="false">CC29-CD29</f>
        <v>656442.880691519</v>
      </c>
      <c r="CF29" s="7" t="n">
        <f aca="false">'Index Price Deals'!AR29</f>
        <v>16133.55</v>
      </c>
      <c r="CG29" s="7" t="n">
        <f aca="false">'Index Price Deals'!AS29</f>
        <v>26.55</v>
      </c>
      <c r="CH29" s="7" t="n">
        <f aca="false">'Index Price Deals'!AT29</f>
        <v>16000.8</v>
      </c>
      <c r="CI29" s="7" t="n">
        <f aca="false">'Index Price Deals'!AU29</f>
        <v>132.75</v>
      </c>
      <c r="CJ29" s="7" t="n">
        <f aca="false">CC29+CF29</f>
        <v>16419324.4237789</v>
      </c>
      <c r="CK29" s="7" t="n">
        <f aca="false">CD29+CH29</f>
        <v>15762748.7930874</v>
      </c>
      <c r="CL29" s="7" t="n">
        <f aca="false">CE29+CI29</f>
        <v>656575.630691519</v>
      </c>
      <c r="CM29" s="69"/>
      <c r="CN29" s="7" t="n">
        <f aca="false">Transport!U29</f>
        <v>369319.305</v>
      </c>
      <c r="CO29" s="71" t="n">
        <f aca="false">[4]Sheet1!$AL70</f>
        <v>738595.475913493</v>
      </c>
      <c r="CQ29" s="7" t="n">
        <f aca="false">(((($B29+$C29+$D29+$O29+$P29+$Q29)*0.5)+BR29+BS29)*(0.005*'Prices&amp;Fuel'!$H29)+'Index Price Deals'!AV29)+(((BB29+BC29+BD29+BE29+BF29+BG29)*(1-'Prices&amp;Fuel'!F29))*0.005*0.5*'Prices&amp;Fuel'!H29)</f>
        <v>2959.05</v>
      </c>
      <c r="CR29" s="7" t="n">
        <f aca="false">(((($B29+$C29+$D29+$O29+$P29+$Q29)*0.5)+X29+Y29)*(0.005*'Prices&amp;Fuel'!$H29)+CA29+'Index Price Deals'!AW29)+(((BB29+BC29+BD29+BE29+BF29+BG29)*(1-'Prices&amp;Fuel'!F29))*0.005*0.5*'Prices&amp;Fuel'!H29)</f>
        <v>24192.3971722365</v>
      </c>
      <c r="CS29" s="11" t="n">
        <f aca="false">'Short Term Firm For Budget'!E29</f>
        <v>127923.3</v>
      </c>
      <c r="CT29" s="7" t="n">
        <f aca="false">[2]Sheet1!$O39</f>
        <v>169862.132696319</v>
      </c>
      <c r="CU29" s="7" t="n">
        <f aca="false">'[3]Long Term Deals'!$Z28</f>
        <v>-33820.4157771345</v>
      </c>
      <c r="CV29" s="70" t="n">
        <f aca="false">CL29-CN29-CT29+CU29+CS29+CO29</f>
        <v>950092.553131559</v>
      </c>
      <c r="CW29" s="14" t="n">
        <f aca="false">((B29+C29+D29+O29+P29+Q29+X29+Y29+AF29+AG29+AH29+BB29+BC29+BD29+BE29+BF29+BG29+BR29+BS29)+('Index Price Deals'!B29+'Index Price Deals'!C29+'Index Price Deals'!D29+'Index Price Deals'!L29+'Index Price Deals'!M29+'Index Price Deals'!N29+'Index Price Deals'!AD29+'Index Price Deals'!AE29+'Index Price Deals'!AF29+'Index Price Deals'!AK29+'Index Price Deals'!AL29+'Index Price Deals'!AM29))*'Prices&amp;Fuel'!H29</f>
        <v>5440469.38303342</v>
      </c>
      <c r="CX29" s="12" t="n">
        <f aca="false">BQ29/(BB29+BC29+BD29+BE29+BF29+BG29)/'Prices&amp;Fuel'!H29</f>
        <v>0.195330376625</v>
      </c>
      <c r="CZ29" s="13" t="n">
        <f aca="false">(BA29-CT29+CU29)/(AF29+AG29+AH29)/'Prices&amp;Fuel'!H29</f>
        <v>0.0970402102265329</v>
      </c>
      <c r="DB29" s="1" t="n">
        <f aca="false">(O29+P29+Q29)*'Prices&amp;Fuel'!$H29</f>
        <v>753000</v>
      </c>
      <c r="DC29" s="1" t="n">
        <f aca="false">(X29+Y29)*'Prices&amp;Fuel'!$H29</f>
        <v>210000</v>
      </c>
      <c r="DD29" s="1" t="n">
        <f aca="false">(BR29)*'Prices&amp;Fuel'!$H29</f>
        <v>30000</v>
      </c>
      <c r="DE29" s="1" t="n">
        <v>132000</v>
      </c>
    </row>
    <row r="30" customFormat="false" ht="12.75" hidden="true" customHeight="false" outlineLevel="0" collapsed="false">
      <c r="A30" s="6" t="n">
        <f aca="false">+A29+365/12</f>
        <v>36509.4166666667</v>
      </c>
      <c r="O30" s="7" t="n">
        <v>9036</v>
      </c>
      <c r="P30" s="7" t="n">
        <v>10794</v>
      </c>
      <c r="Q30" s="7" t="n">
        <v>5270</v>
      </c>
      <c r="R30" s="8" t="n">
        <f aca="false">R29</f>
        <v>2.2457</v>
      </c>
      <c r="S30" s="8" t="n">
        <f aca="false">S29</f>
        <v>2.2347</v>
      </c>
      <c r="T30" s="7" t="n">
        <f aca="false">(($O30*R30)+($P30*R30)+($Q30*R30))*'Prices&amp;Fuel'!$H30</f>
        <v>1747379.17</v>
      </c>
      <c r="U30" s="7" t="n">
        <f aca="false">(($O30*S30)+($P30*S30)+($Q30*S30))*'Prices&amp;Fuel'!$H30</f>
        <v>1738820.07</v>
      </c>
      <c r="V30" s="14" t="n">
        <f aca="false">T30-U30</f>
        <v>8559.10000000009</v>
      </c>
      <c r="X30" s="7" t="n">
        <f aca="false">7000*0.5</f>
        <v>3500</v>
      </c>
      <c r="Y30" s="7" t="n">
        <f aca="false">X30</f>
        <v>3500</v>
      </c>
      <c r="Z30" s="27" t="n">
        <v>2.2</v>
      </c>
      <c r="AA30" s="27" t="n">
        <v>2.18</v>
      </c>
      <c r="AB30" s="7" t="n">
        <f aca="false">($X30+$Y30)*Z30*'Prices&amp;Fuel'!$H30</f>
        <v>477400</v>
      </c>
      <c r="AC30" s="7" t="n">
        <f aca="false">($X30+$Y30)*AA30*'Prices&amp;Fuel'!$H30</f>
        <v>473060</v>
      </c>
      <c r="AD30" s="14" t="n">
        <f aca="false">AB30-AC30</f>
        <v>4340</v>
      </c>
      <c r="AF30" s="7" t="n">
        <f aca="false">(32000/(1-'Prices&amp;Fuel'!F30))+(25000/(1-'Prices&amp;Fuel'!G30))-AI30</f>
        <v>58611.8251928021</v>
      </c>
      <c r="AG30" s="7" t="n">
        <v>0</v>
      </c>
      <c r="AH30" s="7" t="n">
        <f aca="false">(75000/(1-'Prices&amp;Fuel'!G30))-AK30</f>
        <v>77120.822622108</v>
      </c>
      <c r="AI30" s="7"/>
      <c r="AJ30" s="7"/>
      <c r="AK30" s="7"/>
      <c r="AL30" s="11" t="n">
        <f aca="false">ROUND((132000/(1-'Prices&amp;Fuel'!F30))-AF30-AG30-AH30,0)</f>
        <v>0</v>
      </c>
      <c r="AM30" s="7" t="n">
        <f aca="false">ROUND(IF(AF30&lt;AP30,0,(AF30-AP30-AI30)/2),0)</f>
        <v>0</v>
      </c>
      <c r="AN30" s="7"/>
      <c r="AO30" s="7" t="n">
        <f aca="false">ROUND((75000/(1-'Prices&amp;Fuel'!G30)-AV30-AK30)/2,0)</f>
        <v>37432</v>
      </c>
      <c r="AP30" s="7" t="n">
        <f aca="false">IF(80000&gt;AF30,AF30,80000)</f>
        <v>58611.8251928021</v>
      </c>
      <c r="AR30" s="7" t="n">
        <f aca="false">IF(AP30&gt;AF30,0,AF30-AM30-AP30)</f>
        <v>0</v>
      </c>
      <c r="AS30" s="14"/>
      <c r="AT30" s="14" t="n">
        <f aca="false">AH30-AO30-AV30</f>
        <v>37431.887138237</v>
      </c>
      <c r="AU30" s="14" t="n">
        <f aca="false">AL30*AX30*'Prices&amp;Fuel'!H30</f>
        <v>0</v>
      </c>
      <c r="AV30" s="7" t="n">
        <f aca="false">(9300+60665)/31</f>
        <v>2256.93548387097</v>
      </c>
      <c r="AW30" s="68" t="n">
        <f aca="false">AW29</f>
        <v>0.135</v>
      </c>
      <c r="AX30" s="68" t="n">
        <f aca="false">AX29</f>
        <v>0.025</v>
      </c>
      <c r="AY30" s="5" t="n">
        <f aca="false">('Prices&amp;Fuel'!H30*('Prices&amp;Fuel'!B30+AW30)*'Long Term Deals'!AF30)+('Prices&amp;Fuel'!H30*('Prices&amp;Fuel'!C30+'Long Term Deals'!AW30)*'Long Term Deals'!AG30)+(AH30*('Prices&amp;Fuel'!C30+AW30)*'Prices&amp;Fuel'!H30)+(AW30*AL30*'Prices&amp;Fuel'!H30)</f>
        <v>9499866.32390746</v>
      </c>
      <c r="AZ30" s="5" t="n">
        <f aca="false">(AP30*'Prices&amp;Fuel'!H30*'Prices&amp;Fuel'!B30)+(AQ30*'Prices&amp;Fuel'!C30*'Prices&amp;Fuel'!H30)+((AM30+AR30)*('Prices&amp;Fuel'!B30+'Long Term Deals'!AX30)*'Prices&amp;Fuel'!H30)+((AN30+AS30)*('Prices&amp;Fuel'!C30+'Long Term Deals'!AX30)*'Prices&amp;Fuel'!H30)+((AO30+AT30)*('Prices&amp;Fuel'!D30+'Long Term Deals'!AX30)*'Prices&amp;Fuel'!H30)+(AV30*'Prices&amp;Fuel'!H30*'Prices&amp;Fuel'!Q30)+AU30</f>
        <v>8896887.54528278</v>
      </c>
      <c r="BA30" s="5" t="n">
        <f aca="false">AY30-AZ30</f>
        <v>602978.77862468</v>
      </c>
      <c r="BB30" s="5" t="n">
        <f aca="false">IF('FP Corp'!T30-((BE30+BF30+BG30)*(1-'Prices&amp;Fuel'!F30))&lt;'Prices&amp;Fuel'!R30,('FP Corp'!T30-(BE30+BF30+BG30)*(1-'Prices&amp;Fuel'!F30)),'Prices&amp;Fuel'!R30)/(1-'Prices&amp;Fuel'!F30)-68</f>
        <v>4257.96401028278</v>
      </c>
      <c r="BC30" s="9" t="n">
        <f aca="false">('FP Corp'!T30/(1-'Prices&amp;Fuel'!F30))-BD30-BE30-BF30-BG30-BB30</f>
        <v>68.0000000000018</v>
      </c>
      <c r="BD30" s="9" t="n">
        <f aca="false">ROUND(IF('FP Corp'!T30/(1-'Prices&amp;Fuel'!F30)-BE30-BF30-BG30-BB30&gt;'Prices&amp;Fuel'!T30,'Prices&amp;Fuel'!T30,'FP Corp'!T30/(1-'Prices&amp;Fuel'!F30)-BE30-BF30-BG30-BB30),9)-68</f>
        <v>0</v>
      </c>
      <c r="BE30" s="9" t="n">
        <f aca="false">'Prices&amp;Fuel'!U30/(1-'Prices&amp;Fuel'!F30)</f>
        <v>2635.47557840617</v>
      </c>
      <c r="BF30" s="9" t="n">
        <f aca="false">('Prices&amp;Fuel'!V30+'Prices&amp;Fuel'!X30)/(1-'Prices&amp;Fuel'!F30)</f>
        <v>3645.2442159383</v>
      </c>
      <c r="BG30" s="9" t="n">
        <f aca="false">'Prices&amp;Fuel'!W30/(1-'Prices&amp;Fuel'!F30)</f>
        <v>1732.64781491003</v>
      </c>
      <c r="BH30" s="10" t="n">
        <f aca="false">('Prices&amp;Fuel'!C30+'Prices&amp;Fuel'!D30)/2-0.05+('Prices&amp;Fuel'!M30+'Prices&amp;Fuel'!P30)*(1-'Prices&amp;Fuel'!F30)</f>
        <v>2.85393225</v>
      </c>
      <c r="BI30" s="9" t="n">
        <f aca="false">IF(AP30=80000,0,BB30)</f>
        <v>4257.96401028278</v>
      </c>
      <c r="BJ30" s="9" t="n">
        <v>68</v>
      </c>
      <c r="BK30" s="10" t="n">
        <f aca="false">(((BB30+BE30)*('Prices&amp;Fuel'!B30+0.025))+(('Prices&amp;Fuel'!D30+0.025)*(BD30+BG30))+(('Prices&amp;Fuel'!C30+0.025)*(BC30+BF30))-(BI30+BJ30)*0.025)/(BB30+BC30+BD30+BE30+BF30+BG30)</f>
        <v>2.12827251666667</v>
      </c>
      <c r="BL30" s="9" t="n">
        <f aca="false">(BB30+BC30+BD30+BE30+BF30+BG30)*BH30*'Prices&amp;Fuel'!H30</f>
        <v>1091684.11002571</v>
      </c>
      <c r="BM30" s="9" t="n">
        <f aca="false">'Prices&amp;Fuel'!X30*('Prices&amp;Fuel'!N30+'Prices&amp;Fuel'!O30)*'Prices&amp;Fuel'!H30</f>
        <v>5159.8601</v>
      </c>
      <c r="BN30" s="9" t="n">
        <f aca="false">('Prices&amp;Fuel'!U30+'Prices&amp;Fuel'!V30+'Prices&amp;Fuel'!W30)*('Prices&amp;Fuel'!L30+'Prices&amp;Fuel'!O30)*'Prices&amp;Fuel'!H30</f>
        <v>92572.2</v>
      </c>
      <c r="BO30" s="9" t="n">
        <f aca="false">((BB30+BC30+BD30)*(1-'Prices&amp;Fuel'!G30))*('Prices&amp;Fuel'!M30+'Prices&amp;Fuel'!P30)*'Prices&amp;Fuel'!H30</f>
        <v>105129.1437</v>
      </c>
      <c r="BP30" s="9" t="n">
        <f aca="false">((BD30+BC30+BB30+BE30+BF30+BG30)*BK30*'Prices&amp;Fuel'!H30)+BM30+BN30+BO30</f>
        <v>1016966.47495681</v>
      </c>
      <c r="BQ30" s="5" t="n">
        <f aca="false">BL30-BP30</f>
        <v>74717.6350688947</v>
      </c>
      <c r="BR30" s="7" t="n">
        <v>1000</v>
      </c>
      <c r="BT30" s="8" t="n">
        <f aca="false">IF('Prices&amp;Fuel'!$E30&lt;1.89,1.89,'Prices&amp;Fuel'!$E30)</f>
        <v>2.1687</v>
      </c>
      <c r="BU30" s="8"/>
      <c r="BV30" s="13" t="n">
        <f aca="false">BT30</f>
        <v>2.1687</v>
      </c>
      <c r="BW30" s="13"/>
      <c r="BX30" s="7" t="n">
        <f aca="false">(BR30*BT30+BS30*BU30)*'Prices&amp;Fuel'!H30</f>
        <v>67229.7</v>
      </c>
      <c r="BY30" s="7" t="n">
        <f aca="false">($BR30*BV30+$BS30*BW30)*'Prices&amp;Fuel'!H30</f>
        <v>67229.7</v>
      </c>
      <c r="BZ30" s="5" t="n">
        <f aca="false">BX30-BY30</f>
        <v>0</v>
      </c>
      <c r="CA30" s="5" t="n">
        <f aca="false">(AF30+AG30+AH30+AL30)*0.005*'Prices&amp;Fuel'!H30</f>
        <v>21038.5604113111</v>
      </c>
      <c r="CB30" s="5" t="n">
        <f aca="false">(B30+C30+D30+O30+P30+Q30+X30+Y30+BB30+BC30+BD30+BE30+BF30+BG30+BR30+BS30)*0.005*'Prices&amp;Fuel'!H30</f>
        <v>7043.09640102828</v>
      </c>
      <c r="CC30" s="7" t="n">
        <f aca="false">K30+T30+AB30+AY30+BL30+BX30</f>
        <v>12883559.3039332</v>
      </c>
      <c r="CD30" s="7" t="n">
        <f aca="false">L30+U30+AC30+AZ30+BP30+BY30+CA30+CB30</f>
        <v>12221045.4470519</v>
      </c>
      <c r="CE30" s="7" t="n">
        <f aca="false">CC30-CD30</f>
        <v>662513.856881235</v>
      </c>
      <c r="CF30" s="7" t="n">
        <f aca="false">'Index Price Deals'!AR30</f>
        <v>18667.425</v>
      </c>
      <c r="CG30" s="7" t="n">
        <f aca="false">'Index Price Deals'!AS30</f>
        <v>43.245</v>
      </c>
      <c r="CH30" s="7" t="n">
        <f aca="false">'Index Price Deals'!AT30</f>
        <v>18451.2</v>
      </c>
      <c r="CI30" s="7" t="n">
        <f aca="false">'Index Price Deals'!AU30</f>
        <v>216.225000000002</v>
      </c>
      <c r="CJ30" s="7" t="n">
        <f aca="false">CC30+CF30</f>
        <v>12902226.7289332</v>
      </c>
      <c r="CK30" s="7" t="n">
        <f aca="false">CD30+CH30</f>
        <v>12239496.6470519</v>
      </c>
      <c r="CL30" s="7" t="n">
        <f aca="false">CE30+CI30</f>
        <v>662730.081881235</v>
      </c>
      <c r="CM30" s="7" t="n">
        <f aca="false">SUM(CL19:CL30)</f>
        <v>12021543.3634124</v>
      </c>
      <c r="CN30" s="7" t="n">
        <f aca="false">Transport!U30</f>
        <v>381629.9485</v>
      </c>
      <c r="CO30" s="71" t="n">
        <f aca="false">[4]Sheet1!$AL71</f>
        <v>763215.32511061</v>
      </c>
      <c r="CQ30" s="7" t="n">
        <f aca="false">(((($B30+$C30+$D30+$O30+$P30+$Q30)*0.5)+BR30+BS30)*(0.005*'Prices&amp;Fuel'!$H30)+'Index Price Deals'!AV30)+(((BB30+BC30+BD30+BE30+BF30+BG30)*(1-'Prices&amp;Fuel'!F30))*0.005*0.5*'Prices&amp;Fuel'!H30)</f>
        <v>3073.495</v>
      </c>
      <c r="CR30" s="7" t="n">
        <f aca="false">(((($B30+$C30+$D30+$O30+$P30+$Q30)*0.5)+X30+Y30)*(0.005*'Prices&amp;Fuel'!$H30)+CA30+'Index Price Deals'!AW30)+(((BB30+BC30+BD30+BE30+BF30+BG30)*(1-'Prices&amp;Fuel'!F30))*0.005*0.5*'Prices&amp;Fuel'!H30)</f>
        <v>24998.8104113111</v>
      </c>
      <c r="CS30" s="11" t="n">
        <f aca="false">'Short Term Firm For Budget'!E30</f>
        <v>132187.41</v>
      </c>
      <c r="CT30" s="7" t="n">
        <f aca="false">[2]Sheet1!$O40</f>
        <v>175524.203786196</v>
      </c>
      <c r="CU30" s="7" t="n">
        <f aca="false">'[3]Long Term Deals'!$Z29</f>
        <v>-34895.0629697055</v>
      </c>
      <c r="CV30" s="70" t="n">
        <f aca="false">CL30-CN30-CT30+CU30+CS30+CO30</f>
        <v>966083.601735943</v>
      </c>
      <c r="CW30" s="14" t="n">
        <f aca="false">((B30+C30+D30+O30+P30+Q30+X30+Y30+AF30+AG30+AH30+BB30+BC30+BD30+BE30+BF30+BG30+BR30+BS30)+('Index Price Deals'!B30+'Index Price Deals'!C30+'Index Price Deals'!D30+'Index Price Deals'!L30+'Index Price Deals'!M30+'Index Price Deals'!N30+'Index Price Deals'!AD30+'Index Price Deals'!AE30+'Index Price Deals'!AF30+'Index Price Deals'!AK30+'Index Price Deals'!AL30+'Index Price Deals'!AM30))*'Prices&amp;Fuel'!H30</f>
        <v>5624980.36246787</v>
      </c>
      <c r="CX30" s="12" t="n">
        <f aca="false">BQ30/(BB30+BC30+BD30+BE30+BF30+BG30)/'Prices&amp;Fuel'!H30</f>
        <v>0.195330376625</v>
      </c>
      <c r="CZ30" s="13" t="n">
        <f aca="false">(BA30-CT30+CU30)/(AF30+AG30+AH30)/'Prices&amp;Fuel'!H30</f>
        <v>0.0932952407850408</v>
      </c>
      <c r="DB30" s="1" t="n">
        <f aca="false">(O30+P30+Q30)*'Prices&amp;Fuel'!$H30</f>
        <v>778100</v>
      </c>
      <c r="DC30" s="1" t="n">
        <f aca="false">(X30+Y30)*'Prices&amp;Fuel'!$H30</f>
        <v>217000</v>
      </c>
      <c r="DD30" s="1" t="n">
        <f aca="false">(BR30)*'Prices&amp;Fuel'!$H30</f>
        <v>31000</v>
      </c>
      <c r="DE30" s="1" t="n">
        <v>132000</v>
      </c>
    </row>
    <row r="31" customFormat="false" ht="12.75" hidden="false" customHeight="false" outlineLevel="0" collapsed="false">
      <c r="A31" s="6" t="n">
        <f aca="false">+A30+365/12</f>
        <v>36539.8333333333</v>
      </c>
      <c r="O31" s="7" t="n">
        <v>9036</v>
      </c>
      <c r="P31" s="7" t="n">
        <v>10794</v>
      </c>
      <c r="Q31" s="7" t="n">
        <v>5270</v>
      </c>
      <c r="R31" s="8" t="n">
        <f aca="false">R30</f>
        <v>2.2457</v>
      </c>
      <c r="S31" s="8" t="n">
        <f aca="false">S30</f>
        <v>2.2347</v>
      </c>
      <c r="T31" s="7" t="n">
        <f aca="false">(($O31*R31)+($P31*R31)+($Q31*R31))*'Prices&amp;Fuel'!$H31</f>
        <v>1747379.17</v>
      </c>
      <c r="U31" s="7" t="n">
        <f aca="false">(($O31*S31)+($P31*S31)+($Q31*S31))*'Prices&amp;Fuel'!$H31</f>
        <v>1738820.07</v>
      </c>
      <c r="V31" s="14" t="n">
        <f aca="false">T31-U31</f>
        <v>8559.10000000009</v>
      </c>
      <c r="X31" s="7" t="n">
        <f aca="false">7000*0.5</f>
        <v>3500</v>
      </c>
      <c r="Y31" s="7" t="n">
        <f aca="false">X31</f>
        <v>3500</v>
      </c>
      <c r="Z31" s="27" t="n">
        <v>2.2</v>
      </c>
      <c r="AA31" s="27" t="n">
        <v>2.18</v>
      </c>
      <c r="AB31" s="7" t="n">
        <f aca="false">($X31+$Y31)*Z31*'Prices&amp;Fuel'!$H31</f>
        <v>477400</v>
      </c>
      <c r="AC31" s="7" t="n">
        <f aca="false">($X31+$Y31)*AA31*'Prices&amp;Fuel'!$H31</f>
        <v>473060</v>
      </c>
      <c r="AD31" s="14" t="n">
        <f aca="false">AB31-AC31</f>
        <v>4340</v>
      </c>
      <c r="AF31" s="7" t="n">
        <f aca="false">(32000/(1-'Prices&amp;Fuel'!F31))+(25000/(1-'Prices&amp;Fuel'!G31))-AI31</f>
        <v>58611.8251928021</v>
      </c>
      <c r="AG31" s="7" t="n">
        <v>0</v>
      </c>
      <c r="AH31" s="7" t="n">
        <f aca="false">(75000/(1-'Prices&amp;Fuel'!G31))-AK31</f>
        <v>77120.822622108</v>
      </c>
      <c r="AI31" s="7"/>
      <c r="AJ31" s="7"/>
      <c r="AK31" s="7"/>
      <c r="AL31" s="11" t="n">
        <f aca="false">ROUND((132000/(1-'Prices&amp;Fuel'!F31))-AF31-AG31-AH31,0)</f>
        <v>0</v>
      </c>
      <c r="AM31" s="7" t="n">
        <f aca="false">ROUND(IF(AF31&lt;AP31,0,(AF31-AP31-AI31)/2),0)</f>
        <v>0</v>
      </c>
      <c r="AO31" s="7" t="n">
        <f aca="false">ROUND((75000/(1-'Prices&amp;Fuel'!G31)-AV31-AK31)/2,0)</f>
        <v>37415</v>
      </c>
      <c r="AP31" s="7" t="n">
        <f aca="false">IF(80000&gt;AF31,AF31,80000)</f>
        <v>58611.8251928021</v>
      </c>
      <c r="AR31" s="7" t="n">
        <f aca="false">IF(AP31&gt;AF31,0,AF31-AM31-AP31)</f>
        <v>0</v>
      </c>
      <c r="AT31" s="14" t="n">
        <f aca="false">AH31-AO31-AV31</f>
        <v>37414.7581059789</v>
      </c>
      <c r="AU31" s="14" t="n">
        <f aca="false">AL31*AX31*'Prices&amp;Fuel'!H31</f>
        <v>0</v>
      </c>
      <c r="AV31" s="7" t="n">
        <f aca="false">(9277+61746)/31</f>
        <v>2291.06451612903</v>
      </c>
      <c r="AW31" s="68" t="n">
        <v>0.12</v>
      </c>
      <c r="AX31" s="68" t="n">
        <f aca="false">AX30</f>
        <v>0.025</v>
      </c>
      <c r="AY31" s="5" t="n">
        <f aca="false">('Prices&amp;Fuel'!H31*('Prices&amp;Fuel'!B31+AW31)*'Long Term Deals'!AF31)+('Prices&amp;Fuel'!H31*('Prices&amp;Fuel'!C31+'Long Term Deals'!AW31)*'Long Term Deals'!AG31)+(AH31*('Prices&amp;Fuel'!C31+AW31)*'Prices&amp;Fuel'!H31)+(AW31*AL31*'Prices&amp;Fuel'!H31)</f>
        <v>10320370.1799486</v>
      </c>
      <c r="AZ31" s="5" t="n">
        <f aca="false">(AP31*'Prices&amp;Fuel'!H31*'Prices&amp;Fuel'!B31)+(AQ31*'Prices&amp;Fuel'!C31*'Prices&amp;Fuel'!H31)+((AM31+AR31)*('Prices&amp;Fuel'!B31+'Long Term Deals'!AX31)*'Prices&amp;Fuel'!H31)+((AN31+AS31)*('Prices&amp;Fuel'!C31+'Long Term Deals'!AX31)*'Prices&amp;Fuel'!H31)+((AO31+AT31)*('Prices&amp;Fuel'!D31+'Long Term Deals'!AX31)*'Prices&amp;Fuel'!H31)+(AV31*'Prices&amp;Fuel'!H31*'Prices&amp;Fuel'!Q31)+AU31</f>
        <v>9777555.08255784</v>
      </c>
      <c r="BA31" s="5" t="n">
        <f aca="false">AY31-AZ31</f>
        <v>542815.097390747</v>
      </c>
      <c r="BB31" s="5" t="n">
        <f aca="false">IF('FP Corp'!T31-((BE31+BF31+BG31)*(1-'Prices&amp;Fuel'!F31))&lt;'Prices&amp;Fuel'!R31,('FP Corp'!T31-(BE31+BF31+BG31)*(1-'Prices&amp;Fuel'!F31)),'Prices&amp;Fuel'!R31)/(1-'Prices&amp;Fuel'!F31)</f>
        <v>4325.96401028278</v>
      </c>
      <c r="BC31" s="9"/>
      <c r="BD31" s="9" t="n">
        <f aca="false">ROUND(IF('FP Corp'!T31/(1-'Prices&amp;Fuel'!F31)-BE31-BF31-BG31-BB31&gt;'Prices&amp;Fuel'!T31,'Prices&amp;Fuel'!T31,'FP Corp'!T31/(1-'Prices&amp;Fuel'!F31)-BE31-BF31-BG31-BB31),9)</f>
        <v>0</v>
      </c>
      <c r="BE31" s="9" t="n">
        <f aca="false">'Prices&amp;Fuel'!U31/(1-'Prices&amp;Fuel'!F31)</f>
        <v>2635.47557840617</v>
      </c>
      <c r="BF31" s="9" t="n">
        <f aca="false">('Prices&amp;Fuel'!V31+'Prices&amp;Fuel'!X31)/(1-'Prices&amp;Fuel'!F31)</f>
        <v>3645.2442159383</v>
      </c>
      <c r="BG31" s="9" t="n">
        <f aca="false">'Prices&amp;Fuel'!W31/(1-'Prices&amp;Fuel'!F31)</f>
        <v>1732.64781491003</v>
      </c>
      <c r="BH31" s="10" t="n">
        <f aca="false">('Prices&amp;Fuel'!C31+'Prices&amp;Fuel'!D31)/2-0.05+('Prices&amp;Fuel'!M31+'Prices&amp;Fuel'!P31)*(1-'Prices&amp;Fuel'!F31)</f>
        <v>3.062668</v>
      </c>
      <c r="BI31" s="9" t="n">
        <f aca="false">IF(AP31=80000,0,BB31)</f>
        <v>4325.96401028278</v>
      </c>
      <c r="BJ31" s="9"/>
      <c r="BK31" s="10" t="n">
        <f aca="false">(((BB31+BE31)*('Prices&amp;Fuel'!B31+0.025))+(('Prices&amp;Fuel'!D31+0.025)*(BD31+BG31))+(('Prices&amp;Fuel'!C31+0.025)*(BC31+BF31))-(BI31+BJ31)*0.025)/(BB31+BC31+BD31+BE31+BF31+BG31)</f>
        <v>2.33805208333333</v>
      </c>
      <c r="BL31" s="9" t="n">
        <f aca="false">(BB31+BC31+BD31+BE31+BF31+BG31)*BH31*'Prices&amp;Fuel'!H31</f>
        <v>1171529.55886889</v>
      </c>
      <c r="BM31" s="9" t="n">
        <f aca="false">'Prices&amp;Fuel'!X31*('Prices&amp;Fuel'!N31+'Prices&amp;Fuel'!O31)*'Prices&amp;Fuel'!H31</f>
        <v>8865.1351</v>
      </c>
      <c r="BN31" s="9" t="n">
        <f aca="false">('Prices&amp;Fuel'!U31+'Prices&amp;Fuel'!V31+'Prices&amp;Fuel'!W31)*('Prices&amp;Fuel'!L31+'Prices&amp;Fuel'!O31)*'Prices&amp;Fuel'!H31</f>
        <v>92285.667</v>
      </c>
      <c r="BO31" s="9" t="n">
        <f aca="false">((BB31+BC31+BD31)*(1-'Prices&amp;Fuel'!G31))*('Prices&amp;Fuel'!M31+'Prices&amp;Fuel'!P31)*'Prices&amp;Fuel'!H31</f>
        <v>104959.6016</v>
      </c>
      <c r="BP31" s="9" t="n">
        <f aca="false">((BD31+BC31+BB31+BE31+BF31+BG31)*BK31*'Prices&amp;Fuel'!H31)+BM31+BN31+BO31</f>
        <v>1100460.4037</v>
      </c>
      <c r="BQ31" s="5" t="n">
        <f aca="false">BL31-BP31</f>
        <v>71069.1551688945</v>
      </c>
      <c r="BR31" s="7" t="n">
        <v>1000</v>
      </c>
      <c r="BT31" s="8" t="n">
        <f aca="false">IF('Prices&amp;Fuel'!$E31&lt;1.89,1.89,'Prices&amp;Fuel'!$E31)</f>
        <v>2.338</v>
      </c>
      <c r="BU31" s="8"/>
      <c r="BV31" s="13" t="n">
        <f aca="false">BT31</f>
        <v>2.338</v>
      </c>
      <c r="BW31" s="13"/>
      <c r="BX31" s="7" t="n">
        <f aca="false">(BR31*BT31+BS31*BU31)*'Prices&amp;Fuel'!H31</f>
        <v>72478</v>
      </c>
      <c r="BY31" s="7" t="n">
        <f aca="false">($BR31*BV31+$BS31*BW31)*'Prices&amp;Fuel'!H31</f>
        <v>72478</v>
      </c>
      <c r="BZ31" s="5" t="n">
        <f aca="false">BX31-BY31</f>
        <v>0</v>
      </c>
      <c r="CA31" s="5" t="n">
        <f aca="false">(AF31+AG31+AH31+AL31)*0.005*'Prices&amp;Fuel'!H31</f>
        <v>21038.5604113111</v>
      </c>
      <c r="CB31" s="5" t="n">
        <f aca="false">(B31+C31+D31+O31+P31+Q31+X31+Y31+BB31+BC31+BD31+BE31+BF31+BG31+BR31+BS31)*0.005*'Prices&amp;Fuel'!H31</f>
        <v>7043.09640102828</v>
      </c>
      <c r="CC31" s="7" t="n">
        <f aca="false">K31+T31+AB31+AY31+BL31+BX31</f>
        <v>13789156.9088175</v>
      </c>
      <c r="CD31" s="7" t="n">
        <f aca="false">L31+U31+AC31+AZ31+BP31+BY31+CA31+CB31</f>
        <v>13190455.2130702</v>
      </c>
      <c r="CE31" s="7" t="n">
        <f aca="false">CC31-CD31</f>
        <v>598701.695747301</v>
      </c>
      <c r="CF31" s="7" t="n">
        <f aca="false">'Index Price Deals'!AR31</f>
        <v>23787.54</v>
      </c>
      <c r="CG31" s="7" t="n">
        <f aca="false">'Index Price Deals'!AS31</f>
        <v>50.22</v>
      </c>
      <c r="CH31" s="7" t="n">
        <f aca="false">'Index Price Deals'!AT31</f>
        <v>23536.44</v>
      </c>
      <c r="CI31" s="7" t="n">
        <f aca="false">'Index Price Deals'!AU31</f>
        <v>251.099999999991</v>
      </c>
      <c r="CJ31" s="7" t="n">
        <f aca="false">CC31+CF31</f>
        <v>13812944.4488175</v>
      </c>
      <c r="CK31" s="7" t="n">
        <f aca="false">CD31+CH31</f>
        <v>13213991.6530702</v>
      </c>
      <c r="CL31" s="7" t="n">
        <f aca="false">CE31+CI31</f>
        <v>598952.795747301</v>
      </c>
      <c r="CM31" s="69"/>
      <c r="CN31" s="7" t="n">
        <f aca="false">Transport!U31</f>
        <v>381140.3655</v>
      </c>
      <c r="CO31" s="71" t="n">
        <f aca="false">[4]Sheet1!$AL72</f>
        <v>762567.143039026</v>
      </c>
      <c r="CQ31" s="7" t="n">
        <f aca="false">(((($B31+$C31+$D31+$O31+$P31+$Q31)*0.5)+BR31+BS31)*(0.005*'Prices&amp;Fuel'!$H31)+'Index Price Deals'!AV31)+(((BB31+BC31+BD31+BE31+BF31+BG31)*(1-'Prices&amp;Fuel'!F31))*0.005*0.5*'Prices&amp;Fuel'!H31)</f>
        <v>3080.47</v>
      </c>
      <c r="CR31" s="7" t="n">
        <f aca="false">(((($B31+$C31+$D31+$O31+$P31+$Q31)*0.5)+X31+Y31)*(0.005*'Prices&amp;Fuel'!$H31)+CA31+'Index Price Deals'!AW31)+(((BB31+BC31+BD31+BE31+BF31+BG31)*(1-'Prices&amp;Fuel'!F31))*0.005*0.5*'Prices&amp;Fuel'!H31)</f>
        <v>24998.8104113111</v>
      </c>
      <c r="CS31" s="11" t="n">
        <f aca="false">'Short Term Firm For Budget'!E31</f>
        <v>132187.41</v>
      </c>
      <c r="CT31" s="7" t="n">
        <f aca="false">[2]Sheet1!$O42</f>
        <v>112213.218742359</v>
      </c>
      <c r="CU31" s="7" t="n">
        <f aca="false">'[3]Long Term Deals'!$Z30</f>
        <v>-34895.0629697055</v>
      </c>
      <c r="CV31" s="70" t="n">
        <f aca="false">CL31-CN31-CT31+CU31+CS31+CO31</f>
        <v>965458.701574263</v>
      </c>
      <c r="CW31" s="14" t="n">
        <f aca="false">((B31+C31+D31+O31+P31+Q31+X31+Y31+AF31+AG31+AH31+BB31+BC31+BD31+BE31+BF31+BG31+BR31+BS31)+('Index Price Deals'!B31+'Index Price Deals'!C31+'Index Price Deals'!D31+'Index Price Deals'!L31+'Index Price Deals'!M31+'Index Price Deals'!N31+'Index Price Deals'!AD31+'Index Price Deals'!AE31+'Index Price Deals'!AF31+'Index Price Deals'!AK31+'Index Price Deals'!AL31+'Index Price Deals'!AM31))*'Prices&amp;Fuel'!H31</f>
        <v>5626375.36246787</v>
      </c>
      <c r="CX31" s="12" t="n">
        <f aca="false">BQ31/(BB31+BC31+BD31+BE31+BF31+BG31)/'Prices&amp;Fuel'!H31</f>
        <v>0.185792347854166</v>
      </c>
      <c r="CZ31" s="13" t="n">
        <f aca="false">(BA31-CT31+CU31)/(AF31+AG31+AH31)/'Prices&amp;Fuel'!H31</f>
        <v>0.0940432253781814</v>
      </c>
      <c r="DB31" s="1" t="n">
        <f aca="false">(O31+P31+Q31)*'Prices&amp;Fuel'!$H31</f>
        <v>778100</v>
      </c>
      <c r="DC31" s="1" t="n">
        <f aca="false">(X31+Y31)*'Prices&amp;Fuel'!$H31</f>
        <v>217000</v>
      </c>
      <c r="DD31" s="1" t="n">
        <f aca="false">(BR31)*'Prices&amp;Fuel'!$H31</f>
        <v>31000</v>
      </c>
      <c r="DE31" s="1" t="n">
        <v>132000</v>
      </c>
    </row>
    <row r="32" customFormat="false" ht="12.75" hidden="false" customHeight="false" outlineLevel="0" collapsed="false">
      <c r="A32" s="6" t="n">
        <f aca="false">+A31+365/12</f>
        <v>36570.25</v>
      </c>
      <c r="O32" s="7" t="n">
        <v>9036</v>
      </c>
      <c r="P32" s="7" t="n">
        <v>10794</v>
      </c>
      <c r="Q32" s="7" t="n">
        <v>5270</v>
      </c>
      <c r="R32" s="8" t="n">
        <f aca="false">R31</f>
        <v>2.2457</v>
      </c>
      <c r="S32" s="8" t="n">
        <f aca="false">S31</f>
        <v>2.2347</v>
      </c>
      <c r="T32" s="7" t="n">
        <f aca="false">(($O32*R32)+($P32*R32)+($Q32*R32))*'Prices&amp;Fuel'!$H32</f>
        <v>1634645.03</v>
      </c>
      <c r="U32" s="7" t="n">
        <f aca="false">(($O32*S32)+($P32*S32)+($Q32*S32))*'Prices&amp;Fuel'!$H32</f>
        <v>1626638.13</v>
      </c>
      <c r="V32" s="14" t="n">
        <f aca="false">T32-U32</f>
        <v>8006.90000000014</v>
      </c>
      <c r="X32" s="7" t="n">
        <f aca="false">7000*0.5</f>
        <v>3500</v>
      </c>
      <c r="Y32" s="7" t="n">
        <f aca="false">X32</f>
        <v>3500</v>
      </c>
      <c r="Z32" s="27" t="n">
        <v>2.2</v>
      </c>
      <c r="AA32" s="27" t="n">
        <v>2.18</v>
      </c>
      <c r="AB32" s="7" t="n">
        <f aca="false">($X32+$Y32)*Z32*'Prices&amp;Fuel'!$H32</f>
        <v>446600</v>
      </c>
      <c r="AC32" s="7" t="n">
        <f aca="false">($X32+$Y32)*AA32*'Prices&amp;Fuel'!$H32</f>
        <v>442540</v>
      </c>
      <c r="AD32" s="14" t="n">
        <f aca="false">AB32-AC32</f>
        <v>4060</v>
      </c>
      <c r="AF32" s="7" t="n">
        <f aca="false">(32000/(1-'Prices&amp;Fuel'!F32))+(25000/(1-'Prices&amp;Fuel'!G32))-AI32</f>
        <v>58762.8865979382</v>
      </c>
      <c r="AG32" s="7" t="n">
        <v>0</v>
      </c>
      <c r="AH32" s="7" t="n">
        <f aca="false">(75000/(1-'Prices&amp;Fuel'!G32))-AK32</f>
        <v>77319.587628866</v>
      </c>
      <c r="AI32" s="7"/>
      <c r="AJ32" s="7"/>
      <c r="AK32" s="7"/>
      <c r="AL32" s="11" t="n">
        <f aca="false">ROUND((132000/(1-'Prices&amp;Fuel'!F32))-AF32-AG32-AH32,0)</f>
        <v>0</v>
      </c>
      <c r="AM32" s="7" t="n">
        <f aca="false">ROUND(IF(AF32&lt;AP32,0,(AF32-AP32-AI32)/2),0)</f>
        <v>0</v>
      </c>
      <c r="AO32" s="7" t="n">
        <f aca="false">ROUND((75000/(1-'Prices&amp;Fuel'!G32)-AV32-AK32)/2,0)</f>
        <v>37481</v>
      </c>
      <c r="AP32" s="7" t="n">
        <f aca="false">IF(80000&gt;AF32,AF32,80000)</f>
        <v>58762.8865979382</v>
      </c>
      <c r="AR32" s="7" t="n">
        <f aca="false">IF(AP32&gt;AF32,0,AF32-AM32-AP32)</f>
        <v>0</v>
      </c>
      <c r="AT32" s="14" t="n">
        <f aca="false">AH32-AO32-AV32</f>
        <v>37480.2428012798</v>
      </c>
      <c r="AU32" s="14" t="n">
        <f aca="false">AL32*AX32*'Prices&amp;Fuel'!H32</f>
        <v>0</v>
      </c>
      <c r="AV32" s="7" t="n">
        <f aca="false">(7776+60616)/29</f>
        <v>2358.34482758621</v>
      </c>
      <c r="AW32" s="68" t="n">
        <f aca="false">AW31</f>
        <v>0.12</v>
      </c>
      <c r="AX32" s="68" t="n">
        <f aca="false">AX31</f>
        <v>0.025</v>
      </c>
      <c r="AY32" s="5" t="n">
        <f aca="false">('Prices&amp;Fuel'!H32*('Prices&amp;Fuel'!B32+AW32)*'Long Term Deals'!AF32)+('Prices&amp;Fuel'!H32*('Prices&amp;Fuel'!C32+'Long Term Deals'!AW32)*'Long Term Deals'!AG32)+(AH32*('Prices&amp;Fuel'!C32+AW32)*'Prices&amp;Fuel'!H32)+(AW32*AL32*'Prices&amp;Fuel'!H32)</f>
        <v>10744948.4536082</v>
      </c>
      <c r="AZ32" s="5" t="n">
        <f aca="false">(AP32*'Prices&amp;Fuel'!H32*'Prices&amp;Fuel'!B32)+(AQ32*'Prices&amp;Fuel'!C32*'Prices&amp;Fuel'!H32)+((AM32+AR32)*('Prices&amp;Fuel'!B32+'Long Term Deals'!AX32)*'Prices&amp;Fuel'!H32)+((AN32+AS32)*('Prices&amp;Fuel'!C32+'Long Term Deals'!AX32)*'Prices&amp;Fuel'!H32)+((AO32+AT32)*('Prices&amp;Fuel'!D32+'Long Term Deals'!AX32)*'Prices&amp;Fuel'!H32)+(AV32*'Prices&amp;Fuel'!H32*'Prices&amp;Fuel'!Q32)+AU32</f>
        <v>10235878.1226804</v>
      </c>
      <c r="BA32" s="5" t="n">
        <f aca="false">AY32-AZ32</f>
        <v>509070.330927838</v>
      </c>
      <c r="BB32" s="5" t="n">
        <f aca="false">IF('FP Corp'!T32-((BE32+BF32+BG32)*(1-'Prices&amp;Fuel'!F32))&lt;'Prices&amp;Fuel'!R32,('FP Corp'!T32-(BE32+BF32+BG32)*(1-'Prices&amp;Fuel'!F32)),'Prices&amp;Fuel'!R32)/(1-'Prices&amp;Fuel'!F32)</f>
        <v>4337.11340206186</v>
      </c>
      <c r="BC32" s="9"/>
      <c r="BD32" s="9" t="n">
        <f aca="false">ROUND(IF('FP Corp'!T32/(1-'Prices&amp;Fuel'!F32)-BE32-BF32-BG32-BB32&gt;'Prices&amp;Fuel'!T32,'Prices&amp;Fuel'!T32,'FP Corp'!T32/(1-'Prices&amp;Fuel'!F32)-BE32-BF32-BG32-BB32),9)</f>
        <v>0</v>
      </c>
      <c r="BE32" s="9" t="n">
        <f aca="false">'Prices&amp;Fuel'!U32/(1-'Prices&amp;Fuel'!F32)</f>
        <v>2642.26804123711</v>
      </c>
      <c r="BF32" s="9" t="n">
        <f aca="false">('Prices&amp;Fuel'!V32+'Prices&amp;Fuel'!X32)/(1-'Prices&amp;Fuel'!F32)</f>
        <v>3654.63917525773</v>
      </c>
      <c r="BG32" s="9" t="n">
        <f aca="false">'Prices&amp;Fuel'!W32/(1-'Prices&amp;Fuel'!F32)</f>
        <v>1737.11340206186</v>
      </c>
      <c r="BH32" s="10" t="n">
        <f aca="false">('Prices&amp;Fuel'!C32+'Prices&amp;Fuel'!D32)/2-0.05+('Prices&amp;Fuel'!M32+'Prices&amp;Fuel'!P32)*(1-'Prices&amp;Fuel'!F32)</f>
        <v>3.330656</v>
      </c>
      <c r="BI32" s="9" t="n">
        <f aca="false">IF(AP32=80000,0,BB32)</f>
        <v>4337.11340206186</v>
      </c>
      <c r="BJ32" s="9"/>
      <c r="BK32" s="10" t="n">
        <f aca="false">(((BB32+BE32)*('Prices&amp;Fuel'!B32+0.025))+(('Prices&amp;Fuel'!D32+0.025)*(BD32+BG32))+(('Prices&amp;Fuel'!C32+0.025)*(BC32+BF32))-(BI32+BJ32)*0.025)/(BB32+BC32+BD32+BE32+BF32+BG32)</f>
        <v>2.60805208333333</v>
      </c>
      <c r="BL32" s="9" t="n">
        <f aca="false">(BB32+BC32+BD32+BE32+BF32+BG32)*BH32*'Prices&amp;Fuel'!H32</f>
        <v>1194915.76082474</v>
      </c>
      <c r="BM32" s="9" t="n">
        <f aca="false">'Prices&amp;Fuel'!X32*('Prices&amp;Fuel'!N32+'Prices&amp;Fuel'!O32)*'Prices&amp;Fuel'!H32</f>
        <v>8293.1909</v>
      </c>
      <c r="BN32" s="9" t="n">
        <f aca="false">('Prices&amp;Fuel'!U32+'Prices&amp;Fuel'!V32+'Prices&amp;Fuel'!W32)*('Prices&amp;Fuel'!L32+'Prices&amp;Fuel'!O32)*'Prices&amp;Fuel'!H32</f>
        <v>86331.753</v>
      </c>
      <c r="BO32" s="9" t="n">
        <f aca="false">((BB32+BC32+BD32)*(1-'Prices&amp;Fuel'!G32))*('Prices&amp;Fuel'!M32+'Prices&amp;Fuel'!P32)*'Prices&amp;Fuel'!H32</f>
        <v>98188.0144</v>
      </c>
      <c r="BP32" s="9" t="n">
        <f aca="false">((BD32+BC32+BB32+BE32+BF32+BG32)*BK32*'Prices&amp;Fuel'!H32)+BM32+BN32+BO32</f>
        <v>1128485.25211443</v>
      </c>
      <c r="BQ32" s="5" t="n">
        <f aca="false">BL32-BP32</f>
        <v>66430.5087103089</v>
      </c>
      <c r="BR32" s="7" t="n">
        <v>1000</v>
      </c>
      <c r="BT32" s="8" t="n">
        <f aca="false">IF('Prices&amp;Fuel'!$E32&lt;1.89,1.89,'Prices&amp;Fuel'!$E32)</f>
        <v>2.583</v>
      </c>
      <c r="BU32" s="8"/>
      <c r="BV32" s="13" t="n">
        <f aca="false">BT32</f>
        <v>2.583</v>
      </c>
      <c r="BW32" s="13"/>
      <c r="BX32" s="7" t="n">
        <f aca="false">(BR32*BT32+BS32*BU32)*'Prices&amp;Fuel'!H32</f>
        <v>74907</v>
      </c>
      <c r="BY32" s="7" t="n">
        <f aca="false">($BR32*BV32+$BS32*BW32)*'Prices&amp;Fuel'!H32</f>
        <v>74907</v>
      </c>
      <c r="BZ32" s="5" t="n">
        <f aca="false">BX32-BY32</f>
        <v>0</v>
      </c>
      <c r="CA32" s="5" t="n">
        <f aca="false">(AF32+AG32+AH32+AL32)*0.005*'Prices&amp;Fuel'!H32</f>
        <v>19731.9587628866</v>
      </c>
      <c r="CB32" s="5" t="n">
        <f aca="false">(B32+C32+D32+O32+P32+Q32+X32+Y32+BB32+BC32+BD32+BE32+BF32+BG32+BR32+BS32)*0.005*'Prices&amp;Fuel'!H32</f>
        <v>6593.31443298969</v>
      </c>
      <c r="CC32" s="7" t="n">
        <f aca="false">K32+T32+AB32+AY32+BL32+BX32</f>
        <v>14096016.244433</v>
      </c>
      <c r="CD32" s="7" t="n">
        <f aca="false">L32+U32+AC32+AZ32+BP32+BY32+CA32+CB32</f>
        <v>13534773.7779907</v>
      </c>
      <c r="CE32" s="7" t="n">
        <f aca="false">CC32-CD32</f>
        <v>561242.46644227</v>
      </c>
      <c r="CF32" s="7" t="n">
        <f aca="false">'Index Price Deals'!AR32</f>
        <v>42234.44</v>
      </c>
      <c r="CG32" s="7" t="n">
        <f aca="false">'Index Price Deals'!AS32</f>
        <v>80.04</v>
      </c>
      <c r="CH32" s="7" t="n">
        <f aca="false">'Index Price Deals'!AT32</f>
        <v>41834.24</v>
      </c>
      <c r="CI32" s="7" t="n">
        <f aca="false">'Index Price Deals'!AU32</f>
        <v>400.19999999999</v>
      </c>
      <c r="CJ32" s="7" t="n">
        <f aca="false">CC32+CF32</f>
        <v>14138250.684433</v>
      </c>
      <c r="CK32" s="7" t="n">
        <f aca="false">CD32+CH32</f>
        <v>13576608.0179907</v>
      </c>
      <c r="CL32" s="7" t="n">
        <f aca="false">CE32+CI32</f>
        <v>561642.66644227</v>
      </c>
      <c r="CM32" s="69"/>
      <c r="CN32" s="7" t="n">
        <f aca="false">Transport!U32</f>
        <v>356550.6645</v>
      </c>
      <c r="CO32" s="71" t="n">
        <f aca="false">[4]Sheet1!$AL73</f>
        <v>713369.26284296</v>
      </c>
      <c r="CQ32" s="7" t="n">
        <f aca="false">(((($B32+$C32+$D32+$O32+$P32+$Q32)*0.5)+BR32+BS32)*(0.005*'Prices&amp;Fuel'!$H32)+'Index Price Deals'!AV32)+(((BB32+BC32+BD32+BE32+BF32+BG32)*(1-'Prices&amp;Fuel'!F32))*0.005*0.5*'Prices&amp;Fuel'!H32)</f>
        <v>2914.79</v>
      </c>
      <c r="CR32" s="7" t="n">
        <f aca="false">(((($B32+$C32+$D32+$O32+$P32+$Q32)*0.5)+X32+Y32)*(0.005*'Prices&amp;Fuel'!$H32)+CA32+'Index Price Deals'!AW32)+(((BB32+BC32+BD32+BE32+BF32+BG32)*(1-'Prices&amp;Fuel'!F32))*0.005*0.5*'Prices&amp;Fuel'!H32)</f>
        <v>23436.7087628866</v>
      </c>
      <c r="CS32" s="11" t="n">
        <f aca="false">'Short Term Firm For Budget'!E32</f>
        <v>123659.19</v>
      </c>
      <c r="CT32" s="7" t="n">
        <f aca="false">[2]Sheet1!$O43</f>
        <v>104973.656242852</v>
      </c>
      <c r="CU32" s="7" t="n">
        <f aca="false">'[3]Long Term Deals'!$Z31</f>
        <v>-32643.7685845632</v>
      </c>
      <c r="CV32" s="70" t="n">
        <f aca="false">CL32-CN32-CT32+CU32+CS32+CO32</f>
        <v>904503.029957815</v>
      </c>
      <c r="CW32" s="14" t="n">
        <f aca="false">((B32+C32+D32+O32+P32+Q32+X32+Y32+AF32+AG32+AH32+BB32+BC32+BD32+BE32+BF32+BG32+BR32+BS32)+('Index Price Deals'!B32+'Index Price Deals'!C32+'Index Price Deals'!D32+'Index Price Deals'!L32+'Index Price Deals'!M32+'Index Price Deals'!N32+'Index Price Deals'!AD32+'Index Price Deals'!AE32+'Index Price Deals'!AF32+'Index Price Deals'!AK32+'Index Price Deals'!AL32+'Index Price Deals'!AM32))*'Prices&amp;Fuel'!H32</f>
        <v>5281062.63917526</v>
      </c>
      <c r="CX32" s="12" t="n">
        <f aca="false">BQ32/(BB32+BC32+BD32+BE32+BF32+BG32)/'Prices&amp;Fuel'!H32</f>
        <v>0.185165498416666</v>
      </c>
      <c r="CZ32" s="13" t="n">
        <f aca="false">(BA32-CT32+CU32)/(AF32+AG32+AH32)/'Prices&amp;Fuel'!H32</f>
        <v>0.0941246914622283</v>
      </c>
      <c r="DB32" s="1" t="n">
        <f aca="false">(O32+P32+Q32)*'Prices&amp;Fuel'!$H32</f>
        <v>727900</v>
      </c>
      <c r="DC32" s="1" t="n">
        <f aca="false">(X32+Y32)*'Prices&amp;Fuel'!$H32</f>
        <v>203000</v>
      </c>
      <c r="DD32" s="1" t="n">
        <f aca="false">(BR32)*'Prices&amp;Fuel'!$H32</f>
        <v>29000</v>
      </c>
      <c r="DE32" s="1" t="n">
        <v>132000</v>
      </c>
    </row>
    <row r="33" customFormat="false" ht="12.75" hidden="false" customHeight="false" outlineLevel="0" collapsed="false">
      <c r="A33" s="6" t="n">
        <f aca="false">+A32+365/12</f>
        <v>36600.6666666667</v>
      </c>
      <c r="O33" s="7" t="n">
        <v>9036</v>
      </c>
      <c r="P33" s="7" t="n">
        <v>10794</v>
      </c>
      <c r="Q33" s="7" t="n">
        <v>5270</v>
      </c>
      <c r="R33" s="8" t="n">
        <f aca="false">R32</f>
        <v>2.2457</v>
      </c>
      <c r="S33" s="8" t="n">
        <f aca="false">S32</f>
        <v>2.2347</v>
      </c>
      <c r="T33" s="7" t="n">
        <f aca="false">(($O33*R33)+($P33*R33)+($Q33*R33))*'Prices&amp;Fuel'!$H33</f>
        <v>1747379.17</v>
      </c>
      <c r="U33" s="7" t="n">
        <f aca="false">(($O33*S33)+($P33*S33)+($Q33*S33))*'Prices&amp;Fuel'!$H33</f>
        <v>1738820.07</v>
      </c>
      <c r="V33" s="14" t="n">
        <f aca="false">T33-U33</f>
        <v>8559.10000000009</v>
      </c>
      <c r="X33" s="7" t="n">
        <f aca="false">7000*0.5</f>
        <v>3500</v>
      </c>
      <c r="Y33" s="7" t="n">
        <f aca="false">X33</f>
        <v>3500</v>
      </c>
      <c r="Z33" s="27" t="n">
        <v>2.2</v>
      </c>
      <c r="AA33" s="27" t="n">
        <v>2.18</v>
      </c>
      <c r="AB33" s="7" t="n">
        <f aca="false">($X33+$Y33)*Z33*'Prices&amp;Fuel'!$H33</f>
        <v>477400</v>
      </c>
      <c r="AC33" s="7" t="n">
        <f aca="false">($X33+$Y33)*AA33*'Prices&amp;Fuel'!$H33</f>
        <v>473060</v>
      </c>
      <c r="AD33" s="14" t="n">
        <f aca="false">AB33-AC33</f>
        <v>4340</v>
      </c>
      <c r="AF33" s="7" t="n">
        <f aca="false">(32000/(1-'Prices&amp;Fuel'!F33))+(25000/(1-'Prices&amp;Fuel'!G33))-AI33</f>
        <v>58762.8865979382</v>
      </c>
      <c r="AG33" s="7" t="n">
        <v>0</v>
      </c>
      <c r="AH33" s="7" t="n">
        <f aca="false">(75000/(1-'Prices&amp;Fuel'!G33))-AK33</f>
        <v>77319.587628866</v>
      </c>
      <c r="AI33" s="7"/>
      <c r="AJ33" s="7"/>
      <c r="AK33" s="7"/>
      <c r="AL33" s="11" t="n">
        <f aca="false">ROUND((132000/(1-'Prices&amp;Fuel'!F33))-AF33-AG33-AH33,0)</f>
        <v>0</v>
      </c>
      <c r="AM33" s="7" t="n">
        <f aca="false">ROUND(IF(AF33&lt;AP33,0,(AF33-AP33-AI33)/2),0)</f>
        <v>0</v>
      </c>
      <c r="AO33" s="7" t="n">
        <f aca="false">ROUND((75000/(1-'Prices&amp;Fuel'!G33)-AV33-AK33)/2,0)</f>
        <v>37509</v>
      </c>
      <c r="AP33" s="7" t="n">
        <f aca="false">IF(80000&gt;AF33,AF33,80000)</f>
        <v>58762.8865979382</v>
      </c>
      <c r="AR33" s="7" t="n">
        <f aca="false">IF(AP33&gt;AF33,0,AF33-AM33-AP33)</f>
        <v>0</v>
      </c>
      <c r="AT33" s="14" t="n">
        <f aca="false">AH33-AO33-AV33</f>
        <v>37508.587628866</v>
      </c>
      <c r="AU33" s="14" t="n">
        <f aca="false">AL33*AX33*'Prices&amp;Fuel'!H33</f>
        <v>0</v>
      </c>
      <c r="AV33" s="7" t="n">
        <f aca="false">(8370+62992)/31</f>
        <v>2302</v>
      </c>
      <c r="AW33" s="68" t="n">
        <f aca="false">AW32</f>
        <v>0.12</v>
      </c>
      <c r="AX33" s="68" t="n">
        <f aca="false">AX32</f>
        <v>0.025</v>
      </c>
      <c r="AY33" s="5" t="n">
        <f aca="false">('Prices&amp;Fuel'!H33*('Prices&amp;Fuel'!B33+AW33)*'Long Term Deals'!AF33)+('Prices&amp;Fuel'!H33*('Prices&amp;Fuel'!C33+'Long Term Deals'!AW33)*'Long Term Deals'!AG33)+(AH33*('Prices&amp;Fuel'!C33+AW33)*'Prices&amp;Fuel'!H33)+(AW33*AL33*'Prices&amp;Fuel'!H33)</f>
        <v>11485979.3814433</v>
      </c>
      <c r="AZ33" s="5" t="n">
        <f aca="false">(AP33*'Prices&amp;Fuel'!H33*'Prices&amp;Fuel'!B33)+(AQ33*'Prices&amp;Fuel'!C33*'Prices&amp;Fuel'!H33)+((AM33+AR33)*('Prices&amp;Fuel'!B33+'Long Term Deals'!AX33)*'Prices&amp;Fuel'!H33)+((AN33+AS33)*('Prices&amp;Fuel'!C33+'Long Term Deals'!AX33)*'Prices&amp;Fuel'!H33)+((AO33+AT33)*('Prices&amp;Fuel'!D33+'Long Term Deals'!AX33)*'Prices&amp;Fuel'!H33)+(AV33*'Prices&amp;Fuel'!H33*'Prices&amp;Fuel'!Q33)+AU33</f>
        <v>10930462.8369072</v>
      </c>
      <c r="BA33" s="5" t="n">
        <f aca="false">AY33-AZ33</f>
        <v>555516.544536082</v>
      </c>
      <c r="BB33" s="5" t="n">
        <f aca="false">IF('FP Corp'!T33-((BE33+BF33+BG33)*(1-'Prices&amp;Fuel'!F33))&lt;'Prices&amp;Fuel'!R33,('FP Corp'!T33-(BE33+BF33+BG33)*(1-'Prices&amp;Fuel'!F33)),'Prices&amp;Fuel'!R33)/(1-'Prices&amp;Fuel'!F33)</f>
        <v>4337.11340206186</v>
      </c>
      <c r="BC33" s="9"/>
      <c r="BD33" s="9" t="n">
        <f aca="false">ROUND(IF('FP Corp'!T33/(1-'Prices&amp;Fuel'!F33)-BE33-BF33-BG33-BB33&gt;'Prices&amp;Fuel'!T33,'Prices&amp;Fuel'!T33,'FP Corp'!T33/(1-'Prices&amp;Fuel'!F33)-BE33-BF33-BG33-BB33),9)</f>
        <v>0</v>
      </c>
      <c r="BE33" s="9" t="n">
        <f aca="false">'Prices&amp;Fuel'!U33/(1-'Prices&amp;Fuel'!F33)</f>
        <v>2642.26804123711</v>
      </c>
      <c r="BF33" s="9" t="n">
        <f aca="false">('Prices&amp;Fuel'!V33+'Prices&amp;Fuel'!X33)/(1-'Prices&amp;Fuel'!F33)</f>
        <v>3654.63917525773</v>
      </c>
      <c r="BG33" s="9" t="n">
        <f aca="false">'Prices&amp;Fuel'!W33/(1-'Prices&amp;Fuel'!F33)</f>
        <v>1737.11340206186</v>
      </c>
      <c r="BH33" s="10" t="n">
        <f aca="false">('Prices&amp;Fuel'!C33+'Prices&amp;Fuel'!D33)/2-0.05+('Prices&amp;Fuel'!M33+'Prices&amp;Fuel'!P33)*(1-'Prices&amp;Fuel'!F33)</f>
        <v>3.315956</v>
      </c>
      <c r="BI33" s="9" t="n">
        <f aca="false">IF(AP33=80000,0,BB33)</f>
        <v>4337.11340206186</v>
      </c>
      <c r="BJ33" s="9"/>
      <c r="BK33" s="10" t="n">
        <f aca="false">(((BB33+BE33)*('Prices&amp;Fuel'!B33+0.025))+(('Prices&amp;Fuel'!D33+0.025)*(BD33+BG33))+(('Prices&amp;Fuel'!C33+0.025)*(BC33+BF33))-(BI33+BJ33)*0.025)/(BB33+BC33+BD33+BE33+BF33+BG33)</f>
        <v>2.60664791666667</v>
      </c>
      <c r="BL33" s="9" t="n">
        <f aca="false">(BB33+BC33+BD33+BE33+BF33+BG33)*BH33*'Prices&amp;Fuel'!H33</f>
        <v>1271686.2185567</v>
      </c>
      <c r="BM33" s="9" t="n">
        <f aca="false">'Prices&amp;Fuel'!X33*('Prices&amp;Fuel'!N33+'Prices&amp;Fuel'!O33)*'Prices&amp;Fuel'!H33</f>
        <v>8865.1351</v>
      </c>
      <c r="BN33" s="9" t="n">
        <f aca="false">('Prices&amp;Fuel'!U33+'Prices&amp;Fuel'!V33+'Prices&amp;Fuel'!W33)*('Prices&amp;Fuel'!L33+'Prices&amp;Fuel'!O33)*'Prices&amp;Fuel'!H33</f>
        <v>92285.667</v>
      </c>
      <c r="BO33" s="9" t="n">
        <f aca="false">((BB33+BC33+BD33)*(1-'Prices&amp;Fuel'!G33))*('Prices&amp;Fuel'!M33+'Prices&amp;Fuel'!P33)*'Prices&amp;Fuel'!H33</f>
        <v>103655.4316</v>
      </c>
      <c r="BP33" s="9" t="n">
        <f aca="false">((BD33+BC33+BB33+BE33+BF33+BG33)*BK33*'Prices&amp;Fuel'!H33)+BM33+BN33+BO33</f>
        <v>1204469.14607113</v>
      </c>
      <c r="BQ33" s="5" t="n">
        <f aca="false">BL33-BP33</f>
        <v>67217.0724855668</v>
      </c>
      <c r="BR33" s="7" t="n">
        <v>1000</v>
      </c>
      <c r="BT33" s="8" t="n">
        <f aca="false">IF('Prices&amp;Fuel'!$E33&lt;1.89,1.89,'Prices&amp;Fuel'!$E33)</f>
        <v>2.5607</v>
      </c>
      <c r="BU33" s="8"/>
      <c r="BV33" s="13" t="n">
        <f aca="false">BT33</f>
        <v>2.5607</v>
      </c>
      <c r="BW33" s="13"/>
      <c r="BX33" s="7" t="n">
        <f aca="false">(BR33*BT33+BS33*BU33)*'Prices&amp;Fuel'!H33</f>
        <v>79381.7</v>
      </c>
      <c r="BY33" s="7" t="n">
        <f aca="false">($BR33*BV33+$BS33*BW33)*'Prices&amp;Fuel'!H33</f>
        <v>79381.7</v>
      </c>
      <c r="BZ33" s="5" t="n">
        <f aca="false">BX33-BY33</f>
        <v>0</v>
      </c>
      <c r="CA33" s="5" t="n">
        <f aca="false">(AF33+AG33+AH33+AL33)*0.005*'Prices&amp;Fuel'!H33</f>
        <v>21092.7835051546</v>
      </c>
      <c r="CB33" s="5" t="n">
        <f aca="false">(B33+C33+D33+O33+P33+Q33+X33+Y33+BB33+BC33+BD33+BE33+BF33+BG33+BR33+BS33)*0.005*'Prices&amp;Fuel'!H33</f>
        <v>7048.02577319588</v>
      </c>
      <c r="CC33" s="7" t="n">
        <f aca="false">K33+T33+AB33+AY33+BL33+BX33</f>
        <v>15061826.47</v>
      </c>
      <c r="CD33" s="7" t="n">
        <f aca="false">L33+U33+AC33+AZ33+BP33+BY33+CA33+CB33</f>
        <v>14454334.5622567</v>
      </c>
      <c r="CE33" s="7" t="n">
        <f aca="false">CC33-CD33</f>
        <v>607491.907743298</v>
      </c>
      <c r="CF33" s="7" t="n">
        <f aca="false">'Index Price Deals'!AR33</f>
        <v>29406.6</v>
      </c>
      <c r="CG33" s="7" t="n">
        <f aca="false">'Index Price Deals'!AS33</f>
        <v>55.8</v>
      </c>
      <c r="CH33" s="7" t="n">
        <f aca="false">'Index Price Deals'!AT33</f>
        <v>29127.6</v>
      </c>
      <c r="CI33" s="7" t="n">
        <f aca="false">'Index Price Deals'!AU33</f>
        <v>278.999999999993</v>
      </c>
      <c r="CJ33" s="7" t="n">
        <f aca="false">CC33+CF33</f>
        <v>15091233.07</v>
      </c>
      <c r="CK33" s="7" t="n">
        <f aca="false">CD33+CH33</f>
        <v>14483462.1622567</v>
      </c>
      <c r="CL33" s="7" t="n">
        <f aca="false">CE33+CI33</f>
        <v>607770.907743298</v>
      </c>
      <c r="CM33" s="69"/>
      <c r="CN33" s="7" t="n">
        <f aca="false">Transport!U33</f>
        <v>376195.5772</v>
      </c>
      <c r="CO33" s="71" t="n">
        <f aca="false">[4]Sheet1!$AL74</f>
        <v>762567.143039026</v>
      </c>
      <c r="CQ33" s="7" t="n">
        <f aca="false">(((($B33+$C33+$D33+$O33+$P33+$Q33)*0.5)+BR33+BS33)*(0.005*'Prices&amp;Fuel'!$H33)+'Index Price Deals'!AV33)+(((BB33+BC33+BD33+BE33+BF33+BG33)*(1-'Prices&amp;Fuel'!F33))*0.005*0.5*'Prices&amp;Fuel'!H33)</f>
        <v>3086.05</v>
      </c>
      <c r="CR33" s="7" t="n">
        <f aca="false">(((($B33+$C33+$D33+$O33+$P33+$Q33)*0.5)+X33+Y33)*(0.005*'Prices&amp;Fuel'!$H33)+CA33+'Index Price Deals'!AW33)+(((BB33+BC33+BD33+BE33+BF33+BG33)*(1-'Prices&amp;Fuel'!F33))*0.005*0.5*'Prices&amp;Fuel'!H33)</f>
        <v>25053.0335051546</v>
      </c>
      <c r="CS33" s="11" t="n">
        <f aca="false">'Short Term Firm For Budget'!E33</f>
        <v>132187.41</v>
      </c>
      <c r="CT33" s="7" t="n">
        <f aca="false">[2]Sheet1!$O44</f>
        <v>112213.218742359</v>
      </c>
      <c r="CU33" s="7" t="n">
        <f aca="false">'[3]Long Term Deals'!$Z32</f>
        <v>-34895.0629697055</v>
      </c>
      <c r="CV33" s="70" t="n">
        <f aca="false">CL33-CN33-CT33+CU33+CS33+CO33</f>
        <v>979221.60187026</v>
      </c>
      <c r="CW33" s="14" t="n">
        <f aca="false">((B33+C33+D33+O33+P33+Q33+X33+Y33+AF33+AG33+AH33+BB33+BC33+BD33+BE33+BF33+BG33+BR33+BS33)+('Index Price Deals'!B33+'Index Price Deals'!C33+'Index Price Deals'!D33+'Index Price Deals'!L33+'Index Price Deals'!M33+'Index Price Deals'!N33+'Index Price Deals'!AD33+'Index Price Deals'!AE33+'Index Price Deals'!AF33+'Index Price Deals'!AK33+'Index Price Deals'!AL33+'Index Price Deals'!AM33))*'Prices&amp;Fuel'!H33</f>
        <v>5639321.8556701</v>
      </c>
      <c r="CX33" s="12" t="n">
        <f aca="false">BQ33/(BB33+BC33+BD33+BE33+BF33+BG33)/'Prices&amp;Fuel'!H33</f>
        <v>0.175270323416666</v>
      </c>
      <c r="CZ33" s="13" t="n">
        <f aca="false">(BA33-CT33+CU33)/(AF33+AG33+AH33)/'Prices&amp;Fuel'!H33</f>
        <v>0.0968123203663971</v>
      </c>
      <c r="DB33" s="1" t="n">
        <f aca="false">(O33+P33+Q33)*'Prices&amp;Fuel'!$H33</f>
        <v>778100</v>
      </c>
      <c r="DC33" s="1" t="n">
        <f aca="false">(X33+Y33)*'Prices&amp;Fuel'!$H33</f>
        <v>217000</v>
      </c>
      <c r="DD33" s="1" t="n">
        <f aca="false">(BR33)*'Prices&amp;Fuel'!$H33</f>
        <v>31000</v>
      </c>
      <c r="DE33" s="1" t="n">
        <v>132000</v>
      </c>
    </row>
    <row r="34" customFormat="false" ht="12.75" hidden="false" customHeight="false" outlineLevel="0" collapsed="false">
      <c r="A34" s="6" t="n">
        <f aca="false">+A33+365/12</f>
        <v>36631.0833333333</v>
      </c>
      <c r="O34" s="7" t="n">
        <v>9036</v>
      </c>
      <c r="P34" s="7" t="n">
        <v>10794</v>
      </c>
      <c r="Q34" s="7" t="n">
        <v>5270</v>
      </c>
      <c r="R34" s="8" t="n">
        <f aca="false">R33</f>
        <v>2.2457</v>
      </c>
      <c r="S34" s="8" t="n">
        <f aca="false">S33</f>
        <v>2.2347</v>
      </c>
      <c r="T34" s="7" t="n">
        <f aca="false">(($O34*R34)+($P34*R34)+($Q34*R34))*'Prices&amp;Fuel'!$H34</f>
        <v>1691012.1</v>
      </c>
      <c r="U34" s="7" t="n">
        <f aca="false">(($O34*S34)+($P34*S34)+($Q34*S34))*'Prices&amp;Fuel'!$H34</f>
        <v>1682729.1</v>
      </c>
      <c r="V34" s="14" t="n">
        <f aca="false">T34-U34</f>
        <v>8283.00000000023</v>
      </c>
      <c r="X34" s="7" t="n">
        <f aca="false">7000*0.5</f>
        <v>3500</v>
      </c>
      <c r="Y34" s="7" t="n">
        <f aca="false">X34</f>
        <v>3500</v>
      </c>
      <c r="Z34" s="27" t="n">
        <v>2.2</v>
      </c>
      <c r="AA34" s="27" t="n">
        <v>2.18</v>
      </c>
      <c r="AB34" s="7" t="n">
        <f aca="false">($X34+$Y34)*Z34*'Prices&amp;Fuel'!$H34</f>
        <v>462000</v>
      </c>
      <c r="AC34" s="7" t="n">
        <f aca="false">($X34+$Y34)*AA34*'Prices&amp;Fuel'!$H34</f>
        <v>457800</v>
      </c>
      <c r="AD34" s="14" t="n">
        <f aca="false">AB34-AC34</f>
        <v>4200</v>
      </c>
      <c r="AF34" s="7" t="n">
        <f aca="false">(32000/(1-'Prices&amp;Fuel'!F34))+(25000/(1-'Prices&amp;Fuel'!G34))-AI34</f>
        <v>58756.8291928667</v>
      </c>
      <c r="AG34" s="7" t="n">
        <v>0</v>
      </c>
      <c r="AH34" s="7" t="n">
        <f aca="false">(75000/(1-'Prices&amp;Fuel'!G34))-AK34</f>
        <v>77311.6173590352</v>
      </c>
      <c r="AI34" s="7"/>
      <c r="AJ34" s="7"/>
      <c r="AK34" s="7"/>
      <c r="AL34" s="11" t="n">
        <f aca="false">ROUND((132000/(1-'Prices&amp;Fuel'!F34))-AF34-AG34-AH34,0)</f>
        <v>0</v>
      </c>
      <c r="AM34" s="7" t="n">
        <f aca="false">ROUND(IF(AF34&lt;AP34,0,(AF34-AP34-AI34)/2),0)</f>
        <v>0</v>
      </c>
      <c r="AO34" s="7" t="n">
        <f aca="false">ROUND((75000/(1-'Prices&amp;Fuel'!G34)-AV34-AK34)/2,0)</f>
        <v>37649</v>
      </c>
      <c r="AP34" s="7" t="n">
        <f aca="false">IF(80000&gt;AF34,AF34,80000)</f>
        <v>58756.8291928667</v>
      </c>
      <c r="AR34" s="7" t="n">
        <f aca="false">IF(AP34&gt;AF34,0,AF34-AM34-AP34)</f>
        <v>0</v>
      </c>
      <c r="AT34" s="14" t="n">
        <f aca="false">AH34-AO34-AV34</f>
        <v>37648.5840257018</v>
      </c>
      <c r="AU34" s="14" t="n">
        <f aca="false">AL34*AX34*'Prices&amp;Fuel'!H34</f>
        <v>0</v>
      </c>
      <c r="AV34" s="7" t="n">
        <f aca="false">(8100+52321)/30</f>
        <v>2014.03333333333</v>
      </c>
      <c r="AW34" s="68" t="n">
        <f aca="false">AW33</f>
        <v>0.12</v>
      </c>
      <c r="AX34" s="68" t="n">
        <f aca="false">AX33</f>
        <v>0.025</v>
      </c>
      <c r="AY34" s="5" t="n">
        <f aca="false">('Prices&amp;Fuel'!H34*('Prices&amp;Fuel'!B34+AW34)*'Long Term Deals'!AF34)+('Prices&amp;Fuel'!H34*('Prices&amp;Fuel'!C34+'Long Term Deals'!AW34)*'Long Term Deals'!AG34)+(AH34*('Prices&amp;Fuel'!C34+AW34)*'Prices&amp;Fuel'!H34)+(AW34*AL34*'Prices&amp;Fuel'!H34)</f>
        <v>12216472.5286053</v>
      </c>
      <c r="AZ34" s="5" t="n">
        <f aca="false">(AP34*'Prices&amp;Fuel'!H34*'Prices&amp;Fuel'!B34)+(AQ34*'Prices&amp;Fuel'!C34*'Prices&amp;Fuel'!H34)+((AM34+AR34)*('Prices&amp;Fuel'!B34+'Long Term Deals'!AX34)*'Prices&amp;Fuel'!H34)+((AN34+AS34)*('Prices&amp;Fuel'!C34+'Long Term Deals'!AX34)*'Prices&amp;Fuel'!H34)+((AO34+AT34)*('Prices&amp;Fuel'!D34+'Long Term Deals'!AX34)*'Prices&amp;Fuel'!H34)+(AV34*'Prices&amp;Fuel'!H34*'Prices&amp;Fuel'!Q34)+AU34</f>
        <v>11665852.8729992</v>
      </c>
      <c r="BA34" s="5" t="n">
        <f aca="false">AY34-AZ34</f>
        <v>550619.655606123</v>
      </c>
      <c r="BB34" s="5" t="n">
        <f aca="false">IF('FP Corp'!T34-((BE34+BF34+BG34)*(1-'Prices&amp;Fuel'!F34))&lt;'Prices&amp;Fuel'!R34,('FP Corp'!T34-(BE34+BF34+BG34)*(1-'Prices&amp;Fuel'!F34)),'Prices&amp;Fuel'!R34)/(1-'Prices&amp;Fuel'!F34)</f>
        <v>6294.19647459025</v>
      </c>
      <c r="BC34" s="9"/>
      <c r="BD34" s="9" t="n">
        <f aca="false">ROUND(IF('FP Corp'!T34/(1-'Prices&amp;Fuel'!F34)-BE34-BF34-BG34-BB34&gt;'Prices&amp;Fuel'!T34,'Prices&amp;Fuel'!T34,'FP Corp'!T34/(1-'Prices&amp;Fuel'!F34)-BE34-BF34-BG34-BB34),9)</f>
        <v>0</v>
      </c>
      <c r="BE34" s="9" t="n">
        <f aca="false">'Prices&amp;Fuel'!U34/(1-'Prices&amp;Fuel'!F34)</f>
        <v>1937.94454179981</v>
      </c>
      <c r="BF34" s="9" t="n">
        <f aca="false">('Prices&amp;Fuel'!V34+'Prices&amp;Fuel'!X34)/(1-'Prices&amp;Fuel'!F34)</f>
        <v>2840.94423255335</v>
      </c>
      <c r="BG34" s="9" t="n">
        <f aca="false">'Prices&amp;Fuel'!W34/(1-'Prices&amp;Fuel'!F34)</f>
        <v>1296.77352850222</v>
      </c>
      <c r="BH34" s="10" t="n">
        <f aca="false">('Prices&amp;Fuel'!C34+'Prices&amp;Fuel'!D34)/2-0.05+('Prices&amp;Fuel'!M34+'Prices&amp;Fuel'!P34)*(1-'Prices&amp;Fuel'!F34)</f>
        <v>3.58516239</v>
      </c>
      <c r="BI34" s="9" t="n">
        <f aca="false">IF(AP34=80000,0,BB34)</f>
        <v>6294.19647459025</v>
      </c>
      <c r="BJ34" s="9"/>
      <c r="BK34" s="10" t="n">
        <f aca="false">(((BB34+BE34)*('Prices&amp;Fuel'!B34+0.025))+(('Prices&amp;Fuel'!D34+0.025)*(BD34+BG34))+(('Prices&amp;Fuel'!C34+0.025)*(BC34+BF34))-(BI34+BJ34)*0.025)/(BB34+BC34+BD34+BE34+BF34+BG34)</f>
        <v>2.8704175</v>
      </c>
      <c r="BL34" s="9" t="n">
        <f aca="false">(BB34+BC34+BD34+BE34+BF34+BG34)*BH34*'Prices&amp;Fuel'!H34</f>
        <v>1330438.57375528</v>
      </c>
      <c r="BM34" s="9" t="n">
        <f aca="false">'Prices&amp;Fuel'!X34*('Prices&amp;Fuel'!N34+'Prices&amp;Fuel'!O34)*'Prices&amp;Fuel'!H34</f>
        <v>8560.722</v>
      </c>
      <c r="BN34" s="9" t="n">
        <f aca="false">('Prices&amp;Fuel'!U34+'Prices&amp;Fuel'!V34+'Prices&amp;Fuel'!W34)*('Prices&amp;Fuel'!L34+'Prices&amp;Fuel'!O34)*'Prices&amp;Fuel'!H34</f>
        <v>65314.674</v>
      </c>
      <c r="BO34" s="9" t="n">
        <f aca="false">((BB34+BC34+BD34)*(1-'Prices&amp;Fuel'!G34))*('Prices&amp;Fuel'!M34+'Prices&amp;Fuel'!P34)*'Prices&amp;Fuel'!H34</f>
        <v>145426.602</v>
      </c>
      <c r="BP34" s="9" t="n">
        <f aca="false">((BD34+BC34+BB34+BE34+BF34+BG34)*BK34*'Prices&amp;Fuel'!H34)+BM34+BN34+BO34</f>
        <v>1284501.77121926</v>
      </c>
      <c r="BQ34" s="5" t="n">
        <f aca="false">BL34-BP34</f>
        <v>45936.802536027</v>
      </c>
      <c r="BR34" s="7" t="n">
        <v>1000</v>
      </c>
      <c r="BT34" s="8" t="n">
        <f aca="false">IF('Prices&amp;Fuel'!$E34&lt;1.89,1.89,'Prices&amp;Fuel'!$E34)</f>
        <v>2.9257</v>
      </c>
      <c r="BU34" s="8"/>
      <c r="BV34" s="13" t="n">
        <f aca="false">BT34</f>
        <v>2.9257</v>
      </c>
      <c r="BW34" s="13"/>
      <c r="BX34" s="7" t="n">
        <f aca="false">(BR34*BT34+BS34*BU34)*'Prices&amp;Fuel'!H34</f>
        <v>87771</v>
      </c>
      <c r="BY34" s="7" t="n">
        <f aca="false">($BR34*BV34+$BS34*BW34)*'Prices&amp;Fuel'!H34</f>
        <v>87771</v>
      </c>
      <c r="BZ34" s="5" t="n">
        <f aca="false">BX34-BY34</f>
        <v>0</v>
      </c>
      <c r="CA34" s="5" t="n">
        <f aca="false">(AF34+AG34+AH34+AL34)*0.005*'Prices&amp;Fuel'!H34</f>
        <v>20410.2669827853</v>
      </c>
      <c r="CB34" s="5" t="n">
        <f aca="false">(B34+C34+D34+O34+P34+Q34+X34+Y34+BB34+BC34+BD34+BE34+BF34+BG34+BR34+BS34)*0.005*'Prices&amp;Fuel'!H34</f>
        <v>6820.47881661684</v>
      </c>
      <c r="CC34" s="7" t="n">
        <f aca="false">K34+T34+AB34+AY34+BL34+BX34</f>
        <v>15787694.2023606</v>
      </c>
      <c r="CD34" s="7" t="n">
        <f aca="false">L34+U34+AC34+AZ34+BP34+BY34+CA34+CB34</f>
        <v>15205885.4900178</v>
      </c>
      <c r="CE34" s="7" t="n">
        <f aca="false">CC34-CD34</f>
        <v>581808.712342748</v>
      </c>
      <c r="CF34" s="7" t="n">
        <f aca="false">'Index Price Deals'!AR34</f>
        <v>32681.25</v>
      </c>
      <c r="CG34" s="7" t="n">
        <f aca="false">'Index Price Deals'!AS34</f>
        <v>56.25</v>
      </c>
      <c r="CH34" s="7" t="n">
        <f aca="false">'Index Price Deals'!AT34</f>
        <v>32400</v>
      </c>
      <c r="CI34" s="7" t="n">
        <f aca="false">'Index Price Deals'!AU34</f>
        <v>281.25</v>
      </c>
      <c r="CJ34" s="7" t="n">
        <f aca="false">CC34+CF34</f>
        <v>15820375.4523606</v>
      </c>
      <c r="CK34" s="7" t="n">
        <f aca="false">CD34+CH34</f>
        <v>15238285.4900178</v>
      </c>
      <c r="CL34" s="7" t="n">
        <f aca="false">CE34+CI34</f>
        <v>582089.962342748</v>
      </c>
      <c r="CM34" s="69"/>
      <c r="CN34" s="7" t="n">
        <f aca="false">Transport!U34</f>
        <v>550804.488</v>
      </c>
      <c r="CO34" s="71" t="n">
        <f aca="false">[4]Sheet1!$AL75</f>
        <v>737968.202940993</v>
      </c>
      <c r="CQ34" s="7" t="n">
        <f aca="false">(((($B34+$C34+$D34+$O34+$P34+$Q34)*0.5)+BR34+BS34)*(0.005*'Prices&amp;Fuel'!$H34)+'Index Price Deals'!AV34)+(((BB34+BC34+BD34+BE34+BF34+BG34)*(1-'Prices&amp;Fuel'!F34))*0.005*0.5*'Prices&amp;Fuel'!H34)</f>
        <v>2988.75</v>
      </c>
      <c r="CR34" s="7" t="n">
        <f aca="false">(((($B34+$C34+$D34+$O34+$P34+$Q34)*0.5)+X34+Y34)*(0.005*'Prices&amp;Fuel'!$H34)+CA34+'Index Price Deals'!AW34)+(((BB34+BC34+BD34+BE34+BF34+BG34)*(1-'Prices&amp;Fuel'!F34))*0.005*0.5*'Prices&amp;Fuel'!H34)</f>
        <v>24242.7669827853</v>
      </c>
      <c r="CS34" s="11" t="n">
        <f aca="false">'Short Term Firm For Budget'!E34</f>
        <v>193541.4</v>
      </c>
      <c r="CT34" s="7" t="n">
        <f aca="false">[2]Sheet1!$O45</f>
        <v>108593.437492605</v>
      </c>
      <c r="CU34" s="7" t="n">
        <f aca="false">'[3]Long Term Deals'!$Z33</f>
        <v>-33769.4157771343</v>
      </c>
      <c r="CV34" s="70" t="n">
        <f aca="false">CL34-CN34-CT34+CU34+CS34+CO34</f>
        <v>820432.224014002</v>
      </c>
      <c r="CW34" s="14" t="n">
        <f aca="false">((B34+C34+D34+O34+P34+Q34+X34+Y34+AF34+AG34+AH34+BB34+BC34+BD34+BE34+BF34+BG34+BR34+BS34)+('Index Price Deals'!B34+'Index Price Deals'!C34+'Index Price Deals'!D34+'Index Price Deals'!L34+'Index Price Deals'!M34+'Index Price Deals'!N34+'Index Price Deals'!AD34+'Index Price Deals'!AE34+'Index Price Deals'!AF34+'Index Price Deals'!AK34+'Index Price Deals'!AL34+'Index Price Deals'!AM34))*'Prices&amp;Fuel'!H34</f>
        <v>5457399.15988042</v>
      </c>
      <c r="CX34" s="12" t="n">
        <f aca="false">BQ34/(BB34+BC34+BD34+BE34+BF34+BG34)/'Prices&amp;Fuel'!H34</f>
        <v>0.123786922611666</v>
      </c>
      <c r="CZ34" s="13" t="n">
        <f aca="false">(BA34-CT34+CU34)/(AF34+AG34+AH34)/'Prices&amp;Fuel'!H34</f>
        <v>0.100012607057203</v>
      </c>
      <c r="DB34" s="1" t="n">
        <f aca="false">(O34+P34+Q34)*'Prices&amp;Fuel'!$H34</f>
        <v>753000</v>
      </c>
      <c r="DC34" s="1" t="n">
        <f aca="false">(X34+Y34)*'Prices&amp;Fuel'!$H34</f>
        <v>210000</v>
      </c>
      <c r="DD34" s="1" t="n">
        <f aca="false">(BR34)*'Prices&amp;Fuel'!$H34</f>
        <v>30000</v>
      </c>
      <c r="DE34" s="1" t="n">
        <v>132000</v>
      </c>
    </row>
    <row r="35" customFormat="false" ht="12.75" hidden="false" customHeight="false" outlineLevel="0" collapsed="false">
      <c r="A35" s="6" t="n">
        <f aca="false">+A34+365/12</f>
        <v>36661.5</v>
      </c>
      <c r="O35" s="7" t="n">
        <v>9036</v>
      </c>
      <c r="P35" s="7" t="n">
        <v>10794</v>
      </c>
      <c r="Q35" s="7" t="n">
        <v>5270</v>
      </c>
      <c r="R35" s="8" t="n">
        <f aca="false">R34</f>
        <v>2.2457</v>
      </c>
      <c r="S35" s="8" t="n">
        <f aca="false">S34</f>
        <v>2.2347</v>
      </c>
      <c r="T35" s="7" t="n">
        <f aca="false">(($O35*R35)+($P35*R35)+($Q35*R35))*'Prices&amp;Fuel'!$H35</f>
        <v>1747379.17</v>
      </c>
      <c r="U35" s="7" t="n">
        <f aca="false">(($O35*S35)+($P35*S35)+($Q35*S35))*'Prices&amp;Fuel'!$H35</f>
        <v>1738820.07</v>
      </c>
      <c r="V35" s="14" t="n">
        <f aca="false">T35-U35</f>
        <v>8559.10000000009</v>
      </c>
      <c r="X35" s="7" t="n">
        <f aca="false">7000*0.5</f>
        <v>3500</v>
      </c>
      <c r="Y35" s="7" t="n">
        <f aca="false">X35</f>
        <v>3500</v>
      </c>
      <c r="Z35" s="27" t="n">
        <v>2.2</v>
      </c>
      <c r="AA35" s="27" t="n">
        <v>2.18</v>
      </c>
      <c r="AB35" s="7" t="n">
        <f aca="false">($X35+$Y35)*Z35*'Prices&amp;Fuel'!$H35</f>
        <v>477400</v>
      </c>
      <c r="AC35" s="7" t="n">
        <f aca="false">($X35+$Y35)*AA35*'Prices&amp;Fuel'!$H35</f>
        <v>473060</v>
      </c>
      <c r="AD35" s="14" t="n">
        <f aca="false">AB35-AC35</f>
        <v>4340</v>
      </c>
      <c r="AF35" s="7" t="n">
        <f aca="false">((126000)/(1-'Prices&amp;Fuel'!F35))+(25000/(1-'Prices&amp;Fuel'!G35))-AI35</f>
        <v>155670.103092784</v>
      </c>
      <c r="AG35" s="7" t="n">
        <v>0</v>
      </c>
      <c r="AH35" s="7" t="n">
        <f aca="false">(75000/(1-'Prices&amp;Fuel'!G35))-AK35</f>
        <v>77319.587628866</v>
      </c>
      <c r="AI35" s="7"/>
      <c r="AJ35" s="7"/>
      <c r="AK35" s="7"/>
      <c r="AL35" s="11" t="n">
        <f aca="false">ROUND((226000/(1-'Prices&amp;Fuel'!F35))-AF35-AG35-AH35,0)</f>
        <v>0</v>
      </c>
      <c r="AM35" s="7" t="n">
        <f aca="false">ROUND(IF(AF35&lt;AP35,0,(AF35-AP35-AI35)/2),0)</f>
        <v>37835</v>
      </c>
      <c r="AO35" s="7" t="n">
        <f aca="false">ROUND((75000/(1-'Prices&amp;Fuel'!G35)-AV35-AK35)/2,0)</f>
        <v>37753</v>
      </c>
      <c r="AP35" s="7" t="n">
        <f aca="false">IF(80000&gt;AF35,AF35,80000)</f>
        <v>80000</v>
      </c>
      <c r="AR35" s="7" t="n">
        <f aca="false">IF(AP35&gt;AF35,0,AF35-AM35-AP35)</f>
        <v>37835.1030927835</v>
      </c>
      <c r="AT35" s="14" t="n">
        <f aca="false">AH35-AO35-AV35</f>
        <v>37752.8134353176</v>
      </c>
      <c r="AU35" s="14" t="n">
        <f aca="false">AL35*AX35*'Prices&amp;Fuel'!H35</f>
        <v>0</v>
      </c>
      <c r="AV35" s="7" t="n">
        <f aca="false">(8368+47859)/31</f>
        <v>1813.77419354839</v>
      </c>
      <c r="AW35" s="68" t="n">
        <f aca="false">AW34</f>
        <v>0.12</v>
      </c>
      <c r="AX35" s="68" t="n">
        <f aca="false">AX34</f>
        <v>0.025</v>
      </c>
      <c r="AY35" s="5" t="n">
        <f aca="false">('Prices&amp;Fuel'!H35*('Prices&amp;Fuel'!B35+AW35)*'Long Term Deals'!AF35)+('Prices&amp;Fuel'!H35*('Prices&amp;Fuel'!C35+'Long Term Deals'!AW35)*'Long Term Deals'!AG35)+(AH35*('Prices&amp;Fuel'!C35+AW35)*'Prices&amp;Fuel'!H35)+(AW35*AL35*'Prices&amp;Fuel'!H35)</f>
        <v>22919546.3917526</v>
      </c>
      <c r="AZ35" s="5" t="n">
        <f aca="false">(AP35*'Prices&amp;Fuel'!H35*'Prices&amp;Fuel'!B35)+(AQ35*'Prices&amp;Fuel'!C35*'Prices&amp;Fuel'!H35)+((AM35+AR35)*('Prices&amp;Fuel'!B35+'Long Term Deals'!AX35)*'Prices&amp;Fuel'!H35)+((AN35+AS35)*('Prices&amp;Fuel'!C35+'Long Term Deals'!AX35)*'Prices&amp;Fuel'!H35)+((AO35+AT35)*('Prices&amp;Fuel'!D35+'Long Term Deals'!AX35)*'Prices&amp;Fuel'!H35)+(AV35*'Prices&amp;Fuel'!H35*'Prices&amp;Fuel'!Q35)+AU35</f>
        <v>22097206.0910825</v>
      </c>
      <c r="BA35" s="5" t="n">
        <f aca="false">AY35-AZ35</f>
        <v>822340.300670106</v>
      </c>
      <c r="BB35" s="5" t="n">
        <f aca="false">IF('FP Corp'!T35-((BE35+BF35+BG35)*(1-'Prices&amp;Fuel'!F35))&lt;'Prices&amp;Fuel'!R35,('FP Corp'!T35-(BE35+BF35+BG35)*(1-'Prices&amp;Fuel'!F35)),'Prices&amp;Fuel'!R35)/(1-'Prices&amp;Fuel'!F35)</f>
        <v>9000</v>
      </c>
      <c r="BC35" s="9"/>
      <c r="BD35" s="9" t="n">
        <f aca="false">ROUND(IF('FP Corp'!T35/(1-'Prices&amp;Fuel'!F35)-BE35-BF35-BG35-BB35&gt;'Prices&amp;Fuel'!T35,'Prices&amp;Fuel'!T35,'FP Corp'!T35/(1-'Prices&amp;Fuel'!F35)-BE35-BF35-BG35-BB35),9)</f>
        <v>6573.195876289</v>
      </c>
      <c r="BE35" s="9" t="n">
        <f aca="false">'Prices&amp;Fuel'!U35/(1-'Prices&amp;Fuel'!F35)</f>
        <v>1938.14432989691</v>
      </c>
      <c r="BF35" s="9" t="n">
        <f aca="false">('Prices&amp;Fuel'!V35+'Prices&amp;Fuel'!X35)/(1-'Prices&amp;Fuel'!F35)</f>
        <v>3070.10309278351</v>
      </c>
      <c r="BG35" s="9" t="n">
        <f aca="false">'Prices&amp;Fuel'!W35/(1-'Prices&amp;Fuel'!F35)</f>
        <v>1068.0412371134</v>
      </c>
      <c r="BH35" s="10" t="n">
        <f aca="false">('Prices&amp;Fuel'!C35+'Prices&amp;Fuel'!D35)/2-0.05+('Prices&amp;Fuel'!M35+'Prices&amp;Fuel'!P35)*(1-'Prices&amp;Fuel'!F35)</f>
        <v>3.785083</v>
      </c>
      <c r="BI35" s="9" t="n">
        <f aca="false">IF(AP35=80000,0,BB35)</f>
        <v>0</v>
      </c>
      <c r="BJ35" s="9"/>
      <c r="BK35" s="10" t="n">
        <f aca="false">(((BB35+BE35)*('Prices&amp;Fuel'!B35+0.025))+(('Prices&amp;Fuel'!D35+0.025)*(BD35+BG35))+(('Prices&amp;Fuel'!C35+0.025)*(BC35+BF35))-(BI35+BJ35)*0.025)/(BB35+BC35+BD35+BE35+BF35+BG35)</f>
        <v>3.07420190476191</v>
      </c>
      <c r="BL35" s="9" t="n">
        <f aca="false">(BB35+BC35+BD35+BE35+BF35+BG35)*BH35*'Prices&amp;Fuel'!H35</f>
        <v>2540297.97216499</v>
      </c>
      <c r="BM35" s="9" t="n">
        <f aca="false">'Prices&amp;Fuel'!X35*('Prices&amp;Fuel'!N35+'Prices&amp;Fuel'!O35)*'Prices&amp;Fuel'!H35</f>
        <v>8846.0794</v>
      </c>
      <c r="BN35" s="9" t="n">
        <f aca="false">('Prices&amp;Fuel'!U35+'Prices&amp;Fuel'!V35+'Prices&amp;Fuel'!W35)*('Prices&amp;Fuel'!L35+'Prices&amp;Fuel'!O35)*'Prices&amp;Fuel'!H35</f>
        <v>67491.8298</v>
      </c>
      <c r="BO35" s="9" t="n">
        <f aca="false">((BB35+BC35+BD35)*(1-'Prices&amp;Fuel'!G35))*('Prices&amp;Fuel'!M35+'Prices&amp;Fuel'!P35)*'Prices&amp;Fuel'!H35</f>
        <v>371772.255400008</v>
      </c>
      <c r="BP35" s="9" t="n">
        <f aca="false">((BD35+BC35+BB35+BE35+BF35+BG35)*BK35*'Prices&amp;Fuel'!H35)+BM35+BN35+BO35</f>
        <v>2511311.64913612</v>
      </c>
      <c r="BQ35" s="5" t="n">
        <f aca="false">BL35-BP35</f>
        <v>28986.3230288653</v>
      </c>
      <c r="BR35" s="7" t="n">
        <v>1000</v>
      </c>
      <c r="BT35" s="8" t="n">
        <f aca="false">IF('Prices&amp;Fuel'!$E35&lt;1.89,1.89,'Prices&amp;Fuel'!$E35)</f>
        <v>3.112</v>
      </c>
      <c r="BU35" s="8"/>
      <c r="BV35" s="13" t="n">
        <f aca="false">BT35</f>
        <v>3.112</v>
      </c>
      <c r="BW35" s="13"/>
      <c r="BX35" s="7" t="n">
        <f aca="false">(BR35*BT35+BS35*BU35)*'Prices&amp;Fuel'!H35</f>
        <v>96472</v>
      </c>
      <c r="BY35" s="7" t="n">
        <f aca="false">($BR35*BV35+$BS35*BW35)*'Prices&amp;Fuel'!H35</f>
        <v>96472</v>
      </c>
      <c r="BZ35" s="5" t="n">
        <f aca="false">BX35-BY35</f>
        <v>0</v>
      </c>
      <c r="CA35" s="5" t="n">
        <f aca="false">(AF35+AG35+AH35+AL35)*0.005*'Prices&amp;Fuel'!H35</f>
        <v>36113.4020618557</v>
      </c>
      <c r="CB35" s="5" t="n">
        <f aca="false">(B35+C35+D35+O35+P35+Q35+X35+Y35+BB35+BC35+BD35+BE35+BF35+BG35+BR35+BS35)*0.005*'Prices&amp;Fuel'!H35</f>
        <v>8486.17010309284</v>
      </c>
      <c r="CC35" s="7" t="n">
        <f aca="false">K35+T35+AB35+AY35+BL35+BX35</f>
        <v>27781095.5339176</v>
      </c>
      <c r="CD35" s="7" t="n">
        <f aca="false">L35+U35+AC35+AZ35+BP35+BY35+CA35+CB35</f>
        <v>26961469.3823835</v>
      </c>
      <c r="CE35" s="7" t="n">
        <f aca="false">CC35-CD35</f>
        <v>819626.151534025</v>
      </c>
      <c r="CF35" s="7" t="n">
        <f aca="false">'Index Price Deals'!AR35</f>
        <v>27980.135</v>
      </c>
      <c r="CG35" s="7" t="n">
        <f aca="false">'Index Price Deals'!AS35</f>
        <v>45.105</v>
      </c>
      <c r="CH35" s="7" t="n">
        <f aca="false">'Index Price Deals'!AT35</f>
        <v>27754.61</v>
      </c>
      <c r="CI35" s="7" t="n">
        <f aca="false">'Index Price Deals'!AU35</f>
        <v>225.524999999998</v>
      </c>
      <c r="CJ35" s="7" t="n">
        <f aca="false">CC35+CF35</f>
        <v>27809075.6689176</v>
      </c>
      <c r="CK35" s="7" t="n">
        <f aca="false">CD35+CH35</f>
        <v>26989223.9923835</v>
      </c>
      <c r="CL35" s="7" t="n">
        <f aca="false">CE35+CI35</f>
        <v>819851.676534025</v>
      </c>
      <c r="CM35" s="69"/>
      <c r="CN35" s="7" t="n">
        <f aca="false">Transport!U35</f>
        <v>473883.037599992</v>
      </c>
      <c r="CO35" s="71" t="n">
        <f aca="false">[4]Sheet1!$AL76</f>
        <v>762567.143039026</v>
      </c>
      <c r="CQ35" s="7" t="n">
        <f aca="false">(((($B35+$C35+$D35+$O35+$P35+$Q35)*0.5)+BR35+BS35)*(0.005*'Prices&amp;Fuel'!$H35)+'Index Price Deals'!AV35)+(((BB35+BC35+BD35+BE35+BF35+BG35)*(1-'Prices&amp;Fuel'!F35))*0.005*0.5*'Prices&amp;Fuel'!H35)</f>
        <v>3772.85500000003</v>
      </c>
      <c r="CR35" s="7" t="n">
        <f aca="false">(((($B35+$C35+$D35+$O35+$P35+$Q35)*0.5)+X35+Y35)*(0.005*'Prices&amp;Fuel'!$H35)+CA35+'Index Price Deals'!AW35)+(((BB35+BC35+BD35+BE35+BF35+BG35)*(1-'Prices&amp;Fuel'!F35))*0.005*0.5*'Prices&amp;Fuel'!H35)</f>
        <v>40771.1520618557</v>
      </c>
      <c r="CS35" s="11" t="n">
        <f aca="false">'Short Term Firm For Budget'!E35</f>
        <v>166512.779999997</v>
      </c>
      <c r="CT35" s="7" t="n">
        <f aca="false">[2]Sheet1!$O46</f>
        <v>192122.63208919</v>
      </c>
      <c r="CU35" s="7" t="n">
        <f aca="false">'[3]Long Term Deals'!$Z34</f>
        <v>-43972.9018835931</v>
      </c>
      <c r="CV35" s="70" t="n">
        <f aca="false">CL35-CN35-CT35+CU35+CS35+CO35</f>
        <v>1038953.02800027</v>
      </c>
      <c r="CW35" s="14" t="n">
        <f aca="false">((B35+C35+D35+O35+P35+Q35+X35+Y35+AF35+AG35+AH35+BB35+BC35+BD35+BE35+BF35+BG35+BR35+BS35)+('Index Price Deals'!B35+'Index Price Deals'!C35+'Index Price Deals'!D35+'Index Price Deals'!L35+'Index Price Deals'!M35+'Index Price Deals'!N35+'Index Price Deals'!AD35+'Index Price Deals'!AE35+'Index Price Deals'!AF35+'Index Price Deals'!AK35+'Index Price Deals'!AL35+'Index Price Deals'!AM35))*'Prices&amp;Fuel'!H35</f>
        <v>8928935.4329897</v>
      </c>
      <c r="CX35" s="12" t="n">
        <f aca="false">BQ35/(BB35+BC35+BD35+BE35+BF35+BG35)/'Prices&amp;Fuel'!H35</f>
        <v>0.0431900665714268</v>
      </c>
      <c r="CZ35" s="13" t="n">
        <f aca="false">(BA35-CT35+CU35)/(AF35+AG35+AH35)/'Prices&amp;Fuel'!H35</f>
        <v>0.0811672029255499</v>
      </c>
      <c r="DB35" s="1" t="n">
        <f aca="false">(O35+P35+Q35)*'Prices&amp;Fuel'!$H35</f>
        <v>778100</v>
      </c>
      <c r="DC35" s="1" t="n">
        <f aca="false">(X35+Y35)*'Prices&amp;Fuel'!$H35</f>
        <v>217000</v>
      </c>
      <c r="DD35" s="1" t="n">
        <f aca="false">(BR35)*'Prices&amp;Fuel'!$H35</f>
        <v>31000</v>
      </c>
      <c r="DE35" s="1" t="n">
        <v>226000</v>
      </c>
    </row>
    <row r="36" customFormat="false" ht="12.75" hidden="false" customHeight="false" outlineLevel="0" collapsed="false">
      <c r="A36" s="6" t="n">
        <f aca="false">+A35+365/12</f>
        <v>36691.9166666667</v>
      </c>
      <c r="O36" s="7" t="n">
        <v>9036</v>
      </c>
      <c r="P36" s="7" t="n">
        <v>10794</v>
      </c>
      <c r="Q36" s="7" t="n">
        <v>5270</v>
      </c>
      <c r="R36" s="8" t="n">
        <f aca="false">R35</f>
        <v>2.2457</v>
      </c>
      <c r="S36" s="8" t="n">
        <f aca="false">S35</f>
        <v>2.2347</v>
      </c>
      <c r="T36" s="7" t="n">
        <f aca="false">(($O36*R36)+($P36*R36)+($Q36*R36))*'Prices&amp;Fuel'!$H36</f>
        <v>1691012.1</v>
      </c>
      <c r="U36" s="7" t="n">
        <f aca="false">(($O36*S36)+($P36*S36)+($Q36*S36))*'Prices&amp;Fuel'!$H36</f>
        <v>1682729.1</v>
      </c>
      <c r="V36" s="14" t="n">
        <f aca="false">T36-U36</f>
        <v>8283.00000000023</v>
      </c>
      <c r="X36" s="7" t="n">
        <f aca="false">7000*0.5</f>
        <v>3500</v>
      </c>
      <c r="Y36" s="7" t="n">
        <f aca="false">X36</f>
        <v>3500</v>
      </c>
      <c r="Z36" s="27" t="n">
        <v>2.2</v>
      </c>
      <c r="AA36" s="27" t="n">
        <v>2.18</v>
      </c>
      <c r="AB36" s="7" t="n">
        <f aca="false">($X36+$Y36)*Z36*'Prices&amp;Fuel'!$H36</f>
        <v>462000</v>
      </c>
      <c r="AC36" s="7" t="n">
        <f aca="false">($X36+$Y36)*AA36*'Prices&amp;Fuel'!$H36</f>
        <v>457800</v>
      </c>
      <c r="AD36" s="14" t="n">
        <f aca="false">AB36-AC36</f>
        <v>4200</v>
      </c>
      <c r="AF36" s="7" t="n">
        <f aca="false">((126000)/(1-'Prices&amp;Fuel'!F36))+(25000/(1-'Prices&amp;Fuel'!G36))-AI36</f>
        <v>155654.056282857</v>
      </c>
      <c r="AG36" s="7" t="n">
        <v>0</v>
      </c>
      <c r="AH36" s="7" t="n">
        <f aca="false">(75000/(1-'Prices&amp;Fuel'!G36))-AK36</f>
        <v>77311.6173590352</v>
      </c>
      <c r="AI36" s="7"/>
      <c r="AJ36" s="7"/>
      <c r="AK36" s="7"/>
      <c r="AL36" s="11" t="n">
        <f aca="false">ROUND((226000/(1-'Prices&amp;Fuel'!F36))-AF36-AG36-AH36,0)</f>
        <v>0</v>
      </c>
      <c r="AM36" s="7" t="n">
        <f aca="false">ROUND(IF(AF36&lt;AP36,0,(AF36-AP36-AI36)/2),0)</f>
        <v>37827</v>
      </c>
      <c r="AO36" s="7" t="n">
        <f aca="false">ROUND((75000/(1-'Prices&amp;Fuel'!G36)-AV36-AK36)/2,0)</f>
        <v>37663</v>
      </c>
      <c r="AP36" s="7" t="n">
        <f aca="false">IF(80000&gt;AF36,AF36,80000)</f>
        <v>80000</v>
      </c>
      <c r="AR36" s="7" t="n">
        <f aca="false">IF(AP36&gt;AF36,0,AF36-AM36-AP36)</f>
        <v>37827.0562828574</v>
      </c>
      <c r="AT36" s="14" t="n">
        <f aca="false">AH36-AO36-AV36</f>
        <v>37662.0840257018</v>
      </c>
      <c r="AU36" s="14" t="n">
        <f aca="false">AL36*AX36*'Prices&amp;Fuel'!H36</f>
        <v>0</v>
      </c>
      <c r="AV36" s="7" t="n">
        <f aca="false">(7500+52096)/30</f>
        <v>1986.53333333333</v>
      </c>
      <c r="AW36" s="68" t="n">
        <f aca="false">AW35</f>
        <v>0.12</v>
      </c>
      <c r="AX36" s="68" t="n">
        <f aca="false">AX35</f>
        <v>0.025</v>
      </c>
      <c r="AY36" s="5" t="n">
        <f aca="false">('Prices&amp;Fuel'!H36*('Prices&amp;Fuel'!B36+AW36)*'Long Term Deals'!AF36)+('Prices&amp;Fuel'!H36*('Prices&amp;Fuel'!C36+'Long Term Deals'!AW36)*'Long Term Deals'!AG36)+(AH36*('Prices&amp;Fuel'!C36+AW36)*'Prices&amp;Fuel'!H36)+(AW36*AL36*'Prices&amp;Fuel'!H36)</f>
        <v>31333470.7762086</v>
      </c>
      <c r="AZ36" s="5" t="n">
        <f aca="false">(AP36*'Prices&amp;Fuel'!H36*'Prices&amp;Fuel'!B36)+(AQ36*'Prices&amp;Fuel'!C36*'Prices&amp;Fuel'!H36)+((AM36+AR36)*('Prices&amp;Fuel'!B36+'Long Term Deals'!AX36)*'Prices&amp;Fuel'!H36)+((AN36+AS36)*('Prices&amp;Fuel'!C36+'Long Term Deals'!AX36)*'Prices&amp;Fuel'!H36)+((AO36+AT36)*('Prices&amp;Fuel'!D36+'Long Term Deals'!AX36)*'Prices&amp;Fuel'!H36)+(AV36*'Prices&amp;Fuel'!H36*'Prices&amp;Fuel'!Q36)+AU36</f>
        <v>30483828.3002907</v>
      </c>
      <c r="BA36" s="5" t="n">
        <f aca="false">AY36-AZ36</f>
        <v>849642.475917947</v>
      </c>
      <c r="BB36" s="5" t="n">
        <f aca="false">IF('FP Corp'!T36-((BE36+BF36+BG36)*(1-'Prices&amp;Fuel'!F36))&lt;'Prices&amp;Fuel'!R36,('FP Corp'!T36-(BE36+BF36+BG36)*(1-'Prices&amp;Fuel'!F36)),'Prices&amp;Fuel'!R36)/(1-'Prices&amp;Fuel'!F36)</f>
        <v>8999.07226059169</v>
      </c>
      <c r="BC36" s="9"/>
      <c r="BD36" s="9" t="n">
        <f aca="false">ROUND(IF('FP Corp'!T36/(1-'Prices&amp;Fuel'!F36)-BE36-BF36-BG36-BB36&gt;'Prices&amp;Fuel'!T36,'Prices&amp;Fuel'!T36,'FP Corp'!T36/(1-'Prices&amp;Fuel'!F36)-BE36-BF36-BG36-BB36),9)</f>
        <v>6572.518297083</v>
      </c>
      <c r="BE36" s="9" t="n">
        <f aca="false">'Prices&amp;Fuel'!U36/(1-'Prices&amp;Fuel'!F36)</f>
        <v>1937.94454179981</v>
      </c>
      <c r="BF36" s="9" t="n">
        <f aca="false">('Prices&amp;Fuel'!V36+'Prices&amp;Fuel'!X36)/(1-'Prices&amp;Fuel'!F36)</f>
        <v>3069.78661993609</v>
      </c>
      <c r="BG36" s="9" t="n">
        <f aca="false">'Prices&amp;Fuel'!W36/(1-'Prices&amp;Fuel'!F36)</f>
        <v>1067.93114111947</v>
      </c>
      <c r="BH36" s="10" t="n">
        <f aca="false">('Prices&amp;Fuel'!C36+'Prices&amp;Fuel'!D36)/2-0.05+('Prices&amp;Fuel'!M36+'Prices&amp;Fuel'!P36)*(1-'Prices&amp;Fuel'!F36)</f>
        <v>5.08516239</v>
      </c>
      <c r="BI36" s="9" t="n">
        <f aca="false">IF(AP36=80000,0,BB36)</f>
        <v>0</v>
      </c>
      <c r="BJ36" s="9"/>
      <c r="BK36" s="10" t="n">
        <f aca="false">(((BB36+BE36)*('Prices&amp;Fuel'!B36+0.025))+(('Prices&amp;Fuel'!D36+0.025)*(BD36+BG36))+(('Prices&amp;Fuel'!C36+0.025)*(BC36+BF36))-(BI36+BJ36)*0.025)/(BB36+BC36+BD36+BE36+BF36+BG36)</f>
        <v>4.37714285714286</v>
      </c>
      <c r="BL36" s="9" t="n">
        <f aca="false">(BB36+BC36+BD36+BE36+BF36+BG36)*BH36*'Prices&amp;Fuel'!H36</f>
        <v>3302393.88279562</v>
      </c>
      <c r="BM36" s="9" t="n">
        <f aca="false">'Prices&amp;Fuel'!X36*('Prices&amp;Fuel'!N36+'Prices&amp;Fuel'!O36)*'Prices&amp;Fuel'!H36</f>
        <v>8560.722</v>
      </c>
      <c r="BN36" s="9" t="n">
        <f aca="false">('Prices&amp;Fuel'!U36+'Prices&amp;Fuel'!V36+'Prices&amp;Fuel'!W36)*('Prices&amp;Fuel'!L36+'Prices&amp;Fuel'!O36)*'Prices&amp;Fuel'!H36</f>
        <v>65314.674</v>
      </c>
      <c r="BO36" s="9" t="n">
        <f aca="false">((BB36+BC36+BD36)*(1-'Prices&amp;Fuel'!G36))*('Prices&amp;Fuel'!M36+'Prices&amp;Fuel'!P36)*'Prices&amp;Fuel'!H36</f>
        <v>359779.602000005</v>
      </c>
      <c r="BP36" s="9" t="n">
        <f aca="false">((BD36+BC36+BB36+BE36+BF36+BG36)*BK36*'Prices&amp;Fuel'!H36)+BM36+BN36+BO36</f>
        <v>3276248.54505704</v>
      </c>
      <c r="BQ36" s="5" t="n">
        <f aca="false">BL36-BP36</f>
        <v>26145.3377385843</v>
      </c>
      <c r="BR36" s="7" t="n">
        <v>1000</v>
      </c>
      <c r="BT36" s="8" t="n">
        <f aca="false">IF('Prices&amp;Fuel'!$E36&lt;1.89,1.89,'Prices&amp;Fuel'!$E36)</f>
        <v>4.2383</v>
      </c>
      <c r="BU36" s="8"/>
      <c r="BV36" s="13" t="n">
        <f aca="false">BT36</f>
        <v>4.2383</v>
      </c>
      <c r="BW36" s="13"/>
      <c r="BX36" s="7" t="n">
        <f aca="false">(BR36*BT36+BS36*BU36)*'Prices&amp;Fuel'!H36</f>
        <v>127149</v>
      </c>
      <c r="BY36" s="7" t="n">
        <f aca="false">($BR36*BV36+$BS36*BW36)*'Prices&amp;Fuel'!H36</f>
        <v>127149</v>
      </c>
      <c r="BZ36" s="5" t="n">
        <f aca="false">BX36-BY36</f>
        <v>0</v>
      </c>
      <c r="CA36" s="5" t="n">
        <f aca="false">(AF36+AG36+AH36+AL36)*0.005*'Prices&amp;Fuel'!H36</f>
        <v>34944.8510462839</v>
      </c>
      <c r="CB36" s="5" t="n">
        <f aca="false">(B36+C36+D36+O36+P36+Q36+X36+Y36+BB36+BC36+BD36+BE36+BF36+BG36+BR36+BS36)*0.005*'Prices&amp;Fuel'!H36</f>
        <v>8212.08792907951</v>
      </c>
      <c r="CC36" s="7" t="n">
        <f aca="false">K36+T36+AB36+AY36+BL36+BX36</f>
        <v>36916025.7590043</v>
      </c>
      <c r="CD36" s="7" t="n">
        <f aca="false">L36+U36+AC36+AZ36+BP36+BY36+CA36+CB36</f>
        <v>36070911.8843231</v>
      </c>
      <c r="CE36" s="7" t="n">
        <f aca="false">CC36-CD36</f>
        <v>845113.874681167</v>
      </c>
      <c r="CF36" s="7" t="n">
        <f aca="false">'Index Price Deals'!AR36</f>
        <v>0</v>
      </c>
      <c r="CG36" s="7" t="n">
        <f aca="false">'Index Price Deals'!AS36</f>
        <v>0</v>
      </c>
      <c r="CH36" s="7" t="n">
        <f aca="false">'Index Price Deals'!AT36</f>
        <v>0</v>
      </c>
      <c r="CI36" s="7" t="n">
        <f aca="false">'Index Price Deals'!AU36</f>
        <v>0</v>
      </c>
      <c r="CJ36" s="7" t="n">
        <f aca="false">CC36+CF36</f>
        <v>36916025.7590043</v>
      </c>
      <c r="CK36" s="7" t="n">
        <f aca="false">CD36+CH36</f>
        <v>36070911.8843231</v>
      </c>
      <c r="CL36" s="7" t="n">
        <f aca="false">CE36+CI36</f>
        <v>845113.874681167</v>
      </c>
      <c r="CM36" s="69"/>
      <c r="CN36" s="7" t="n">
        <f aca="false">Transport!U36</f>
        <v>458596.487999995</v>
      </c>
      <c r="CO36" s="71" t="n">
        <f aca="false">[4]Sheet1!$AL77</f>
        <v>737968.202940993</v>
      </c>
      <c r="CQ36" s="7" t="n">
        <f aca="false">(((($B36+$C36+$D36+$O36+$P36+$Q36)*0.5)+BR36+BS36)*(0.005*'Prices&amp;Fuel'!$H36)+'Index Price Deals'!AV36)+(((BB36+BC36+BD36+BE36+BF36+BG36)*(1-'Prices&amp;Fuel'!F36))*0.005*0.5*'Prices&amp;Fuel'!H36)</f>
        <v>3607.50000000002</v>
      </c>
      <c r="CR36" s="7" t="n">
        <f aca="false">(((($B36+$C36+$D36+$O36+$P36+$Q36)*0.5)+X36+Y36)*(0.005*'Prices&amp;Fuel'!$H36)+CA36+'Index Price Deals'!AW36)+(((BB36+BC36+BD36+BE36+BF36+BG36)*(1-'Prices&amp;Fuel'!F36))*0.005*0.5*'Prices&amp;Fuel'!H36)</f>
        <v>39452.3510462839</v>
      </c>
      <c r="CS36" s="11" t="n">
        <f aca="false">'Short Term Firm For Budget'!E36</f>
        <v>161141.399999998</v>
      </c>
      <c r="CT36" s="7" t="n">
        <f aca="false">[2]Sheet1!$O47</f>
        <v>185925.127828249</v>
      </c>
      <c r="CU36" s="7" t="n">
        <f aca="false">'[3]Long Term Deals'!$Z35</f>
        <v>-42554.4211776707</v>
      </c>
      <c r="CV36" s="70" t="n">
        <f aca="false">CL36-CN36-CT36+CU36+CS36+CO36</f>
        <v>1057147.44061624</v>
      </c>
      <c r="CW36" s="14" t="n">
        <f aca="false">((B36+C36+D36+O36+P36+Q36+X36+Y36+AF36+AG36+AH36+BB36+BC36+BD36+BE36+BF36+BG36+BR36+BS36)+('Index Price Deals'!B36+'Index Price Deals'!C36+'Index Price Deals'!D36+'Index Price Deals'!L36+'Index Price Deals'!M36+'Index Price Deals'!N36+'Index Price Deals'!AD36+'Index Price Deals'!AE36+'Index Price Deals'!AF36+'Index Price Deals'!AK36+'Index Price Deals'!AL36+'Index Price Deals'!AM36))*'Prices&amp;Fuel'!H36</f>
        <v>8631387.79507268</v>
      </c>
      <c r="CX36" s="12" t="n">
        <f aca="false">BQ36/(BB36+BC36+BD36+BE36+BF36+BG36)/'Prices&amp;Fuel'!H36</f>
        <v>0.04025967006381</v>
      </c>
      <c r="CZ36" s="13" t="n">
        <f aca="false">(BA36-CT36+CU36)/(AF36+AG36+AH36)/'Prices&amp;Fuel'!H36</f>
        <v>0.0888776040409082</v>
      </c>
      <c r="DB36" s="1" t="n">
        <f aca="false">(O36+P36+Q36)*'Prices&amp;Fuel'!$H36</f>
        <v>753000</v>
      </c>
      <c r="DC36" s="1" t="n">
        <f aca="false">(X36+Y36)*'Prices&amp;Fuel'!$H36</f>
        <v>210000</v>
      </c>
      <c r="DD36" s="1" t="n">
        <f aca="false">(BR36)*'Prices&amp;Fuel'!$H36</f>
        <v>30000</v>
      </c>
      <c r="DE36" s="1" t="n">
        <v>226000</v>
      </c>
    </row>
    <row r="37" customFormat="false" ht="12.75" hidden="false" customHeight="false" outlineLevel="0" collapsed="false">
      <c r="A37" s="6" t="n">
        <f aca="false">+A36+365/12</f>
        <v>36722.3333333333</v>
      </c>
      <c r="O37" s="7" t="n">
        <v>9036</v>
      </c>
      <c r="P37" s="7" t="n">
        <v>10794</v>
      </c>
      <c r="Q37" s="7" t="n">
        <v>5270</v>
      </c>
      <c r="R37" s="8" t="n">
        <f aca="false">ROUND(2.034*1.02*1.02*1.02*1.02*1.02*1.02,4)</f>
        <v>2.2906</v>
      </c>
      <c r="S37" s="8" t="n">
        <f aca="false">R37-ROUND(0.01*1.02*1.02*1.02*1.02*1.02*1.02,4)</f>
        <v>2.2793</v>
      </c>
      <c r="T37" s="7" t="n">
        <f aca="false">(($O37*R37)+($P37*R37)+($Q37*R37))*'Prices&amp;Fuel'!$H37</f>
        <v>1782315.86</v>
      </c>
      <c r="U37" s="7" t="n">
        <f aca="false">(($O37*S37)+($P37*S37)+($Q37*S37))*'Prices&amp;Fuel'!$H37</f>
        <v>1773523.33</v>
      </c>
      <c r="V37" s="14" t="n">
        <f aca="false">T37-U37</f>
        <v>8792.5299999998</v>
      </c>
      <c r="X37" s="7" t="n">
        <f aca="false">7000*0.5</f>
        <v>3500</v>
      </c>
      <c r="Y37" s="7" t="n">
        <f aca="false">X37</f>
        <v>3500</v>
      </c>
      <c r="Z37" s="27" t="n">
        <v>2.2</v>
      </c>
      <c r="AA37" s="27" t="n">
        <v>2.18</v>
      </c>
      <c r="AB37" s="7" t="n">
        <f aca="false">($X37+$Y37)*Z37*'Prices&amp;Fuel'!$H37</f>
        <v>477400</v>
      </c>
      <c r="AC37" s="7" t="n">
        <f aca="false">($X37+$Y37)*AA37*'Prices&amp;Fuel'!$H37</f>
        <v>473060</v>
      </c>
      <c r="AD37" s="14" t="n">
        <f aca="false">AB37-AC37</f>
        <v>4340</v>
      </c>
      <c r="AF37" s="7" t="n">
        <f aca="false">((126000)/(1-'Prices&amp;Fuel'!F37))+(25000/(1-'Prices&amp;Fuel'!G37))-AI37</f>
        <v>155654.056282857</v>
      </c>
      <c r="AG37" s="7" t="n">
        <v>0</v>
      </c>
      <c r="AH37" s="7" t="n">
        <f aca="false">(75000/(1-'Prices&amp;Fuel'!G37))-AK37</f>
        <v>77311.6173590352</v>
      </c>
      <c r="AI37" s="7"/>
      <c r="AJ37" s="7"/>
      <c r="AK37" s="7"/>
      <c r="AL37" s="11" t="n">
        <f aca="false">ROUND((226000/(1-'Prices&amp;Fuel'!F37))-AF37-AG37-AH37,0)</f>
        <v>0</v>
      </c>
      <c r="AM37" s="7" t="n">
        <f aca="false">ROUND(IF(AF37&lt;AP37,0,(AF37-AP37-AI37)/2),0)</f>
        <v>37827</v>
      </c>
      <c r="AO37" s="7" t="n">
        <f aca="false">ROUND((75000/(1-'Prices&amp;Fuel'!G37)-AV37-AK37)/2,0)</f>
        <v>37844</v>
      </c>
      <c r="AP37" s="7" t="n">
        <f aca="false">IF(80000&gt;AF37,AF37,80000)</f>
        <v>80000</v>
      </c>
      <c r="AR37" s="7" t="n">
        <f aca="false">IF(AP37&gt;AF37,0,AF37-AM37-AP37)</f>
        <v>37827.0562828574</v>
      </c>
      <c r="AT37" s="14" t="n">
        <f aca="false">AH37-AO37-AV37</f>
        <v>37844.5205848416</v>
      </c>
      <c r="AU37" s="14" t="n">
        <f aca="false">AL37*AX37*'Prices&amp;Fuel'!H37</f>
        <v>0</v>
      </c>
      <c r="AV37" s="7" t="n">
        <f aca="false">(7748+42568)/31</f>
        <v>1623.09677419355</v>
      </c>
      <c r="AW37" s="68" t="n">
        <f aca="false">AW36</f>
        <v>0.12</v>
      </c>
      <c r="AX37" s="68" t="n">
        <f aca="false">AX36</f>
        <v>0.025</v>
      </c>
      <c r="AY37" s="5" t="n">
        <f aca="false">('Prices&amp;Fuel'!H37*('Prices&amp;Fuel'!B37+AW37)*'Long Term Deals'!AF37)+('Prices&amp;Fuel'!H37*('Prices&amp;Fuel'!C37+'Long Term Deals'!AW37)*'Long Term Deals'!AG37)+(AH37*('Prices&amp;Fuel'!C37+AW37)*'Prices&amp;Fuel'!H37)+(AW37*AL37*'Prices&amp;Fuel'!H37)</f>
        <v>32305700.4432533</v>
      </c>
      <c r="AZ37" s="5" t="n">
        <f aca="false">(AP37*'Prices&amp;Fuel'!H37*'Prices&amp;Fuel'!B37)+(AQ37*'Prices&amp;Fuel'!C37*'Prices&amp;Fuel'!H37)+((AM37+AR37)*('Prices&amp;Fuel'!B37+'Long Term Deals'!AX37)*'Prices&amp;Fuel'!H37)+((AN37+AS37)*('Prices&amp;Fuel'!C37+'Long Term Deals'!AX37)*'Prices&amp;Fuel'!H37)+((AO37+AT37)*('Prices&amp;Fuel'!D37+'Long Term Deals'!AX37)*'Prices&amp;Fuel'!H37)+(AV37*'Prices&amp;Fuel'!H37*'Prices&amp;Fuel'!Q37)+AU37</f>
        <v>31427166.5074714</v>
      </c>
      <c r="BA37" s="5" t="n">
        <f aca="false">AY37-AZ37</f>
        <v>878533.93578187</v>
      </c>
      <c r="BB37" s="5" t="n">
        <f aca="false">IF('FP Corp'!T37-((BE37+BF37+BG37)*(1-'Prices&amp;Fuel'!F37))&lt;'Prices&amp;Fuel'!R37,('FP Corp'!T37-(BE37+BF37+BG37)*(1-'Prices&amp;Fuel'!F37)),'Prices&amp;Fuel'!R37)/(1-'Prices&amp;Fuel'!F37)</f>
        <v>8999.07226059169</v>
      </c>
      <c r="BC37" s="9"/>
      <c r="BD37" s="9" t="n">
        <f aca="false">ROUND(IF('FP Corp'!T37/(1-'Prices&amp;Fuel'!F37)-BE37-BF37-BG37-BB37&gt;'Prices&amp;Fuel'!T37,'Prices&amp;Fuel'!T37,'FP Corp'!T37/(1-'Prices&amp;Fuel'!F37)-BE37-BF37-BG37-BB37),9)</f>
        <v>6572.518297083</v>
      </c>
      <c r="BE37" s="9" t="n">
        <f aca="false">'Prices&amp;Fuel'!U37/(1-'Prices&amp;Fuel'!F37)</f>
        <v>1937.94454179981</v>
      </c>
      <c r="BF37" s="9" t="n">
        <f aca="false">('Prices&amp;Fuel'!V37+'Prices&amp;Fuel'!X37)/(1-'Prices&amp;Fuel'!F37)</f>
        <v>3069.78661993609</v>
      </c>
      <c r="BG37" s="9" t="n">
        <f aca="false">'Prices&amp;Fuel'!W37/(1-'Prices&amp;Fuel'!F37)</f>
        <v>1067.93114111947</v>
      </c>
      <c r="BH37" s="10" t="n">
        <f aca="false">('Prices&amp;Fuel'!C37+'Prices&amp;Fuel'!D37)/2-0.05+('Prices&amp;Fuel'!M37+'Prices&amp;Fuel'!P37)*(1-'Prices&amp;Fuel'!F37)</f>
        <v>5.07516239</v>
      </c>
      <c r="BI37" s="9" t="n">
        <f aca="false">IF(AP37=80000,0,BB37)</f>
        <v>0</v>
      </c>
      <c r="BJ37" s="9"/>
      <c r="BK37" s="10" t="n">
        <f aca="false">(((BB37+BE37)*('Prices&amp;Fuel'!B37+0.025))+(('Prices&amp;Fuel'!D37+0.025)*(BD37+BG37))+(('Prices&amp;Fuel'!C37+0.025)*(BC37+BF37))-(BI37+BJ37)*0.025)/(BB37+BC37+BD37+BE37+BF37+BG37)</f>
        <v>4.36714285714286</v>
      </c>
      <c r="BL37" s="9" t="n">
        <f aca="false">(BB37+BC37+BD37+BE37+BF37+BG37)*BH37*'Prices&amp;Fuel'!H37</f>
        <v>3405763.03050205</v>
      </c>
      <c r="BM37" s="9" t="n">
        <f aca="false">'Prices&amp;Fuel'!X37*('Prices&amp;Fuel'!N37+'Prices&amp;Fuel'!O37)*'Prices&amp;Fuel'!H37</f>
        <v>8846.0794</v>
      </c>
      <c r="BN37" s="9" t="n">
        <f aca="false">('Prices&amp;Fuel'!U37+'Prices&amp;Fuel'!V37+'Prices&amp;Fuel'!W37)*('Prices&amp;Fuel'!L37+'Prices&amp;Fuel'!O37)*'Prices&amp;Fuel'!H37</f>
        <v>67491.8298</v>
      </c>
      <c r="BO37" s="9" t="n">
        <f aca="false">((BB37+BC37+BD37)*(1-'Prices&amp;Fuel'!G37))*('Prices&amp;Fuel'!M37+'Prices&amp;Fuel'!P37)*'Prices&amp;Fuel'!H37</f>
        <v>371772.255400005</v>
      </c>
      <c r="BP37" s="9" t="n">
        <f aca="false">((BD37+BC37+BB37+BE37+BF37+BG37)*BK37*'Prices&amp;Fuel'!H37)+BM37+BN37+BO37</f>
        <v>3378746.18150551</v>
      </c>
      <c r="BQ37" s="5" t="n">
        <f aca="false">BL37-BP37</f>
        <v>27016.8489965368</v>
      </c>
      <c r="BZ37" s="14"/>
      <c r="CA37" s="5" t="n">
        <f aca="false">(AF37+AG37+AH37+AL37)*0.005*'Prices&amp;Fuel'!H37</f>
        <v>36109.6794144934</v>
      </c>
      <c r="CB37" s="5" t="n">
        <f aca="false">(B37+C37+D37+O37+P37+Q37+X37+Y37+BB37+BC37+BD37+BE37+BF37+BG37+BR37+BS37)*0.005*'Prices&amp;Fuel'!H37</f>
        <v>8330.82419338216</v>
      </c>
      <c r="CC37" s="7" t="n">
        <f aca="false">K37+T37+AB37+AY37+BL37+BX37</f>
        <v>37971179.3337553</v>
      </c>
      <c r="CD37" s="7" t="n">
        <f aca="false">L37+U37+AC37+AZ37+BP37+BY37+CA37+CB37</f>
        <v>37096936.5225848</v>
      </c>
      <c r="CE37" s="7" t="n">
        <f aca="false">CC37-CD37</f>
        <v>874242.811170526</v>
      </c>
      <c r="CF37" s="7" t="n">
        <f aca="false">'Index Price Deals'!AR37</f>
        <v>0</v>
      </c>
      <c r="CG37" s="7" t="n">
        <f aca="false">'Index Price Deals'!AS37</f>
        <v>0</v>
      </c>
      <c r="CH37" s="7" t="n">
        <f aca="false">'Index Price Deals'!AT37</f>
        <v>0</v>
      </c>
      <c r="CI37" s="7" t="n">
        <f aca="false">'Index Price Deals'!AU37</f>
        <v>0</v>
      </c>
      <c r="CJ37" s="7" t="n">
        <f aca="false">CC37+CF37</f>
        <v>37971179.3337553</v>
      </c>
      <c r="CK37" s="7" t="n">
        <f aca="false">CD37+CH37</f>
        <v>37096936.5225848</v>
      </c>
      <c r="CL37" s="7" t="n">
        <f aca="false">CE37+CI37</f>
        <v>874242.811170526</v>
      </c>
      <c r="CM37" s="69"/>
      <c r="CN37" s="7" t="n">
        <f aca="false">Transport!U37</f>
        <v>473883.037599995</v>
      </c>
      <c r="CO37" s="71" t="n">
        <f aca="false">[4]Sheet1!$AL78</f>
        <v>762567.143039026</v>
      </c>
      <c r="CQ37" s="7" t="n">
        <f aca="false">(((($B37+$C37+$D37+$O37+$P37+$Q37)*0.5)+BR37+BS37)*(0.005*'Prices&amp;Fuel'!$H37)+'Index Price Deals'!AV37)+(((BB37+BC37+BD37+BE37+BF37+BG37)*(1-'Prices&amp;Fuel'!F37))*0.005*0.5*'Prices&amp;Fuel'!H37)</f>
        <v>3572.75000000002</v>
      </c>
      <c r="CR37" s="7" t="n">
        <f aca="false">(((($B37+$C37+$D37+$O37+$P37+$Q37)*0.5)+X37+Y37)*(0.005*'Prices&amp;Fuel'!$H37)+CA37+'Index Price Deals'!AW37)+(((BB37+BC37+BD37+BE37+BF37+BG37)*(1-'Prices&amp;Fuel'!F37))*0.005*0.5*'Prices&amp;Fuel'!H37)</f>
        <v>40767.4294144934</v>
      </c>
      <c r="CS37" s="11" t="n">
        <f aca="false">'Short Term Firm For Budget'!E37</f>
        <v>166512.779999998</v>
      </c>
      <c r="CT37" s="7" t="n">
        <f aca="false">[2]Sheet1!$O48</f>
        <v>192122.63208919</v>
      </c>
      <c r="CU37" s="7" t="n">
        <f aca="false">'[3]Long Term Deals'!$Z36</f>
        <v>-43972.9018835931</v>
      </c>
      <c r="CV37" s="70" t="n">
        <f aca="false">CL37-CN37-CT37+CU37+CS37+CO37</f>
        <v>1093344.16263677</v>
      </c>
      <c r="CW37" s="14" t="n">
        <f aca="false">((B37+C37+D37+O37+P37+Q37+X37+Y37+AF37+AG37+AH37+BB37+BC37+BD37+BE37+BF37+BG37+BR37+BS37)+('Index Price Deals'!B37+'Index Price Deals'!C37+'Index Price Deals'!D37+'Index Price Deals'!L37+'Index Price Deals'!M37+'Index Price Deals'!N37+'Index Price Deals'!AD37+'Index Price Deals'!AE37+'Index Price Deals'!AF37+'Index Price Deals'!AK37+'Index Price Deals'!AL37+'Index Price Deals'!AM37))*'Prices&amp;Fuel'!H37</f>
        <v>8888100.7215751</v>
      </c>
      <c r="CX37" s="12" t="n">
        <f aca="false">BQ37/(BB37+BC37+BD37+BE37+BF37+BG37)/'Prices&amp;Fuel'!H37</f>
        <v>0.0402596700638097</v>
      </c>
      <c r="CZ37" s="13" t="n">
        <f aca="false">(BA37-CT37+CU37)/(AF37+AG37+AH37)/'Prices&amp;Fuel'!H37</f>
        <v>0.0889565363395654</v>
      </c>
      <c r="DB37" s="1" t="n">
        <f aca="false">(O37+P37+Q37)*'Prices&amp;Fuel'!$H37</f>
        <v>778100</v>
      </c>
      <c r="DC37" s="1" t="n">
        <f aca="false">(X37+Y37)*'Prices&amp;Fuel'!$H37</f>
        <v>217000</v>
      </c>
      <c r="DE37" s="1" t="n">
        <v>226000</v>
      </c>
    </row>
    <row r="38" customFormat="false" ht="12.75" hidden="false" customHeight="false" outlineLevel="0" collapsed="false">
      <c r="A38" s="6" t="n">
        <f aca="false">+A37+365/12</f>
        <v>36752.75</v>
      </c>
      <c r="O38" s="7" t="n">
        <v>9036</v>
      </c>
      <c r="P38" s="7" t="n">
        <v>10794</v>
      </c>
      <c r="Q38" s="7" t="n">
        <v>5270</v>
      </c>
      <c r="R38" s="8" t="n">
        <f aca="false">R37</f>
        <v>2.2906</v>
      </c>
      <c r="S38" s="8" t="n">
        <f aca="false">S37</f>
        <v>2.2793</v>
      </c>
      <c r="T38" s="7" t="n">
        <f aca="false">(($O38*R38)+($P38*R38)+($Q38*R38))*'Prices&amp;Fuel'!$H38</f>
        <v>1782315.86</v>
      </c>
      <c r="U38" s="7" t="n">
        <f aca="false">(($O38*S38)+($P38*S38)+($Q38*S38))*'Prices&amp;Fuel'!$H38</f>
        <v>1773523.33</v>
      </c>
      <c r="V38" s="14" t="n">
        <f aca="false">T38-U38</f>
        <v>8792.5299999998</v>
      </c>
      <c r="X38" s="7" t="n">
        <f aca="false">7000*0.5</f>
        <v>3500</v>
      </c>
      <c r="Y38" s="7" t="n">
        <f aca="false">X38</f>
        <v>3500</v>
      </c>
      <c r="Z38" s="27" t="n">
        <v>2.2</v>
      </c>
      <c r="AA38" s="27" t="n">
        <v>2.18</v>
      </c>
      <c r="AB38" s="7" t="n">
        <f aca="false">($X38+$Y38)*Z38*'Prices&amp;Fuel'!$H38</f>
        <v>477400</v>
      </c>
      <c r="AC38" s="7" t="n">
        <f aca="false">($X38+$Y38)*AA38*'Prices&amp;Fuel'!$H38</f>
        <v>473060</v>
      </c>
      <c r="AD38" s="14" t="n">
        <f aca="false">AB38-AC38</f>
        <v>4340</v>
      </c>
      <c r="AF38" s="7" t="n">
        <f aca="false">((126000)/(1-'Prices&amp;Fuel'!F38))+(25000/(1-'Prices&amp;Fuel'!G38))-AI38</f>
        <v>155654.056282857</v>
      </c>
      <c r="AG38" s="7" t="n">
        <v>0</v>
      </c>
      <c r="AH38" s="7" t="n">
        <f aca="false">(75000/(1-'Prices&amp;Fuel'!G38))-AK38</f>
        <v>77311.6173590352</v>
      </c>
      <c r="AI38" s="7"/>
      <c r="AJ38" s="7"/>
      <c r="AK38" s="7"/>
      <c r="AL38" s="11" t="n">
        <f aca="false">ROUND((226000/(1-'Prices&amp;Fuel'!F38))-AF38-AG38-AH38,0)</f>
        <v>0</v>
      </c>
      <c r="AM38" s="7" t="n">
        <f aca="false">ROUND(IF(AF38&lt;AP38,0,(AF38-AP38-AI38)/2),0)</f>
        <v>37827</v>
      </c>
      <c r="AO38" s="7" t="n">
        <f aca="false">ROUND((75000/(1-'Prices&amp;Fuel'!G38)-AV38-AK38)/2,0)</f>
        <v>37860</v>
      </c>
      <c r="AP38" s="7" t="n">
        <f aca="false">IF(80000&gt;AF38,AF38,80000)</f>
        <v>80000</v>
      </c>
      <c r="AR38" s="7" t="n">
        <f aca="false">IF(AP38&gt;AF38,0,AF38-AM38-AP38)</f>
        <v>37827.0562828574</v>
      </c>
      <c r="AT38" s="14" t="n">
        <f aca="false">AH38-AO38-AV38</f>
        <v>37859.9399396803</v>
      </c>
      <c r="AU38" s="14" t="n">
        <f aca="false">AL38*AX38*'Prices&amp;Fuel'!H38</f>
        <v>0</v>
      </c>
      <c r="AV38" s="7" t="n">
        <f aca="false">(6188+43154)/31</f>
        <v>1591.67741935484</v>
      </c>
      <c r="AW38" s="68" t="n">
        <f aca="false">AW37</f>
        <v>0.12</v>
      </c>
      <c r="AX38" s="68" t="n">
        <f aca="false">AX37</f>
        <v>0.025</v>
      </c>
      <c r="AY38" s="5" t="n">
        <f aca="false">('Prices&amp;Fuel'!H38*('Prices&amp;Fuel'!B38+AW38)*'Long Term Deals'!AF38)+('Prices&amp;Fuel'!H38*('Prices&amp;Fuel'!C38+'Long Term Deals'!AW38)*'Long Term Deals'!AG38)+(AH38*('Prices&amp;Fuel'!C38+AW38)*'Prices&amp;Fuel'!H38)+(AW38*AL38*'Prices&amp;Fuel'!H38)</f>
        <v>28405855.066488</v>
      </c>
      <c r="AZ38" s="5" t="n">
        <f aca="false">(AP38*'Prices&amp;Fuel'!H38*'Prices&amp;Fuel'!B38)+(AQ38*'Prices&amp;Fuel'!C38*'Prices&amp;Fuel'!H38)+((AM38+AR38)*('Prices&amp;Fuel'!B38+'Long Term Deals'!AX38)*'Prices&amp;Fuel'!H38)+((AN38+AS38)*('Prices&amp;Fuel'!C38+'Long Term Deals'!AX38)*'Prices&amp;Fuel'!H38)+((AO38+AT38)*('Prices&amp;Fuel'!D38+'Long Term Deals'!AX38)*'Prices&amp;Fuel'!H38)+(AV38*'Prices&amp;Fuel'!H38*'Prices&amp;Fuel'!Q38)+AU38</f>
        <v>27533505.4007061</v>
      </c>
      <c r="BA38" s="5" t="n">
        <f aca="false">AY38-AZ38</f>
        <v>872349.665781882</v>
      </c>
      <c r="BB38" s="5" t="n">
        <f aca="false">IF('FP Corp'!T38-((BE38+BF38+BG38)*(1-'Prices&amp;Fuel'!F38))&lt;'Prices&amp;Fuel'!R38,('FP Corp'!T38-(BE38+BF38+BG38)*(1-'Prices&amp;Fuel'!F38)),'Prices&amp;Fuel'!R38)/(1-'Prices&amp;Fuel'!F38)</f>
        <v>8999.07226059169</v>
      </c>
      <c r="BC38" s="9"/>
      <c r="BD38" s="9" t="n">
        <f aca="false">ROUND(IF('FP Corp'!T38/(1-'Prices&amp;Fuel'!F38)-BE38-BF38-BG38-BB38&gt;'Prices&amp;Fuel'!T38,'Prices&amp;Fuel'!T38,'FP Corp'!T38/(1-'Prices&amp;Fuel'!F38)-BE38-BF38-BG38-BB38),9)</f>
        <v>6572.518297083</v>
      </c>
      <c r="BE38" s="9" t="n">
        <f aca="false">'Prices&amp;Fuel'!U38/(1-'Prices&amp;Fuel'!F38)</f>
        <v>1937.94454179981</v>
      </c>
      <c r="BF38" s="9" t="n">
        <f aca="false">('Prices&amp;Fuel'!V38+'Prices&amp;Fuel'!X38)/(1-'Prices&amp;Fuel'!F38)</f>
        <v>3069.78661993609</v>
      </c>
      <c r="BG38" s="9" t="n">
        <f aca="false">'Prices&amp;Fuel'!W38/(1-'Prices&amp;Fuel'!F38)</f>
        <v>1067.93114111947</v>
      </c>
      <c r="BH38" s="10" t="n">
        <f aca="false">('Prices&amp;Fuel'!C38+'Prices&amp;Fuel'!D38)/2-0.05+('Prices&amp;Fuel'!M38+'Prices&amp;Fuel'!P38)*(1-'Prices&amp;Fuel'!F38)</f>
        <v>4.53516239</v>
      </c>
      <c r="BI38" s="9" t="n">
        <f aca="false">IF(AP38=80000,0,BB38)</f>
        <v>0</v>
      </c>
      <c r="BJ38" s="9"/>
      <c r="BK38" s="10" t="n">
        <f aca="false">(((BB38+BE38)*('Prices&amp;Fuel'!B38+0.025))+(('Prices&amp;Fuel'!D38+0.025)*(BD38+BG38))+(('Prices&amp;Fuel'!C38+0.025)*(BC38+BF38))-(BI38+BJ38)*0.025)/(BB38+BC38+BD38+BE38+BF38+BG38)</f>
        <v>3.82714285714286</v>
      </c>
      <c r="BL38" s="9" t="n">
        <f aca="false">(BB38+BC38+BD38+BE38+BF38+BG38)*BH38*'Prices&amp;Fuel'!H38</f>
        <v>3043388.01761677</v>
      </c>
      <c r="BM38" s="9" t="n">
        <f aca="false">'Prices&amp;Fuel'!X38*('Prices&amp;Fuel'!N38+'Prices&amp;Fuel'!O38)*'Prices&amp;Fuel'!H38</f>
        <v>8846.0794</v>
      </c>
      <c r="BN38" s="9" t="n">
        <f aca="false">('Prices&amp;Fuel'!U38+'Prices&amp;Fuel'!V38+'Prices&amp;Fuel'!W38)*('Prices&amp;Fuel'!L38+'Prices&amp;Fuel'!O38)*'Prices&amp;Fuel'!H38</f>
        <v>67491.8298</v>
      </c>
      <c r="BO38" s="9" t="n">
        <f aca="false">((BB38+BC38+BD38)*(1-'Prices&amp;Fuel'!G38))*('Prices&amp;Fuel'!M38+'Prices&amp;Fuel'!P38)*'Prices&amp;Fuel'!H38</f>
        <v>371772.255400005</v>
      </c>
      <c r="BP38" s="9" t="n">
        <f aca="false">((BD38+BC38+BB38+BE38+BF38+BG38)*BK38*'Prices&amp;Fuel'!H38)+BM38+BN38+BO38</f>
        <v>3016371.16862024</v>
      </c>
      <c r="BQ38" s="5" t="n">
        <f aca="false">BL38-BP38</f>
        <v>27016.8489965363</v>
      </c>
      <c r="BZ38" s="14"/>
      <c r="CA38" s="5" t="n">
        <f aca="false">(AF38+AG38+AH38+AL38)*0.005*'Prices&amp;Fuel'!H38</f>
        <v>36109.6794144934</v>
      </c>
      <c r="CB38" s="5" t="n">
        <f aca="false">(B38+C38+D38+O38+P38+Q38+X38+Y38+BB38+BC38+BD38+BE38+BF38+BG38+BR38+BS38)*0.005*'Prices&amp;Fuel'!H38</f>
        <v>8330.82419338216</v>
      </c>
      <c r="CC38" s="7" t="n">
        <f aca="false">K38+T38+AB38+AY38+BL38+BX38</f>
        <v>33708958.9441048</v>
      </c>
      <c r="CD38" s="7" t="n">
        <f aca="false">L38+U38+AC38+AZ38+BP38+BY38+CA38+CB38</f>
        <v>32840900.4029342</v>
      </c>
      <c r="CE38" s="7" t="n">
        <f aca="false">CC38-CD38</f>
        <v>868058.541170541</v>
      </c>
      <c r="CF38" s="7" t="n">
        <f aca="false">'Index Price Deals'!AR38</f>
        <v>0</v>
      </c>
      <c r="CG38" s="7" t="n">
        <f aca="false">'Index Price Deals'!AS38</f>
        <v>0</v>
      </c>
      <c r="CH38" s="7" t="n">
        <f aca="false">'Index Price Deals'!AT38</f>
        <v>0</v>
      </c>
      <c r="CI38" s="7" t="n">
        <f aca="false">'Index Price Deals'!AU38</f>
        <v>0</v>
      </c>
      <c r="CJ38" s="7" t="n">
        <f aca="false">CC38+CF38</f>
        <v>33708958.9441048</v>
      </c>
      <c r="CK38" s="7" t="n">
        <f aca="false">CD38+CH38</f>
        <v>32840900.4029342</v>
      </c>
      <c r="CL38" s="7" t="n">
        <f aca="false">CE38+CI38</f>
        <v>868058.541170541</v>
      </c>
      <c r="CM38" s="69"/>
      <c r="CN38" s="7" t="n">
        <f aca="false">Transport!U38</f>
        <v>473883.037599995</v>
      </c>
      <c r="CO38" s="71" t="n">
        <f aca="false">[4]Sheet1!$AL79</f>
        <v>762567.143039026</v>
      </c>
      <c r="CQ38" s="7" t="n">
        <f aca="false">(((($B38+$C38+$D38+$O38+$P38+$Q38)*0.5)+BR38+BS38)*(0.005*'Prices&amp;Fuel'!$H38)+'Index Price Deals'!AV38)+(((BB38+BC38+BD38+BE38+BF38+BG38)*(1-'Prices&amp;Fuel'!F38))*0.005*0.5*'Prices&amp;Fuel'!H38)</f>
        <v>3572.75000000002</v>
      </c>
      <c r="CR38" s="7" t="n">
        <f aca="false">(((($B38+$C38+$D38+$O38+$P38+$Q38)*0.5)+X38+Y38)*(0.005*'Prices&amp;Fuel'!$H38)+CA38+'Index Price Deals'!AW38)+(((BB38+BC38+BD38+BE38+BF38+BG38)*(1-'Prices&amp;Fuel'!F38))*0.005*0.5*'Prices&amp;Fuel'!H38)</f>
        <v>40767.4294144934</v>
      </c>
      <c r="CS38" s="11" t="n">
        <f aca="false">'Short Term Firm For Budget'!E38</f>
        <v>166512.779999998</v>
      </c>
      <c r="CT38" s="7" t="n">
        <f aca="false">[2]Sheet1!$O49</f>
        <v>192122.63208919</v>
      </c>
      <c r="CU38" s="7" t="n">
        <f aca="false">'[3]Long Term Deals'!$Z37</f>
        <v>-43972.9018835931</v>
      </c>
      <c r="CV38" s="70" t="n">
        <f aca="false">CL38-CN38-CT38+CU38+CS38+CO38</f>
        <v>1087159.89263679</v>
      </c>
      <c r="CW38" s="14" t="n">
        <f aca="false">((B38+C38+D38+O38+P38+Q38+X38+Y38+AF38+AG38+AH38+BB38+BC38+BD38+BE38+BF38+BG38+BR38+BS38)+('Index Price Deals'!B38+'Index Price Deals'!C38+'Index Price Deals'!D38+'Index Price Deals'!L38+'Index Price Deals'!M38+'Index Price Deals'!N38+'Index Price Deals'!AD38+'Index Price Deals'!AE38+'Index Price Deals'!AF38+'Index Price Deals'!AK38+'Index Price Deals'!AL38+'Index Price Deals'!AM38))*'Prices&amp;Fuel'!H38</f>
        <v>8888100.7215751</v>
      </c>
      <c r="CX38" s="12" t="n">
        <f aca="false">BQ38/(BB38+BC38+BD38+BE38+BF38+BG38)/'Prices&amp;Fuel'!H38</f>
        <v>0.040259670063809</v>
      </c>
      <c r="CZ38" s="13" t="n">
        <f aca="false">(BA38-CT38+CU38)/(AF38+AG38+AH38)/'Prices&amp;Fuel'!H38</f>
        <v>0.0881002188507003</v>
      </c>
      <c r="DB38" s="1" t="n">
        <f aca="false">(O38+P38+Q38)*'Prices&amp;Fuel'!$H38</f>
        <v>778100</v>
      </c>
      <c r="DC38" s="1" t="n">
        <f aca="false">(X38+Y38)*'Prices&amp;Fuel'!$H38</f>
        <v>217000</v>
      </c>
      <c r="DE38" s="1" t="n">
        <v>226000</v>
      </c>
    </row>
    <row r="39" customFormat="false" ht="12.75" hidden="false" customHeight="false" outlineLevel="0" collapsed="false">
      <c r="A39" s="6" t="n">
        <f aca="false">+A38+365/12</f>
        <v>36783.1666666667</v>
      </c>
      <c r="O39" s="7" t="n">
        <v>9036</v>
      </c>
      <c r="P39" s="7" t="n">
        <v>10794</v>
      </c>
      <c r="Q39" s="7" t="n">
        <v>5270</v>
      </c>
      <c r="R39" s="8" t="n">
        <f aca="false">R38</f>
        <v>2.2906</v>
      </c>
      <c r="S39" s="8" t="n">
        <f aca="false">S38</f>
        <v>2.2793</v>
      </c>
      <c r="T39" s="7" t="n">
        <f aca="false">(($O39*R39)+($P39*R39)+($Q39*R39))*'Prices&amp;Fuel'!$H39</f>
        <v>1724821.8</v>
      </c>
      <c r="U39" s="7" t="n">
        <f aca="false">(($O39*S39)+($P39*S39)+($Q39*S39))*'Prices&amp;Fuel'!$H39</f>
        <v>1716312.9</v>
      </c>
      <c r="V39" s="14" t="n">
        <f aca="false">T39-U39</f>
        <v>8508.89999999991</v>
      </c>
      <c r="X39" s="7" t="n">
        <f aca="false">7000*0.5</f>
        <v>3500</v>
      </c>
      <c r="Y39" s="7" t="n">
        <f aca="false">X39</f>
        <v>3500</v>
      </c>
      <c r="Z39" s="27" t="n">
        <v>2.2</v>
      </c>
      <c r="AA39" s="27" t="n">
        <v>2.18</v>
      </c>
      <c r="AB39" s="7" t="n">
        <f aca="false">($X39+$Y39)*Z39*'Prices&amp;Fuel'!$H39</f>
        <v>462000</v>
      </c>
      <c r="AC39" s="7" t="n">
        <f aca="false">($X39+$Y39)*AA39*'Prices&amp;Fuel'!$H39</f>
        <v>457800</v>
      </c>
      <c r="AD39" s="14" t="n">
        <f aca="false">AB39-AC39</f>
        <v>4200</v>
      </c>
      <c r="AF39" s="7" t="n">
        <f aca="false">((126000)/(1-'Prices&amp;Fuel'!F39))+(25000/(1-'Prices&amp;Fuel'!G39))-AI39</f>
        <v>155654.056282857</v>
      </c>
      <c r="AG39" s="7" t="n">
        <v>0</v>
      </c>
      <c r="AH39" s="7" t="n">
        <f aca="false">(75000/(1-'Prices&amp;Fuel'!G39))-AK39</f>
        <v>77311.6173590352</v>
      </c>
      <c r="AI39" s="7"/>
      <c r="AJ39" s="7"/>
      <c r="AK39" s="7"/>
      <c r="AL39" s="11" t="n">
        <f aca="false">ROUND((226000/(1-'Prices&amp;Fuel'!F39))-AF39-AG39-AH39,0)</f>
        <v>0</v>
      </c>
      <c r="AM39" s="7" t="n">
        <f aca="false">ROUND(IF(AF39&lt;AP39,0,(AF39-AP39-AI39)/2),0)</f>
        <v>37827</v>
      </c>
      <c r="AO39" s="7" t="n">
        <f aca="false">ROUND((75000/(1-'Prices&amp;Fuel'!G39)-AV39-AK39)/2,0)</f>
        <v>37879</v>
      </c>
      <c r="AP39" s="7" t="n">
        <f aca="false">IF(80000&gt;AF39,AF39,80000)</f>
        <v>80000</v>
      </c>
      <c r="AR39" s="7" t="n">
        <f aca="false">IF(AP39&gt;AF39,0,AF39-AM39-AP39)</f>
        <v>37827.0562828574</v>
      </c>
      <c r="AT39" s="14" t="n">
        <f aca="false">AH39-AO39-AV39</f>
        <v>37878.0173590352</v>
      </c>
      <c r="AU39" s="14" t="n">
        <f aca="false">AL39*AX39*'Prices&amp;Fuel'!H39</f>
        <v>0</v>
      </c>
      <c r="AV39" s="7" t="n">
        <f aca="false">(6000+40638)/30</f>
        <v>1554.6</v>
      </c>
      <c r="AW39" s="68" t="n">
        <f aca="false">AW38</f>
        <v>0.12</v>
      </c>
      <c r="AX39" s="68" t="n">
        <f aca="false">AX38</f>
        <v>0.025</v>
      </c>
      <c r="AY39" s="5" t="n">
        <f aca="false">('Prices&amp;Fuel'!H39*('Prices&amp;Fuel'!B39+AW39)*'Long Term Deals'!AF39)+('Prices&amp;Fuel'!H39*('Prices&amp;Fuel'!C39+'Long Term Deals'!AW39)*'Long Term Deals'!AG39)+(AH39*('Prices&amp;Fuel'!C39+AW39)*'Prices&amp;Fuel'!H39)+(AW39*AL39*'Prices&amp;Fuel'!H39)</f>
        <v>32917740.43913</v>
      </c>
      <c r="AZ39" s="5" t="n">
        <f aca="false">(AP39*'Prices&amp;Fuel'!H39*'Prices&amp;Fuel'!B39)+(AQ39*'Prices&amp;Fuel'!C39*'Prices&amp;Fuel'!H39)+((AM39+AR39)*('Prices&amp;Fuel'!B39+'Long Term Deals'!AX39)*'Prices&amp;Fuel'!H39)+((AN39+AS39)*('Prices&amp;Fuel'!C39+'Long Term Deals'!AX39)*'Prices&amp;Fuel'!H39)+((AO39+AT39)*('Prices&amp;Fuel'!D39+'Long Term Deals'!AX39)*'Prices&amp;Fuel'!H39)+(AV39*'Prices&amp;Fuel'!H39*'Prices&amp;Fuel'!Q39)+AU39</f>
        <v>32117383.0836275</v>
      </c>
      <c r="BA39" s="5" t="n">
        <f aca="false">AY39-AZ39</f>
        <v>800357.355502524</v>
      </c>
      <c r="BB39" s="5" t="n">
        <f aca="false">IF('FP Corp'!T39-((BE39+BF39+BG39)*(1-'Prices&amp;Fuel'!F39))&lt;'Prices&amp;Fuel'!R39,('FP Corp'!T39-(BE39+BF39+BG39)*(1-'Prices&amp;Fuel'!F39)),'Prices&amp;Fuel'!R39)/(1-'Prices&amp;Fuel'!F39)</f>
        <v>8999.07226059169</v>
      </c>
      <c r="BC39" s="9"/>
      <c r="BD39" s="9" t="n">
        <f aca="false">ROUND(IF('FP Corp'!T39/(1-'Prices&amp;Fuel'!F39)-BE39-BF39-BG39-BB39&gt;'Prices&amp;Fuel'!T39,'Prices&amp;Fuel'!T39,'FP Corp'!T39/(1-'Prices&amp;Fuel'!F39)-BE39-BF39-BG39-BB39),9)</f>
        <v>6572.518297083</v>
      </c>
      <c r="BE39" s="9" t="n">
        <f aca="false">'Prices&amp;Fuel'!U39/(1-'Prices&amp;Fuel'!F39)</f>
        <v>1937.94454179981</v>
      </c>
      <c r="BF39" s="9" t="n">
        <f aca="false">('Prices&amp;Fuel'!V39+'Prices&amp;Fuel'!X39)/(1-'Prices&amp;Fuel'!F39)</f>
        <v>3069.78661993609</v>
      </c>
      <c r="BG39" s="9" t="n">
        <f aca="false">'Prices&amp;Fuel'!W39/(1-'Prices&amp;Fuel'!F39)</f>
        <v>1067.93114111947</v>
      </c>
      <c r="BH39" s="10" t="n">
        <f aca="false">('Prices&amp;Fuel'!C39+'Prices&amp;Fuel'!D39)/2-0.05+('Prices&amp;Fuel'!M39+'Prices&amp;Fuel'!P39)*(1-'Prices&amp;Fuel'!F39)</f>
        <v>5.32020691</v>
      </c>
      <c r="BI39" s="9" t="n">
        <f aca="false">IF(AP39=80000,0,BB39)</f>
        <v>0</v>
      </c>
      <c r="BJ39" s="9"/>
      <c r="BK39" s="10" t="n">
        <f aca="false">(((BB39+BE39)*('Prices&amp;Fuel'!B39+0.025))+(('Prices&amp;Fuel'!D39+0.025)*(BD39+BG39))+(('Prices&amp;Fuel'!C39+0.025)*(BC39+BF39))-(BI39+BJ39)*0.025)/(BB39+BC39+BD39+BE39+BF39+BG39)</f>
        <v>4.60925428571429</v>
      </c>
      <c r="BL39" s="9" t="n">
        <f aca="false">(BB39+BC39+BD39+BE39+BF39+BG39)*BH39*'Prices&amp;Fuel'!H39</f>
        <v>3455035.92753328</v>
      </c>
      <c r="BM39" s="9" t="n">
        <f aca="false">'Prices&amp;Fuel'!X39*('Prices&amp;Fuel'!N39+'Prices&amp;Fuel'!O39)*'Prices&amp;Fuel'!H39</f>
        <v>8667.27</v>
      </c>
      <c r="BN39" s="9" t="n">
        <f aca="false">('Prices&amp;Fuel'!U39+'Prices&amp;Fuel'!V39+'Prices&amp;Fuel'!W39)*('Prices&amp;Fuel'!L39+'Prices&amp;Fuel'!O39)*'Prices&amp;Fuel'!H39</f>
        <v>66127.59</v>
      </c>
      <c r="BO39" s="9" t="n">
        <f aca="false">((BB39+BC39+BD39)*(1-'Prices&amp;Fuel'!G39))*('Prices&amp;Fuel'!M39+'Prices&amp;Fuel'!P39)*'Prices&amp;Fuel'!H39</f>
        <v>362136.138000005</v>
      </c>
      <c r="BP39" s="9" t="n">
        <f aca="false">((BD39+BC39+BB39+BE39+BF39+BG39)*BK39*'Prices&amp;Fuel'!H39)+BM39+BN39+BO39</f>
        <v>3430261.78864018</v>
      </c>
      <c r="BQ39" s="5" t="n">
        <f aca="false">BL39-BP39</f>
        <v>24774.1388931037</v>
      </c>
      <c r="CA39" s="5" t="n">
        <f aca="false">(AF39+AG39+AH39+AL39)*0.005*'Prices&amp;Fuel'!H39</f>
        <v>34944.8510462839</v>
      </c>
      <c r="CB39" s="5" t="n">
        <f aca="false">(B39+C39+D39+O39+P39+Q39+X39+Y39+BB39+BC39+BD39+BE39+BF39+BG39+BR39+BS39)*0.005*'Prices&amp;Fuel'!H39</f>
        <v>8062.08792907951</v>
      </c>
      <c r="CC39" s="7" t="n">
        <f aca="false">K39+T39+AB39+AY39+BL39+BX39</f>
        <v>38559598.1666633</v>
      </c>
      <c r="CD39" s="7" t="n">
        <f aca="false">L39+U39+AC39+AZ39+BP39+BY39+CA39+CB39</f>
        <v>37764764.711243</v>
      </c>
      <c r="CE39" s="7" t="n">
        <f aca="false">CC39-CD39</f>
        <v>794833.455420263</v>
      </c>
      <c r="CF39" s="7" t="n">
        <f aca="false">'Index Price Deals'!AR39</f>
        <v>0</v>
      </c>
      <c r="CG39" s="7" t="n">
        <f aca="false">'Index Price Deals'!AS39</f>
        <v>0</v>
      </c>
      <c r="CH39" s="7" t="n">
        <f aca="false">'Index Price Deals'!AT39</f>
        <v>0</v>
      </c>
      <c r="CI39" s="7" t="n">
        <f aca="false">'Index Price Deals'!AU39</f>
        <v>0</v>
      </c>
      <c r="CJ39" s="7" t="n">
        <f aca="false">CC39+CF39</f>
        <v>38559598.1666633</v>
      </c>
      <c r="CK39" s="7" t="n">
        <f aca="false">CD39+CH39</f>
        <v>37764764.711243</v>
      </c>
      <c r="CL39" s="7" t="n">
        <f aca="false">CE39+CI39</f>
        <v>794833.455420263</v>
      </c>
      <c r="CM39" s="69"/>
      <c r="CN39" s="7" t="n">
        <f aca="false">Transport!U39</f>
        <v>458596.487999995</v>
      </c>
      <c r="CO39" s="71" t="n">
        <f aca="false">[4]Sheet1!$AL80</f>
        <v>737968.202940993</v>
      </c>
      <c r="CQ39" s="7" t="n">
        <f aca="false">(((($B39+$C39+$D39+$O39+$P39+$Q39)*0.5)+BR39+BS39)*(0.005*'Prices&amp;Fuel'!$H39)+'Index Price Deals'!AV39)+(((BB39+BC39+BD39+BE39+BF39+BG39)*(1-'Prices&amp;Fuel'!F39))*0.005*0.5*'Prices&amp;Fuel'!H39)</f>
        <v>3457.50000000002</v>
      </c>
      <c r="CR39" s="7" t="n">
        <f aca="false">(((($B39+$C39+$D39+$O39+$P39+$Q39)*0.5)+X39+Y39)*(0.005*'Prices&amp;Fuel'!$H39)+CA39+'Index Price Deals'!AW39)+(((BB39+BC39+BD39+BE39+BF39+BG39)*(1-'Prices&amp;Fuel'!F39))*0.005*0.5*'Prices&amp;Fuel'!H39)</f>
        <v>39452.3510462839</v>
      </c>
      <c r="CS39" s="11" t="n">
        <f aca="false">'Short Term Firm For Budget'!E39</f>
        <v>161141.399999998</v>
      </c>
      <c r="CT39" s="7" t="n">
        <f aca="false">[2]Sheet1!$O50</f>
        <v>185925.127828249</v>
      </c>
      <c r="CU39" s="7" t="n">
        <f aca="false">'[3]Long Term Deals'!$Z38</f>
        <v>-42554.4211776707</v>
      </c>
      <c r="CV39" s="70" t="n">
        <f aca="false">CL39-CN39-CT39+CU39+CS39+CO39</f>
        <v>1006867.02135534</v>
      </c>
      <c r="CW39" s="14" t="n">
        <f aca="false">((B39+C39+D39+O39+P39+Q39+X39+Y39+AF39+AG39+AH39+BB39+BC39+BD39+BE39+BF39+BG39+BR39+BS39)+('Index Price Deals'!B39+'Index Price Deals'!C39+'Index Price Deals'!D39+'Index Price Deals'!L39+'Index Price Deals'!M39+'Index Price Deals'!N39+'Index Price Deals'!AD39+'Index Price Deals'!AE39+'Index Price Deals'!AF39+'Index Price Deals'!AK39+'Index Price Deals'!AL39+'Index Price Deals'!AM39))*'Prices&amp;Fuel'!H39</f>
        <v>8601387.79507268</v>
      </c>
      <c r="CX39" s="12" t="n">
        <f aca="false">BQ39/(BB39+BC39+BD39+BE39+BF39+BG39)/'Prices&amp;Fuel'!H39</f>
        <v>0.0381482414923804</v>
      </c>
      <c r="CZ39" s="13" t="n">
        <f aca="false">(BA39-CT39+CU39)/(AF39+AG39+AH39)/'Prices&amp;Fuel'!H39</f>
        <v>0.0818257610740937</v>
      </c>
      <c r="DB39" s="1" t="n">
        <f aca="false">(O39+P39+Q39)*'Prices&amp;Fuel'!$H39</f>
        <v>753000</v>
      </c>
      <c r="DC39" s="1" t="n">
        <f aca="false">(X39+Y39)*'Prices&amp;Fuel'!$H39</f>
        <v>210000</v>
      </c>
      <c r="DE39" s="1" t="n">
        <v>226000</v>
      </c>
    </row>
    <row r="40" customFormat="false" ht="12.75" hidden="false" customHeight="false" outlineLevel="0" collapsed="false">
      <c r="A40" s="6" t="n">
        <f aca="false">+A39+365/12</f>
        <v>36813.5833333333</v>
      </c>
      <c r="O40" s="7" t="n">
        <v>9036</v>
      </c>
      <c r="P40" s="7" t="n">
        <v>10794</v>
      </c>
      <c r="Q40" s="7" t="n">
        <v>5270</v>
      </c>
      <c r="R40" s="8" t="n">
        <f aca="false">R39</f>
        <v>2.2906</v>
      </c>
      <c r="S40" s="8" t="n">
        <f aca="false">S39</f>
        <v>2.2793</v>
      </c>
      <c r="T40" s="7" t="n">
        <f aca="false">(($O40*R40)+($P40*R40)+($Q40*R40))*'Prices&amp;Fuel'!$H40</f>
        <v>1782315.86</v>
      </c>
      <c r="U40" s="7" t="n">
        <f aca="false">(($O40*S40)+($P40*S40)+($Q40*S40))*'Prices&amp;Fuel'!$H40</f>
        <v>1773523.33</v>
      </c>
      <c r="V40" s="14" t="n">
        <f aca="false">T40-U40</f>
        <v>8792.5299999998</v>
      </c>
      <c r="X40" s="7" t="n">
        <f aca="false">7000*0.5</f>
        <v>3500</v>
      </c>
      <c r="Y40" s="7" t="n">
        <f aca="false">X40</f>
        <v>3500</v>
      </c>
      <c r="Z40" s="27" t="n">
        <v>2.2</v>
      </c>
      <c r="AA40" s="27" t="n">
        <v>2.18</v>
      </c>
      <c r="AB40" s="7" t="n">
        <f aca="false">($X40+$Y40)*Z40*'Prices&amp;Fuel'!$H40</f>
        <v>477400</v>
      </c>
      <c r="AC40" s="7" t="n">
        <f aca="false">($X40+$Y40)*AA40*'Prices&amp;Fuel'!$H40</f>
        <v>473060</v>
      </c>
      <c r="AD40" s="14" t="n">
        <f aca="false">AB40-AC40</f>
        <v>4340</v>
      </c>
      <c r="AF40" s="7" t="n">
        <f aca="false">(32000/(1-'Prices&amp;Fuel'!F40))+(25000/(1-'Prices&amp;Fuel'!G40))-AI40</f>
        <v>58847.8215981829</v>
      </c>
      <c r="AG40" s="7" t="n">
        <v>0</v>
      </c>
      <c r="AH40" s="7" t="n">
        <f aca="false">(75000/(1-'Prices&amp;Fuel'!G40))-AK40</f>
        <v>77431.3442081355</v>
      </c>
      <c r="AI40" s="7"/>
      <c r="AJ40" s="7"/>
      <c r="AK40" s="7"/>
      <c r="AL40" s="11" t="n">
        <f aca="false">ROUND((132000/(1-'Prices&amp;Fuel'!F40))-AF40-AG40-AH40,0)</f>
        <v>0</v>
      </c>
      <c r="AM40" s="7" t="n">
        <f aca="false">ROUND(IF(AF40&lt;AP40,0,(AF40-AP40-AI40)/2),0)</f>
        <v>0</v>
      </c>
      <c r="AO40" s="7" t="n">
        <f aca="false">ROUND((75000/(1-'Prices&amp;Fuel'!G40)-AV40-AK40)/2,0)</f>
        <v>38716</v>
      </c>
      <c r="AP40" s="7" t="n">
        <f aca="false">IF(80000&gt;AF40,AF40,80000)</f>
        <v>58847.8215981829</v>
      </c>
      <c r="AR40" s="7" t="n">
        <f aca="false">IF(AP40&gt;AF40,0,AF40-AM40-AP40)</f>
        <v>0</v>
      </c>
      <c r="AT40" s="14" t="n">
        <f aca="false">AH40-AO40-AV40</f>
        <v>38715.3442081355</v>
      </c>
      <c r="AU40" s="14" t="n">
        <f aca="false">AL40*AX40*'Prices&amp;Fuel'!H40</f>
        <v>0</v>
      </c>
      <c r="AW40" s="68" t="n">
        <f aca="false">AW39</f>
        <v>0.12</v>
      </c>
      <c r="AX40" s="68" t="n">
        <f aca="false">AX39</f>
        <v>0.025</v>
      </c>
      <c r="AY40" s="5" t="n">
        <f aca="false">('Prices&amp;Fuel'!H40*('Prices&amp;Fuel'!B40+AW40)*'Long Term Deals'!AF40)+('Prices&amp;Fuel'!H40*('Prices&amp;Fuel'!C40+'Long Term Deals'!AW40)*'Long Term Deals'!AG40)+(AH40*('Prices&amp;Fuel'!C40+AW40)*'Prices&amp;Fuel'!H40)+(AW40*AL40*'Prices&amp;Fuel'!H40)</f>
        <v>22727679.1245096</v>
      </c>
      <c r="AZ40" s="5" t="n">
        <f aca="false">(AP40*'Prices&amp;Fuel'!H40*'Prices&amp;Fuel'!B40)+(AQ40*'Prices&amp;Fuel'!C40*'Prices&amp;Fuel'!H40)+((AM40+AR40)*('Prices&amp;Fuel'!B40+'Long Term Deals'!AX40)*'Prices&amp;Fuel'!H40)+((AN40+AS40)*('Prices&amp;Fuel'!C40+'Long Term Deals'!AX40)*'Prices&amp;Fuel'!H40)+((AO40+AT40)*('Prices&amp;Fuel'!D40+'Long Term Deals'!AX40)*'Prices&amp;Fuel'!H40)+(AV40*'Prices&amp;Fuel'!H40*'Prices&amp;Fuel'!Q40)+AU40</f>
        <v>22112703.9025398</v>
      </c>
      <c r="BA40" s="5" t="n">
        <f aca="false">AY40-AZ40</f>
        <v>614975.221969854</v>
      </c>
      <c r="BB40" s="5" t="n">
        <f aca="false">IF('FP Corp'!T40-((BE40+BF40+BG40)*(1-'Prices&amp;Fuel'!F40))&lt;'Prices&amp;Fuel'!R40,('FP Corp'!T40-(BE40+BF40+BG40)*(1-'Prices&amp;Fuel'!F40)),'Prices&amp;Fuel'!R40)/(1-'Prices&amp;Fuel'!F40)</f>
        <v>9013.00846582697</v>
      </c>
      <c r="BC40" s="9"/>
      <c r="BD40" s="9" t="n">
        <f aca="false">ROUND(IF('FP Corp'!T40/(1-'Prices&amp;Fuel'!F40)-BE40-BF40-BG40-BB40&gt;'Prices&amp;Fuel'!T40,'Prices&amp;Fuel'!T40,'FP Corp'!T40/(1-'Prices&amp;Fuel'!F40)-BE40-BF40-BG40-BB40),9)</f>
        <v>3528.804460045</v>
      </c>
      <c r="BE40" s="9" t="n">
        <f aca="false">'Prices&amp;Fuel'!U40/(1-'Prices&amp;Fuel'!F40)</f>
        <v>2921.74272145364</v>
      </c>
      <c r="BF40" s="9" t="n">
        <f aca="false">('Prices&amp;Fuel'!V40+'Prices&amp;Fuel'!X40)/(1-'Prices&amp;Fuel'!F40)</f>
        <v>4646.9130704109</v>
      </c>
      <c r="BG40" s="9" t="n">
        <f aca="false">'Prices&amp;Fuel'!W40/(1-'Prices&amp;Fuel'!F40)</f>
        <v>1570.30766054099</v>
      </c>
      <c r="BH40" s="10" t="n">
        <f aca="false">('Prices&amp;Fuel'!C40+'Prices&amp;Fuel'!D40)/2-0.05+('Prices&amp;Fuel'!M40+'Prices&amp;Fuel'!P40)*(1-'Prices&amp;Fuel'!F40)</f>
        <v>5.97900826</v>
      </c>
      <c r="BI40" s="9" t="n">
        <f aca="false">IF(AP40=80000,0,BB40)</f>
        <v>9013.00846582697</v>
      </c>
      <c r="BJ40" s="9"/>
      <c r="BK40" s="10" t="n">
        <f aca="false">(((BB40+BE40)*('Prices&amp;Fuel'!B40+0.025))+(('Prices&amp;Fuel'!D40+0.025)*(BD40+BG40))+(('Prices&amp;Fuel'!C40+0.025)*(BC40+BF40))-(BI40+BJ40)*0.025)/(BB40+BC40+BD40+BE40+BF40+BG40)</f>
        <v>5.24961047619048</v>
      </c>
      <c r="BL40" s="9" t="n">
        <f aca="false">(BB40+BC40+BD40+BE40+BF40+BG40)*BH40*'Prices&amp;Fuel'!H40</f>
        <v>4018515.77251696</v>
      </c>
      <c r="BM40" s="9" t="n">
        <f aca="false">'Prices&amp;Fuel'!X40*('Prices&amp;Fuel'!N40+'Prices&amp;Fuel'!O40)*'Prices&amp;Fuel'!H40</f>
        <v>13126.113</v>
      </c>
      <c r="BN40" s="9" t="n">
        <f aca="false">('Prices&amp;Fuel'!U40+'Prices&amp;Fuel'!V40+'Prices&amp;Fuel'!W40)*('Prices&amp;Fuel'!L40+'Prices&amp;Fuel'!O40)*'Prices&amp;Fuel'!H40</f>
        <v>102950.163</v>
      </c>
      <c r="BO40" s="9" t="n">
        <f aca="false">((BB40+BC40+BD40)*(1-'Prices&amp;Fuel'!G40))*('Prices&amp;Fuel'!M40+'Prices&amp;Fuel'!P40)*'Prices&amp;Fuel'!H40</f>
        <v>300931.47079999</v>
      </c>
      <c r="BP40" s="9" t="n">
        <f aca="false">((BD40+BC40+BB40+BE40+BF40+BG40)*BK40*'Prices&amp;Fuel'!H40)+BM40+BN40+BO40</f>
        <v>3945292.3018278</v>
      </c>
      <c r="BQ40" s="5" t="n">
        <f aca="false">BL40-BP40</f>
        <v>73223.4706891603</v>
      </c>
      <c r="CA40" s="5" t="n">
        <f aca="false">(AF40+AG40+AH40+AL40)*0.005*'Prices&amp;Fuel'!H40</f>
        <v>21123.2706999794</v>
      </c>
      <c r="CB40" s="5" t="n">
        <f aca="false">(B40+C40+D40+O40+P40+Q40+X40+Y40+BB40+BC40+BD40+BE40+BF40+BG40+BR40+BS40)*0.005*'Prices&amp;Fuel'!H40</f>
        <v>8336.02033863301</v>
      </c>
      <c r="CC40" s="7" t="n">
        <f aca="false">K40+T40+AB40+AY40+BL40+BX40</f>
        <v>29005910.7570266</v>
      </c>
      <c r="CD40" s="7" t="n">
        <f aca="false">L40+U40+AC40+AZ40+BP40+BY40+CA40+CB40</f>
        <v>28334038.8254062</v>
      </c>
      <c r="CE40" s="7" t="n">
        <f aca="false">CC40-CD40</f>
        <v>671871.9316204</v>
      </c>
      <c r="CF40" s="7" t="n">
        <f aca="false">'Index Price Deals'!AR40</f>
        <v>0</v>
      </c>
      <c r="CG40" s="7" t="n">
        <f aca="false">'Index Price Deals'!AS40</f>
        <v>0</v>
      </c>
      <c r="CH40" s="7" t="n">
        <f aca="false">'Index Price Deals'!AT40</f>
        <v>0</v>
      </c>
      <c r="CI40" s="7" t="n">
        <f aca="false">'Index Price Deals'!AU40</f>
        <v>0</v>
      </c>
      <c r="CJ40" s="7" t="n">
        <f aca="false">CC40+CF40</f>
        <v>29005910.7570266</v>
      </c>
      <c r="CK40" s="7" t="n">
        <f aca="false">CD40+CH40</f>
        <v>28334038.8254062</v>
      </c>
      <c r="CL40" s="7" t="n">
        <f aca="false">CE40+CI40</f>
        <v>671871.9316204</v>
      </c>
      <c r="CM40" s="69"/>
      <c r="CN40" s="7" t="n">
        <f aca="false">Transport!U40</f>
        <v>544343.78080001</v>
      </c>
      <c r="CO40" s="71" t="n">
        <f aca="false">[4]Sheet1!$AL81</f>
        <v>762567.143039026</v>
      </c>
      <c r="CQ40" s="7" t="n">
        <f aca="false">(((($B40+$C40+$D40+$O40+$P40+$Q40)*0.5)+BR40+BS40)*(0.005*'Prices&amp;Fuel'!$H40)+'Index Price Deals'!AV40)+(((BB40+BC40+BD40+BE40+BF40+BG40)*(1-'Prices&amp;Fuel'!F40))*0.005*0.5*'Prices&amp;Fuel'!H40)</f>
        <v>3572.74999999997</v>
      </c>
      <c r="CR40" s="7" t="n">
        <f aca="false">(((($B40+$C40+$D40+$O40+$P40+$Q40)*0.5)+X40+Y40)*(0.005*'Prices&amp;Fuel'!$H40)+CA40+'Index Price Deals'!AW40)+(((BB40+BC40+BD40+BE40+BF40+BG40)*(1-'Prices&amp;Fuel'!F40))*0.005*0.5*'Prices&amp;Fuel'!H40)</f>
        <v>25781.0206999793</v>
      </c>
      <c r="CS40" s="11" t="n">
        <f aca="false">'Short Term Firm For Budget'!E40</f>
        <v>191271.240000003</v>
      </c>
      <c r="CT40" s="7" t="n">
        <f aca="false">[2]Sheet1!$O51</f>
        <v>112213.218742359</v>
      </c>
      <c r="CU40" s="7" t="n">
        <f aca="false">'[3]Long Term Deals'!$Z39</f>
        <v>-34895.0629697055</v>
      </c>
      <c r="CV40" s="70" t="n">
        <f aca="false">CL40-CN40-CT40+CU40+CS40+CO40</f>
        <v>934258.252147356</v>
      </c>
      <c r="CW40" s="14" t="n">
        <f aca="false">((B40+C40+D40+O40+P40+Q40+X40+Y40+AF40+AG40+AH40+BB40+BC40+BD40+BE40+BF40+BG40+BR40+BS40)+('Index Price Deals'!B40+'Index Price Deals'!C40+'Index Price Deals'!D40+'Index Price Deals'!L40+'Index Price Deals'!M40+'Index Price Deals'!N40+'Index Price Deals'!AD40+'Index Price Deals'!AE40+'Index Price Deals'!AF40+'Index Price Deals'!AK40+'Index Price Deals'!AL40+'Index Price Deals'!AM40))*'Prices&amp;Fuel'!H40</f>
        <v>5891858.20772247</v>
      </c>
      <c r="CX40" s="12" t="n">
        <f aca="false">BQ40/(BB40+BC40+BD40+BE40+BF40+BG40)/'Prices&amp;Fuel'!H40</f>
        <v>0.108946626281908</v>
      </c>
      <c r="CZ40" s="13" t="n">
        <f aca="false">(BA40-CT40+CU40)/(AF40+AG40+AH40)/'Prices&amp;Fuel'!H40</f>
        <v>0.110746803111851</v>
      </c>
      <c r="DB40" s="1" t="n">
        <f aca="false">(O40+P40+Q40)*'Prices&amp;Fuel'!$H40</f>
        <v>778100</v>
      </c>
      <c r="DC40" s="1" t="n">
        <f aca="false">(X40+Y40)*'Prices&amp;Fuel'!$H40</f>
        <v>217000</v>
      </c>
      <c r="DE40" s="1" t="n">
        <v>132000</v>
      </c>
    </row>
    <row r="41" customFormat="false" ht="12.75" hidden="false" customHeight="false" outlineLevel="0" collapsed="false">
      <c r="A41" s="6" t="n">
        <f aca="false">+A40+365/12</f>
        <v>36844</v>
      </c>
      <c r="O41" s="7" t="n">
        <v>9036</v>
      </c>
      <c r="P41" s="7" t="n">
        <v>10794</v>
      </c>
      <c r="Q41" s="7" t="n">
        <v>5270</v>
      </c>
      <c r="R41" s="8" t="n">
        <f aca="false">R40</f>
        <v>2.2906</v>
      </c>
      <c r="S41" s="8" t="n">
        <f aca="false">S40</f>
        <v>2.2793</v>
      </c>
      <c r="T41" s="7" t="n">
        <f aca="false">(($O41*R41)+($P41*R41)+($Q41*R41))*'Prices&amp;Fuel'!$H41</f>
        <v>1724821.8</v>
      </c>
      <c r="U41" s="7" t="n">
        <f aca="false">(($O41*S41)+($P41*S41)+($Q41*S41))*'Prices&amp;Fuel'!$H41</f>
        <v>1716312.9</v>
      </c>
      <c r="V41" s="14" t="n">
        <f aca="false">T41-U41</f>
        <v>8508.89999999991</v>
      </c>
      <c r="X41" s="7" t="n">
        <f aca="false">2000*0.5</f>
        <v>1000</v>
      </c>
      <c r="Y41" s="7" t="n">
        <f aca="false">X41</f>
        <v>1000</v>
      </c>
      <c r="Z41" s="27" t="n">
        <v>2.2</v>
      </c>
      <c r="AA41" s="27" t="n">
        <v>2.18</v>
      </c>
      <c r="AB41" s="7" t="n">
        <f aca="false">($X41+$Y41)*Z41*'Prices&amp;Fuel'!$H41</f>
        <v>132000</v>
      </c>
      <c r="AC41" s="7" t="n">
        <f aca="false">($X41+$Y41)*AA41*'Prices&amp;Fuel'!$H41</f>
        <v>130800</v>
      </c>
      <c r="AD41" s="14" t="n">
        <f aca="false">AB41-AC41</f>
        <v>1200</v>
      </c>
      <c r="AF41" s="7" t="n">
        <f aca="false">(32000/(1-'Prices&amp;Fuel'!F41))+(25000/(1-'Prices&amp;Fuel'!G41))-AI41</f>
        <v>58611.8251928021</v>
      </c>
      <c r="AG41" s="7" t="n">
        <v>0</v>
      </c>
      <c r="AH41" s="7" t="n">
        <f aca="false">(75000/(1-'Prices&amp;Fuel'!G41))-AK41</f>
        <v>77120.822622108</v>
      </c>
      <c r="AI41" s="7"/>
      <c r="AJ41" s="7"/>
      <c r="AK41" s="7"/>
      <c r="AL41" s="11" t="n">
        <f aca="false">ROUND((132000/(1-'Prices&amp;Fuel'!F41))-AF41-AG41-AH41,0)</f>
        <v>0</v>
      </c>
      <c r="AM41" s="7" t="n">
        <f aca="false">ROUND(IF(AF41&lt;AP41,0,(AF41-AP41-AI41)/2),0)</f>
        <v>0</v>
      </c>
      <c r="AO41" s="7" t="n">
        <f aca="false">ROUND((75000/(1-'Prices&amp;Fuel'!G41)-AV41-AK41)/2,0)</f>
        <v>38560</v>
      </c>
      <c r="AP41" s="7" t="n">
        <f aca="false">IF(80000&gt;AF41,AF41,80000)</f>
        <v>58611.8251928021</v>
      </c>
      <c r="AR41" s="7" t="n">
        <f aca="false">IF(AP41&gt;AF41,0,AF41-AM41-AP41)</f>
        <v>0</v>
      </c>
      <c r="AT41" s="14" t="n">
        <f aca="false">AH41-AO41-AV41</f>
        <v>38560.822622108</v>
      </c>
      <c r="AU41" s="14" t="n">
        <f aca="false">AL41*AX41*'Prices&amp;Fuel'!H41</f>
        <v>0</v>
      </c>
      <c r="AW41" s="68" t="n">
        <f aca="false">AW40</f>
        <v>0.12</v>
      </c>
      <c r="AX41" s="68" t="n">
        <f aca="false">AX40</f>
        <v>0.025</v>
      </c>
      <c r="AY41" s="5" t="n">
        <f aca="false">('Prices&amp;Fuel'!H41*('Prices&amp;Fuel'!B41+AW41)*'Long Term Deals'!AF41)+('Prices&amp;Fuel'!H41*('Prices&amp;Fuel'!C41+'Long Term Deals'!AW41)*'Long Term Deals'!AG41)+(AH41*('Prices&amp;Fuel'!C41+AW41)*'Prices&amp;Fuel'!H41)+(AW41*AL41*'Prices&amp;Fuel'!H41)</f>
        <v>14879383.033419</v>
      </c>
      <c r="AZ41" s="5" t="n">
        <f aca="false">(AP41*'Prices&amp;Fuel'!H41*'Prices&amp;Fuel'!B41)+(AQ41*'Prices&amp;Fuel'!C41*'Prices&amp;Fuel'!H41)+((AM41+AR41)*('Prices&amp;Fuel'!B41+'Long Term Deals'!AX41)*'Prices&amp;Fuel'!H41)+((AN41+AS41)*('Prices&amp;Fuel'!C41+'Long Term Deals'!AX41)*'Prices&amp;Fuel'!H41)+((AO41+AT41)*('Prices&amp;Fuel'!D41+'Long Term Deals'!AX41)*'Prices&amp;Fuel'!H41)+(AV41*'Prices&amp;Fuel'!H41*'Prices&amp;Fuel'!Q41)+AU41</f>
        <v>14332904.8843188</v>
      </c>
      <c r="BA41" s="5" t="n">
        <f aca="false">AY41-AZ41</f>
        <v>546478.149100257</v>
      </c>
      <c r="BB41" s="5" t="n">
        <f aca="false">IF('FP Corp'!T41-((BE41+BF41+BG41)*(1-'Prices&amp;Fuel'!F41))&lt;'Prices&amp;Fuel'!R41,('FP Corp'!T41-(BE41+BF41+BG41)*(1-'Prices&amp;Fuel'!F41)),'Prices&amp;Fuel'!R41)/(1-'Prices&amp;Fuel'!F41)</f>
        <v>4325.96401028278</v>
      </c>
      <c r="BC41" s="9"/>
      <c r="BD41" s="9" t="n">
        <f aca="false">ROUND(IF('FP Corp'!T41/(1-'Prices&amp;Fuel'!F41)-BE41-BF41-BG41-BB41&gt;'Prices&amp;Fuel'!T41,'Prices&amp;Fuel'!T41,'FP Corp'!T41/(1-'Prices&amp;Fuel'!F41)-BE41-BF41-BG41-BB41),9)</f>
        <v>0</v>
      </c>
      <c r="BE41" s="9" t="n">
        <f aca="false">'Prices&amp;Fuel'!U41/(1-'Prices&amp;Fuel'!F41)</f>
        <v>2635.47557840617</v>
      </c>
      <c r="BF41" s="9" t="n">
        <f aca="false">('Prices&amp;Fuel'!V41+'Prices&amp;Fuel'!X41)/(1-'Prices&amp;Fuel'!F41)</f>
        <v>3645.2442159383</v>
      </c>
      <c r="BG41" s="9" t="n">
        <f aca="false">'Prices&amp;Fuel'!W41/(1-'Prices&amp;Fuel'!F41)</f>
        <v>1732.64781491003</v>
      </c>
      <c r="BH41" s="10" t="n">
        <f aca="false">('Prices&amp;Fuel'!C41+'Prices&amp;Fuel'!D41)/2-0.05+('Prices&amp;Fuel'!M41+'Prices&amp;Fuel'!P41)*(1-'Prices&amp;Fuel'!F41)</f>
        <v>4.26212475</v>
      </c>
      <c r="BI41" s="9" t="n">
        <f aca="false">IF(AP41=80000,0,BB41)</f>
        <v>4325.96401028278</v>
      </c>
      <c r="BJ41" s="9"/>
      <c r="BK41" s="10" t="n">
        <f aca="false">(((BB41+BE41)*('Prices&amp;Fuel'!B41+0.025))+(('Prices&amp;Fuel'!D41+0.025)*(BD41+BG41))+(('Prices&amp;Fuel'!C41+0.025)*(BC41+BF41))-(BI41+BJ41)*0.025)/(BB41+BC41+BD41+BE41+BF41+BG41)</f>
        <v>3.53536458333333</v>
      </c>
      <c r="BL41" s="9" t="n">
        <f aca="false">(BB41+BC41+BD41+BE41+BF41+BG41)*BH41*'Prices&amp;Fuel'!H41</f>
        <v>1577753.12082262</v>
      </c>
      <c r="BM41" s="9" t="n">
        <f aca="false">'Prices&amp;Fuel'!X41*('Prices&amp;Fuel'!N41+'Prices&amp;Fuel'!O41)*'Prices&amp;Fuel'!H41</f>
        <v>8667.27</v>
      </c>
      <c r="BN41" s="9" t="n">
        <f aca="false">('Prices&amp;Fuel'!U41+'Prices&amp;Fuel'!V41+'Prices&amp;Fuel'!W41)*('Prices&amp;Fuel'!L41+'Prices&amp;Fuel'!O41)*'Prices&amp;Fuel'!H41</f>
        <v>90225.9</v>
      </c>
      <c r="BO41" s="9" t="n">
        <f aca="false">((BB41+BC41+BD41)*(1-'Prices&amp;Fuel'!G41))*('Prices&amp;Fuel'!M41+'Prices&amp;Fuel'!P41)*'Prices&amp;Fuel'!H41</f>
        <v>100854.411</v>
      </c>
      <c r="BP41" s="9" t="n">
        <f aca="false">((BD41+BC41+BB41+BE41+BF41+BG41)*BK41*'Prices&amp;Fuel'!H41)+BM41+BN41+BO41</f>
        <v>1508468.66069152</v>
      </c>
      <c r="BQ41" s="5" t="n">
        <f aca="false">BL41-BP41</f>
        <v>69284.4601311055</v>
      </c>
      <c r="CA41" s="5" t="n">
        <f aca="false">(AF41+AG41+AH41+AL41)*0.005*'Prices&amp;Fuel'!H41</f>
        <v>20359.8971722365</v>
      </c>
      <c r="CB41" s="5" t="n">
        <f aca="false">(B41+C41+D41+O41+P41+Q41+X41+Y41+BB41+BC41+BD41+BE41+BF41+BG41+BR41+BS41)*0.005*'Prices&amp;Fuel'!H41</f>
        <v>5915.89974293059</v>
      </c>
      <c r="CC41" s="7" t="n">
        <f aca="false">K41+T41+AB41+AY41+BL41+BX41</f>
        <v>18313957.9542417</v>
      </c>
      <c r="CD41" s="7" t="n">
        <f aca="false">L41+U41+AC41+AZ41+BP41+BY41+CA41+CB41</f>
        <v>17714762.2419255</v>
      </c>
      <c r="CE41" s="7" t="n">
        <f aca="false">CC41-CD41</f>
        <v>599195.7123162</v>
      </c>
      <c r="CF41" s="7" t="n">
        <f aca="false">'Index Price Deals'!AR41</f>
        <v>0</v>
      </c>
      <c r="CG41" s="7" t="n">
        <f aca="false">'Index Price Deals'!AS41</f>
        <v>0</v>
      </c>
      <c r="CH41" s="7" t="n">
        <f aca="false">'Index Price Deals'!AT41</f>
        <v>0</v>
      </c>
      <c r="CI41" s="7" t="n">
        <f aca="false">'Index Price Deals'!AU41</f>
        <v>0</v>
      </c>
      <c r="CJ41" s="7" t="n">
        <f aca="false">CC41+CF41</f>
        <v>18313957.9542417</v>
      </c>
      <c r="CK41" s="7" t="n">
        <f aca="false">CD41+CH41</f>
        <v>17714762.2419255</v>
      </c>
      <c r="CL41" s="7" t="n">
        <f aca="false">CE41+CI41</f>
        <v>599195.7123162</v>
      </c>
      <c r="CM41" s="69"/>
      <c r="CN41" s="7" t="n">
        <f aca="false">Transport!U41</f>
        <v>364060.236</v>
      </c>
      <c r="CO41" s="71" t="n">
        <f aca="false">[4]Sheet1!$AL82</f>
        <v>737968.202940993</v>
      </c>
      <c r="CQ41" s="7" t="n">
        <f aca="false">(((($B41+$C41+$D41+$O41+$P41+$Q41)*0.5)+BR41+BS41)*(0.005*'Prices&amp;Fuel'!$H41)+'Index Price Deals'!AV41)+(((BB41+BC41+BD41+BE41+BF41+BG41)*(1-'Prices&amp;Fuel'!F41))*0.005*0.5*'Prices&amp;Fuel'!H41)</f>
        <v>2782.5</v>
      </c>
      <c r="CR41" s="7" t="n">
        <f aca="false">(((($B41+$C41+$D41+$O41+$P41+$Q41)*0.5)+X41+Y41)*(0.005*'Prices&amp;Fuel'!$H41)+CA41+'Index Price Deals'!AW41)+(((BB41+BC41+BD41+BE41+BF41+BG41)*(1-'Prices&amp;Fuel'!F41))*0.005*0.5*'Prices&amp;Fuel'!H41)</f>
        <v>23442.3971722365</v>
      </c>
      <c r="CS41" s="11" t="n">
        <f aca="false">'Short Term Firm For Budget'!E41</f>
        <v>127923.3</v>
      </c>
      <c r="CT41" s="7" t="n">
        <f aca="false">[2]Sheet1!$O52</f>
        <v>108593.437492605</v>
      </c>
      <c r="CU41" s="7" t="n">
        <f aca="false">'[3]Long Term Deals'!$Z40</f>
        <v>-33769.4157771343</v>
      </c>
      <c r="CV41" s="70" t="n">
        <f aca="false">CL41-CN41-CT41+CU41+CS41+CO41</f>
        <v>958664.125987454</v>
      </c>
      <c r="CW41" s="14" t="n">
        <f aca="false">((B41+C41+D41+O41+P41+Q41+X41+Y41+AF41+AG41+AH41+BB41+BC41+BD41+BE41+BF41+BG41+BR41+BS41)+('Index Price Deals'!B41+'Index Price Deals'!C41+'Index Price Deals'!D41+'Index Price Deals'!L41+'Index Price Deals'!M41+'Index Price Deals'!N41+'Index Price Deals'!AD41+'Index Price Deals'!AE41+'Index Price Deals'!AF41+'Index Price Deals'!AK41+'Index Price Deals'!AL41+'Index Price Deals'!AM41))*'Prices&amp;Fuel'!H41</f>
        <v>5255159.38303342</v>
      </c>
      <c r="CX41" s="12" t="n">
        <f aca="false">BQ41/(BB41+BC41+BD41+BE41+BF41+BG41)/'Prices&amp;Fuel'!H41</f>
        <v>0.187164270770834</v>
      </c>
      <c r="CZ41" s="13" t="n">
        <f aca="false">(BA41-CT41+CU41)/(AF41+AG41+AH41)/'Prices&amp;Fuel'!H41</f>
        <v>0.0992429609078732</v>
      </c>
      <c r="DB41" s="1" t="n">
        <f aca="false">(O41+P41+Q41)*'Prices&amp;Fuel'!$H41</f>
        <v>753000</v>
      </c>
      <c r="DC41" s="1" t="n">
        <f aca="false">(X41+Y41)*'Prices&amp;Fuel'!$H41</f>
        <v>60000</v>
      </c>
      <c r="DE41" s="1" t="n">
        <v>132000</v>
      </c>
    </row>
    <row r="42" customFormat="false" ht="12.75" hidden="false" customHeight="false" outlineLevel="0" collapsed="false">
      <c r="A42" s="6" t="n">
        <f aca="false">+A41+365/12</f>
        <v>36874.4166666667</v>
      </c>
      <c r="O42" s="7" t="n">
        <v>9036</v>
      </c>
      <c r="P42" s="7" t="n">
        <v>10794</v>
      </c>
      <c r="Q42" s="7" t="n">
        <v>5270</v>
      </c>
      <c r="R42" s="8" t="n">
        <f aca="false">R41</f>
        <v>2.2906</v>
      </c>
      <c r="S42" s="8" t="n">
        <f aca="false">S41</f>
        <v>2.2793</v>
      </c>
      <c r="T42" s="7" t="n">
        <f aca="false">(($O42*R42)+($P42*R42)+($Q42*R42))*'Prices&amp;Fuel'!$H42</f>
        <v>1782315.86</v>
      </c>
      <c r="U42" s="7" t="n">
        <f aca="false">(($O42*S42)+($P42*S42)+($Q42*S42))*'Prices&amp;Fuel'!$H42</f>
        <v>1773523.33</v>
      </c>
      <c r="V42" s="14" t="n">
        <f aca="false">T42-U42</f>
        <v>8792.5299999998</v>
      </c>
      <c r="X42" s="7" t="n">
        <f aca="false">2000*0.5</f>
        <v>1000</v>
      </c>
      <c r="Y42" s="7" t="n">
        <f aca="false">X42</f>
        <v>1000</v>
      </c>
      <c r="Z42" s="27" t="n">
        <v>2.2</v>
      </c>
      <c r="AA42" s="27" t="n">
        <v>2.18</v>
      </c>
      <c r="AB42" s="7" t="n">
        <f aca="false">($X42+$Y42)*Z42*'Prices&amp;Fuel'!$H42</f>
        <v>136400</v>
      </c>
      <c r="AC42" s="7" t="n">
        <f aca="false">($X42+$Y42)*AA42*'Prices&amp;Fuel'!$H42</f>
        <v>135160</v>
      </c>
      <c r="AD42" s="14" t="n">
        <f aca="false">AB42-AC42</f>
        <v>1240</v>
      </c>
      <c r="AF42" s="7" t="n">
        <f aca="false">(32000/(1-'Prices&amp;Fuel'!F42))+(25000/(1-'Prices&amp;Fuel'!G42))-AI42</f>
        <v>58611.8251928021</v>
      </c>
      <c r="AG42" s="7" t="n">
        <v>0</v>
      </c>
      <c r="AH42" s="7" t="n">
        <f aca="false">(75000/(1-'Prices&amp;Fuel'!G42))-AK42</f>
        <v>77120.822622108</v>
      </c>
      <c r="AI42" s="7"/>
      <c r="AJ42" s="7"/>
      <c r="AK42" s="7"/>
      <c r="AL42" s="11" t="n">
        <f aca="false">ROUND((132000/(1-'Prices&amp;Fuel'!F42))-AF42-AG42-AH42,0)</f>
        <v>0</v>
      </c>
      <c r="AM42" s="7" t="n">
        <f aca="false">ROUND(IF(AF42&lt;AP42,0,(AF42-AP42-AI42)/2),0)</f>
        <v>0</v>
      </c>
      <c r="AO42" s="7" t="n">
        <f aca="false">ROUND((75000/(1-'Prices&amp;Fuel'!G42)-AV42-AK42)/2,0)</f>
        <v>38560</v>
      </c>
      <c r="AP42" s="7" t="n">
        <f aca="false">IF(80000&gt;AF42,AF42,80000)</f>
        <v>58611.8251928021</v>
      </c>
      <c r="AR42" s="7" t="n">
        <f aca="false">IF(AP42&gt;AF42,0,AF42-AM42-AP42)</f>
        <v>0</v>
      </c>
      <c r="AT42" s="14" t="n">
        <f aca="false">AH42-AO42-AV42</f>
        <v>38560.822622108</v>
      </c>
      <c r="AU42" s="14" t="n">
        <f aca="false">AL42*AX42*'Prices&amp;Fuel'!H42</f>
        <v>0</v>
      </c>
      <c r="AW42" s="68" t="n">
        <f aca="false">AW41</f>
        <v>0.12</v>
      </c>
      <c r="AX42" s="68" t="n">
        <f aca="false">AX41</f>
        <v>0.025</v>
      </c>
      <c r="AY42" s="5" t="n">
        <f aca="false">('Prices&amp;Fuel'!H42*('Prices&amp;Fuel'!B42+AW42)*'Long Term Deals'!AF42)+('Prices&amp;Fuel'!H42*('Prices&amp;Fuel'!C42+'Long Term Deals'!AW42)*'Long Term Deals'!AG42)+(AH42*('Prices&amp;Fuel'!C42+AW42)*'Prices&amp;Fuel'!H42)+(AW42*AL42*'Prices&amp;Fuel'!H42)</f>
        <v>11672575.8354756</v>
      </c>
      <c r="AZ42" s="5" t="n">
        <f aca="false">(AP42*'Prices&amp;Fuel'!H42*'Prices&amp;Fuel'!B42)+(AQ42*'Prices&amp;Fuel'!C42*'Prices&amp;Fuel'!H42)+((AM42+AR42)*('Prices&amp;Fuel'!B42+'Long Term Deals'!AX42)*'Prices&amp;Fuel'!H42)+((AN42+AS42)*('Prices&amp;Fuel'!C42+'Long Term Deals'!AX42)*'Prices&amp;Fuel'!H42)+((AO42+AT42)*('Prices&amp;Fuel'!D42+'Long Term Deals'!AX42)*'Prices&amp;Fuel'!H42)+(AV42*'Prices&amp;Fuel'!H42*'Prices&amp;Fuel'!Q42)+AU42</f>
        <v>11107881.748072</v>
      </c>
      <c r="BA42" s="5" t="n">
        <f aca="false">AY42-AZ42</f>
        <v>564694.087403599</v>
      </c>
      <c r="BB42" s="5" t="n">
        <f aca="false">IF('FP Corp'!T42-((BE42+BF42+BG42)*(1-'Prices&amp;Fuel'!F42))&lt;'Prices&amp;Fuel'!R42,('FP Corp'!T42-(BE42+BF42+BG42)*(1-'Prices&amp;Fuel'!F42)),'Prices&amp;Fuel'!R42)/(1-'Prices&amp;Fuel'!F42)</f>
        <v>4325.96401028278</v>
      </c>
      <c r="BC42" s="9"/>
      <c r="BD42" s="9" t="n">
        <f aca="false">ROUND(IF('FP Corp'!T42/(1-'Prices&amp;Fuel'!F42)-BE42-BF42-BG42-BB42&gt;'Prices&amp;Fuel'!T42,'Prices&amp;Fuel'!T42,'FP Corp'!T42/(1-'Prices&amp;Fuel'!F42)-BE42-BF42-BG42-BB42),9)</f>
        <v>0</v>
      </c>
      <c r="BE42" s="9" t="n">
        <f aca="false">'Prices&amp;Fuel'!U42/(1-'Prices&amp;Fuel'!F42)</f>
        <v>2635.47557840617</v>
      </c>
      <c r="BF42" s="9" t="n">
        <f aca="false">('Prices&amp;Fuel'!V42+'Prices&amp;Fuel'!X42)/(1-'Prices&amp;Fuel'!F42)</f>
        <v>3645.2442159383</v>
      </c>
      <c r="BG42" s="9" t="n">
        <f aca="false">'Prices&amp;Fuel'!W42/(1-'Prices&amp;Fuel'!F42)</f>
        <v>1732.64781491003</v>
      </c>
      <c r="BH42" s="10" t="n">
        <f aca="false">('Prices&amp;Fuel'!C42+'Prices&amp;Fuel'!D42)/2-0.05+('Prices&amp;Fuel'!M42+'Prices&amp;Fuel'!P42)*(1-'Prices&amp;Fuel'!F42)</f>
        <v>3.38212475</v>
      </c>
      <c r="BI42" s="9" t="n">
        <f aca="false">IF(AP42=80000,0,BB42)</f>
        <v>4325.96401028278</v>
      </c>
      <c r="BJ42" s="9"/>
      <c r="BK42" s="10" t="n">
        <f aca="false">(((BB42+BE42)*('Prices&amp;Fuel'!B42+0.025))+(('Prices&amp;Fuel'!D42+0.025)*(BD42+BG42))+(('Prices&amp;Fuel'!C42+0.025)*(BC42+BF42))-(BI42+BJ42)*0.025)/(BB42+BC42+BD42+BE42+BF42+BG42)</f>
        <v>2.65536458333333</v>
      </c>
      <c r="BL42" s="9" t="n">
        <f aca="false">(BB42+BC42+BD42+BE42+BF42+BG42)*BH42*'Prices&amp;Fuel'!H42</f>
        <v>1293727.92493573</v>
      </c>
      <c r="BM42" s="9" t="n">
        <f aca="false">'Prices&amp;Fuel'!X42*('Prices&amp;Fuel'!N42+'Prices&amp;Fuel'!O42)*'Prices&amp;Fuel'!H42</f>
        <v>8956.179</v>
      </c>
      <c r="BN42" s="9" t="n">
        <f aca="false">('Prices&amp;Fuel'!U42+'Prices&amp;Fuel'!V42+'Prices&amp;Fuel'!W42)*('Prices&amp;Fuel'!L42+'Prices&amp;Fuel'!O42)*'Prices&amp;Fuel'!H42</f>
        <v>93233.43</v>
      </c>
      <c r="BO42" s="9" t="n">
        <f aca="false">((BB42+BC42+BD42)*(1-'Prices&amp;Fuel'!G42))*('Prices&amp;Fuel'!M42+'Prices&amp;Fuel'!P42)*'Prices&amp;Fuel'!H42</f>
        <v>104216.2247</v>
      </c>
      <c r="BP42" s="9" t="n">
        <f aca="false">((BD42+BC42+BB42+BE42+BF42+BG42)*BK42*'Prices&amp;Fuel'!H42)+BM42+BN42+BO42</f>
        <v>1222133.98280026</v>
      </c>
      <c r="BQ42" s="5" t="n">
        <f aca="false">BL42-BP42</f>
        <v>71593.9421354756</v>
      </c>
      <c r="CA42" s="5" t="n">
        <f aca="false">(AF42+AG42+AH42+AL42)*0.005*'Prices&amp;Fuel'!H42</f>
        <v>21038.5604113111</v>
      </c>
      <c r="CB42" s="5" t="n">
        <f aca="false">(B42+C42+D42+O42+P42+Q42+X42+Y42+BB42+BC42+BD42+BE42+BF42+BG42+BR42+BS42)*0.005*'Prices&amp;Fuel'!H42</f>
        <v>6113.09640102828</v>
      </c>
      <c r="CC42" s="7" t="n">
        <f aca="false">K42+T42+AB42+AY42+BL42+BX42</f>
        <v>14885019.6204113</v>
      </c>
      <c r="CD42" s="7" t="n">
        <f aca="false">L42+U42+AC42+AZ42+BP42+BY42+CA42+CB42</f>
        <v>14265850.7176846</v>
      </c>
      <c r="CE42" s="7" t="n">
        <f aca="false">CC42-CD42</f>
        <v>619168.902726734</v>
      </c>
      <c r="CF42" s="7" t="n">
        <f aca="false">'Index Price Deals'!AR42</f>
        <v>0</v>
      </c>
      <c r="CG42" s="7" t="n">
        <f aca="false">'Index Price Deals'!AS42</f>
        <v>0</v>
      </c>
      <c r="CH42" s="7" t="n">
        <f aca="false">'Index Price Deals'!AT42</f>
        <v>0</v>
      </c>
      <c r="CI42" s="7" t="n">
        <f aca="false">'Index Price Deals'!AU42</f>
        <v>0</v>
      </c>
      <c r="CJ42" s="7" t="n">
        <f aca="false">CC42+CF42</f>
        <v>14885019.6204113</v>
      </c>
      <c r="CK42" s="7" t="n">
        <f aca="false">CD42+CH42</f>
        <v>14265850.7176846</v>
      </c>
      <c r="CL42" s="7" t="n">
        <f aca="false">CE42+CI42</f>
        <v>619168.902726734</v>
      </c>
      <c r="CM42" s="7" t="n">
        <f aca="false">SUM(CL31:CL42)</f>
        <v>8442793.23791548</v>
      </c>
      <c r="CN42" s="7" t="n">
        <f aca="false">Transport!U42</f>
        <v>376195.5772</v>
      </c>
      <c r="CO42" s="71" t="n">
        <f aca="false">[4]Sheet1!$AL83</f>
        <v>762567.143039026</v>
      </c>
      <c r="CQ42" s="7" t="n">
        <f aca="false">(((($B42+$C42+$D42+$O42+$P42+$Q42)*0.5)+BR42+BS42)*(0.005*'Prices&amp;Fuel'!$H42)+'Index Price Deals'!AV42)+(((BB42+BC42+BD42+BE42+BF42+BG42)*(1-'Prices&amp;Fuel'!F42))*0.005*0.5*'Prices&amp;Fuel'!H42)</f>
        <v>2875.25</v>
      </c>
      <c r="CR42" s="7" t="n">
        <f aca="false">(((($B42+$C42+$D42+$O42+$P42+$Q42)*0.5)+X42+Y42)*(0.005*'Prices&amp;Fuel'!$H42)+CA42+'Index Price Deals'!AW42)+(((BB42+BC42+BD42+BE42+BF42+BG42)*(1-'Prices&amp;Fuel'!F42))*0.005*0.5*'Prices&amp;Fuel'!H42)</f>
        <v>24223.8104113111</v>
      </c>
      <c r="CS42" s="11" t="n">
        <f aca="false">'Short Term Firm For Budget'!E42</f>
        <v>132187.41</v>
      </c>
      <c r="CT42" s="7" t="n">
        <f aca="false">[2]Sheet1!$O53</f>
        <v>112213.218742359</v>
      </c>
      <c r="CU42" s="7" t="n">
        <f aca="false">'[3]Long Term Deals'!$Z41</f>
        <v>-34895.0629697055</v>
      </c>
      <c r="CV42" s="70" t="n">
        <f aca="false">CL42-CN42-CT42+CU42+CS42+CO42</f>
        <v>990619.596853696</v>
      </c>
      <c r="CW42" s="14" t="n">
        <f aca="false">((B42+C42+D42+O42+P42+Q42+X42+Y42+AF42+AG42+AH42+BB42+BC42+BD42+BE42+BF42+BG42+BR42+BS42)+('Index Price Deals'!B42+'Index Price Deals'!C42+'Index Price Deals'!D42+'Index Price Deals'!L42+'Index Price Deals'!M42+'Index Price Deals'!N42+'Index Price Deals'!AD42+'Index Price Deals'!AE42+'Index Price Deals'!AF42+'Index Price Deals'!AK42+'Index Price Deals'!AL42+'Index Price Deals'!AM42))*'Prices&amp;Fuel'!H42</f>
        <v>5430331.36246787</v>
      </c>
      <c r="CX42" s="12" t="n">
        <f aca="false">BQ42/(BB42+BC42+BD42+BE42+BF42+BG42)/'Prices&amp;Fuel'!H42</f>
        <v>0.187164270770833</v>
      </c>
      <c r="CZ42" s="13" t="n">
        <f aca="false">(BA42-CT42+CU42)/(AF42+AG42+AH42)/'Prices&amp;Fuel'!H42</f>
        <v>0.0992429609078733</v>
      </c>
      <c r="DB42" s="1" t="n">
        <f aca="false">(O42+P42+Q42)*'Prices&amp;Fuel'!$H42</f>
        <v>778100</v>
      </c>
      <c r="DC42" s="1" t="n">
        <f aca="false">(X42+Y42)*'Prices&amp;Fuel'!$H42</f>
        <v>62000</v>
      </c>
      <c r="DE42" s="1" t="n">
        <v>132000</v>
      </c>
    </row>
    <row r="43" customFormat="false" ht="12.75" hidden="false" customHeight="false" outlineLevel="0" collapsed="false">
      <c r="A43" s="6" t="n">
        <f aca="false">+A42+365/12</f>
        <v>36904.8333333333</v>
      </c>
      <c r="O43" s="7" t="n">
        <v>9036</v>
      </c>
      <c r="P43" s="7" t="n">
        <v>10794</v>
      </c>
      <c r="Q43" s="7" t="n">
        <v>5270</v>
      </c>
      <c r="R43" s="8" t="n">
        <f aca="false">R42</f>
        <v>2.2906</v>
      </c>
      <c r="S43" s="8" t="n">
        <f aca="false">S42</f>
        <v>2.2793</v>
      </c>
      <c r="T43" s="7" t="n">
        <f aca="false">(($O43*R43)+($P43*R43)+($Q43*R43))*'Prices&amp;Fuel'!$H43</f>
        <v>1782315.86</v>
      </c>
      <c r="U43" s="7" t="n">
        <f aca="false">(($O43*S43)+($P43*S43)+($Q43*S43))*'Prices&amp;Fuel'!$H43</f>
        <v>1773523.33</v>
      </c>
      <c r="V43" s="14" t="n">
        <f aca="false">T43-U43</f>
        <v>8792.5299999998</v>
      </c>
      <c r="X43" s="7" t="n">
        <f aca="false">2000*0.5</f>
        <v>1000</v>
      </c>
      <c r="Y43" s="7" t="n">
        <f aca="false">X43</f>
        <v>1000</v>
      </c>
      <c r="Z43" s="27" t="n">
        <v>2.2</v>
      </c>
      <c r="AA43" s="27" t="n">
        <v>2.18</v>
      </c>
      <c r="AB43" s="7" t="n">
        <f aca="false">($X43+$Y43)*Z43*'Prices&amp;Fuel'!$H43</f>
        <v>136400</v>
      </c>
      <c r="AC43" s="7" t="n">
        <f aca="false">($X43+$Y43)*AA43*'Prices&amp;Fuel'!$H43</f>
        <v>135160</v>
      </c>
      <c r="AD43" s="14" t="n">
        <f aca="false">AB43-AC43</f>
        <v>1240</v>
      </c>
      <c r="AF43" s="7" t="n">
        <f aca="false">(32000/(1-'Prices&amp;Fuel'!F43))+(25000/(1-'Prices&amp;Fuel'!G43))-AI43</f>
        <v>58611.8251928021</v>
      </c>
      <c r="AG43" s="7" t="n">
        <v>0</v>
      </c>
      <c r="AH43" s="7" t="n">
        <f aca="false">(75000/(1-'Prices&amp;Fuel'!G43))-AK43</f>
        <v>77120.822622108</v>
      </c>
      <c r="AI43" s="7"/>
      <c r="AJ43" s="7"/>
      <c r="AK43" s="7"/>
      <c r="AL43" s="11" t="n">
        <f aca="false">ROUND((132000/(1-'Prices&amp;Fuel'!F43))-AF43-AG43-AH43,0)</f>
        <v>0</v>
      </c>
      <c r="AM43" s="7" t="n">
        <f aca="false">ROUND(IF(AF43&lt;AP43,0,(AF43-AP43-AI43)/2),0)</f>
        <v>0</v>
      </c>
      <c r="AO43" s="7" t="n">
        <f aca="false">ROUND((75000/(1-'Prices&amp;Fuel'!G43)-AV43-AK43)/2,0)</f>
        <v>38560</v>
      </c>
      <c r="AP43" s="7" t="n">
        <f aca="false">IF(80000&gt;AF43,AF43,80000)</f>
        <v>58611.8251928021</v>
      </c>
      <c r="AR43" s="7" t="n">
        <f aca="false">IF(AP43&gt;AF43,0,AF43-AM43-AP43)</f>
        <v>0</v>
      </c>
      <c r="AT43" s="14" t="n">
        <f aca="false">AH43-AO43-AV43</f>
        <v>38560.822622108</v>
      </c>
      <c r="AU43" s="14" t="n">
        <f aca="false">AL43*AX43*'Prices&amp;Fuel'!H43</f>
        <v>0</v>
      </c>
      <c r="AW43" s="68" t="n">
        <v>0.1</v>
      </c>
      <c r="AX43" s="68" t="n">
        <f aca="false">AX42</f>
        <v>0.025</v>
      </c>
      <c r="AY43" s="5" t="n">
        <f aca="false">('Prices&amp;Fuel'!H43*('Prices&amp;Fuel'!B43+AW43)*'Long Term Deals'!AF43)+('Prices&amp;Fuel'!H43*('Prices&amp;Fuel'!C43+'Long Term Deals'!AW43)*'Long Term Deals'!AG43)+(AH43*('Prices&amp;Fuel'!C43+AW43)*'Prices&amp;Fuel'!H43)+(AW43*AL43*'Prices&amp;Fuel'!H43)</f>
        <v>9905336.76092545</v>
      </c>
      <c r="AZ43" s="5" t="n">
        <f aca="false">(AP43*'Prices&amp;Fuel'!H43*'Prices&amp;Fuel'!B43)+(AQ43*'Prices&amp;Fuel'!C43*'Prices&amp;Fuel'!H43)+((AM43+AR43)*('Prices&amp;Fuel'!B43+'Long Term Deals'!AX43)*'Prices&amp;Fuel'!H43)+((AN43+AS43)*('Prices&amp;Fuel'!C43+'Long Term Deals'!AX43)*'Prices&amp;Fuel'!H43)+((AO43+AT43)*('Prices&amp;Fuel'!D43+'Long Term Deals'!AX43)*'Prices&amp;Fuel'!H43)+(AV43*'Prices&amp;Fuel'!H43*'Prices&amp;Fuel'!Q43)+AU43</f>
        <v>9424796.9151671</v>
      </c>
      <c r="BA43" s="5" t="n">
        <f aca="false">AY43-AZ43</f>
        <v>480539.845758354</v>
      </c>
      <c r="BB43" s="5" t="n">
        <f aca="false">IF('FP Corp'!T43-((BE43+BF43+BG43)*(1-'Prices&amp;Fuel'!F43))&lt;'Prices&amp;Fuel'!R43,('FP Corp'!T43-(BE43+BF43+BG43)*(1-'Prices&amp;Fuel'!F43)),'Prices&amp;Fuel'!R43)/(1-'Prices&amp;Fuel'!F43)</f>
        <v>4325.96401028278</v>
      </c>
      <c r="BC43" s="9"/>
      <c r="BD43" s="9" t="n">
        <f aca="false">ROUND(IF('FP Corp'!T43/(1-'Prices&amp;Fuel'!F43)-BE43-BF43-BG43-BB43&gt;'Prices&amp;Fuel'!T43,'Prices&amp;Fuel'!T43,'FP Corp'!T43/(1-'Prices&amp;Fuel'!F43)-BE43-BF43-BG43-BB43),9)</f>
        <v>0</v>
      </c>
      <c r="BE43" s="9" t="n">
        <f aca="false">'Prices&amp;Fuel'!U43/(1-'Prices&amp;Fuel'!F43)</f>
        <v>2635.47557840617</v>
      </c>
      <c r="BF43" s="9" t="n">
        <f aca="false">('Prices&amp;Fuel'!V43+'Prices&amp;Fuel'!X43)/(1-'Prices&amp;Fuel'!F43)</f>
        <v>3645.2442159383</v>
      </c>
      <c r="BG43" s="9" t="n">
        <f aca="false">'Prices&amp;Fuel'!W43/(1-'Prices&amp;Fuel'!F43)</f>
        <v>1732.64781491003</v>
      </c>
      <c r="BH43" s="10" t="n">
        <f aca="false">('Prices&amp;Fuel'!C43+'Prices&amp;Fuel'!D43)/2-0.05+('Prices&amp;Fuel'!M43+'Prices&amp;Fuel'!P43)*(1-'Prices&amp;Fuel'!F43)</f>
        <v>2.98212475</v>
      </c>
      <c r="BI43" s="9" t="n">
        <f aca="false">IF(AP43=80000,0,BB43)</f>
        <v>4325.96401028278</v>
      </c>
      <c r="BJ43" s="9"/>
      <c r="BK43" s="10" t="n">
        <f aca="false">(((BB43+BE43)*('Prices&amp;Fuel'!B43+0.025))+(('Prices&amp;Fuel'!D43+0.025)*(BD43+BG43))+(('Prices&amp;Fuel'!C43+0.025)*(BC43+BF43))-(BI43+BJ43)*0.025)/(BB43+BC43+BD43+BE43+BF43+BG43)</f>
        <v>2.25536458333333</v>
      </c>
      <c r="BL43" s="9" t="n">
        <f aca="false">(BB43+BC43+BD43+BE43+BF43+BG43)*BH43*'Prices&amp;Fuel'!H43</f>
        <v>1140720.21285347</v>
      </c>
      <c r="BM43" s="9" t="n">
        <f aca="false">'Prices&amp;Fuel'!X43*('Prices&amp;Fuel'!N43+'Prices&amp;Fuel'!O43)*'Prices&amp;Fuel'!H43</f>
        <v>8956.179</v>
      </c>
      <c r="BN43" s="9" t="n">
        <f aca="false">('Prices&amp;Fuel'!U43+'Prices&amp;Fuel'!V43+'Prices&amp;Fuel'!W43)*('Prices&amp;Fuel'!L43+'Prices&amp;Fuel'!O43)*'Prices&amp;Fuel'!H43</f>
        <v>93233.43</v>
      </c>
      <c r="BO43" s="9" t="n">
        <f aca="false">((BB43+BC43+BD43)*(1-'Prices&amp;Fuel'!G43))*('Prices&amp;Fuel'!M43+'Prices&amp;Fuel'!P43)*'Prices&amp;Fuel'!H43</f>
        <v>104216.2247</v>
      </c>
      <c r="BP43" s="9" t="n">
        <f aca="false">((BD43+BC43+BB43+BE43+BF43+BG43)*BK43*'Prices&amp;Fuel'!H43)+BM43+BN43+BO43</f>
        <v>1069126.270718</v>
      </c>
      <c r="BQ43" s="5" t="n">
        <f aca="false">BL43-BP43</f>
        <v>71593.9421354756</v>
      </c>
      <c r="CA43" s="5" t="n">
        <f aca="false">(AF43+AG43+AH43+AL43)*0.005*'Prices&amp;Fuel'!H43</f>
        <v>21038.5604113111</v>
      </c>
      <c r="CB43" s="5" t="n">
        <f aca="false">(B43+C43+D43+O43+P43+Q43+X43+Y43+BB43+BC43+BD43+BE43+BF43+BG43+BR43+BS43)*0.005*'Prices&amp;Fuel'!H43</f>
        <v>6113.09640102828</v>
      </c>
      <c r="CC43" s="7" t="n">
        <f aca="false">K43+T43+AB43+AY43+BL43+BX43</f>
        <v>12964772.8337789</v>
      </c>
      <c r="CD43" s="7" t="n">
        <f aca="false">L43+U43+AC43+AZ43+BP43+BY43+CA43+CB43</f>
        <v>12429758.1726974</v>
      </c>
      <c r="CE43" s="7" t="n">
        <f aca="false">CC43-CD43</f>
        <v>535014.661081489</v>
      </c>
      <c r="CF43" s="7" t="n">
        <f aca="false">'Index Price Deals'!AR43</f>
        <v>0</v>
      </c>
      <c r="CG43" s="7" t="n">
        <f aca="false">'Index Price Deals'!AS43</f>
        <v>0</v>
      </c>
      <c r="CH43" s="7" t="n">
        <f aca="false">'Index Price Deals'!AT43</f>
        <v>0</v>
      </c>
      <c r="CI43" s="7" t="n">
        <f aca="false">'Index Price Deals'!AU43</f>
        <v>0</v>
      </c>
      <c r="CJ43" s="7" t="n">
        <f aca="false">CC43+CF43</f>
        <v>12964772.8337789</v>
      </c>
      <c r="CK43" s="7" t="n">
        <f aca="false">CD43+CH43</f>
        <v>12429758.1726974</v>
      </c>
      <c r="CL43" s="7" t="n">
        <f aca="false">CE43+CI43</f>
        <v>535014.661081489</v>
      </c>
      <c r="CM43" s="69"/>
      <c r="CN43" s="7" t="n">
        <f aca="false">Transport!U43</f>
        <v>376195.5772</v>
      </c>
      <c r="CO43" s="71"/>
      <c r="CP43" s="14"/>
      <c r="CQ43" s="7" t="n">
        <f aca="false">(((($B43+$C43+$D43+$O43+$P43+$Q43)*0.5)+BR43+BS43)*(0.005*'Prices&amp;Fuel'!$H43)+'Index Price Deals'!AV43)+(((BB43+BC43+BD43+BE43+BF43+BG43)*(1-'Prices&amp;Fuel'!F43))*0.005*0.5*'Prices&amp;Fuel'!H43)</f>
        <v>2875.25</v>
      </c>
      <c r="CR43" s="7" t="n">
        <f aca="false">(((($B43+$C43+$D43+$O43+$P43+$Q43)*0.5)+X43+Y43)*(0.005*'Prices&amp;Fuel'!$H43)+CA43+'Index Price Deals'!AW43)+(((BB43+BC43+BD43+BE43+BF43+BG43)*(1-'Prices&amp;Fuel'!F43))*0.005*0.5*'Prices&amp;Fuel'!H43)</f>
        <v>24223.8104113111</v>
      </c>
      <c r="CS43" s="11" t="n">
        <f aca="false">'Short Term Firm For Budget'!E43</f>
        <v>132187.41</v>
      </c>
      <c r="CT43" s="7" t="n">
        <f aca="false">[2]Sheet1!$O55</f>
        <v>27798.572017243</v>
      </c>
      <c r="CU43" s="7" t="n">
        <f aca="false">'[3]Long Term Deals'!$Z42</f>
        <v>-34895.0629697055</v>
      </c>
      <c r="CV43" s="70" t="n">
        <f aca="false">CL43-CN43-CT43+CU43+CS43+CO43</f>
        <v>228312.858894541</v>
      </c>
      <c r="CW43" s="14" t="n">
        <f aca="false">((B43+C43+D43+O43+P43+Q43+X43+Y43+AF43+AG43+AH43+BB43+BC43+BD43+BE43+BF43+BG43+BR43+BS43)+('Index Price Deals'!B43+'Index Price Deals'!C43+'Index Price Deals'!D43+'Index Price Deals'!L43+'Index Price Deals'!M43+'Index Price Deals'!N43+'Index Price Deals'!AD43+'Index Price Deals'!AE43+'Index Price Deals'!AF43+'Index Price Deals'!AK43+'Index Price Deals'!AL43+'Index Price Deals'!AM43))*'Prices&amp;Fuel'!H43</f>
        <v>5430331.36246787</v>
      </c>
      <c r="CX43" s="12" t="n">
        <f aca="false">BQ43/(BB43+BC43+BD43+BE43+BF43+BG43)/'Prices&amp;Fuel'!H43</f>
        <v>0.187164270770833</v>
      </c>
      <c r="CZ43" s="13" t="n">
        <f aca="false">(BA43-CT43+CU43)/(AF43+AG43+AH43)/'Prices&amp;Fuel'!H43</f>
        <v>0.0993048484787859</v>
      </c>
      <c r="DB43" s="1" t="n">
        <f aca="false">(O43+P43+Q43)*'Prices&amp;Fuel'!$H43</f>
        <v>778100</v>
      </c>
      <c r="DC43" s="1" t="n">
        <f aca="false">(X43+Y43)*'Prices&amp;Fuel'!$H43</f>
        <v>62000</v>
      </c>
      <c r="DE43" s="1" t="n">
        <v>132000</v>
      </c>
    </row>
    <row r="44" customFormat="false" ht="12.75" hidden="false" customHeight="false" outlineLevel="0" collapsed="false">
      <c r="A44" s="6" t="n">
        <f aca="false">+A43+365/12</f>
        <v>36935.25</v>
      </c>
      <c r="O44" s="7" t="n">
        <v>9036</v>
      </c>
      <c r="P44" s="7" t="n">
        <v>10794</v>
      </c>
      <c r="Q44" s="7" t="n">
        <v>5270</v>
      </c>
      <c r="R44" s="8" t="n">
        <f aca="false">R43</f>
        <v>2.2906</v>
      </c>
      <c r="S44" s="8" t="n">
        <f aca="false">S43</f>
        <v>2.2793</v>
      </c>
      <c r="T44" s="7" t="n">
        <f aca="false">(($O44*R44)+($P44*R44)+($Q44*R44))*'Prices&amp;Fuel'!$H44</f>
        <v>1609833.68</v>
      </c>
      <c r="U44" s="7" t="n">
        <f aca="false">(($O44*S44)+($P44*S44)+($Q44*S44))*'Prices&amp;Fuel'!$H44</f>
        <v>1601892.04</v>
      </c>
      <c r="V44" s="14" t="n">
        <f aca="false">T44-U44</f>
        <v>7941.6399999999</v>
      </c>
      <c r="X44" s="7" t="n">
        <f aca="false">2000*0.5</f>
        <v>1000</v>
      </c>
      <c r="Y44" s="7" t="n">
        <f aca="false">X44</f>
        <v>1000</v>
      </c>
      <c r="Z44" s="27" t="n">
        <v>2.2</v>
      </c>
      <c r="AA44" s="27" t="n">
        <v>2.18</v>
      </c>
      <c r="AB44" s="7" t="n">
        <f aca="false">($X44+$Y44)*Z44*'Prices&amp;Fuel'!$H44</f>
        <v>123200</v>
      </c>
      <c r="AC44" s="7" t="n">
        <f aca="false">($X44+$Y44)*AA44*'Prices&amp;Fuel'!$H44</f>
        <v>122080</v>
      </c>
      <c r="AD44" s="14" t="n">
        <f aca="false">AB44-AC44</f>
        <v>1120</v>
      </c>
      <c r="AF44" s="7" t="n">
        <f aca="false">(32000/(1-'Prices&amp;Fuel'!F44))+(25000/(1-'Prices&amp;Fuel'!G44))-AI44</f>
        <v>58611.8251928021</v>
      </c>
      <c r="AG44" s="7" t="n">
        <v>0</v>
      </c>
      <c r="AH44" s="7" t="n">
        <f aca="false">(75000/(1-'Prices&amp;Fuel'!G44))-AK44</f>
        <v>77120.822622108</v>
      </c>
      <c r="AI44" s="7"/>
      <c r="AJ44" s="7"/>
      <c r="AK44" s="7"/>
      <c r="AL44" s="11" t="n">
        <f aca="false">ROUND((132000/(1-'Prices&amp;Fuel'!F44))-AF44-AG44-AH44,0)</f>
        <v>0</v>
      </c>
      <c r="AM44" s="7" t="n">
        <f aca="false">ROUND(IF(AF44&lt;AP44,0,(AF44-AP44-AI44)/2),0)</f>
        <v>0</v>
      </c>
      <c r="AO44" s="7" t="n">
        <f aca="false">ROUND((75000/(1-'Prices&amp;Fuel'!G44)-AV44-AK44)/2,0)</f>
        <v>38560</v>
      </c>
      <c r="AP44" s="7" t="n">
        <f aca="false">IF(80000&gt;AF44,AF44,80000)</f>
        <v>58611.8251928021</v>
      </c>
      <c r="AR44" s="7" t="n">
        <f aca="false">IF(AP44&gt;AF44,0,AF44-AM44-AP44)</f>
        <v>0</v>
      </c>
      <c r="AT44" s="14" t="n">
        <f aca="false">AH44-AO44-AV44</f>
        <v>38560.822622108</v>
      </c>
      <c r="AU44" s="14" t="n">
        <f aca="false">AL44*AX44*'Prices&amp;Fuel'!H44</f>
        <v>0</v>
      </c>
      <c r="AW44" s="68" t="n">
        <f aca="false">AW43</f>
        <v>0.1</v>
      </c>
      <c r="AX44" s="68" t="n">
        <f aca="false">AX43</f>
        <v>0.025</v>
      </c>
      <c r="AY44" s="5" t="n">
        <f aca="false">('Prices&amp;Fuel'!H44*('Prices&amp;Fuel'!B44+AW44)*'Long Term Deals'!AF44)+('Prices&amp;Fuel'!H44*('Prices&amp;Fuel'!C44+'Long Term Deals'!AW44)*'Long Term Deals'!AG44)+(AH44*('Prices&amp;Fuel'!C44+AW44)*'Prices&amp;Fuel'!H44)+(AW44*AL44*'Prices&amp;Fuel'!H44)</f>
        <v>9972894.60154242</v>
      </c>
      <c r="AZ44" s="5" t="n">
        <f aca="false">(AP44*'Prices&amp;Fuel'!H44*'Prices&amp;Fuel'!B44)+(AQ44*'Prices&amp;Fuel'!C44*'Prices&amp;Fuel'!H44)+((AM44+AR44)*('Prices&amp;Fuel'!B44+'Long Term Deals'!AX44)*'Prices&amp;Fuel'!H44)+((AN44+AS44)*('Prices&amp;Fuel'!C44+'Long Term Deals'!AX44)*'Prices&amp;Fuel'!H44)+((AO44+AT44)*('Prices&amp;Fuel'!D44+'Long Term Deals'!AX44)*'Prices&amp;Fuel'!H44)+(AV44*'Prices&amp;Fuel'!H44*'Prices&amp;Fuel'!Q44)+AU44</f>
        <v>9538858.61182519</v>
      </c>
      <c r="BA44" s="5" t="n">
        <f aca="false">AY44-AZ44</f>
        <v>434035.989717225</v>
      </c>
      <c r="BB44" s="5" t="n">
        <f aca="false">IF('FP Corp'!T44-((BE44+BF44+BG44)*(1-'Prices&amp;Fuel'!F44))&lt;'Prices&amp;Fuel'!R44,('FP Corp'!T44-(BE44+BF44+BG44)*(1-'Prices&amp;Fuel'!F44)),'Prices&amp;Fuel'!R44)/(1-'Prices&amp;Fuel'!F44)</f>
        <v>4325.96401028278</v>
      </c>
      <c r="BC44" s="9"/>
      <c r="BD44" s="9" t="n">
        <f aca="false">ROUND(IF('FP Corp'!T44/(1-'Prices&amp;Fuel'!F44)-BE44-BF44-BG44-BB44&gt;'Prices&amp;Fuel'!T44,'Prices&amp;Fuel'!T44,'FP Corp'!T44/(1-'Prices&amp;Fuel'!F44)-BE44-BF44-BG44-BB44),9)</f>
        <v>0</v>
      </c>
      <c r="BE44" s="9" t="n">
        <f aca="false">'Prices&amp;Fuel'!U44/(1-'Prices&amp;Fuel'!F44)</f>
        <v>2635.47557840617</v>
      </c>
      <c r="BF44" s="9" t="n">
        <f aca="false">('Prices&amp;Fuel'!V44+'Prices&amp;Fuel'!X44)/(1-'Prices&amp;Fuel'!F44)</f>
        <v>3645.2442159383</v>
      </c>
      <c r="BG44" s="9" t="n">
        <f aca="false">'Prices&amp;Fuel'!W44/(1-'Prices&amp;Fuel'!F44)</f>
        <v>1732.64781491003</v>
      </c>
      <c r="BH44" s="10" t="n">
        <f aca="false">('Prices&amp;Fuel'!C44+'Prices&amp;Fuel'!D44)/2-0.05+('Prices&amp;Fuel'!M44+'Prices&amp;Fuel'!P44)*(1-'Prices&amp;Fuel'!F44)</f>
        <v>3.25212475</v>
      </c>
      <c r="BI44" s="9" t="n">
        <f aca="false">IF(AP44=80000,0,BB44)</f>
        <v>4325.96401028278</v>
      </c>
      <c r="BJ44" s="9"/>
      <c r="BK44" s="10" t="n">
        <f aca="false">(((BB44+BE44)*('Prices&amp;Fuel'!B44+0.025))+(('Prices&amp;Fuel'!D44+0.025)*(BD44+BG44))+(('Prices&amp;Fuel'!C44+0.025)*(BC44+BF44))-(BI44+BJ44)*0.025)/(BB44+BC44+BD44+BE44+BF44+BG44)</f>
        <v>2.52536458333333</v>
      </c>
      <c r="BL44" s="9" t="n">
        <f aca="false">(BB44+BC44+BD44+BE44+BF44+BG44)*BH44*'Prices&amp;Fuel'!H44</f>
        <v>1123613.28123393</v>
      </c>
      <c r="BM44" s="9" t="n">
        <f aca="false">'Prices&amp;Fuel'!X44*('Prices&amp;Fuel'!N44+'Prices&amp;Fuel'!O44)*'Prices&amp;Fuel'!H44</f>
        <v>8089.452</v>
      </c>
      <c r="BN44" s="9" t="n">
        <f aca="false">('Prices&amp;Fuel'!U44+'Prices&amp;Fuel'!V44+'Prices&amp;Fuel'!W44)*('Prices&amp;Fuel'!L44+'Prices&amp;Fuel'!O44)*'Prices&amp;Fuel'!H44</f>
        <v>84210.84</v>
      </c>
      <c r="BO44" s="9" t="n">
        <f aca="false">((BB44+BC44+BD44)*(1-'Prices&amp;Fuel'!G44))*('Prices&amp;Fuel'!M44+'Prices&amp;Fuel'!P44)*'Prices&amp;Fuel'!H44</f>
        <v>94130.7836</v>
      </c>
      <c r="BP44" s="9" t="n">
        <f aca="false">((BD44+BC44+BB44+BE44+BF44+BG44)*BK44*'Prices&amp;Fuel'!H44)+BM44+BN44+BO44</f>
        <v>1058947.78511157</v>
      </c>
      <c r="BQ44" s="5" t="n">
        <f aca="false">BL44-BP44</f>
        <v>64665.4961223651</v>
      </c>
      <c r="CA44" s="5" t="n">
        <f aca="false">(AF44+AG44+AH44+AL44)*0.005*'Prices&amp;Fuel'!H44</f>
        <v>19002.5706940874</v>
      </c>
      <c r="CB44" s="5" t="n">
        <f aca="false">(B44+C44+D44+O44+P44+Q44+X44+Y44+BB44+BC44+BD44+BE44+BF44+BG44+BR44+BS44)*0.005*'Prices&amp;Fuel'!H44</f>
        <v>5521.50642673522</v>
      </c>
      <c r="CC44" s="7" t="n">
        <f aca="false">K44+T44+AB44+AY44+BL44+BX44</f>
        <v>12829541.5627764</v>
      </c>
      <c r="CD44" s="7" t="n">
        <f aca="false">L44+U44+AC44+AZ44+BP44+BY44+CA44+CB44</f>
        <v>12346302.5140576</v>
      </c>
      <c r="CE44" s="7" t="n">
        <f aca="false">CC44-CD44</f>
        <v>483239.048718767</v>
      </c>
      <c r="CF44" s="7" t="n">
        <f aca="false">'Index Price Deals'!AR44</f>
        <v>0</v>
      </c>
      <c r="CG44" s="7" t="n">
        <f aca="false">'Index Price Deals'!AS44</f>
        <v>0</v>
      </c>
      <c r="CH44" s="7" t="n">
        <f aca="false">'Index Price Deals'!AT44</f>
        <v>0</v>
      </c>
      <c r="CI44" s="7" t="n">
        <f aca="false">'Index Price Deals'!AU44</f>
        <v>0</v>
      </c>
      <c r="CJ44" s="7" t="n">
        <f aca="false">CC44+CF44</f>
        <v>12829541.5627764</v>
      </c>
      <c r="CK44" s="7" t="n">
        <f aca="false">CD44+CH44</f>
        <v>12346302.5140576</v>
      </c>
      <c r="CL44" s="7" t="n">
        <f aca="false">CE44+CI44</f>
        <v>483239.048718767</v>
      </c>
      <c r="CM44" s="69"/>
      <c r="CN44" s="7" t="n">
        <f aca="false">Transport!U44</f>
        <v>339789.5536</v>
      </c>
      <c r="CO44" s="71"/>
      <c r="CQ44" s="7" t="n">
        <f aca="false">(((($B44+$C44+$D44+$O44+$P44+$Q44)*0.5)+BR44+BS44)*(0.005*'Prices&amp;Fuel'!$H44)+'Index Price Deals'!AV44)+(((BB44+BC44+BD44+BE44+BF44+BG44)*(1-'Prices&amp;Fuel'!F44))*0.005*0.5*'Prices&amp;Fuel'!H44)</f>
        <v>2597</v>
      </c>
      <c r="CR44" s="7" t="n">
        <f aca="false">(((($B44+$C44+$D44+$O44+$P44+$Q44)*0.5)+X44+Y44)*(0.005*'Prices&amp;Fuel'!$H44)+CA44+'Index Price Deals'!AW44)+(((BB44+BC44+BD44+BE44+BF44+BG44)*(1-'Prices&amp;Fuel'!F44))*0.005*0.5*'Prices&amp;Fuel'!H44)</f>
        <v>21879.5706940874</v>
      </c>
      <c r="CS44" s="11" t="n">
        <f aca="false">'Short Term Firm For Budget'!E44</f>
        <v>119395.08</v>
      </c>
      <c r="CT44" s="7" t="n">
        <f aca="false">[2]Sheet1!$O56</f>
        <v>25108.3876284775</v>
      </c>
      <c r="CU44" s="7" t="n">
        <f aca="false">'[3]Long Term Deals'!$Z43</f>
        <v>-31518.1213919921</v>
      </c>
      <c r="CV44" s="70" t="n">
        <f aca="false">CL44-CN44-CT44+CU44+CS44+CO44</f>
        <v>206218.066098298</v>
      </c>
      <c r="CW44" s="14" t="n">
        <f aca="false">((B44+C44+D44+O44+P44+Q44+X44+Y44+AF44+AG44+AH44+BB44+BC44+BD44+BE44+BF44+BG44+BR44+BS44)+('Index Price Deals'!B44+'Index Price Deals'!C44+'Index Price Deals'!D44+'Index Price Deals'!L44+'Index Price Deals'!M44+'Index Price Deals'!N44+'Index Price Deals'!AD44+'Index Price Deals'!AE44+'Index Price Deals'!AF44+'Index Price Deals'!AK44+'Index Price Deals'!AL44+'Index Price Deals'!AM44))*'Prices&amp;Fuel'!H44</f>
        <v>4904815.42416452</v>
      </c>
      <c r="CX44" s="12" t="n">
        <f aca="false">BQ44/(BB44+BC44+BD44+BE44+BF44+BG44)/'Prices&amp;Fuel'!H44</f>
        <v>0.187164270770834</v>
      </c>
      <c r="CZ44" s="13" t="n">
        <f aca="false">(BA44-CT44+CU44)/(AF44+AG44+AH44)/'Prices&amp;Fuel'!H44</f>
        <v>0.0993048484787863</v>
      </c>
      <c r="DB44" s="1" t="n">
        <f aca="false">(O44+P44+Q44)*'Prices&amp;Fuel'!$H44</f>
        <v>702800</v>
      </c>
      <c r="DC44" s="1" t="n">
        <f aca="false">(X44+Y44)*'Prices&amp;Fuel'!$H44</f>
        <v>56000</v>
      </c>
      <c r="DE44" s="1" t="n">
        <v>132000</v>
      </c>
    </row>
    <row r="45" customFormat="false" ht="12.75" hidden="false" customHeight="false" outlineLevel="0" collapsed="false">
      <c r="A45" s="6" t="n">
        <f aca="false">+A44+365/12</f>
        <v>36965.6666666667</v>
      </c>
      <c r="O45" s="7" t="n">
        <v>9036</v>
      </c>
      <c r="P45" s="7" t="n">
        <v>10794</v>
      </c>
      <c r="Q45" s="7" t="n">
        <v>5270</v>
      </c>
      <c r="R45" s="8" t="n">
        <f aca="false">R44</f>
        <v>2.2906</v>
      </c>
      <c r="S45" s="8" t="n">
        <f aca="false">S44</f>
        <v>2.2793</v>
      </c>
      <c r="T45" s="7" t="n">
        <f aca="false">(($O45*R45)+($P45*R45)+($Q45*R45))*'Prices&amp;Fuel'!$H45</f>
        <v>1782315.86</v>
      </c>
      <c r="U45" s="7" t="n">
        <f aca="false">(($O45*S45)+($P45*S45)+($Q45*S45))*'Prices&amp;Fuel'!$H45</f>
        <v>1773523.33</v>
      </c>
      <c r="V45" s="14" t="n">
        <f aca="false">T45-U45</f>
        <v>8792.5299999998</v>
      </c>
      <c r="X45" s="7" t="n">
        <f aca="false">2000*0.5</f>
        <v>1000</v>
      </c>
      <c r="Y45" s="7" t="n">
        <f aca="false">X45</f>
        <v>1000</v>
      </c>
      <c r="Z45" s="27" t="n">
        <v>2.2</v>
      </c>
      <c r="AA45" s="27" t="n">
        <v>2.18</v>
      </c>
      <c r="AB45" s="7" t="n">
        <f aca="false">($X45+$Y45)*Z45*'Prices&amp;Fuel'!$H45</f>
        <v>136400</v>
      </c>
      <c r="AC45" s="7" t="n">
        <f aca="false">($X45+$Y45)*AA45*'Prices&amp;Fuel'!$H45</f>
        <v>135160</v>
      </c>
      <c r="AD45" s="14" t="n">
        <f aca="false">AB45-AC45</f>
        <v>1240</v>
      </c>
      <c r="AF45" s="7" t="n">
        <f aca="false">(32000/(1-'Prices&amp;Fuel'!F45))+(25000/(1-'Prices&amp;Fuel'!G45))-AI45</f>
        <v>58611.8251928021</v>
      </c>
      <c r="AG45" s="7" t="n">
        <v>0</v>
      </c>
      <c r="AH45" s="7" t="n">
        <f aca="false">(75000/(1-'Prices&amp;Fuel'!G45))-AK45</f>
        <v>77120.822622108</v>
      </c>
      <c r="AI45" s="7"/>
      <c r="AJ45" s="7"/>
      <c r="AK45" s="7"/>
      <c r="AL45" s="11" t="n">
        <f aca="false">ROUND((132000/(1-'Prices&amp;Fuel'!F45))-AF45-AG45-AH45,0)</f>
        <v>0</v>
      </c>
      <c r="AM45" s="7" t="n">
        <f aca="false">ROUND(IF(AF45&lt;AP45,0,(AF45-AP45-AI45)/2),0)</f>
        <v>0</v>
      </c>
      <c r="AO45" s="7" t="n">
        <f aca="false">ROUND((75000/(1-'Prices&amp;Fuel'!G45)-AV45-AK45)/2,0)</f>
        <v>38560</v>
      </c>
      <c r="AP45" s="7" t="n">
        <f aca="false">IF(80000&gt;AF45,AF45,80000)</f>
        <v>58611.8251928021</v>
      </c>
      <c r="AR45" s="7" t="n">
        <f aca="false">IF(AP45&gt;AF45,0,AF45-AM45-AP45)</f>
        <v>0</v>
      </c>
      <c r="AT45" s="14" t="n">
        <f aca="false">AH45-AO45-AV45</f>
        <v>38560.822622108</v>
      </c>
      <c r="AU45" s="14" t="n">
        <f aca="false">AL45*AX45*'Prices&amp;Fuel'!H45</f>
        <v>0</v>
      </c>
      <c r="AW45" s="68" t="n">
        <f aca="false">AW44</f>
        <v>0.1</v>
      </c>
      <c r="AX45" s="68" t="n">
        <f aca="false">AX44</f>
        <v>0.025</v>
      </c>
      <c r="AY45" s="5" t="n">
        <f aca="false">('Prices&amp;Fuel'!H45*('Prices&amp;Fuel'!B45+AW45)*'Long Term Deals'!AF45)+('Prices&amp;Fuel'!H45*('Prices&amp;Fuel'!C45+'Long Term Deals'!AW45)*'Long Term Deals'!AG45)+(AH45*('Prices&amp;Fuel'!C45+AW45)*'Prices&amp;Fuel'!H45)+(AW45*AL45*'Prices&amp;Fuel'!H45)</f>
        <v>11041419.0231362</v>
      </c>
      <c r="AZ45" s="5" t="n">
        <f aca="false">(AP45*'Prices&amp;Fuel'!H45*'Prices&amp;Fuel'!B45)+(AQ45*'Prices&amp;Fuel'!C45*'Prices&amp;Fuel'!H45)+((AM45+AR45)*('Prices&amp;Fuel'!B45+'Long Term Deals'!AX45)*'Prices&amp;Fuel'!H45)+((AN45+AS45)*('Prices&amp;Fuel'!C45+'Long Term Deals'!AX45)*'Prices&amp;Fuel'!H45)+((AO45+AT45)*('Prices&amp;Fuel'!D45+'Long Term Deals'!AX45)*'Prices&amp;Fuel'!H45)+(AV45*'Prices&amp;Fuel'!H45*'Prices&amp;Fuel'!Q45)+AU45</f>
        <v>10560879.1773779</v>
      </c>
      <c r="BA45" s="5" t="n">
        <f aca="false">AY45-AZ45</f>
        <v>480539.845758354</v>
      </c>
      <c r="BB45" s="5" t="n">
        <f aca="false">IF('FP Corp'!T45-((BE45+BF45+BG45)*(1-'Prices&amp;Fuel'!F45))&lt;'Prices&amp;Fuel'!R45,('FP Corp'!T45-(BE45+BF45+BG45)*(1-'Prices&amp;Fuel'!F45)),'Prices&amp;Fuel'!R45)/(1-'Prices&amp;Fuel'!F45)</f>
        <v>4325.96401028278</v>
      </c>
      <c r="BC45" s="9"/>
      <c r="BD45" s="9" t="n">
        <f aca="false">ROUND(IF('FP Corp'!T45/(1-'Prices&amp;Fuel'!F45)-BE45-BF45-BG45-BB45&gt;'Prices&amp;Fuel'!T45,'Prices&amp;Fuel'!T45,'FP Corp'!T45/(1-'Prices&amp;Fuel'!F45)-BE45-BF45-BG45-BB45),9)</f>
        <v>0</v>
      </c>
      <c r="BE45" s="9" t="n">
        <f aca="false">'Prices&amp;Fuel'!U45/(1-'Prices&amp;Fuel'!F45)</f>
        <v>2635.47557840617</v>
      </c>
      <c r="BF45" s="9" t="n">
        <f aca="false">('Prices&amp;Fuel'!V45+'Prices&amp;Fuel'!X45)/(1-'Prices&amp;Fuel'!F45)</f>
        <v>3645.2442159383</v>
      </c>
      <c r="BG45" s="9" t="n">
        <f aca="false">'Prices&amp;Fuel'!W45/(1-'Prices&amp;Fuel'!F45)</f>
        <v>1732.64781491003</v>
      </c>
      <c r="BH45" s="10" t="n">
        <f aca="false">('Prices&amp;Fuel'!C45+'Prices&amp;Fuel'!D45)/2-0.05+('Prices&amp;Fuel'!M45+'Prices&amp;Fuel'!P45)*(1-'Prices&amp;Fuel'!F45)</f>
        <v>3.25212475</v>
      </c>
      <c r="BI45" s="9" t="n">
        <f aca="false">IF(AP45=80000,0,BB45)</f>
        <v>4325.96401028278</v>
      </c>
      <c r="BJ45" s="9"/>
      <c r="BK45" s="10" t="n">
        <f aca="false">(((BB45+BE45)*('Prices&amp;Fuel'!B45+0.025))+(('Prices&amp;Fuel'!D45+0.025)*(BD45+BG45))+(('Prices&amp;Fuel'!C45+0.025)*(BC45+BF45))-(BI45+BJ45)*0.025)/(BB45+BC45+BD45+BE45+BF45+BG45)</f>
        <v>2.52536458333333</v>
      </c>
      <c r="BL45" s="9" t="n">
        <f aca="false">(BB45+BC45+BD45+BE45+BF45+BG45)*BH45*'Prices&amp;Fuel'!H45</f>
        <v>1244000.418509</v>
      </c>
      <c r="BM45" s="9" t="n">
        <f aca="false">'Prices&amp;Fuel'!X45*('Prices&amp;Fuel'!N45+'Prices&amp;Fuel'!O45)*'Prices&amp;Fuel'!H45</f>
        <v>8956.179</v>
      </c>
      <c r="BN45" s="9" t="n">
        <f aca="false">('Prices&amp;Fuel'!U45+'Prices&amp;Fuel'!V45+'Prices&amp;Fuel'!W45)*('Prices&amp;Fuel'!L45+'Prices&amp;Fuel'!O45)*'Prices&amp;Fuel'!H45</f>
        <v>93233.43</v>
      </c>
      <c r="BO45" s="9" t="n">
        <f aca="false">((BB45+BC45+BD45)*(1-'Prices&amp;Fuel'!G45))*('Prices&amp;Fuel'!M45+'Prices&amp;Fuel'!P45)*'Prices&amp;Fuel'!H45</f>
        <v>104216.2247</v>
      </c>
      <c r="BP45" s="9" t="n">
        <f aca="false">((BD45+BC45+BB45+BE45+BF45+BG45)*BK45*'Prices&amp;Fuel'!H45)+BM45+BN45+BO45</f>
        <v>1172406.47637352</v>
      </c>
      <c r="BQ45" s="5" t="n">
        <f aca="false">BL45-BP45</f>
        <v>71593.9421354758</v>
      </c>
      <c r="CA45" s="5" t="n">
        <f aca="false">(AF45+AG45+AH45+AL45)*0.005*'Prices&amp;Fuel'!H45</f>
        <v>21038.5604113111</v>
      </c>
      <c r="CB45" s="5" t="n">
        <f aca="false">(B45+C45+D45+O45+P45+Q45+X45+Y45+BB45+BC45+BD45+BE45+BF45+BG45+BR45+BS45)*0.005*'Prices&amp;Fuel'!H45</f>
        <v>6113.09640102828</v>
      </c>
      <c r="CC45" s="7" t="n">
        <f aca="false">K45+T45+AB45+AY45+BL45+BX45</f>
        <v>14204135.3016452</v>
      </c>
      <c r="CD45" s="7" t="n">
        <f aca="false">L45+U45+AC45+AZ45+BP45+BY45+CA45+CB45</f>
        <v>13669120.6405638</v>
      </c>
      <c r="CE45" s="7" t="n">
        <f aca="false">CC45-CD45</f>
        <v>535014.661081489</v>
      </c>
      <c r="CF45" s="7" t="n">
        <f aca="false">'Index Price Deals'!AR45</f>
        <v>0</v>
      </c>
      <c r="CG45" s="7" t="n">
        <f aca="false">'Index Price Deals'!AS45</f>
        <v>0</v>
      </c>
      <c r="CH45" s="7" t="n">
        <f aca="false">'Index Price Deals'!AT45</f>
        <v>0</v>
      </c>
      <c r="CI45" s="7" t="n">
        <f aca="false">'Index Price Deals'!AU45</f>
        <v>0</v>
      </c>
      <c r="CJ45" s="7" t="n">
        <f aca="false">CC45+CF45</f>
        <v>14204135.3016452</v>
      </c>
      <c r="CK45" s="7" t="n">
        <f aca="false">CD45+CH45</f>
        <v>13669120.6405638</v>
      </c>
      <c r="CL45" s="7" t="n">
        <f aca="false">CE45+CI45</f>
        <v>535014.661081489</v>
      </c>
      <c r="CM45" s="69"/>
      <c r="CN45" s="7" t="n">
        <f aca="false">Transport!U45</f>
        <v>376195.5772</v>
      </c>
      <c r="CO45" s="71"/>
      <c r="CQ45" s="7" t="n">
        <f aca="false">(((($B45+$C45+$D45+$O45+$P45+$Q45)*0.5)+BR45+BS45)*(0.005*'Prices&amp;Fuel'!$H45)+'Index Price Deals'!AV45)+(((BB45+BC45+BD45+BE45+BF45+BG45)*(1-'Prices&amp;Fuel'!F45))*0.005*0.5*'Prices&amp;Fuel'!H45)</f>
        <v>2875.25</v>
      </c>
      <c r="CR45" s="7" t="n">
        <f aca="false">(((($B45+$C45+$D45+$O45+$P45+$Q45)*0.5)+X45+Y45)*(0.005*'Prices&amp;Fuel'!$H45)+CA45+'Index Price Deals'!AW45)+(((BB45+BC45+BD45+BE45+BF45+BG45)*(1-'Prices&amp;Fuel'!F45))*0.005*0.5*'Prices&amp;Fuel'!H45)</f>
        <v>24223.8104113111</v>
      </c>
      <c r="CS45" s="11" t="n">
        <f aca="false">'Short Term Firm For Budget'!E45</f>
        <v>132187.41</v>
      </c>
      <c r="CT45" s="7" t="n">
        <f aca="false">[2]Sheet1!$O57</f>
        <v>27798.572017243</v>
      </c>
      <c r="CU45" s="7" t="n">
        <f aca="false">'[3]Long Term Deals'!$Z44</f>
        <v>-34895.0629697055</v>
      </c>
      <c r="CV45" s="70" t="n">
        <f aca="false">CL45-CN45-CT45+CU45+CS45+CO45</f>
        <v>228312.858894541</v>
      </c>
      <c r="CW45" s="14" t="n">
        <f aca="false">((B45+C45+D45+O45+P45+Q45+X45+Y45+AF45+AG45+AH45+BB45+BC45+BD45+BE45+BF45+BG45+BR45+BS45)+('Index Price Deals'!B45+'Index Price Deals'!C45+'Index Price Deals'!D45+'Index Price Deals'!L45+'Index Price Deals'!M45+'Index Price Deals'!N45+'Index Price Deals'!AD45+'Index Price Deals'!AE45+'Index Price Deals'!AF45+'Index Price Deals'!AK45+'Index Price Deals'!AL45+'Index Price Deals'!AM45))*'Prices&amp;Fuel'!H45</f>
        <v>5430331.36246787</v>
      </c>
      <c r="CX45" s="12" t="n">
        <f aca="false">BQ45/(BB45+BC45+BD45+BE45+BF45+BG45)/'Prices&amp;Fuel'!H45</f>
        <v>0.187164270770834</v>
      </c>
      <c r="CZ45" s="13" t="n">
        <f aca="false">(BA45-CT45+CU45)/(AF45+AG45+AH45)/'Prices&amp;Fuel'!H45</f>
        <v>0.0993048484787859</v>
      </c>
      <c r="DB45" s="1" t="n">
        <f aca="false">(O45+P45+Q45)*'Prices&amp;Fuel'!$H45</f>
        <v>778100</v>
      </c>
      <c r="DC45" s="1" t="n">
        <f aca="false">(X45+Y45)*'Prices&amp;Fuel'!$H45</f>
        <v>62000</v>
      </c>
      <c r="DE45" s="1" t="n">
        <v>132000</v>
      </c>
    </row>
    <row r="46" customFormat="false" ht="12.75" hidden="false" customHeight="false" outlineLevel="0" collapsed="false">
      <c r="A46" s="6" t="n">
        <f aca="false">+A45+365/12</f>
        <v>36996.0833333333</v>
      </c>
      <c r="O46" s="7" t="n">
        <v>9036</v>
      </c>
      <c r="P46" s="7" t="n">
        <v>10794</v>
      </c>
      <c r="Q46" s="7" t="n">
        <v>5270</v>
      </c>
      <c r="R46" s="8" t="n">
        <f aca="false">R45</f>
        <v>2.2906</v>
      </c>
      <c r="S46" s="8" t="n">
        <f aca="false">S45</f>
        <v>2.2793</v>
      </c>
      <c r="T46" s="7" t="n">
        <f aca="false">(($O46*R46)+($P46*R46)+($Q46*R46))*'Prices&amp;Fuel'!$H46</f>
        <v>1724821.8</v>
      </c>
      <c r="U46" s="7" t="n">
        <f aca="false">(($O46*S46)+($P46*S46)+($Q46*S46))*'Prices&amp;Fuel'!$H46</f>
        <v>1716312.9</v>
      </c>
      <c r="V46" s="14" t="n">
        <f aca="false">T46-U46</f>
        <v>8508.89999999991</v>
      </c>
      <c r="X46" s="7" t="n">
        <f aca="false">2000*0.5</f>
        <v>1000</v>
      </c>
      <c r="Y46" s="7" t="n">
        <f aca="false">X46</f>
        <v>1000</v>
      </c>
      <c r="Z46" s="27" t="n">
        <v>2.2</v>
      </c>
      <c r="AA46" s="27" t="n">
        <v>2.18</v>
      </c>
      <c r="AB46" s="7" t="n">
        <f aca="false">($X46+$Y46)*Z46*'Prices&amp;Fuel'!$H46</f>
        <v>132000</v>
      </c>
      <c r="AC46" s="7" t="n">
        <f aca="false">($X46+$Y46)*AA46*'Prices&amp;Fuel'!$H46</f>
        <v>130800</v>
      </c>
      <c r="AD46" s="14" t="n">
        <f aca="false">AB46-AC46</f>
        <v>1200</v>
      </c>
      <c r="AF46" s="7" t="n">
        <f aca="false">(32000/(1-'Prices&amp;Fuel'!F46))+(25000/(1-'Prices&amp;Fuel'!G46))-AI46</f>
        <v>58611.8251928021</v>
      </c>
      <c r="AG46" s="7" t="n">
        <v>0</v>
      </c>
      <c r="AH46" s="7" t="n">
        <f aca="false">(75000/(1-'Prices&amp;Fuel'!G46))-AK46</f>
        <v>77120.822622108</v>
      </c>
      <c r="AI46" s="7"/>
      <c r="AJ46" s="7"/>
      <c r="AK46" s="7"/>
      <c r="AL46" s="11" t="n">
        <f aca="false">ROUND((132000/(1-'Prices&amp;Fuel'!F46))-AF46-AG46-AH46,0)</f>
        <v>0</v>
      </c>
      <c r="AM46" s="7" t="n">
        <f aca="false">ROUND(IF(AF46&lt;AP46,0,(AF46-AP46-AI46)/2),0)</f>
        <v>0</v>
      </c>
      <c r="AO46" s="7" t="n">
        <f aca="false">ROUND((75000/(1-'Prices&amp;Fuel'!G46)-AV46-AK46)/2,0)</f>
        <v>38560</v>
      </c>
      <c r="AP46" s="7" t="n">
        <f aca="false">IF(80000&gt;AF46,AF46,80000)</f>
        <v>58611.8251928021</v>
      </c>
      <c r="AR46" s="7" t="n">
        <f aca="false">IF(AP46&gt;AF46,0,AF46-AM46-AP46)</f>
        <v>0</v>
      </c>
      <c r="AT46" s="14" t="n">
        <f aca="false">AH46-AO46-AV46</f>
        <v>38560.822622108</v>
      </c>
      <c r="AU46" s="14" t="n">
        <f aca="false">AL46*AX46*'Prices&amp;Fuel'!H46</f>
        <v>0</v>
      </c>
      <c r="AW46" s="68" t="n">
        <f aca="false">AW45</f>
        <v>0.1</v>
      </c>
      <c r="AX46" s="68" t="n">
        <f aca="false">AX45</f>
        <v>0.025</v>
      </c>
      <c r="AY46" s="5" t="n">
        <f aca="false">('Prices&amp;Fuel'!H46*('Prices&amp;Fuel'!B46+AW46)*'Long Term Deals'!AF46)+('Prices&amp;Fuel'!H46*('Prices&amp;Fuel'!C46+'Long Term Deals'!AW46)*'Long Term Deals'!AG46)+(AH46*('Prices&amp;Fuel'!C46+AW46)*'Prices&amp;Fuel'!H46)+(AW46*AL46*'Prices&amp;Fuel'!H46)</f>
        <v>11784678.6632391</v>
      </c>
      <c r="AZ46" s="5" t="n">
        <f aca="false">(AP46*'Prices&amp;Fuel'!H46*'Prices&amp;Fuel'!B46)+(AQ46*'Prices&amp;Fuel'!C46*'Prices&amp;Fuel'!H46)+((AM46+AR46)*('Prices&amp;Fuel'!B46+'Long Term Deals'!AX46)*'Prices&amp;Fuel'!H46)+((AN46+AS46)*('Prices&amp;Fuel'!C46+'Long Term Deals'!AX46)*'Prices&amp;Fuel'!H46)+((AO46+AT46)*('Prices&amp;Fuel'!D46+'Long Term Deals'!AX46)*'Prices&amp;Fuel'!H46)+(AV46*'Prices&amp;Fuel'!H46*'Prices&amp;Fuel'!Q46)+AU46</f>
        <v>11319640.1028278</v>
      </c>
      <c r="BA46" s="5" t="n">
        <f aca="false">AY46-AZ46</f>
        <v>465038.560411312</v>
      </c>
      <c r="BB46" s="5" t="n">
        <f aca="false">IF('FP Corp'!T46-((BE46+BF46+BG46)*(1-'Prices&amp;Fuel'!F46))&lt;'Prices&amp;Fuel'!R46,('FP Corp'!T46-(BE46+BF46+BG46)*(1-'Prices&amp;Fuel'!F46)),'Prices&amp;Fuel'!R46)/(1-'Prices&amp;Fuel'!F46)</f>
        <v>6278.66323907455</v>
      </c>
      <c r="BC46" s="9"/>
      <c r="BD46" s="9" t="n">
        <f aca="false">ROUND(IF('FP Corp'!T46/(1-'Prices&amp;Fuel'!F46)-BE46-BF46-BG46-BB46&gt;'Prices&amp;Fuel'!T46,'Prices&amp;Fuel'!T46,'FP Corp'!T46/(1-'Prices&amp;Fuel'!F46)-BE46-BF46-BG46-BB46),9)</f>
        <v>0</v>
      </c>
      <c r="BE46" s="9" t="n">
        <f aca="false">'Prices&amp;Fuel'!U46/(1-'Prices&amp;Fuel'!F46)</f>
        <v>1933.16195372751</v>
      </c>
      <c r="BF46" s="9" t="n">
        <f aca="false">('Prices&amp;Fuel'!V46+'Prices&amp;Fuel'!X46)/(1-'Prices&amp;Fuel'!F46)</f>
        <v>2833.93316195373</v>
      </c>
      <c r="BG46" s="9" t="n">
        <f aca="false">'Prices&amp;Fuel'!W46/(1-'Prices&amp;Fuel'!F46)</f>
        <v>1293.57326478149</v>
      </c>
      <c r="BH46" s="10" t="n">
        <f aca="false">('Prices&amp;Fuel'!C46+'Prices&amp;Fuel'!D46)/2-0.05+('Prices&amp;Fuel'!M46+'Prices&amp;Fuel'!P46)*(1-'Prices&amp;Fuel'!F46)</f>
        <v>3.52212475</v>
      </c>
      <c r="BI46" s="9" t="n">
        <f aca="false">IF(AP46=80000,0,BB46)</f>
        <v>6278.66323907455</v>
      </c>
      <c r="BJ46" s="9"/>
      <c r="BK46" s="10" t="n">
        <f aca="false">(((BB46+BE46)*('Prices&amp;Fuel'!B46+0.025))+(('Prices&amp;Fuel'!D46+0.025)*(BD46+BG46))+(('Prices&amp;Fuel'!C46+0.025)*(BC46+BF46))-(BI46+BJ46)*0.025)/(BB46+BC46+BD46+BE46+BF46+BG46)</f>
        <v>2.7871075</v>
      </c>
      <c r="BL46" s="9" t="n">
        <f aca="false">(BB46+BC46+BD46+BE46+BF46+BG46)*BH46*'Prices&amp;Fuel'!H46</f>
        <v>1303819.95886889</v>
      </c>
      <c r="BM46" s="9" t="n">
        <f aca="false">'Prices&amp;Fuel'!X46*('Prices&amp;Fuel'!N46+'Prices&amp;Fuel'!O46)*'Prices&amp;Fuel'!H46</f>
        <v>8667.27</v>
      </c>
      <c r="BN46" s="9" t="n">
        <f aca="false">('Prices&amp;Fuel'!U46+'Prices&amp;Fuel'!V46+'Prices&amp;Fuel'!W46)*('Prices&amp;Fuel'!L46+'Prices&amp;Fuel'!O46)*'Prices&amp;Fuel'!H46</f>
        <v>66127.59</v>
      </c>
      <c r="BO46" s="9" t="n">
        <f aca="false">((BB46+BC46+BD46)*(1-'Prices&amp;Fuel'!G46))*('Prices&amp;Fuel'!M46+'Prices&amp;Fuel'!P46)*'Prices&amp;Fuel'!H46</f>
        <v>146379.138</v>
      </c>
      <c r="BP46" s="9" t="n">
        <f aca="false">((BD46+BC46+BB46+BE46+BF46+BG46)*BK46*'Prices&amp;Fuel'!H46)+BM46+BN46+BO46</f>
        <v>1252905.30905399</v>
      </c>
      <c r="BQ46" s="5" t="n">
        <f aca="false">BL46-BP46</f>
        <v>50914.6498149098</v>
      </c>
      <c r="CA46" s="5" t="n">
        <f aca="false">(AF46+AG46+AH46+AL46)*0.005*'Prices&amp;Fuel'!H46</f>
        <v>20359.8971722365</v>
      </c>
      <c r="CB46" s="5" t="n">
        <f aca="false">(B46+C46+D46+O46+P46+Q46+X46+Y46+BB46+BC46+BD46+BE46+BF46+BG46+BR46+BS46)*0.005*'Prices&amp;Fuel'!H46</f>
        <v>5915.89974293059</v>
      </c>
      <c r="CC46" s="7" t="n">
        <f aca="false">K46+T46+AB46+AY46+BL46+BX46</f>
        <v>14945320.422108</v>
      </c>
      <c r="CD46" s="7" t="n">
        <f aca="false">L46+U46+AC46+AZ46+BP46+BY46+CA46+CB46</f>
        <v>14445934.1087969</v>
      </c>
      <c r="CE46" s="7" t="n">
        <f aca="false">CC46-CD46</f>
        <v>499386.313311053</v>
      </c>
      <c r="CF46" s="7" t="n">
        <f aca="false">'Index Price Deals'!AR46</f>
        <v>0</v>
      </c>
      <c r="CG46" s="7" t="n">
        <f aca="false">'Index Price Deals'!AS46</f>
        <v>0</v>
      </c>
      <c r="CH46" s="7" t="n">
        <f aca="false">'Index Price Deals'!AT46</f>
        <v>0</v>
      </c>
      <c r="CI46" s="7" t="n">
        <f aca="false">'Index Price Deals'!AU46</f>
        <v>0</v>
      </c>
      <c r="CJ46" s="7" t="n">
        <f aca="false">CC46+CF46</f>
        <v>14945320.422108</v>
      </c>
      <c r="CK46" s="7" t="n">
        <f aca="false">CD46+CH46</f>
        <v>14445934.1087969</v>
      </c>
      <c r="CL46" s="7" t="n">
        <f aca="false">CE46+CI46</f>
        <v>499386.313311053</v>
      </c>
      <c r="CM46" s="69"/>
      <c r="CN46" s="7" t="n">
        <f aca="false">Transport!U46</f>
        <v>550804.488</v>
      </c>
      <c r="CO46" s="71"/>
      <c r="CQ46" s="7" t="n">
        <f aca="false">(((($B46+$C46+$D46+$O46+$P46+$Q46)*0.5)+BR46+BS46)*(0.005*'Prices&amp;Fuel'!$H46)+'Index Price Deals'!AV46)+(((BB46+BC46+BD46+BE46+BF46+BG46)*(1-'Prices&amp;Fuel'!F46))*0.005*0.5*'Prices&amp;Fuel'!H46)</f>
        <v>2782.5</v>
      </c>
      <c r="CR46" s="7" t="n">
        <f aca="false">(((($B46+$C46+$D46+$O46+$P46+$Q46)*0.5)+X46+Y46)*(0.005*'Prices&amp;Fuel'!$H46)+CA46+'Index Price Deals'!AW46)+(((BB46+BC46+BD46+BE46+BF46+BG46)*(1-'Prices&amp;Fuel'!F46))*0.005*0.5*'Prices&amp;Fuel'!H46)</f>
        <v>23442.3971722365</v>
      </c>
      <c r="CS46" s="11" t="n">
        <f aca="false">'Short Term Firm For Budget'!E46</f>
        <v>193541.4</v>
      </c>
      <c r="CT46" s="7" t="n">
        <f aca="false">[2]Sheet1!$O58</f>
        <v>26901.8438876545</v>
      </c>
      <c r="CU46" s="7" t="n">
        <f aca="false">'[3]Long Term Deals'!$Z45</f>
        <v>-33769.4157771343</v>
      </c>
      <c r="CV46" s="70" t="n">
        <f aca="false">CL46-CN46-CT46+CU46+CS46+CO46</f>
        <v>81451.9656462646</v>
      </c>
      <c r="CW46" s="14" t="n">
        <f aca="false">((B46+C46+D46+O46+P46+Q46+X46+Y46+AF46+AG46+AH46+BB46+BC46+BD46+BE46+BF46+BG46+BR46+BS46)+('Index Price Deals'!B46+'Index Price Deals'!C46+'Index Price Deals'!D46+'Index Price Deals'!L46+'Index Price Deals'!M46+'Index Price Deals'!N46+'Index Price Deals'!AD46+'Index Price Deals'!AE46+'Index Price Deals'!AF46+'Index Price Deals'!AK46+'Index Price Deals'!AL46+'Index Price Deals'!AM46))*'Prices&amp;Fuel'!H46</f>
        <v>5255159.38303342</v>
      </c>
      <c r="CX46" s="12" t="n">
        <f aca="false">BQ46/(BB46+BC46+BD46+BE46+BF46+BG46)/'Prices&amp;Fuel'!H46</f>
        <v>0.137540269291666</v>
      </c>
      <c r="CZ46" s="13" t="n">
        <f aca="false">(BA46-CT46+CU46)/(AF46+AG46+AH46)/'Prices&amp;Fuel'!H46</f>
        <v>0.0993048484787862</v>
      </c>
      <c r="DB46" s="1" t="n">
        <f aca="false">(O46+P46+Q46)*'Prices&amp;Fuel'!$H46</f>
        <v>753000</v>
      </c>
      <c r="DC46" s="1" t="n">
        <f aca="false">(X46+Y46)*'Prices&amp;Fuel'!$H46</f>
        <v>60000</v>
      </c>
      <c r="DE46" s="1" t="n">
        <v>132000</v>
      </c>
    </row>
    <row r="47" customFormat="false" ht="12.75" hidden="false" customHeight="false" outlineLevel="0" collapsed="false">
      <c r="A47" s="6" t="n">
        <f aca="false">+A46+365/12</f>
        <v>37026.5</v>
      </c>
      <c r="O47" s="7" t="n">
        <v>9036</v>
      </c>
      <c r="P47" s="7" t="n">
        <v>10794</v>
      </c>
      <c r="Q47" s="7" t="n">
        <v>5270</v>
      </c>
      <c r="R47" s="8" t="n">
        <f aca="false">R46</f>
        <v>2.2906</v>
      </c>
      <c r="S47" s="8" t="n">
        <f aca="false">S46</f>
        <v>2.2793</v>
      </c>
      <c r="T47" s="7" t="n">
        <f aca="false">(($O47*R47)+($P47*R47)+($Q47*R47))*'Prices&amp;Fuel'!$H47</f>
        <v>1782315.86</v>
      </c>
      <c r="U47" s="7" t="n">
        <f aca="false">(($O47*S47)+($P47*S47)+($Q47*S47))*'Prices&amp;Fuel'!$H47</f>
        <v>1773523.33</v>
      </c>
      <c r="V47" s="14" t="n">
        <f aca="false">T47-U47</f>
        <v>8792.5299999998</v>
      </c>
      <c r="X47" s="7" t="n">
        <f aca="false">2000*0.5</f>
        <v>1000</v>
      </c>
      <c r="Y47" s="7" t="n">
        <f aca="false">X47</f>
        <v>1000</v>
      </c>
      <c r="Z47" s="27" t="n">
        <v>2.2</v>
      </c>
      <c r="AA47" s="27" t="n">
        <v>2.18</v>
      </c>
      <c r="AB47" s="7" t="n">
        <f aca="false">($X47+$Y47)*Z47*'Prices&amp;Fuel'!$H47</f>
        <v>136400</v>
      </c>
      <c r="AC47" s="7" t="n">
        <f aca="false">($X47+$Y47)*AA47*'Prices&amp;Fuel'!$H47</f>
        <v>135160</v>
      </c>
      <c r="AD47" s="14" t="n">
        <f aca="false">AB47-AC47</f>
        <v>1240</v>
      </c>
      <c r="AF47" s="7" t="n">
        <f aca="false">((126000)/(1-'Prices&amp;Fuel'!F47))+(25000/(1-'Prices&amp;Fuel'!G47))-AI47</f>
        <v>155269.922879177</v>
      </c>
      <c r="AG47" s="7" t="n">
        <v>0</v>
      </c>
      <c r="AH47" s="7" t="n">
        <f aca="false">(75000/(1-'Prices&amp;Fuel'!G47))-AK47</f>
        <v>77120.822622108</v>
      </c>
      <c r="AI47" s="7"/>
      <c r="AJ47" s="7"/>
      <c r="AK47" s="7"/>
      <c r="AL47" s="11" t="n">
        <f aca="false">ROUND((226000/(1-'Prices&amp;Fuel'!F47))-AF47-AG47-AH47,0)</f>
        <v>0</v>
      </c>
      <c r="AM47" s="7" t="n">
        <f aca="false">ROUND(IF(AF47&lt;AP47,0,(AF47-AP47-AI47)/2),0)</f>
        <v>37635</v>
      </c>
      <c r="AO47" s="7" t="n">
        <f aca="false">ROUND((75000/(1-'Prices&amp;Fuel'!G47)-AV47-AK47)/2,0)</f>
        <v>38560</v>
      </c>
      <c r="AP47" s="7" t="n">
        <f aca="false">IF(80000&gt;AF47,AF47,80000)</f>
        <v>80000</v>
      </c>
      <c r="AR47" s="7" t="n">
        <f aca="false">IF(AP47&gt;AF47,0,AF47-AM47-AP47)</f>
        <v>37634.9228791774</v>
      </c>
      <c r="AT47" s="14" t="n">
        <f aca="false">AH47-AO47-AV47</f>
        <v>38560.822622108</v>
      </c>
      <c r="AU47" s="14" t="n">
        <f aca="false">AL47*AX47*'Prices&amp;Fuel'!H47</f>
        <v>0</v>
      </c>
      <c r="AW47" s="68" t="n">
        <f aca="false">AW46</f>
        <v>0.1</v>
      </c>
      <c r="AX47" s="68" t="n">
        <f aca="false">AX46</f>
        <v>0.025</v>
      </c>
      <c r="AY47" s="5" t="n">
        <f aca="false">('Prices&amp;Fuel'!H47*('Prices&amp;Fuel'!B47+AW47)*'Long Term Deals'!AF47)+('Prices&amp;Fuel'!H47*('Prices&amp;Fuel'!C47+'Long Term Deals'!AW47)*'Long Term Deals'!AG47)+(AH47*('Prices&amp;Fuel'!C47+AW47)*'Prices&amp;Fuel'!H47)+(AW47*AL47*'Prices&amp;Fuel'!H47)</f>
        <v>22115989.7172237</v>
      </c>
      <c r="AZ47" s="5" t="n">
        <f aca="false">(AP47*'Prices&amp;Fuel'!H47*'Prices&amp;Fuel'!B47)+(AQ47*'Prices&amp;Fuel'!C47*'Prices&amp;Fuel'!H47)+((AM47+AR47)*('Prices&amp;Fuel'!B47+'Long Term Deals'!AX47)*'Prices&amp;Fuel'!H47)+((AN47+AS47)*('Prices&amp;Fuel'!C47+'Long Term Deals'!AX47)*'Prices&amp;Fuel'!H47)+((AO47+AT47)*('Prices&amp;Fuel'!D47+'Long Term Deals'!AX47)*'Prices&amp;Fuel'!H47)+(AV47*'Prices&amp;Fuel'!H47*'Prices&amp;Fuel'!Q47)+AU47</f>
        <v>21394143.9588689</v>
      </c>
      <c r="BA47" s="5" t="n">
        <f aca="false">AY47-AZ47</f>
        <v>721845.758354757</v>
      </c>
      <c r="BB47" s="5" t="n">
        <f aca="false">IF('FP Corp'!T47-((BE47+BF47+BG47)*(1-'Prices&amp;Fuel'!F47))&lt;'Prices&amp;Fuel'!R47,('FP Corp'!T47-(BE47+BF47+BG47)*(1-'Prices&amp;Fuel'!F47)),'Prices&amp;Fuel'!R47)/(1-'Prices&amp;Fuel'!F47)</f>
        <v>8976.86375321337</v>
      </c>
      <c r="BC47" s="9"/>
      <c r="BD47" s="9" t="n">
        <f aca="false">ROUND(IF('FP Corp'!T47/(1-'Prices&amp;Fuel'!F47)-BE47-BF47-BG47-BB47&gt;'Prices&amp;Fuel'!T47,'Prices&amp;Fuel'!T47,'FP Corp'!T47/(1-'Prices&amp;Fuel'!F47)-BE47-BF47-BG47-BB47),9)</f>
        <v>6556.298200514</v>
      </c>
      <c r="BE47" s="9" t="n">
        <f aca="false">'Prices&amp;Fuel'!U47/(1-'Prices&amp;Fuel'!F47)</f>
        <v>1933.16195372751</v>
      </c>
      <c r="BF47" s="9" t="n">
        <f aca="false">('Prices&amp;Fuel'!V47+'Prices&amp;Fuel'!X47)/(1-'Prices&amp;Fuel'!F47)</f>
        <v>3062.21079691517</v>
      </c>
      <c r="BG47" s="9" t="n">
        <f aca="false">'Prices&amp;Fuel'!W47/(1-'Prices&amp;Fuel'!F47)</f>
        <v>1065.29562982005</v>
      </c>
      <c r="BH47" s="10" t="n">
        <f aca="false">('Prices&amp;Fuel'!C47+'Prices&amp;Fuel'!D47)/2-0.05+('Prices&amp;Fuel'!M47+'Prices&amp;Fuel'!P47)*(1-'Prices&amp;Fuel'!F47)</f>
        <v>3.68392225</v>
      </c>
      <c r="BI47" s="9" t="n">
        <f aca="false">IF(AP47=80000,0,BB47)</f>
        <v>0</v>
      </c>
      <c r="BJ47" s="9"/>
      <c r="BK47" s="10" t="n">
        <f aca="false">(((BB47+BE47)*('Prices&amp;Fuel'!B47+0.025))+(('Prices&amp;Fuel'!D47+0.025)*(BD47+BG47))+(('Prices&amp;Fuel'!C47+0.025)*(BC47+BF47))-(BI47+BJ47)*0.025)/(BB47+BC47+BD47+BE47+BF47+BG47)</f>
        <v>2.9870380952381</v>
      </c>
      <c r="BL47" s="9" t="n">
        <f aca="false">(BB47+BC47+BD47+BE47+BF47+BG47)*BH47*'Prices&amp;Fuel'!H47</f>
        <v>2466049.75295628</v>
      </c>
      <c r="BM47" s="9" t="n">
        <f aca="false">'Prices&amp;Fuel'!X47*('Prices&amp;Fuel'!N47+'Prices&amp;Fuel'!O47)*'Prices&amp;Fuel'!H47</f>
        <v>8956.179</v>
      </c>
      <c r="BN47" s="9" t="n">
        <f aca="false">('Prices&amp;Fuel'!U47+'Prices&amp;Fuel'!V47+'Prices&amp;Fuel'!W47)*('Prices&amp;Fuel'!L47+'Prices&amp;Fuel'!O47)*'Prices&amp;Fuel'!H47</f>
        <v>68331.843</v>
      </c>
      <c r="BO47" s="9" t="n">
        <f aca="false">((BB47+BC47+BD47)*(1-'Prices&amp;Fuel'!G47))*('Prices&amp;Fuel'!M47+'Prices&amp;Fuel'!P47)*'Prices&amp;Fuel'!H47</f>
        <v>360627.048599997</v>
      </c>
      <c r="BP47" s="9" t="n">
        <f aca="false">((BD47+BC47+BB47+BE47+BF47+BG47)*BK47*'Prices&amp;Fuel'!H47)+BM47+BN47+BO47</f>
        <v>2437464.47934034</v>
      </c>
      <c r="BQ47" s="5" t="n">
        <f aca="false">BL47-BP47</f>
        <v>28585.2736159386</v>
      </c>
      <c r="CA47" s="5" t="n">
        <f aca="false">(AF47+AG47+AH47+AL47)*0.005*'Prices&amp;Fuel'!H47</f>
        <v>36020.5655526992</v>
      </c>
      <c r="CB47" s="5" t="n">
        <f aca="false">(B47+C47+D47+O47+P47+Q47+X47+Y47+BB47+BC47+BD47+BE47+BF47+BG47+BR47+BS47)*0.005*'Prices&amp;Fuel'!H47</f>
        <v>7547.54370179946</v>
      </c>
      <c r="CC47" s="7" t="n">
        <f aca="false">K47+T47+AB47+AY47+BL47+BX47</f>
        <v>26500755.3301799</v>
      </c>
      <c r="CD47" s="7" t="n">
        <f aca="false">L47+U47+AC47+AZ47+BP47+BY47+CA47+CB47</f>
        <v>25783859.8774637</v>
      </c>
      <c r="CE47" s="7" t="n">
        <f aca="false">CC47-CD47</f>
        <v>716895.452716194</v>
      </c>
      <c r="CF47" s="7" t="n">
        <f aca="false">'Index Price Deals'!AR47</f>
        <v>0</v>
      </c>
      <c r="CG47" s="7" t="n">
        <f aca="false">'Index Price Deals'!AS47</f>
        <v>0</v>
      </c>
      <c r="CH47" s="7" t="n">
        <f aca="false">'Index Price Deals'!AT47</f>
        <v>0</v>
      </c>
      <c r="CI47" s="7" t="n">
        <f aca="false">'Index Price Deals'!AU47</f>
        <v>0</v>
      </c>
      <c r="CJ47" s="7" t="n">
        <f aca="false">CC47+CF47</f>
        <v>26500755.3301799</v>
      </c>
      <c r="CK47" s="7" t="n">
        <f aca="false">CD47+CH47</f>
        <v>25783859.8774637</v>
      </c>
      <c r="CL47" s="7" t="n">
        <f aca="false">CE47+CI47</f>
        <v>716895.452716194</v>
      </c>
      <c r="CM47" s="69"/>
      <c r="CN47" s="7" t="n">
        <f aca="false">Transport!U47</f>
        <v>3.16872756229714E-009</v>
      </c>
      <c r="CO47" s="71"/>
      <c r="CQ47" s="7" t="n">
        <f aca="false">(((($B47+$C47+$D47+$O47+$P47+$Q47)*0.5)+BR47+BS47)*(0.005*'Prices&amp;Fuel'!$H47)+'Index Price Deals'!AV47)+(((BB47+BC47+BD47+BE47+BF47+BG47)*(1-'Prices&amp;Fuel'!F47))*0.005*0.5*'Prices&amp;Fuel'!H47)</f>
        <v>3572.74999999999</v>
      </c>
      <c r="CR47" s="7" t="n">
        <f aca="false">(((($B47+$C47+$D47+$O47+$P47+$Q47)*0.5)+X47+Y47)*(0.005*'Prices&amp;Fuel'!$H47)+CA47+'Index Price Deals'!AW47)+(((BB47+BC47+BD47+BE47+BF47+BG47)*(1-'Prices&amp;Fuel'!F47))*0.005*0.5*'Prices&amp;Fuel'!H47)</f>
        <v>39903.3155526992</v>
      </c>
      <c r="CS47" s="11" t="n">
        <f aca="false">'Short Term Firm For Budget'!E47</f>
        <v>0</v>
      </c>
      <c r="CT47" s="7" t="n">
        <f aca="false">[2]Sheet1!$O59</f>
        <v>47594.5248174008</v>
      </c>
      <c r="CU47" s="7" t="n">
        <f aca="false">'[3]Long Term Deals'!$Z46</f>
        <v>-43972.9018835931</v>
      </c>
      <c r="CV47" s="70" t="n">
        <f aca="false">CL47-CN47-CT47+CU47+CS47+CO47</f>
        <v>625328.026015197</v>
      </c>
      <c r="CW47" s="14" t="n">
        <f aca="false">((B47+C47+D47+O47+P47+Q47+X47+Y47+AF47+AG47+AH47+BB47+BC47+BD47+BE47+BF47+BG47+BR47+BS47)+('Index Price Deals'!B47+'Index Price Deals'!C47+'Index Price Deals'!D47+'Index Price Deals'!L47+'Index Price Deals'!M47+'Index Price Deals'!N47+'Index Price Deals'!AD47+'Index Price Deals'!AE47+'Index Price Deals'!AF47+'Index Price Deals'!AK47+'Index Price Deals'!AL47+'Index Price Deals'!AM47))*'Prices&amp;Fuel'!H47</f>
        <v>8713621.85089974</v>
      </c>
      <c r="CX47" s="12" t="n">
        <f aca="false">BQ47/(BB47+BC47+BD47+BE47+BF47+BG47)/'Prices&amp;Fuel'!H47</f>
        <v>0.0427022712619055</v>
      </c>
      <c r="CZ47" s="13" t="n">
        <f aca="false">(BA47-CT47+CU47)/(AF47+AG47+AH47)/'Prices&amp;Fuel'!H47</f>
        <v>0.0874886779236775</v>
      </c>
      <c r="DB47" s="1" t="n">
        <f aca="false">(O47+P47+Q47)*'Prices&amp;Fuel'!$H47</f>
        <v>778100</v>
      </c>
      <c r="DC47" s="1" t="n">
        <f aca="false">(X47+Y47)*'Prices&amp;Fuel'!$H47</f>
        <v>62000</v>
      </c>
      <c r="DE47" s="1" t="n">
        <v>226000</v>
      </c>
    </row>
    <row r="48" customFormat="false" ht="12.75" hidden="false" customHeight="false" outlineLevel="0" collapsed="false">
      <c r="A48" s="6" t="n">
        <f aca="false">+A47+365/12</f>
        <v>37056.9166666667</v>
      </c>
      <c r="O48" s="7" t="n">
        <v>9036</v>
      </c>
      <c r="P48" s="7" t="n">
        <v>10794</v>
      </c>
      <c r="Q48" s="7" t="n">
        <v>5270</v>
      </c>
      <c r="R48" s="8" t="n">
        <f aca="false">R47</f>
        <v>2.2906</v>
      </c>
      <c r="S48" s="8" t="n">
        <f aca="false">S47</f>
        <v>2.2793</v>
      </c>
      <c r="T48" s="7" t="n">
        <f aca="false">(($O48*R48)+($P48*R48)+($Q48*R48))*'Prices&amp;Fuel'!$H48</f>
        <v>1724821.8</v>
      </c>
      <c r="U48" s="7" t="n">
        <f aca="false">(($O48*S48)+($P48*S48)+($Q48*S48))*'Prices&amp;Fuel'!$H48</f>
        <v>1716312.9</v>
      </c>
      <c r="V48" s="14" t="n">
        <f aca="false">T48-U48</f>
        <v>8508.89999999991</v>
      </c>
      <c r="X48" s="7" t="n">
        <f aca="false">2000*0.5</f>
        <v>1000</v>
      </c>
      <c r="Y48" s="7" t="n">
        <f aca="false">X48</f>
        <v>1000</v>
      </c>
      <c r="Z48" s="27" t="n">
        <v>2.2</v>
      </c>
      <c r="AA48" s="27" t="n">
        <v>2.18</v>
      </c>
      <c r="AB48" s="7" t="n">
        <f aca="false">($X48+$Y48)*Z48*'Prices&amp;Fuel'!$H48</f>
        <v>132000</v>
      </c>
      <c r="AC48" s="7" t="n">
        <f aca="false">($X48+$Y48)*AA48*'Prices&amp;Fuel'!$H48</f>
        <v>130800</v>
      </c>
      <c r="AD48" s="14" t="n">
        <f aca="false">AB48-AC48</f>
        <v>1200</v>
      </c>
      <c r="AF48" s="7" t="n">
        <f aca="false">((126000)/(1-'Prices&amp;Fuel'!F48))+(25000/(1-'Prices&amp;Fuel'!G48))-AI48</f>
        <v>155269.922879177</v>
      </c>
      <c r="AG48" s="7" t="n">
        <v>0</v>
      </c>
      <c r="AH48" s="7" t="n">
        <f aca="false">(75000/(1-'Prices&amp;Fuel'!G48))-AK48</f>
        <v>77120.822622108</v>
      </c>
      <c r="AI48" s="7"/>
      <c r="AJ48" s="7"/>
      <c r="AK48" s="7"/>
      <c r="AL48" s="11" t="n">
        <f aca="false">ROUND((226000/(1-'Prices&amp;Fuel'!F48))-AF48-AG48-AH48,0)</f>
        <v>0</v>
      </c>
      <c r="AM48" s="7" t="n">
        <f aca="false">ROUND(IF(AF48&lt;AP48,0,(AF48-AP48-AI48)/2),0)</f>
        <v>37635</v>
      </c>
      <c r="AO48" s="7" t="n">
        <f aca="false">ROUND((75000/(1-'Prices&amp;Fuel'!G48)-AV48-AK48)/2,0)</f>
        <v>38560</v>
      </c>
      <c r="AP48" s="7" t="n">
        <f aca="false">IF(80000&gt;AF48,AF48,80000)</f>
        <v>80000</v>
      </c>
      <c r="AR48" s="7" t="n">
        <f aca="false">IF(AP48&gt;AF48,0,AF48-AM48-AP48)</f>
        <v>37634.9228791774</v>
      </c>
      <c r="AT48" s="14" t="n">
        <f aca="false">AH48-AO48-AV48</f>
        <v>38560.822622108</v>
      </c>
      <c r="AU48" s="14" t="n">
        <f aca="false">AL48*AX48*'Prices&amp;Fuel'!H48</f>
        <v>0</v>
      </c>
      <c r="AW48" s="68" t="n">
        <f aca="false">AW47</f>
        <v>0.1</v>
      </c>
      <c r="AX48" s="68" t="n">
        <f aca="false">AX47</f>
        <v>0.025</v>
      </c>
      <c r="AY48" s="5" t="n">
        <f aca="false">('Prices&amp;Fuel'!H48*('Prices&amp;Fuel'!B48+AW48)*'Long Term Deals'!AF48)+('Prices&amp;Fuel'!H48*('Prices&amp;Fuel'!C48+'Long Term Deals'!AW48)*'Long Term Deals'!AG48)+(AH48*('Prices&amp;Fuel'!C48+AW48)*'Prices&amp;Fuel'!H48)+(AW48*AL48*'Prices&amp;Fuel'!H48)</f>
        <v>30535526.9922879</v>
      </c>
      <c r="AZ48" s="5" t="n">
        <f aca="false">(AP48*'Prices&amp;Fuel'!H48*'Prices&amp;Fuel'!B48)+(AQ48*'Prices&amp;Fuel'!C48*'Prices&amp;Fuel'!H48)+((AM48+AR48)*('Prices&amp;Fuel'!B48+'Long Term Deals'!AX48)*'Prices&amp;Fuel'!H48)+((AN48+AS48)*('Prices&amp;Fuel'!C48+'Long Term Deals'!AX48)*'Prices&amp;Fuel'!H48)+((AO48+AT48)*('Prices&amp;Fuel'!D48+'Long Term Deals'!AX48)*'Prices&amp;Fuel'!H48)+(AV48*'Prices&amp;Fuel'!H48*'Prices&amp;Fuel'!Q48)+AU48</f>
        <v>29836966.5809769</v>
      </c>
      <c r="BA48" s="5" t="n">
        <f aca="false">AY48-AZ48</f>
        <v>698560.411311049</v>
      </c>
      <c r="BB48" s="5" t="n">
        <f aca="false">IF('FP Corp'!T48-((BE48+BF48+BG48)*(1-'Prices&amp;Fuel'!F48))&lt;'Prices&amp;Fuel'!R48,('FP Corp'!T48-(BE48+BF48+BG48)*(1-'Prices&amp;Fuel'!F48)),'Prices&amp;Fuel'!R48)/(1-'Prices&amp;Fuel'!F48)</f>
        <v>8976.86375321337</v>
      </c>
      <c r="BC48" s="9"/>
      <c r="BD48" s="9" t="n">
        <f aca="false">ROUND(IF('FP Corp'!T48/(1-'Prices&amp;Fuel'!F48)-BE48-BF48-BG48-BB48&gt;'Prices&amp;Fuel'!T48,'Prices&amp;Fuel'!T48,'FP Corp'!T48/(1-'Prices&amp;Fuel'!F48)-BE48-BF48-BG48-BB48),9)</f>
        <v>6556.298200514</v>
      </c>
      <c r="BE48" s="9" t="n">
        <f aca="false">'Prices&amp;Fuel'!U48/(1-'Prices&amp;Fuel'!F48)</f>
        <v>1933.16195372751</v>
      </c>
      <c r="BF48" s="9" t="n">
        <f aca="false">('Prices&amp;Fuel'!V48+'Prices&amp;Fuel'!X48)/(1-'Prices&amp;Fuel'!F48)</f>
        <v>3062.21079691517</v>
      </c>
      <c r="BG48" s="9" t="n">
        <f aca="false">'Prices&amp;Fuel'!W48/(1-'Prices&amp;Fuel'!F48)</f>
        <v>1065.29562982005</v>
      </c>
      <c r="BH48" s="10" t="n">
        <f aca="false">('Prices&amp;Fuel'!C48+'Prices&amp;Fuel'!D48)/2-0.05+('Prices&amp;Fuel'!M48+'Prices&amp;Fuel'!P48)*(1-'Prices&amp;Fuel'!F48)</f>
        <v>4.99392225</v>
      </c>
      <c r="BI48" s="9" t="n">
        <f aca="false">IF(AP48=80000,0,BB48)</f>
        <v>0</v>
      </c>
      <c r="BJ48" s="9"/>
      <c r="BK48" s="10" t="n">
        <f aca="false">(((BB48+BE48)*('Prices&amp;Fuel'!B48+0.025))+(('Prices&amp;Fuel'!D48+0.025)*(BD48+BG48))+(('Prices&amp;Fuel'!C48+0.025)*(BC48+BF48))-(BI48+BJ48)*0.025)/(BB48+BC48+BD48+BE48+BF48+BG48)</f>
        <v>4.2970380952381</v>
      </c>
      <c r="BL48" s="9" t="n">
        <f aca="false">(BB48+BC48+BD48+BE48+BF48+BG48)*BH48*'Prices&amp;Fuel'!H48</f>
        <v>3235137.2930591</v>
      </c>
      <c r="BM48" s="9" t="n">
        <f aca="false">'Prices&amp;Fuel'!X48*('Prices&amp;Fuel'!N48+'Prices&amp;Fuel'!O48)*'Prices&amp;Fuel'!H48</f>
        <v>8667.27</v>
      </c>
      <c r="BN48" s="9" t="n">
        <f aca="false">('Prices&amp;Fuel'!U48+'Prices&amp;Fuel'!V48+'Prices&amp;Fuel'!W48)*('Prices&amp;Fuel'!L48+'Prices&amp;Fuel'!O48)*'Prices&amp;Fuel'!H48</f>
        <v>66127.59</v>
      </c>
      <c r="BO48" s="9" t="n">
        <f aca="false">((BB48+BC48+BD48)*(1-'Prices&amp;Fuel'!G48))*('Prices&amp;Fuel'!M48+'Prices&amp;Fuel'!P48)*'Prices&amp;Fuel'!H48</f>
        <v>348993.917999997</v>
      </c>
      <c r="BP48" s="9" t="n">
        <f aca="false">((BD48+BC48+BB48+BE48+BF48+BG48)*BK48*'Prices&amp;Fuel'!H48)+BM48+BN48+BO48</f>
        <v>3207474.12504368</v>
      </c>
      <c r="BQ48" s="5" t="n">
        <f aca="false">BL48-BP48</f>
        <v>27663.1680154237</v>
      </c>
      <c r="CA48" s="5" t="n">
        <f aca="false">(AF48+AG48+AH48+AL48)*0.005*'Prices&amp;Fuel'!H48</f>
        <v>34858.6118251928</v>
      </c>
      <c r="CB48" s="5" t="n">
        <f aca="false">(B48+C48+D48+O48+P48+Q48+X48+Y48+BB48+BC48+BD48+BE48+BF48+BG48+BR48+BS48)*0.005*'Prices&amp;Fuel'!H48</f>
        <v>7304.07455012851</v>
      </c>
      <c r="CC48" s="7" t="n">
        <f aca="false">K48+T48+AB48+AY48+BL48+BX48</f>
        <v>35627486.085347</v>
      </c>
      <c r="CD48" s="7" t="n">
        <f aca="false">L48+U48+AC48+AZ48+BP48+BY48+CA48+CB48</f>
        <v>34933716.2923959</v>
      </c>
      <c r="CE48" s="7" t="n">
        <f aca="false">CC48-CD48</f>
        <v>693769.792951159</v>
      </c>
      <c r="CF48" s="7" t="n">
        <f aca="false">'Index Price Deals'!AR48</f>
        <v>0</v>
      </c>
      <c r="CG48" s="7" t="n">
        <f aca="false">'Index Price Deals'!AS48</f>
        <v>0</v>
      </c>
      <c r="CH48" s="7" t="n">
        <f aca="false">'Index Price Deals'!AT48</f>
        <v>0</v>
      </c>
      <c r="CI48" s="7" t="n">
        <f aca="false">'Index Price Deals'!AU48</f>
        <v>0</v>
      </c>
      <c r="CJ48" s="7" t="n">
        <f aca="false">CC48+CF48</f>
        <v>35627486.085347</v>
      </c>
      <c r="CK48" s="7" t="n">
        <f aca="false">CD48+CH48</f>
        <v>34933716.2923959</v>
      </c>
      <c r="CL48" s="7" t="n">
        <f aca="false">CE48+CI48</f>
        <v>693769.792951159</v>
      </c>
      <c r="CM48" s="69"/>
      <c r="CN48" s="7" t="n">
        <f aca="false">Transport!U48</f>
        <v>3.06651054415852E-009</v>
      </c>
      <c r="CO48" s="71"/>
      <c r="CQ48" s="7" t="n">
        <f aca="false">(((($B48+$C48+$D48+$O48+$P48+$Q48)*0.5)+BR48+BS48)*(0.005*'Prices&amp;Fuel'!$H48)+'Index Price Deals'!AV48)+(((BB48+BC48+BD48+BE48+BF48+BG48)*(1-'Prices&amp;Fuel'!F48))*0.005*0.5*'Prices&amp;Fuel'!H48)</f>
        <v>3457.49999999999</v>
      </c>
      <c r="CR48" s="7" t="n">
        <f aca="false">(((($B48+$C48+$D48+$O48+$P48+$Q48)*0.5)+X48+Y48)*(0.005*'Prices&amp;Fuel'!$H48)+CA48+'Index Price Deals'!AW48)+(((BB48+BC48+BD48+BE48+BF48+BG48)*(1-'Prices&amp;Fuel'!F48))*0.005*0.5*'Prices&amp;Fuel'!H48)</f>
        <v>38616.1118251928</v>
      </c>
      <c r="CS48" s="11"/>
      <c r="CT48" s="7" t="n">
        <f aca="false">[2]Sheet1!$O60</f>
        <v>46059.2175652266</v>
      </c>
      <c r="CU48" s="7" t="n">
        <f aca="false">'[3]Long Term Deals'!$Z47</f>
        <v>-42554.4211776707</v>
      </c>
      <c r="CV48" s="70" t="n">
        <f aca="false">CL48-CN48-CT48+CU48+CS48+CO48</f>
        <v>605156.154208259</v>
      </c>
      <c r="CW48" s="14" t="n">
        <f aca="false">((B48+C48+D48+O48+P48+Q48+X48+Y48+AF48+AG48+AH48+BB48+BC48+BD48+BE48+BF48+BG48+BR48+BS48)+('Index Price Deals'!B48+'Index Price Deals'!C48+'Index Price Deals'!D48+'Index Price Deals'!L48+'Index Price Deals'!M48+'Index Price Deals'!N48+'Index Price Deals'!AD48+'Index Price Deals'!AE48+'Index Price Deals'!AF48+'Index Price Deals'!AK48+'Index Price Deals'!AL48+'Index Price Deals'!AM48))*'Prices&amp;Fuel'!H48</f>
        <v>8432537.27506426</v>
      </c>
      <c r="CX48" s="12" t="n">
        <f aca="false">BQ48/(BB48+BC48+BD48+BE48+BF48+BG48)/'Prices&amp;Fuel'!H48</f>
        <v>0.0427022712619043</v>
      </c>
      <c r="CZ48" s="13" t="n">
        <f aca="false">(BA48-CT48+CU48)/(AF48+AG48+AH48)/'Prices&amp;Fuel'!H48</f>
        <v>0.0874886779236766</v>
      </c>
      <c r="DB48" s="1" t="n">
        <f aca="false">(O48+P48+Q48)*'Prices&amp;Fuel'!$H48</f>
        <v>753000</v>
      </c>
      <c r="DC48" s="1" t="n">
        <f aca="false">(X48+Y48)*'Prices&amp;Fuel'!$H48</f>
        <v>60000</v>
      </c>
      <c r="DE48" s="1" t="n">
        <v>226000</v>
      </c>
    </row>
    <row r="49" customFormat="false" ht="12.75" hidden="false" customHeight="false" outlineLevel="0" collapsed="false">
      <c r="A49" s="6" t="n">
        <f aca="false">+A48+365/12</f>
        <v>37087.3333333333</v>
      </c>
      <c r="O49" s="7" t="n">
        <v>9036</v>
      </c>
      <c r="P49" s="7" t="n">
        <v>10794</v>
      </c>
      <c r="Q49" s="7" t="n">
        <v>5270</v>
      </c>
      <c r="R49" s="8" t="n">
        <f aca="false">ROUND(2.034*1.02*1.02*1.02*1.02*1.02*1.02*1.02,4)</f>
        <v>2.3364</v>
      </c>
      <c r="S49" s="8" t="n">
        <f aca="false">R49-ROUND(0.01*1.02*1.02*1.02*1.02*1.02*1.02*1.02,4)</f>
        <v>2.3249</v>
      </c>
      <c r="T49" s="7" t="n">
        <f aca="false">(($O49*R49)+($P49*R49)+($Q49*R49))*'Prices&amp;Fuel'!$H49</f>
        <v>1817952.84</v>
      </c>
      <c r="U49" s="7" t="n">
        <f aca="false">(($O49*S49)+($P49*S49)+($Q49*S49))*'Prices&amp;Fuel'!$H49</f>
        <v>1809004.69</v>
      </c>
      <c r="V49" s="14" t="n">
        <f aca="false">T49-U49</f>
        <v>8948.15000000014</v>
      </c>
      <c r="X49" s="7" t="n">
        <f aca="false">2000*0.5</f>
        <v>1000</v>
      </c>
      <c r="Y49" s="7" t="n">
        <f aca="false">X49</f>
        <v>1000</v>
      </c>
      <c r="Z49" s="27" t="n">
        <v>2.2</v>
      </c>
      <c r="AA49" s="27" t="n">
        <v>2.18</v>
      </c>
      <c r="AB49" s="7" t="n">
        <f aca="false">($X49+$Y49)*Z49*'Prices&amp;Fuel'!$H49</f>
        <v>136400</v>
      </c>
      <c r="AC49" s="7" t="n">
        <f aca="false">($X49+$Y49)*AA49*'Prices&amp;Fuel'!$H49</f>
        <v>135160</v>
      </c>
      <c r="AD49" s="14" t="n">
        <f aca="false">AB49-AC49</f>
        <v>1240</v>
      </c>
      <c r="AF49" s="7" t="n">
        <f aca="false">((126000)/(1-'Prices&amp;Fuel'!F49))+(25000/(1-'Prices&amp;Fuel'!G49))-AI49</f>
        <v>155269.922879177</v>
      </c>
      <c r="AG49" s="7" t="n">
        <v>0</v>
      </c>
      <c r="AH49" s="7" t="n">
        <f aca="false">(75000/(1-'Prices&amp;Fuel'!G49))-AK49</f>
        <v>77120.822622108</v>
      </c>
      <c r="AI49" s="7"/>
      <c r="AJ49" s="7"/>
      <c r="AK49" s="7"/>
      <c r="AL49" s="11" t="n">
        <f aca="false">ROUND((226000/(1-'Prices&amp;Fuel'!F49))-AF49-AG49-AH49,0)</f>
        <v>0</v>
      </c>
      <c r="AM49" s="7" t="n">
        <f aca="false">ROUND(IF(AF49&lt;AP49,0,(AF49-AP49-AI49)/2),0)</f>
        <v>37635</v>
      </c>
      <c r="AO49" s="7" t="n">
        <f aca="false">ROUND((75000/(1-'Prices&amp;Fuel'!G49)-AV49-AK49)/2,0)</f>
        <v>38560</v>
      </c>
      <c r="AP49" s="7" t="n">
        <f aca="false">IF(80000&gt;AF49,AF49,80000)</f>
        <v>80000</v>
      </c>
      <c r="AR49" s="7" t="n">
        <f aca="false">IF(AP49&gt;AF49,0,AF49-AM49-AP49)</f>
        <v>37634.9228791774</v>
      </c>
      <c r="AT49" s="14" t="n">
        <f aca="false">AH49-AO49-AV49</f>
        <v>38560.822622108</v>
      </c>
      <c r="AU49" s="14" t="n">
        <f aca="false">AL49*AX49*'Prices&amp;Fuel'!H49</f>
        <v>0</v>
      </c>
      <c r="AW49" s="68" t="n">
        <f aca="false">AW48</f>
        <v>0.1</v>
      </c>
      <c r="AX49" s="68" t="n">
        <f aca="false">AX48</f>
        <v>0.025</v>
      </c>
      <c r="AY49" s="5" t="n">
        <f aca="false">('Prices&amp;Fuel'!H49*('Prices&amp;Fuel'!B49+AW49)*'Long Term Deals'!AF49)+('Prices&amp;Fuel'!H49*('Prices&amp;Fuel'!C49+'Long Term Deals'!AW49)*'Long Term Deals'!AG49)+(AH49*('Prices&amp;Fuel'!C49+AW49)*'Prices&amp;Fuel'!H49)+(AW49*AL49*'Prices&amp;Fuel'!H49)</f>
        <v>31481336.7609255</v>
      </c>
      <c r="AZ49" s="5" t="n">
        <f aca="false">(AP49*'Prices&amp;Fuel'!H49*'Prices&amp;Fuel'!B49)+(AQ49*'Prices&amp;Fuel'!C49*'Prices&amp;Fuel'!H49)+((AM49+AR49)*('Prices&amp;Fuel'!B49+'Long Term Deals'!AX49)*'Prices&amp;Fuel'!H49)+((AN49+AS49)*('Prices&amp;Fuel'!C49+'Long Term Deals'!AX49)*'Prices&amp;Fuel'!H49)+((AO49+AT49)*('Prices&amp;Fuel'!D49+'Long Term Deals'!AX49)*'Prices&amp;Fuel'!H49)+(AV49*'Prices&amp;Fuel'!H49*'Prices&amp;Fuel'!Q49)+AU49</f>
        <v>30759491.0025707</v>
      </c>
      <c r="BA49" s="5" t="n">
        <f aca="false">AY49-AZ49</f>
        <v>721845.758354757</v>
      </c>
      <c r="BB49" s="5" t="n">
        <f aca="false">IF('FP Corp'!T49-((BE49+BF49+BG49)*(1-'Prices&amp;Fuel'!F49))&lt;'Prices&amp;Fuel'!R49,('FP Corp'!T49-(BE49+BF49+BG49)*(1-'Prices&amp;Fuel'!F49)),'Prices&amp;Fuel'!R49)/(1-'Prices&amp;Fuel'!F49)</f>
        <v>8976.86375321337</v>
      </c>
      <c r="BC49" s="9"/>
      <c r="BD49" s="9" t="n">
        <f aca="false">ROUND(IF('FP Corp'!T49/(1-'Prices&amp;Fuel'!F49)-BE49-BF49-BG49-BB49&gt;'Prices&amp;Fuel'!T49,'Prices&amp;Fuel'!T49,'FP Corp'!T49/(1-'Prices&amp;Fuel'!F49)-BE49-BF49-BG49-BB49),9)</f>
        <v>6556.298200514</v>
      </c>
      <c r="BE49" s="9" t="n">
        <f aca="false">'Prices&amp;Fuel'!U49/(1-'Prices&amp;Fuel'!F49)</f>
        <v>1933.16195372751</v>
      </c>
      <c r="BF49" s="9" t="n">
        <f aca="false">('Prices&amp;Fuel'!V49+'Prices&amp;Fuel'!X49)/(1-'Prices&amp;Fuel'!F49)</f>
        <v>3062.21079691517</v>
      </c>
      <c r="BG49" s="9" t="n">
        <f aca="false">'Prices&amp;Fuel'!W49/(1-'Prices&amp;Fuel'!F49)</f>
        <v>1065.29562982005</v>
      </c>
      <c r="BH49" s="10" t="n">
        <f aca="false">('Prices&amp;Fuel'!C49+'Prices&amp;Fuel'!D49)/2-0.05+('Prices&amp;Fuel'!M49+'Prices&amp;Fuel'!P49)*(1-'Prices&amp;Fuel'!F49)</f>
        <v>4.98392225</v>
      </c>
      <c r="BI49" s="9" t="n">
        <f aca="false">IF(AP49=80000,0,BB49)</f>
        <v>0</v>
      </c>
      <c r="BJ49" s="9"/>
      <c r="BK49" s="10" t="n">
        <f aca="false">(((BB49+BE49)*('Prices&amp;Fuel'!B49+0.025))+(('Prices&amp;Fuel'!D49+0.025)*(BD49+BG49))+(('Prices&amp;Fuel'!C49+0.025)*(BC49+BF49))-(BI49+BJ49)*0.025)/(BB49+BC49+BD49+BE49+BF49+BG49)</f>
        <v>4.2870380952381</v>
      </c>
      <c r="BL49" s="9" t="n">
        <f aca="false">(BB49+BC49+BD49+BE49+BF49+BG49)*BH49*'Prices&amp;Fuel'!H49</f>
        <v>3336281.11542414</v>
      </c>
      <c r="BM49" s="9" t="n">
        <f aca="false">'Prices&amp;Fuel'!X49*('Prices&amp;Fuel'!N49+'Prices&amp;Fuel'!O49)*'Prices&amp;Fuel'!H49</f>
        <v>8956.179</v>
      </c>
      <c r="BN49" s="9" t="n">
        <f aca="false">('Prices&amp;Fuel'!U49+'Prices&amp;Fuel'!V49+'Prices&amp;Fuel'!W49)*('Prices&amp;Fuel'!L49+'Prices&amp;Fuel'!O49)*'Prices&amp;Fuel'!H49</f>
        <v>68331.843</v>
      </c>
      <c r="BO49" s="9" t="n">
        <f aca="false">((BB49+BC49+BD49)*(1-'Prices&amp;Fuel'!G49))*('Prices&amp;Fuel'!M49+'Prices&amp;Fuel'!P49)*'Prices&amp;Fuel'!H49</f>
        <v>360627.048599997</v>
      </c>
      <c r="BP49" s="9" t="n">
        <f aca="false">((BD49+BC49+BB49+BE49+BF49+BG49)*BK49*'Prices&amp;Fuel'!H49)+BM49+BN49+BO49</f>
        <v>3307695.8418082</v>
      </c>
      <c r="BQ49" s="5" t="n">
        <f aca="false">BL49-BP49</f>
        <v>28585.2736159386</v>
      </c>
      <c r="CA49" s="5" t="n">
        <f aca="false">(AF49+AG49+AH49+AL49)*0.005*'Prices&amp;Fuel'!H49</f>
        <v>36020.5655526992</v>
      </c>
      <c r="CB49" s="5" t="n">
        <f aca="false">(B49+C49+D49+O49+P49+Q49+X49+Y49+BB49+BC49+BD49+BE49+BF49+BG49+BR49+BS49)*0.005*'Prices&amp;Fuel'!H49</f>
        <v>7547.54370179946</v>
      </c>
      <c r="CC49" s="7" t="n">
        <f aca="false">K49+T49+AB49+AY49+BL49+BX49</f>
        <v>36771970.7163496</v>
      </c>
      <c r="CD49" s="7" t="n">
        <f aca="false">L49+U49+AC49+AZ49+BP49+BY49+CA49+CB49</f>
        <v>36054919.6436334</v>
      </c>
      <c r="CE49" s="7" t="n">
        <f aca="false">CC49-CD49</f>
        <v>717051.072716199</v>
      </c>
      <c r="CF49" s="7" t="n">
        <f aca="false">'Index Price Deals'!AR49</f>
        <v>0</v>
      </c>
      <c r="CG49" s="7" t="n">
        <f aca="false">'Index Price Deals'!AS49</f>
        <v>0</v>
      </c>
      <c r="CH49" s="7" t="n">
        <f aca="false">'Index Price Deals'!AT49</f>
        <v>0</v>
      </c>
      <c r="CI49" s="7" t="n">
        <f aca="false">'Index Price Deals'!AU49</f>
        <v>0</v>
      </c>
      <c r="CJ49" s="7" t="n">
        <f aca="false">CC49+CF49</f>
        <v>36771970.7163496</v>
      </c>
      <c r="CK49" s="7" t="n">
        <f aca="false">CD49+CH49</f>
        <v>36054919.6436334</v>
      </c>
      <c r="CL49" s="7" t="n">
        <f aca="false">CE49+CI49</f>
        <v>717051.072716199</v>
      </c>
      <c r="CM49" s="69"/>
      <c r="CN49" s="7" t="n">
        <f aca="false">Transport!U49</f>
        <v>3.16872756229714E-009</v>
      </c>
      <c r="CO49" s="71"/>
      <c r="CQ49" s="7" t="n">
        <f aca="false">(((($B49+$C49+$D49+$O49+$P49+$Q49)*0.5)+BR49+BS49)*(0.005*'Prices&amp;Fuel'!$H49)+'Index Price Deals'!AV49)+(((BB49+BC49+BD49+BE49+BF49+BG49)*(1-'Prices&amp;Fuel'!F49))*0.005*0.5*'Prices&amp;Fuel'!H49)</f>
        <v>3572.74999999999</v>
      </c>
      <c r="CR49" s="7" t="n">
        <f aca="false">(((($B49+$C49+$D49+$O49+$P49+$Q49)*0.5)+X49+Y49)*(0.005*'Prices&amp;Fuel'!$H49)+CA49+'Index Price Deals'!AW49)+(((BB49+BC49+BD49+BE49+BF49+BG49)*(1-'Prices&amp;Fuel'!F49))*0.005*0.5*'Prices&amp;Fuel'!H49)</f>
        <v>39903.3155526992</v>
      </c>
      <c r="CS49" s="11"/>
      <c r="CT49" s="7" t="n">
        <f aca="false">[2]Sheet1!$O61</f>
        <v>47594.5248174008</v>
      </c>
      <c r="CU49" s="7" t="n">
        <f aca="false">'[3]Long Term Deals'!$Z48</f>
        <v>-43972.9018835931</v>
      </c>
      <c r="CV49" s="70" t="n">
        <f aca="false">CL49-CN49-CT49+CU49+CS49+CO49</f>
        <v>625483.646015202</v>
      </c>
      <c r="CW49" s="14" t="n">
        <f aca="false">((B49+C49+D49+O49+P49+Q49+X49+Y49+AF49+AG49+AH49+BB49+BC49+BD49+BE49+BF49+BG49+BR49+BS49)+('Index Price Deals'!B49+'Index Price Deals'!C49+'Index Price Deals'!D49+'Index Price Deals'!L49+'Index Price Deals'!M49+'Index Price Deals'!N49+'Index Price Deals'!AD49+'Index Price Deals'!AE49+'Index Price Deals'!AF49+'Index Price Deals'!AK49+'Index Price Deals'!AL49+'Index Price Deals'!AM49))*'Prices&amp;Fuel'!H49</f>
        <v>8713621.85089974</v>
      </c>
      <c r="CX49" s="12" t="n">
        <f aca="false">BQ49/(BB49+BC49+BD49+BE49+BF49+BG49)/'Prices&amp;Fuel'!H49</f>
        <v>0.0427022712619055</v>
      </c>
      <c r="CZ49" s="13" t="n">
        <f aca="false">(BA49-CT49+CU49)/(AF49+AG49+AH49)/'Prices&amp;Fuel'!H49</f>
        <v>0.0874886779236775</v>
      </c>
      <c r="DB49" s="1" t="n">
        <f aca="false">(O49+P49+Q49)*'Prices&amp;Fuel'!$H49</f>
        <v>778100</v>
      </c>
      <c r="DC49" s="1" t="n">
        <f aca="false">(X49+Y49)*'Prices&amp;Fuel'!$H49</f>
        <v>62000</v>
      </c>
      <c r="DE49" s="1" t="n">
        <v>226000</v>
      </c>
    </row>
    <row r="50" customFormat="false" ht="12.75" hidden="false" customHeight="false" outlineLevel="0" collapsed="false">
      <c r="A50" s="6" t="n">
        <f aca="false">+A49+365/12</f>
        <v>37117.75</v>
      </c>
      <c r="O50" s="7" t="n">
        <v>9036</v>
      </c>
      <c r="P50" s="7" t="n">
        <v>10794</v>
      </c>
      <c r="Q50" s="7" t="n">
        <v>5270</v>
      </c>
      <c r="R50" s="8" t="n">
        <f aca="false">R49</f>
        <v>2.3364</v>
      </c>
      <c r="S50" s="8" t="n">
        <f aca="false">S49</f>
        <v>2.3249</v>
      </c>
      <c r="T50" s="7" t="n">
        <f aca="false">(($O50*R50)+($P50*R50)+($Q50*R50))*'Prices&amp;Fuel'!$H50</f>
        <v>1817952.84</v>
      </c>
      <c r="U50" s="7" t="n">
        <f aca="false">(($O50*S50)+($P50*S50)+($Q50*S50))*'Prices&amp;Fuel'!$H50</f>
        <v>1809004.69</v>
      </c>
      <c r="V50" s="14" t="n">
        <f aca="false">T50-U50</f>
        <v>8948.15000000014</v>
      </c>
      <c r="X50" s="7" t="n">
        <f aca="false">2000*0.5</f>
        <v>1000</v>
      </c>
      <c r="Y50" s="7" t="n">
        <f aca="false">X50</f>
        <v>1000</v>
      </c>
      <c r="Z50" s="27" t="n">
        <v>2.2</v>
      </c>
      <c r="AA50" s="27" t="n">
        <v>2.18</v>
      </c>
      <c r="AB50" s="7" t="n">
        <f aca="false">($X50+$Y50)*Z50*'Prices&amp;Fuel'!$H50</f>
        <v>136400</v>
      </c>
      <c r="AC50" s="7" t="n">
        <f aca="false">($X50+$Y50)*AA50*'Prices&amp;Fuel'!$H50</f>
        <v>135160</v>
      </c>
      <c r="AD50" s="14" t="n">
        <f aca="false">AB50-AC50</f>
        <v>1240</v>
      </c>
      <c r="AF50" s="7" t="n">
        <f aca="false">((126000)/(1-'Prices&amp;Fuel'!F50))+(25000/(1-'Prices&amp;Fuel'!G50))-AI50</f>
        <v>155269.922879177</v>
      </c>
      <c r="AG50" s="7" t="n">
        <v>0</v>
      </c>
      <c r="AH50" s="7" t="n">
        <f aca="false">(75000/(1-'Prices&amp;Fuel'!G50))-AK50</f>
        <v>77120.822622108</v>
      </c>
      <c r="AI50" s="7"/>
      <c r="AJ50" s="7"/>
      <c r="AK50" s="7"/>
      <c r="AL50" s="11" t="n">
        <f aca="false">ROUND((226000/(1-'Prices&amp;Fuel'!F50))-AF50-AG50-AH50,0)</f>
        <v>0</v>
      </c>
      <c r="AM50" s="7" t="n">
        <f aca="false">ROUND(IF(AF50&lt;AP50,0,(AF50-AP50-AI50)/2),0)</f>
        <v>37635</v>
      </c>
      <c r="AO50" s="7" t="n">
        <f aca="false">ROUND((75000/(1-'Prices&amp;Fuel'!G50)-AV50-AK50)/2,0)</f>
        <v>38560</v>
      </c>
      <c r="AP50" s="7" t="n">
        <f aca="false">IF(80000&gt;AF50,AF50,80000)</f>
        <v>80000</v>
      </c>
      <c r="AR50" s="7" t="n">
        <f aca="false">IF(AP50&gt;AF50,0,AF50-AM50-AP50)</f>
        <v>37634.9228791774</v>
      </c>
      <c r="AT50" s="14" t="n">
        <f aca="false">AH50-AO50-AV50</f>
        <v>38560.822622108</v>
      </c>
      <c r="AU50" s="14" t="n">
        <f aca="false">AL50*AX50*'Prices&amp;Fuel'!H50</f>
        <v>0</v>
      </c>
      <c r="AW50" s="68" t="n">
        <f aca="false">AW49</f>
        <v>0.1</v>
      </c>
      <c r="AX50" s="68" t="n">
        <f aca="false">AX49</f>
        <v>0.025</v>
      </c>
      <c r="AY50" s="5" t="n">
        <f aca="false">('Prices&amp;Fuel'!H50*('Prices&amp;Fuel'!B50+AW50)*'Long Term Deals'!AF50)+('Prices&amp;Fuel'!H50*('Prices&amp;Fuel'!C50+'Long Term Deals'!AW50)*'Long Term Deals'!AG50)+(AH50*('Prices&amp;Fuel'!C50+AW50)*'Prices&amp;Fuel'!H50)+(AW50*AL50*'Prices&amp;Fuel'!H50)</f>
        <v>27591115.6812339</v>
      </c>
      <c r="AZ50" s="5" t="n">
        <f aca="false">(AP50*'Prices&amp;Fuel'!H50*'Prices&amp;Fuel'!B50)+(AQ50*'Prices&amp;Fuel'!C50*'Prices&amp;Fuel'!H50)+((AM50+AR50)*('Prices&amp;Fuel'!B50+'Long Term Deals'!AX50)*'Prices&amp;Fuel'!H50)+((AN50+AS50)*('Prices&amp;Fuel'!C50+'Long Term Deals'!AX50)*'Prices&amp;Fuel'!H50)+((AO50+AT50)*('Prices&amp;Fuel'!D50+'Long Term Deals'!AX50)*'Prices&amp;Fuel'!H50)+(AV50*'Prices&amp;Fuel'!H50*'Prices&amp;Fuel'!Q50)+AU50</f>
        <v>26869269.9228792</v>
      </c>
      <c r="BA50" s="5" t="n">
        <f aca="false">AY50-AZ50</f>
        <v>721845.75835475</v>
      </c>
      <c r="BB50" s="5" t="n">
        <f aca="false">IF('FP Corp'!T50-((BE50+BF50+BG50)*(1-'Prices&amp;Fuel'!F50))&lt;'Prices&amp;Fuel'!R50,('FP Corp'!T50-(BE50+BF50+BG50)*(1-'Prices&amp;Fuel'!F50)),'Prices&amp;Fuel'!R50)/(1-'Prices&amp;Fuel'!F50)</f>
        <v>8976.86375321337</v>
      </c>
      <c r="BC50" s="9"/>
      <c r="BD50" s="9" t="n">
        <f aca="false">ROUND(IF('FP Corp'!T50/(1-'Prices&amp;Fuel'!F50)-BE50-BF50-BG50-BB50&gt;'Prices&amp;Fuel'!T50,'Prices&amp;Fuel'!T50,'FP Corp'!T50/(1-'Prices&amp;Fuel'!F50)-BE50-BF50-BG50-BB50),9)</f>
        <v>6556.298200514</v>
      </c>
      <c r="BE50" s="9" t="n">
        <f aca="false">'Prices&amp;Fuel'!U50/(1-'Prices&amp;Fuel'!F50)</f>
        <v>1933.16195372751</v>
      </c>
      <c r="BF50" s="9" t="n">
        <f aca="false">('Prices&amp;Fuel'!V50+'Prices&amp;Fuel'!X50)/(1-'Prices&amp;Fuel'!F50)</f>
        <v>3062.21079691517</v>
      </c>
      <c r="BG50" s="9" t="n">
        <f aca="false">'Prices&amp;Fuel'!W50/(1-'Prices&amp;Fuel'!F50)</f>
        <v>1065.29562982005</v>
      </c>
      <c r="BH50" s="10" t="n">
        <f aca="false">('Prices&amp;Fuel'!C50+'Prices&amp;Fuel'!D50)/2-0.05+('Prices&amp;Fuel'!M50+'Prices&amp;Fuel'!P50)*(1-'Prices&amp;Fuel'!F50)</f>
        <v>4.44392225</v>
      </c>
      <c r="BI50" s="9" t="n">
        <f aca="false">IF(AP50=80000,0,BB50)</f>
        <v>0</v>
      </c>
      <c r="BJ50" s="9"/>
      <c r="BK50" s="10" t="n">
        <f aca="false">(((BB50+BE50)*('Prices&amp;Fuel'!B50+0.025))+(('Prices&amp;Fuel'!D50+0.025)*(BD50+BG50))+(('Prices&amp;Fuel'!C50+0.025)*(BC50+BF50))-(BI50+BJ50)*0.025)/(BB50+BC50+BD50+BE50+BF50+BG50)</f>
        <v>3.7470380952381</v>
      </c>
      <c r="BL50" s="9" t="n">
        <f aca="false">(BB50+BC50+BD50+BE50+BF50+BG50)*BH50*'Prices&amp;Fuel'!H50</f>
        <v>2974800.3956298</v>
      </c>
      <c r="BM50" s="9" t="n">
        <f aca="false">'Prices&amp;Fuel'!X50*('Prices&amp;Fuel'!N50+'Prices&amp;Fuel'!O50)*'Prices&amp;Fuel'!H50</f>
        <v>8956.179</v>
      </c>
      <c r="BN50" s="9" t="n">
        <f aca="false">('Prices&amp;Fuel'!U50+'Prices&amp;Fuel'!V50+'Prices&amp;Fuel'!W50)*('Prices&amp;Fuel'!L50+'Prices&amp;Fuel'!O50)*'Prices&amp;Fuel'!H50</f>
        <v>68331.843</v>
      </c>
      <c r="BO50" s="9" t="n">
        <f aca="false">((BB50+BC50+BD50)*(1-'Prices&amp;Fuel'!G50))*('Prices&amp;Fuel'!M50+'Prices&amp;Fuel'!P50)*'Prices&amp;Fuel'!H50</f>
        <v>360627.048599997</v>
      </c>
      <c r="BP50" s="9" t="n">
        <f aca="false">((BD50+BC50+BB50+BE50+BF50+BG50)*BK50*'Prices&amp;Fuel'!H50)+BM50+BN50+BO50</f>
        <v>2946215.12201386</v>
      </c>
      <c r="BQ50" s="5" t="n">
        <f aca="false">BL50-BP50</f>
        <v>28585.2736159386</v>
      </c>
      <c r="CA50" s="5" t="n">
        <f aca="false">(AF50+AG50+AH50+AL50)*0.005*'Prices&amp;Fuel'!H50</f>
        <v>36020.5655526992</v>
      </c>
      <c r="CB50" s="5" t="n">
        <f aca="false">(B50+C50+D50+O50+P50+Q50+X50+Y50+BB50+BC50+BD50+BE50+BF50+BG50+BR50+BS50)*0.005*'Prices&amp;Fuel'!H50</f>
        <v>7547.54370179946</v>
      </c>
      <c r="CC50" s="7" t="n">
        <f aca="false">K50+T50+AB50+AY50+BL50+BX50</f>
        <v>32520268.9168637</v>
      </c>
      <c r="CD50" s="7" t="n">
        <f aca="false">L50+U50+AC50+AZ50+BP50+BY50+CA50+CB50</f>
        <v>31803217.8441475</v>
      </c>
      <c r="CE50" s="7" t="n">
        <f aca="false">CC50-CD50</f>
        <v>717051.072716188</v>
      </c>
      <c r="CF50" s="7" t="n">
        <f aca="false">'Index Price Deals'!AR50</f>
        <v>0</v>
      </c>
      <c r="CG50" s="7" t="n">
        <f aca="false">'Index Price Deals'!AS50</f>
        <v>0</v>
      </c>
      <c r="CH50" s="7" t="n">
        <f aca="false">'Index Price Deals'!AT50</f>
        <v>0</v>
      </c>
      <c r="CI50" s="7" t="n">
        <f aca="false">'Index Price Deals'!AU50</f>
        <v>0</v>
      </c>
      <c r="CJ50" s="7" t="n">
        <f aca="false">CC50+CF50</f>
        <v>32520268.9168637</v>
      </c>
      <c r="CK50" s="7" t="n">
        <f aca="false">CD50+CH50</f>
        <v>31803217.8441475</v>
      </c>
      <c r="CL50" s="7" t="n">
        <f aca="false">CE50+CI50</f>
        <v>717051.072716188</v>
      </c>
      <c r="CM50" s="69"/>
      <c r="CN50" s="7" t="n">
        <f aca="false">Transport!U50</f>
        <v>3.16872756229714E-009</v>
      </c>
      <c r="CO50" s="71"/>
      <c r="CQ50" s="7" t="n">
        <f aca="false">(((($B50+$C50+$D50+$O50+$P50+$Q50)*0.5)+BR50+BS50)*(0.005*'Prices&amp;Fuel'!$H50)+'Index Price Deals'!AV50)+(((BB50+BC50+BD50+BE50+BF50+BG50)*(1-'Prices&amp;Fuel'!F50))*0.005*0.5*'Prices&amp;Fuel'!H50)</f>
        <v>3572.74999999999</v>
      </c>
      <c r="CR50" s="7" t="n">
        <f aca="false">(((($B50+$C50+$D50+$O50+$P50+$Q50)*0.5)+X50+Y50)*(0.005*'Prices&amp;Fuel'!$H50)+CA50+'Index Price Deals'!AW50)+(((BB50+BC50+BD50+BE50+BF50+BG50)*(1-'Prices&amp;Fuel'!F50))*0.005*0.5*'Prices&amp;Fuel'!H50)</f>
        <v>39903.3155526992</v>
      </c>
      <c r="CS50" s="11"/>
      <c r="CT50" s="7" t="n">
        <f aca="false">[2]Sheet1!$O62</f>
        <v>47594.5248174008</v>
      </c>
      <c r="CU50" s="7" t="n">
        <f aca="false">'[3]Long Term Deals'!$Z49</f>
        <v>-43972.9018835931</v>
      </c>
      <c r="CV50" s="70" t="n">
        <f aca="false">CL50-CN50-CT50+CU50+CS50+CO50</f>
        <v>625483.646015191</v>
      </c>
      <c r="CW50" s="14" t="n">
        <f aca="false">((B50+C50+D50+O50+P50+Q50+X50+Y50+AF50+AG50+AH50+BB50+BC50+BD50+BE50+BF50+BG50+BR50+BS50)+('Index Price Deals'!B50+'Index Price Deals'!C50+'Index Price Deals'!D50+'Index Price Deals'!L50+'Index Price Deals'!M50+'Index Price Deals'!N50+'Index Price Deals'!AD50+'Index Price Deals'!AE50+'Index Price Deals'!AF50+'Index Price Deals'!AK50+'Index Price Deals'!AL50+'Index Price Deals'!AM50))*'Prices&amp;Fuel'!H50</f>
        <v>8713621.85089974</v>
      </c>
      <c r="CX50" s="12" t="n">
        <f aca="false">BQ50/(BB50+BC50+BD50+BE50+BF50+BG50)/'Prices&amp;Fuel'!H50</f>
        <v>0.0427022712619055</v>
      </c>
      <c r="CZ50" s="13" t="n">
        <f aca="false">(BA50-CT50+CU50)/(AF50+AG50+AH50)/'Prices&amp;Fuel'!H50</f>
        <v>0.0874886779236765</v>
      </c>
      <c r="DB50" s="1" t="n">
        <f aca="false">(O50+P50+Q50)*'Prices&amp;Fuel'!$H50</f>
        <v>778100</v>
      </c>
      <c r="DC50" s="1" t="n">
        <f aca="false">(X50+Y50)*'Prices&amp;Fuel'!$H50</f>
        <v>62000</v>
      </c>
      <c r="DE50" s="1" t="n">
        <v>226000</v>
      </c>
    </row>
    <row r="51" customFormat="false" ht="12.75" hidden="false" customHeight="false" outlineLevel="0" collapsed="false">
      <c r="A51" s="6" t="n">
        <f aca="false">+A50+365/12</f>
        <v>37148.1666666667</v>
      </c>
      <c r="O51" s="7" t="n">
        <v>9036</v>
      </c>
      <c r="P51" s="7" t="n">
        <v>10794</v>
      </c>
      <c r="Q51" s="7" t="n">
        <v>5270</v>
      </c>
      <c r="R51" s="8" t="n">
        <f aca="false">R50</f>
        <v>2.3364</v>
      </c>
      <c r="S51" s="8" t="n">
        <f aca="false">S50</f>
        <v>2.3249</v>
      </c>
      <c r="T51" s="7" t="n">
        <f aca="false">(($O51*R51)+($P51*R51)+($Q51*R51))*'Prices&amp;Fuel'!$H51</f>
        <v>1759309.2</v>
      </c>
      <c r="U51" s="7" t="n">
        <f aca="false">(($O51*S51)+($P51*S51)+($Q51*S51))*'Prices&amp;Fuel'!$H51</f>
        <v>1750649.7</v>
      </c>
      <c r="V51" s="14" t="n">
        <f aca="false">T51-U51</f>
        <v>8659.5</v>
      </c>
      <c r="X51" s="7" t="n">
        <f aca="false">2000*0.5</f>
        <v>1000</v>
      </c>
      <c r="Y51" s="7" t="n">
        <f aca="false">X51</f>
        <v>1000</v>
      </c>
      <c r="Z51" s="27" t="n">
        <v>2.2</v>
      </c>
      <c r="AA51" s="27" t="n">
        <v>2.18</v>
      </c>
      <c r="AB51" s="7" t="n">
        <f aca="false">($X51+$Y51)*Z51*'Prices&amp;Fuel'!$H51</f>
        <v>132000</v>
      </c>
      <c r="AC51" s="7" t="n">
        <f aca="false">($X51+$Y51)*AA51*'Prices&amp;Fuel'!$H51</f>
        <v>130800</v>
      </c>
      <c r="AD51" s="14" t="n">
        <f aca="false">AB51-AC51</f>
        <v>1200</v>
      </c>
      <c r="AF51" s="7" t="n">
        <f aca="false">((126000)/(1-'Prices&amp;Fuel'!F51))+(25000/(1-'Prices&amp;Fuel'!G51))-AI51</f>
        <v>155269.922879177</v>
      </c>
      <c r="AG51" s="7" t="n">
        <v>0</v>
      </c>
      <c r="AH51" s="7" t="n">
        <f aca="false">(75000/(1-'Prices&amp;Fuel'!G51))-AK51</f>
        <v>77120.822622108</v>
      </c>
      <c r="AI51" s="7"/>
      <c r="AJ51" s="7"/>
      <c r="AK51" s="7"/>
      <c r="AL51" s="11" t="n">
        <f aca="false">ROUND((226000/(1-'Prices&amp;Fuel'!F51))-AF51-AG51-AH51,0)</f>
        <v>0</v>
      </c>
      <c r="AM51" s="7" t="n">
        <f aca="false">ROUND(IF(AF51&lt;AP51,0,(AF51-AP51-AI51)/2),0)</f>
        <v>37635</v>
      </c>
      <c r="AO51" s="7" t="n">
        <f aca="false">ROUND((75000/(1-'Prices&amp;Fuel'!G51)-AV51-AK51)/2,0)</f>
        <v>38560</v>
      </c>
      <c r="AP51" s="7" t="n">
        <f aca="false">IF(80000&gt;AF51,AF51,80000)</f>
        <v>80000</v>
      </c>
      <c r="AR51" s="7" t="n">
        <f aca="false">IF(AP51&gt;AF51,0,AF51-AM51-AP51)</f>
        <v>37634.9228791774</v>
      </c>
      <c r="AT51" s="14" t="n">
        <f aca="false">AH51-AO51-AV51</f>
        <v>38560.822622108</v>
      </c>
      <c r="AU51" s="14" t="n">
        <f aca="false">AL51*AX51*'Prices&amp;Fuel'!H51</f>
        <v>0</v>
      </c>
      <c r="AW51" s="68" t="n">
        <f aca="false">AW50</f>
        <v>0.1</v>
      </c>
      <c r="AX51" s="68" t="n">
        <f aca="false">AX50</f>
        <v>0.025</v>
      </c>
      <c r="AY51" s="5" t="n">
        <f aca="false">('Prices&amp;Fuel'!H51*('Prices&amp;Fuel'!B51+AW51)*'Long Term Deals'!AF51)+('Prices&amp;Fuel'!H51*('Prices&amp;Fuel'!C51+'Long Term Deals'!AW51)*'Long Term Deals'!AG51)+(AH51*('Prices&amp;Fuel'!C51+AW51)*'Prices&amp;Fuel'!H51)+(AW51*AL51*'Prices&amp;Fuel'!H51)</f>
        <v>32069305.9125964</v>
      </c>
      <c r="AZ51" s="5" t="n">
        <f aca="false">(AP51*'Prices&amp;Fuel'!H51*'Prices&amp;Fuel'!B51)+(AQ51*'Prices&amp;Fuel'!C51*'Prices&amp;Fuel'!H51)+((AM51+AR51)*('Prices&amp;Fuel'!B51+'Long Term Deals'!AX51)*'Prices&amp;Fuel'!H51)+((AN51+AS51)*('Prices&amp;Fuel'!C51+'Long Term Deals'!AX51)*'Prices&amp;Fuel'!H51)+((AO51+AT51)*('Prices&amp;Fuel'!D51+'Long Term Deals'!AX51)*'Prices&amp;Fuel'!H51)+(AV51*'Prices&amp;Fuel'!H51*'Prices&amp;Fuel'!Q51)+AU51</f>
        <v>31370745.5012854</v>
      </c>
      <c r="BA51" s="5" t="n">
        <f aca="false">AY51-AZ51</f>
        <v>698560.411311049</v>
      </c>
      <c r="BB51" s="5" t="n">
        <f aca="false">IF('FP Corp'!T51-((BE51+BF51+BG51)*(1-'Prices&amp;Fuel'!F51))&lt;'Prices&amp;Fuel'!R51,('FP Corp'!T51-(BE51+BF51+BG51)*(1-'Prices&amp;Fuel'!F51)),'Prices&amp;Fuel'!R51)/(1-'Prices&amp;Fuel'!F51)</f>
        <v>8976.86375321337</v>
      </c>
      <c r="BC51" s="9"/>
      <c r="BD51" s="9" t="n">
        <f aca="false">ROUND(IF('FP Corp'!T51/(1-'Prices&amp;Fuel'!F51)-BE51-BF51-BG51-BB51&gt;'Prices&amp;Fuel'!T51,'Prices&amp;Fuel'!T51,'FP Corp'!T51/(1-'Prices&amp;Fuel'!F51)-BE51-BF51-BG51-BB51),9)</f>
        <v>6556.298200514</v>
      </c>
      <c r="BE51" s="9" t="n">
        <f aca="false">'Prices&amp;Fuel'!U51/(1-'Prices&amp;Fuel'!F51)</f>
        <v>1933.16195372751</v>
      </c>
      <c r="BF51" s="9" t="n">
        <f aca="false">('Prices&amp;Fuel'!V51+'Prices&amp;Fuel'!X51)/(1-'Prices&amp;Fuel'!F51)</f>
        <v>3062.21079691517</v>
      </c>
      <c r="BG51" s="9" t="n">
        <f aca="false">'Prices&amp;Fuel'!W51/(1-'Prices&amp;Fuel'!F51)</f>
        <v>1065.29562982005</v>
      </c>
      <c r="BH51" s="10" t="n">
        <f aca="false">('Prices&amp;Fuel'!C51+'Prices&amp;Fuel'!D51)/2-0.05+('Prices&amp;Fuel'!M51+'Prices&amp;Fuel'!P51)*(1-'Prices&amp;Fuel'!F51)</f>
        <v>5.21392225</v>
      </c>
      <c r="BI51" s="9" t="n">
        <f aca="false">IF(AP51=80000,0,BB51)</f>
        <v>0</v>
      </c>
      <c r="BJ51" s="9"/>
      <c r="BK51" s="10" t="n">
        <f aca="false">(((BB51+BE51)*('Prices&amp;Fuel'!B51+0.025))+(('Prices&amp;Fuel'!D51+0.025)*(BD51+BG51))+(('Prices&amp;Fuel'!C51+0.025)*(BC51+BF51))-(BI51+BJ51)*0.025)/(BB51+BC51+BD51+BE51+BF51+BG51)</f>
        <v>4.5170380952381</v>
      </c>
      <c r="BL51" s="9" t="n">
        <f aca="false">(BB51+BC51+BD51+BE51+BF51+BG51)*BH51*'Prices&amp;Fuel'!H51</f>
        <v>3377656.57326476</v>
      </c>
      <c r="BM51" s="9" t="n">
        <f aca="false">'Prices&amp;Fuel'!X51*('Prices&amp;Fuel'!N51+'Prices&amp;Fuel'!O51)*'Prices&amp;Fuel'!H51</f>
        <v>8667.27</v>
      </c>
      <c r="BN51" s="9" t="n">
        <f aca="false">('Prices&amp;Fuel'!U51+'Prices&amp;Fuel'!V51+'Prices&amp;Fuel'!W51)*('Prices&amp;Fuel'!L51+'Prices&amp;Fuel'!O51)*'Prices&amp;Fuel'!H51</f>
        <v>66127.59</v>
      </c>
      <c r="BO51" s="9" t="n">
        <f aca="false">((BB51+BC51+BD51)*(1-'Prices&amp;Fuel'!G51))*('Prices&amp;Fuel'!M51+'Prices&amp;Fuel'!P51)*'Prices&amp;Fuel'!H51</f>
        <v>348993.917999997</v>
      </c>
      <c r="BP51" s="9" t="n">
        <f aca="false">((BD51+BC51+BB51+BE51+BF51+BG51)*BK51*'Prices&amp;Fuel'!H51)+BM51+BN51+BO51</f>
        <v>3349993.40524934</v>
      </c>
      <c r="BQ51" s="5" t="n">
        <f aca="false">BL51-BP51</f>
        <v>27663.1680154237</v>
      </c>
      <c r="CA51" s="5" t="n">
        <f aca="false">(AF51+AG51+AH51+AL51)*0.005*'Prices&amp;Fuel'!H51</f>
        <v>34858.6118251928</v>
      </c>
      <c r="CB51" s="5" t="n">
        <f aca="false">(B51+C51+D51+O51+P51+Q51+X51+Y51+BB51+BC51+BD51+BE51+BF51+BG51+BR51+BS51)*0.005*'Prices&amp;Fuel'!H51</f>
        <v>7304.07455012851</v>
      </c>
      <c r="CC51" s="7" t="n">
        <f aca="false">K51+T51+AB51+AY51+BL51+BX51</f>
        <v>37338271.6858612</v>
      </c>
      <c r="CD51" s="7" t="n">
        <f aca="false">L51+U51+AC51+AZ51+BP51+BY51+CA51+CB51</f>
        <v>36644351.29291</v>
      </c>
      <c r="CE51" s="7" t="n">
        <f aca="false">CC51-CD51</f>
        <v>693920.392951153</v>
      </c>
      <c r="CF51" s="7" t="n">
        <f aca="false">'Index Price Deals'!AR51</f>
        <v>0</v>
      </c>
      <c r="CG51" s="7" t="n">
        <f aca="false">'Index Price Deals'!AS51</f>
        <v>0</v>
      </c>
      <c r="CH51" s="7" t="n">
        <f aca="false">'Index Price Deals'!AT51</f>
        <v>0</v>
      </c>
      <c r="CI51" s="7" t="n">
        <f aca="false">'Index Price Deals'!AU51</f>
        <v>0</v>
      </c>
      <c r="CJ51" s="7" t="n">
        <f aca="false">CC51+CF51</f>
        <v>37338271.6858612</v>
      </c>
      <c r="CK51" s="7" t="n">
        <f aca="false">CD51+CH51</f>
        <v>36644351.29291</v>
      </c>
      <c r="CL51" s="7" t="n">
        <f aca="false">CE51+CI51</f>
        <v>693920.392951153</v>
      </c>
      <c r="CM51" s="69"/>
      <c r="CN51" s="7" t="n">
        <f aca="false">Transport!U51</f>
        <v>3.06651054415852E-009</v>
      </c>
      <c r="CO51" s="71"/>
      <c r="CQ51" s="7" t="n">
        <f aca="false">(((($B51+$C51+$D51+$O51+$P51+$Q51)*0.5)+BR51+BS51)*(0.005*'Prices&amp;Fuel'!$H51)+'Index Price Deals'!AV51)+(((BB51+BC51+BD51+BE51+BF51+BG51)*(1-'Prices&amp;Fuel'!F51))*0.005*0.5*'Prices&amp;Fuel'!H51)</f>
        <v>3457.49999999999</v>
      </c>
      <c r="CR51" s="7" t="n">
        <f aca="false">(((($B51+$C51+$D51+$O51+$P51+$Q51)*0.5)+X51+Y51)*(0.005*'Prices&amp;Fuel'!$H51)+CA51+'Index Price Deals'!AW51)+(((BB51+BC51+BD51+BE51+BF51+BG51)*(1-'Prices&amp;Fuel'!F51))*0.005*0.5*'Prices&amp;Fuel'!H51)</f>
        <v>38616.1118251928</v>
      </c>
      <c r="CS51" s="11"/>
      <c r="CT51" s="7" t="n">
        <f aca="false">[2]Sheet1!$O63</f>
        <v>46059.2175652266</v>
      </c>
      <c r="CU51" s="7" t="n">
        <f aca="false">'[3]Long Term Deals'!$Z50</f>
        <v>-42554.4211776707</v>
      </c>
      <c r="CV51" s="70" t="n">
        <f aca="false">CL51-CN51-CT51+CU51+CS51+CO51</f>
        <v>605306.754208253</v>
      </c>
      <c r="CW51" s="14" t="n">
        <f aca="false">((B51+C51+D51+O51+P51+Q51+X51+Y51+AF51+AG51+AH51+BB51+BC51+BD51+BE51+BF51+BG51+BR51+BS51)+('Index Price Deals'!B51+'Index Price Deals'!C51+'Index Price Deals'!D51+'Index Price Deals'!L51+'Index Price Deals'!M51+'Index Price Deals'!N51+'Index Price Deals'!AD51+'Index Price Deals'!AE51+'Index Price Deals'!AF51+'Index Price Deals'!AK51+'Index Price Deals'!AL51+'Index Price Deals'!AM51))*'Prices&amp;Fuel'!H51</f>
        <v>8432537.27506426</v>
      </c>
      <c r="CX51" s="12" t="n">
        <f aca="false">BQ51/(BB51+BC51+BD51+BE51+BF51+BG51)/'Prices&amp;Fuel'!H51</f>
        <v>0.0427022712619043</v>
      </c>
      <c r="CZ51" s="13" t="n">
        <f aca="false">(BA51-CT51+CU51)/(AF51+AG51+AH51)/'Prices&amp;Fuel'!H51</f>
        <v>0.0874886779236766</v>
      </c>
      <c r="DB51" s="1" t="n">
        <f aca="false">(O51+P51+Q51)*'Prices&amp;Fuel'!$H51</f>
        <v>753000</v>
      </c>
      <c r="DC51" s="1" t="n">
        <f aca="false">(X51+Y51)*'Prices&amp;Fuel'!$H51</f>
        <v>60000</v>
      </c>
      <c r="DE51" s="1" t="n">
        <v>226000</v>
      </c>
    </row>
    <row r="52" customFormat="false" ht="12.75" hidden="false" customHeight="false" outlineLevel="0" collapsed="false">
      <c r="A52" s="6" t="n">
        <f aca="false">+A51+365/12</f>
        <v>37178.5833333333</v>
      </c>
      <c r="O52" s="7" t="n">
        <v>9036</v>
      </c>
      <c r="P52" s="7" t="n">
        <v>10794</v>
      </c>
      <c r="Q52" s="7" t="n">
        <v>5270</v>
      </c>
      <c r="R52" s="8" t="n">
        <f aca="false">R51</f>
        <v>2.3364</v>
      </c>
      <c r="S52" s="8" t="n">
        <f aca="false">S51</f>
        <v>2.3249</v>
      </c>
      <c r="T52" s="7" t="n">
        <f aca="false">(($O52*R52)+($P52*R52)+($Q52*R52))*'Prices&amp;Fuel'!$H52</f>
        <v>1817952.84</v>
      </c>
      <c r="U52" s="7" t="n">
        <f aca="false">(($O52*S52)+($P52*S52)+($Q52*S52))*'Prices&amp;Fuel'!$H52</f>
        <v>1809004.69</v>
      </c>
      <c r="V52" s="14" t="n">
        <f aca="false">T52-U52</f>
        <v>8948.15000000014</v>
      </c>
      <c r="X52" s="7" t="n">
        <f aca="false">2000*0.5</f>
        <v>1000</v>
      </c>
      <c r="Y52" s="7" t="n">
        <f aca="false">X52</f>
        <v>1000</v>
      </c>
      <c r="Z52" s="27" t="n">
        <v>2.2</v>
      </c>
      <c r="AA52" s="27" t="n">
        <v>2.18</v>
      </c>
      <c r="AB52" s="7" t="n">
        <f aca="false">($X52+$Y52)*Z52*'Prices&amp;Fuel'!$H52</f>
        <v>136400</v>
      </c>
      <c r="AC52" s="7" t="n">
        <f aca="false">($X52+$Y52)*AA52*'Prices&amp;Fuel'!$H52</f>
        <v>135160</v>
      </c>
      <c r="AD52" s="14" t="n">
        <f aca="false">AB52-AC52</f>
        <v>1240</v>
      </c>
      <c r="AF52" s="7" t="n">
        <f aca="false">(32000/(1-'Prices&amp;Fuel'!F52))+(25000/(1-'Prices&amp;Fuel'!G52))-AI52</f>
        <v>58611.8251928021</v>
      </c>
      <c r="AG52" s="7" t="n">
        <v>0</v>
      </c>
      <c r="AH52" s="7" t="n">
        <f aca="false">(75000/(1-'Prices&amp;Fuel'!G52))-AK52</f>
        <v>77120.822622108</v>
      </c>
      <c r="AI52" s="7"/>
      <c r="AJ52" s="7"/>
      <c r="AK52" s="7"/>
      <c r="AL52" s="11" t="n">
        <f aca="false">ROUND((132000/(1-'Prices&amp;Fuel'!F52))-AF52-AG52-AH52,0)</f>
        <v>0</v>
      </c>
      <c r="AM52" s="7" t="n">
        <f aca="false">ROUND(IF(AF52&lt;AP52,0,(AF52-AP52-AI52)/2),0)</f>
        <v>0</v>
      </c>
      <c r="AO52" s="7" t="n">
        <f aca="false">ROUND((75000/(1-'Prices&amp;Fuel'!G52)-AV52-AK52)/2,0)</f>
        <v>38560</v>
      </c>
      <c r="AP52" s="7" t="n">
        <f aca="false">IF(80000&gt;AF52,AF52,80000)</f>
        <v>58611.8251928021</v>
      </c>
      <c r="AR52" s="7" t="n">
        <f aca="false">IF(AP52&gt;AF52,0,AF52-AM52-AP52)</f>
        <v>0</v>
      </c>
      <c r="AT52" s="14" t="n">
        <f aca="false">AH52-AO52-AV52</f>
        <v>38560.822622108</v>
      </c>
      <c r="AU52" s="14" t="n">
        <f aca="false">AL52*AX52*'Prices&amp;Fuel'!H52</f>
        <v>0</v>
      </c>
      <c r="AW52" s="68" t="n">
        <f aca="false">AW51</f>
        <v>0.1</v>
      </c>
      <c r="AX52" s="68" t="n">
        <f aca="false">AX51</f>
        <v>0.025</v>
      </c>
      <c r="AY52" s="5" t="n">
        <f aca="false">('Prices&amp;Fuel'!H52*('Prices&amp;Fuel'!B52+AW52)*'Long Term Deals'!AF52)+('Prices&amp;Fuel'!H52*('Prices&amp;Fuel'!C52+'Long Term Deals'!AW52)*'Long Term Deals'!AG52)+(AH52*('Prices&amp;Fuel'!C52+AW52)*'Prices&amp;Fuel'!H52)+(AW52*AL52*'Prices&amp;Fuel'!H52)</f>
        <v>22276010.2827764</v>
      </c>
      <c r="AZ52" s="5" t="n">
        <f aca="false">(AP52*'Prices&amp;Fuel'!H52*'Prices&amp;Fuel'!B52)+(AQ52*'Prices&amp;Fuel'!C52*'Prices&amp;Fuel'!H52)+((AM52+AR52)*('Prices&amp;Fuel'!B52+'Long Term Deals'!AX52)*'Prices&amp;Fuel'!H52)+((AN52+AS52)*('Prices&amp;Fuel'!C52+'Long Term Deals'!AX52)*'Prices&amp;Fuel'!H52)+((AO52+AT52)*('Prices&amp;Fuel'!D52+'Long Term Deals'!AX52)*'Prices&amp;Fuel'!H52)+(AV52*'Prices&amp;Fuel'!H52*'Prices&amp;Fuel'!Q52)+AU52</f>
        <v>21795470.437018</v>
      </c>
      <c r="BA52" s="5" t="n">
        <f aca="false">AY52-AZ52</f>
        <v>480539.845758352</v>
      </c>
      <c r="BB52" s="5" t="n">
        <f aca="false">IF('FP Corp'!T52-((BE52+BF52+BG52)*(1-'Prices&amp;Fuel'!F52))&lt;'Prices&amp;Fuel'!R52,('FP Corp'!T52-(BE52+BF52+BG52)*(1-'Prices&amp;Fuel'!F52)),'Prices&amp;Fuel'!R52)/(1-'Prices&amp;Fuel'!F52)</f>
        <v>8976.86375321337</v>
      </c>
      <c r="BC52" s="9"/>
      <c r="BD52" s="9" t="n">
        <f aca="false">ROUND(IF('FP Corp'!T52/(1-'Prices&amp;Fuel'!F52)-BE52-BF52-BG52-BB52&gt;'Prices&amp;Fuel'!T52,'Prices&amp;Fuel'!T52,'FP Corp'!T52/(1-'Prices&amp;Fuel'!F52)-BE52-BF52-BG52-BB52),9)</f>
        <v>3514.652956298</v>
      </c>
      <c r="BE52" s="9" t="n">
        <f aca="false">'Prices&amp;Fuel'!U52/(1-'Prices&amp;Fuel'!F52)</f>
        <v>2910.02570694087</v>
      </c>
      <c r="BF52" s="9" t="n">
        <f aca="false">('Prices&amp;Fuel'!V52+'Prices&amp;Fuel'!X52)/(1-'Prices&amp;Fuel'!F52)</f>
        <v>4628.27763496144</v>
      </c>
      <c r="BG52" s="9" t="n">
        <f aca="false">'Prices&amp;Fuel'!W52/(1-'Prices&amp;Fuel'!F52)</f>
        <v>1564.01028277635</v>
      </c>
      <c r="BH52" s="10" t="n">
        <f aca="false">('Prices&amp;Fuel'!C52+'Prices&amp;Fuel'!D52)/2-0.05+('Prices&amp;Fuel'!M52+'Prices&amp;Fuel'!P52)*(1-'Prices&amp;Fuel'!F52)</f>
        <v>5.89392225</v>
      </c>
      <c r="BI52" s="9" t="n">
        <f aca="false">IF(AP52=80000,0,BB52)</f>
        <v>8976.86375321337</v>
      </c>
      <c r="BJ52" s="9"/>
      <c r="BK52" s="10" t="n">
        <f aca="false">(((BB52+BE52)*('Prices&amp;Fuel'!B52+0.025))+(('Prices&amp;Fuel'!D52+0.025)*(BD52+BG52))+(('Prices&amp;Fuel'!C52+0.025)*(BC52+BF52))-(BI52+BJ52)*0.025)/(BB52+BC52+BD52+BE52+BF52+BG52)</f>
        <v>5.18981904761905</v>
      </c>
      <c r="BL52" s="9" t="n">
        <f aca="false">(BB52+BC52+BD52+BE52+BF52+BG52)*BH52*'Prices&amp;Fuel'!H52</f>
        <v>3945443.06915163</v>
      </c>
      <c r="BM52" s="9" t="n">
        <f aca="false">'Prices&amp;Fuel'!X52*('Prices&amp;Fuel'!N52+'Prices&amp;Fuel'!O52)*'Prices&amp;Fuel'!H52</f>
        <v>13126.113</v>
      </c>
      <c r="BN52" s="9" t="n">
        <f aca="false">('Prices&amp;Fuel'!U52+'Prices&amp;Fuel'!V52+'Prices&amp;Fuel'!W52)*('Prices&amp;Fuel'!L52+'Prices&amp;Fuel'!O52)*'Prices&amp;Fuel'!H52</f>
        <v>102950.163</v>
      </c>
      <c r="BO52" s="9" t="n">
        <f aca="false">((BB52+BC52+BD52)*(1-'Prices&amp;Fuel'!G52))*('Prices&amp;Fuel'!M52+'Prices&amp;Fuel'!P52)*'Prices&amp;Fuel'!H52</f>
        <v>290010.418799995</v>
      </c>
      <c r="BP52" s="9" t="n">
        <f aca="false">((BD52+BC52+BB52+BE52+BF52+BG52)*BK52*'Prices&amp;Fuel'!H52)+BM52+BN52+BO52</f>
        <v>3880196.92616243</v>
      </c>
      <c r="BQ52" s="5" t="n">
        <f aca="false">BL52-BP52</f>
        <v>65246.1429892033</v>
      </c>
      <c r="CA52" s="5" t="n">
        <f aca="false">(AF52+AG52+AH52+AL52)*0.005*'Prices&amp;Fuel'!H52</f>
        <v>21038.5604113111</v>
      </c>
      <c r="CB52" s="5" t="n">
        <f aca="false">(B52+C52+D52+O52+P52+Q52+X52+Y52+BB52+BC52+BD52+BE52+BF52+BG52+BR52+BS52)*0.005*'Prices&amp;Fuel'!H52</f>
        <v>7547.54370179946</v>
      </c>
      <c r="CC52" s="7" t="n">
        <f aca="false">K52+T52+AB52+AY52+BL52+BX52</f>
        <v>28175806.191928</v>
      </c>
      <c r="CD52" s="7" t="n">
        <f aca="false">L52+U52+AC52+AZ52+BP52+BY52+CA52+CB52</f>
        <v>27648418.1572935</v>
      </c>
      <c r="CE52" s="7" t="n">
        <f aca="false">CC52-CD52</f>
        <v>527388.034634449</v>
      </c>
      <c r="CF52" s="7" t="n">
        <f aca="false">'Index Price Deals'!AR52</f>
        <v>0</v>
      </c>
      <c r="CG52" s="7" t="n">
        <f aca="false">'Index Price Deals'!AS52</f>
        <v>0</v>
      </c>
      <c r="CH52" s="7" t="n">
        <f aca="false">'Index Price Deals'!AT52</f>
        <v>0</v>
      </c>
      <c r="CI52" s="7" t="n">
        <f aca="false">'Index Price Deals'!AU52</f>
        <v>0</v>
      </c>
      <c r="CJ52" s="7" t="n">
        <f aca="false">CC52+CF52</f>
        <v>28175806.191928</v>
      </c>
      <c r="CK52" s="7" t="n">
        <f aca="false">CD52+CH52</f>
        <v>27648418.1572935</v>
      </c>
      <c r="CL52" s="7" t="n">
        <f aca="false">CE52+CI52</f>
        <v>527388.034634449</v>
      </c>
      <c r="CM52" s="69"/>
      <c r="CN52" s="7" t="n">
        <f aca="false">Transport!U52</f>
        <v>4.41954107373022E-009</v>
      </c>
      <c r="CO52" s="71"/>
      <c r="CQ52" s="7" t="n">
        <f aca="false">(((($B52+$C52+$D52+$O52+$P52+$Q52)*0.5)+BR52+BS52)*(0.005*'Prices&amp;Fuel'!$H52)+'Index Price Deals'!AV52)+(((BB52+BC52+BD52+BE52+BF52+BG52)*(1-'Prices&amp;Fuel'!F52))*0.005*0.5*'Prices&amp;Fuel'!H52)</f>
        <v>3572.74999999999</v>
      </c>
      <c r="CR52" s="7" t="n">
        <f aca="false">(((($B52+$C52+$D52+$O52+$P52+$Q52)*0.5)+X52+Y52)*(0.005*'Prices&amp;Fuel'!$H52)+CA52+'Index Price Deals'!AW52)+(((BB52+BC52+BD52+BE52+BF52+BG52)*(1-'Prices&amp;Fuel'!F52))*0.005*0.5*'Prices&amp;Fuel'!H52)</f>
        <v>24921.310411311</v>
      </c>
      <c r="CS52" s="11"/>
      <c r="CT52" s="7" t="n">
        <f aca="false">[2]Sheet1!$O64</f>
        <v>27798.572017243</v>
      </c>
      <c r="CU52" s="7" t="n">
        <f aca="false">'[3]Long Term Deals'!$Z51</f>
        <v>-34895.0629697055</v>
      </c>
      <c r="CV52" s="70" t="n">
        <f aca="false">CL52-CN52-CT52+CU52+CS52+CO52</f>
        <v>464694.399647496</v>
      </c>
      <c r="CW52" s="14" t="n">
        <f aca="false">((B52+C52+D52+O52+P52+Q52+X52+Y52+AF52+AG52+AH52+BB52+BC52+BD52+BE52+BF52+BG52+BR52+BS52)+('Index Price Deals'!B52+'Index Price Deals'!C52+'Index Price Deals'!D52+'Index Price Deals'!L52+'Index Price Deals'!M52+'Index Price Deals'!N52+'Index Price Deals'!AD52+'Index Price Deals'!AE52+'Index Price Deals'!AF52+'Index Price Deals'!AK52+'Index Price Deals'!AL52+'Index Price Deals'!AM52))*'Prices&amp;Fuel'!H52</f>
        <v>5717220.8226221</v>
      </c>
      <c r="CX52" s="12" t="n">
        <f aca="false">BQ52/(BB52+BC52+BD52+BE52+BF52+BG52)/'Prices&amp;Fuel'!H52</f>
        <v>0.0974683165238108</v>
      </c>
      <c r="CZ52" s="13" t="n">
        <f aca="false">(BA52-CT52+CU52)/(AF52+AG52+AH52)/'Prices&amp;Fuel'!H52</f>
        <v>0.0993048484787855</v>
      </c>
      <c r="DB52" s="1" t="n">
        <f aca="false">(O52+P52+Q52)*'Prices&amp;Fuel'!$H52</f>
        <v>778100</v>
      </c>
      <c r="DC52" s="1" t="n">
        <f aca="false">(X52+Y52)*'Prices&amp;Fuel'!$H52</f>
        <v>62000</v>
      </c>
      <c r="DE52" s="1" t="n">
        <v>132000</v>
      </c>
    </row>
    <row r="53" customFormat="false" ht="12.75" hidden="false" customHeight="false" outlineLevel="0" collapsed="false">
      <c r="A53" s="6" t="n">
        <f aca="false">+A52+365/12</f>
        <v>37209</v>
      </c>
      <c r="O53" s="7" t="n">
        <v>9036</v>
      </c>
      <c r="P53" s="7" t="n">
        <v>10794</v>
      </c>
      <c r="Q53" s="7" t="n">
        <v>5270</v>
      </c>
      <c r="R53" s="8" t="n">
        <f aca="false">R52</f>
        <v>2.3364</v>
      </c>
      <c r="S53" s="8" t="n">
        <f aca="false">S52</f>
        <v>2.3249</v>
      </c>
      <c r="T53" s="7" t="n">
        <f aca="false">(($O53*R53)+($P53*R53)+($Q53*R53))*'Prices&amp;Fuel'!$H53</f>
        <v>1759309.2</v>
      </c>
      <c r="U53" s="7" t="n">
        <f aca="false">(($O53*S53)+($P53*S53)+($Q53*S53))*'Prices&amp;Fuel'!$H53</f>
        <v>1750649.7</v>
      </c>
      <c r="V53" s="14" t="n">
        <f aca="false">T53-U53</f>
        <v>8659.5</v>
      </c>
      <c r="X53" s="7" t="n">
        <f aca="false">1000*0.5</f>
        <v>500</v>
      </c>
      <c r="Y53" s="7" t="n">
        <f aca="false">X53</f>
        <v>500</v>
      </c>
      <c r="Z53" s="27" t="n">
        <v>2.2</v>
      </c>
      <c r="AA53" s="27" t="n">
        <v>2.18</v>
      </c>
      <c r="AB53" s="7" t="n">
        <f aca="false">($X53+$Y53)*Z53*'Prices&amp;Fuel'!$H53</f>
        <v>66000</v>
      </c>
      <c r="AC53" s="7" t="n">
        <f aca="false">($X53+$Y53)*AA53*'Prices&amp;Fuel'!$H53</f>
        <v>65400</v>
      </c>
      <c r="AD53" s="14" t="n">
        <f aca="false">AB53-AC53</f>
        <v>600</v>
      </c>
      <c r="AF53" s="7" t="n">
        <f aca="false">(32000/(1-'Prices&amp;Fuel'!F53))+(25000/(1-'Prices&amp;Fuel'!G53))-AI53</f>
        <v>58611.8251928021</v>
      </c>
      <c r="AG53" s="7" t="n">
        <v>0</v>
      </c>
      <c r="AH53" s="7" t="n">
        <f aca="false">(75000/(1-'Prices&amp;Fuel'!G53))-AK53</f>
        <v>77120.822622108</v>
      </c>
      <c r="AI53" s="7"/>
      <c r="AJ53" s="7"/>
      <c r="AK53" s="7"/>
      <c r="AL53" s="11" t="n">
        <f aca="false">ROUND((132000/(1-'Prices&amp;Fuel'!F53))-AF53-AG53-AH53,0)</f>
        <v>0</v>
      </c>
      <c r="AM53" s="7" t="n">
        <f aca="false">ROUND(IF(AF53&lt;AP53,0,(AF53-AP53-AI53)/2),0)</f>
        <v>0</v>
      </c>
      <c r="AO53" s="7" t="n">
        <f aca="false">ROUND((75000/(1-'Prices&amp;Fuel'!G53)-AV53-AK53)/2,0)</f>
        <v>38560</v>
      </c>
      <c r="AP53" s="7" t="n">
        <f aca="false">IF(80000&gt;AF53,AF53,80000)</f>
        <v>58611.8251928021</v>
      </c>
      <c r="AR53" s="7" t="n">
        <f aca="false">IF(AP53&gt;AF53,0,AF53-AM53-AP53)</f>
        <v>0</v>
      </c>
      <c r="AT53" s="14" t="n">
        <f aca="false">AH53-AO53-AV53</f>
        <v>38560.822622108</v>
      </c>
      <c r="AU53" s="14" t="n">
        <f aca="false">AL53*AX53*'Prices&amp;Fuel'!H53</f>
        <v>0</v>
      </c>
      <c r="AW53" s="68" t="n">
        <f aca="false">AW52</f>
        <v>0.1</v>
      </c>
      <c r="AX53" s="68" t="n">
        <f aca="false">AX52</f>
        <v>0.025</v>
      </c>
      <c r="AY53" s="5" t="n">
        <f aca="false">('Prices&amp;Fuel'!H53*('Prices&amp;Fuel'!B53+AW53)*'Long Term Deals'!AF53)+('Prices&amp;Fuel'!H53*('Prices&amp;Fuel'!C53+'Long Term Deals'!AW53)*'Long Term Deals'!AG53)+(AH53*('Prices&amp;Fuel'!C53+AW53)*'Prices&amp;Fuel'!H53)+(AW53*AL53*'Prices&amp;Fuel'!H53)</f>
        <v>14512904.8843188</v>
      </c>
      <c r="AZ53" s="5" t="n">
        <f aca="false">(AP53*'Prices&amp;Fuel'!H53*'Prices&amp;Fuel'!B53)+(AQ53*'Prices&amp;Fuel'!C53*'Prices&amp;Fuel'!H53)+((AM53+AR53)*('Prices&amp;Fuel'!B53+'Long Term Deals'!AX53)*'Prices&amp;Fuel'!H53)+((AN53+AS53)*('Prices&amp;Fuel'!C53+'Long Term Deals'!AX53)*'Prices&amp;Fuel'!H53)+((AO53+AT53)*('Prices&amp;Fuel'!D53+'Long Term Deals'!AX53)*'Prices&amp;Fuel'!H53)+(AV53*'Prices&amp;Fuel'!H53*'Prices&amp;Fuel'!Q53)+AU53</f>
        <v>14047866.3239075</v>
      </c>
      <c r="BA53" s="5" t="n">
        <f aca="false">AY53-AZ53</f>
        <v>465038.560411312</v>
      </c>
      <c r="BB53" s="5" t="n">
        <f aca="false">IF('FP Corp'!T53-((BE53+BF53+BG53)*(1-'Prices&amp;Fuel'!F53))&lt;'Prices&amp;Fuel'!R53,('FP Corp'!T53-(BE53+BF53+BG53)*(1-'Prices&amp;Fuel'!F53)),'Prices&amp;Fuel'!R53)/(1-'Prices&amp;Fuel'!F53)</f>
        <v>4325.96401028278</v>
      </c>
      <c r="BC53" s="9"/>
      <c r="BD53" s="9" t="n">
        <f aca="false">ROUND(IF('FP Corp'!T53/(1-'Prices&amp;Fuel'!F53)-BE53-BF53-BG53-BB53&gt;'Prices&amp;Fuel'!T53,'Prices&amp;Fuel'!T53,'FP Corp'!T53/(1-'Prices&amp;Fuel'!F53)-BE53-BF53-BG53-BB53),9)</f>
        <v>0</v>
      </c>
      <c r="BE53" s="9" t="n">
        <f aca="false">'Prices&amp;Fuel'!U53/(1-'Prices&amp;Fuel'!F53)</f>
        <v>2635.47557840617</v>
      </c>
      <c r="BF53" s="9" t="n">
        <f aca="false">('Prices&amp;Fuel'!V53+'Prices&amp;Fuel'!X53)/(1-'Prices&amp;Fuel'!F53)</f>
        <v>3645.2442159383</v>
      </c>
      <c r="BG53" s="9" t="n">
        <f aca="false">'Prices&amp;Fuel'!W53/(1-'Prices&amp;Fuel'!F53)</f>
        <v>1732.64781491003</v>
      </c>
      <c r="BH53" s="10" t="n">
        <f aca="false">('Prices&amp;Fuel'!C53+'Prices&amp;Fuel'!D53)/2-0.05+('Prices&amp;Fuel'!M53+'Prices&amp;Fuel'!P53)*(1-'Prices&amp;Fuel'!F53)</f>
        <v>4.16392225</v>
      </c>
      <c r="BI53" s="9" t="n">
        <f aca="false">IF(AP53=80000,0,BB53)</f>
        <v>4325.96401028278</v>
      </c>
      <c r="BJ53" s="9"/>
      <c r="BK53" s="10" t="n">
        <f aca="false">(((BB53+BE53)*('Prices&amp;Fuel'!B53+0.025))+(('Prices&amp;Fuel'!D53+0.025)*(BD53+BG53))+(('Prices&amp;Fuel'!C53+0.025)*(BC53+BF53))-(BI53+BJ53)*0.025)/(BB53+BC53+BD53+BE53+BF53+BG53)</f>
        <v>3.46536458333333</v>
      </c>
      <c r="BL53" s="9" t="n">
        <f aca="false">(BB53+BC53+BD53+BE53+BF53+BG53)*BH53*'Prices&amp;Fuel'!H53</f>
        <v>1541400.52442159</v>
      </c>
      <c r="BM53" s="9" t="n">
        <f aca="false">'Prices&amp;Fuel'!X53*('Prices&amp;Fuel'!N53+'Prices&amp;Fuel'!O53)*'Prices&amp;Fuel'!H53</f>
        <v>8667.27</v>
      </c>
      <c r="BN53" s="9" t="n">
        <f aca="false">('Prices&amp;Fuel'!U53+'Prices&amp;Fuel'!V53+'Prices&amp;Fuel'!W53)*('Prices&amp;Fuel'!L53+'Prices&amp;Fuel'!O53)*'Prices&amp;Fuel'!H53</f>
        <v>90225.9</v>
      </c>
      <c r="BO53" s="9" t="n">
        <f aca="false">((BB53+BC53+BD53)*(1-'Prices&amp;Fuel'!G53))*('Prices&amp;Fuel'!M53+'Prices&amp;Fuel'!P53)*'Prices&amp;Fuel'!H53</f>
        <v>97194.321</v>
      </c>
      <c r="BP53" s="9" t="n">
        <f aca="false">((BD53+BC53+BB53+BE53+BF53+BG53)*BK53*'Prices&amp;Fuel'!H53)+BM53+BN53+BO53</f>
        <v>1478895.97429049</v>
      </c>
      <c r="BQ53" s="5" t="n">
        <f aca="false">BL53-BP53</f>
        <v>62504.5501311056</v>
      </c>
      <c r="CA53" s="5" t="n">
        <f aca="false">(AF53+AG53+AH53+AL53)*0.005*'Prices&amp;Fuel'!H53</f>
        <v>20359.8971722365</v>
      </c>
      <c r="CB53" s="5" t="n">
        <f aca="false">(B53+C53+D53+O53+P53+Q53+X53+Y53+BB53+BC53+BD53+BE53+BF53+BG53+BR53+BS53)*0.005*'Prices&amp;Fuel'!H53</f>
        <v>5765.89974293059</v>
      </c>
      <c r="CC53" s="7" t="n">
        <f aca="false">K53+T53+AB53+AY53+BL53+BX53</f>
        <v>17879614.6087404</v>
      </c>
      <c r="CD53" s="7" t="n">
        <f aca="false">L53+U53+AC53+AZ53+BP53+BY53+CA53+CB53</f>
        <v>17368937.7951131</v>
      </c>
      <c r="CE53" s="7" t="n">
        <f aca="false">CC53-CD53</f>
        <v>510676.813627251</v>
      </c>
      <c r="CF53" s="7" t="n">
        <f aca="false">'Index Price Deals'!AR53</f>
        <v>0</v>
      </c>
      <c r="CG53" s="7" t="n">
        <f aca="false">'Index Price Deals'!AS53</f>
        <v>0</v>
      </c>
      <c r="CH53" s="7" t="n">
        <f aca="false">'Index Price Deals'!AT53</f>
        <v>0</v>
      </c>
      <c r="CI53" s="7" t="n">
        <f aca="false">'Index Price Deals'!AU53</f>
        <v>0</v>
      </c>
      <c r="CJ53" s="7" t="n">
        <f aca="false">CC53+CF53</f>
        <v>17879614.6087404</v>
      </c>
      <c r="CK53" s="7" t="n">
        <f aca="false">CD53+CH53</f>
        <v>17368937.7951131</v>
      </c>
      <c r="CL53" s="7" t="n">
        <f aca="false">CE53+CI53</f>
        <v>510676.813627251</v>
      </c>
      <c r="CM53" s="69"/>
      <c r="CN53" s="7" t="n">
        <f aca="false">Transport!U53</f>
        <v>0</v>
      </c>
      <c r="CO53" s="71"/>
      <c r="CQ53" s="7" t="n">
        <f aca="false">(((($B53+$C53+$D53+$O53+$P53+$Q53)*0.5)+BR53+BS53)*(0.005*'Prices&amp;Fuel'!$H53)+'Index Price Deals'!AV53)+(((BB53+BC53+BD53+BE53+BF53+BG53)*(1-'Prices&amp;Fuel'!F53))*0.005*0.5*'Prices&amp;Fuel'!H53)</f>
        <v>2782.5</v>
      </c>
      <c r="CR53" s="7" t="n">
        <f aca="false">(((($B53+$C53+$D53+$O53+$P53+$Q53)*0.5)+X53+Y53)*(0.005*'Prices&amp;Fuel'!$H53)+CA53+'Index Price Deals'!AW53)+(((BB53+BC53+BD53+BE53+BF53+BG53)*(1-'Prices&amp;Fuel'!F53))*0.005*0.5*'Prices&amp;Fuel'!H53)</f>
        <v>23292.3971722365</v>
      </c>
      <c r="CS53" s="11"/>
      <c r="CT53" s="7" t="n">
        <f aca="false">[2]Sheet1!$O65</f>
        <v>26901.8438876545</v>
      </c>
      <c r="CU53" s="7" t="n">
        <f aca="false">'[3]Long Term Deals'!$Z52</f>
        <v>-33769.4157771343</v>
      </c>
      <c r="CV53" s="70" t="n">
        <f aca="false">CL53-CN53-CT53+CU53+CS53+CO53</f>
        <v>450005.553962462</v>
      </c>
      <c r="CW53" s="14" t="n">
        <f aca="false">((B53+C53+D53+O53+P53+Q53+X53+Y53+AF53+AG53+AH53+BB53+BC53+BD53+BE53+BF53+BG53+BR53+BS53)+('Index Price Deals'!B53+'Index Price Deals'!C53+'Index Price Deals'!D53+'Index Price Deals'!L53+'Index Price Deals'!M53+'Index Price Deals'!N53+'Index Price Deals'!AD53+'Index Price Deals'!AE53+'Index Price Deals'!AF53+'Index Price Deals'!AK53+'Index Price Deals'!AL53+'Index Price Deals'!AM53))*'Prices&amp;Fuel'!H53</f>
        <v>5225159.38303342</v>
      </c>
      <c r="CX53" s="12" t="n">
        <f aca="false">BQ53/(BB53+BC53+BD53+BE53+BF53+BG53)/'Prices&amp;Fuel'!H53</f>
        <v>0.168849097229167</v>
      </c>
      <c r="CZ53" s="13" t="n">
        <f aca="false">(BA53-CT53+CU53)/(AF53+AG53+AH53)/'Prices&amp;Fuel'!H53</f>
        <v>0.0993048484787862</v>
      </c>
      <c r="DB53" s="1" t="n">
        <f aca="false">(O53+P53+Q53)*'Prices&amp;Fuel'!$H53</f>
        <v>753000</v>
      </c>
      <c r="DC53" s="1" t="n">
        <f aca="false">(X53+Y53)*'Prices&amp;Fuel'!$H53</f>
        <v>30000</v>
      </c>
      <c r="DE53" s="1" t="n">
        <v>132000</v>
      </c>
    </row>
    <row r="54" customFormat="false" ht="12.75" hidden="false" customHeight="false" outlineLevel="0" collapsed="false">
      <c r="A54" s="6" t="n">
        <f aca="false">+A53+365/12</f>
        <v>37239.4166666667</v>
      </c>
      <c r="O54" s="7" t="n">
        <v>9036</v>
      </c>
      <c r="P54" s="7" t="n">
        <v>10794</v>
      </c>
      <c r="Q54" s="7" t="n">
        <v>5270</v>
      </c>
      <c r="R54" s="8" t="n">
        <f aca="false">R53</f>
        <v>2.3364</v>
      </c>
      <c r="S54" s="8" t="n">
        <f aca="false">S53</f>
        <v>2.3249</v>
      </c>
      <c r="T54" s="7" t="n">
        <f aca="false">(($O54*R54)+($P54*R54)+($Q54*R54))*'Prices&amp;Fuel'!$H54</f>
        <v>1817952.84</v>
      </c>
      <c r="U54" s="7" t="n">
        <f aca="false">(($O54*S54)+($P54*S54)+($Q54*S54))*'Prices&amp;Fuel'!$H54</f>
        <v>1809004.69</v>
      </c>
      <c r="V54" s="14" t="n">
        <f aca="false">T54-U54</f>
        <v>8948.15000000014</v>
      </c>
      <c r="X54" s="7" t="n">
        <f aca="false">1000*0.5</f>
        <v>500</v>
      </c>
      <c r="Y54" s="7" t="n">
        <f aca="false">X54</f>
        <v>500</v>
      </c>
      <c r="Z54" s="27" t="n">
        <v>2.2</v>
      </c>
      <c r="AA54" s="27" t="n">
        <v>2.18</v>
      </c>
      <c r="AB54" s="7" t="n">
        <f aca="false">($X54+$Y54)*Z54*'Prices&amp;Fuel'!$H54</f>
        <v>68200</v>
      </c>
      <c r="AC54" s="7" t="n">
        <f aca="false">($X54+$Y54)*AA54*'Prices&amp;Fuel'!$H54</f>
        <v>67580</v>
      </c>
      <c r="AD54" s="14" t="n">
        <f aca="false">AB54-AC54</f>
        <v>620</v>
      </c>
      <c r="AF54" s="7" t="n">
        <f aca="false">(32000/(1-'Prices&amp;Fuel'!F54))+(25000/(1-'Prices&amp;Fuel'!G54))-AI54</f>
        <v>58611.8251928021</v>
      </c>
      <c r="AG54" s="7" t="n">
        <v>0</v>
      </c>
      <c r="AH54" s="7" t="n">
        <f aca="false">(75000/(1-'Prices&amp;Fuel'!G54))-AK54</f>
        <v>77120.822622108</v>
      </c>
      <c r="AI54" s="7"/>
      <c r="AJ54" s="7"/>
      <c r="AK54" s="7"/>
      <c r="AL54" s="11" t="n">
        <f aca="false">ROUND((132000/(1-'Prices&amp;Fuel'!F54))-AF54-AG54-AH54,0)</f>
        <v>0</v>
      </c>
      <c r="AM54" s="7" t="n">
        <f aca="false">ROUND(IF(AF54&lt;AP54,0,(AF54-AP54-AI54)/2),0)</f>
        <v>0</v>
      </c>
      <c r="AO54" s="7" t="n">
        <f aca="false">ROUND((75000/(1-'Prices&amp;Fuel'!G54)-AV54-AK54)/2,0)</f>
        <v>38560</v>
      </c>
      <c r="AP54" s="7" t="n">
        <f aca="false">IF(80000&gt;AF54,AF54,80000)</f>
        <v>58611.8251928021</v>
      </c>
      <c r="AR54" s="7" t="n">
        <f aca="false">IF(AP54&gt;AF54,0,AF54-AM54-AP54)</f>
        <v>0</v>
      </c>
      <c r="AT54" s="14" t="n">
        <f aca="false">AH54-AO54-AV54</f>
        <v>38560.822622108</v>
      </c>
      <c r="AU54" s="14" t="n">
        <f aca="false">AL54*AX54*'Prices&amp;Fuel'!H54</f>
        <v>0</v>
      </c>
      <c r="AW54" s="68" t="n">
        <f aca="false">AW53</f>
        <v>0.1</v>
      </c>
      <c r="AX54" s="68" t="n">
        <f aca="false">AX53</f>
        <v>0.025</v>
      </c>
      <c r="AY54" s="5" t="n">
        <f aca="false">('Prices&amp;Fuel'!H54*('Prices&amp;Fuel'!B54+AW54)*'Long Term Deals'!AF54)+('Prices&amp;Fuel'!H54*('Prices&amp;Fuel'!C54+'Long Term Deals'!AW54)*'Long Term Deals'!AG54)+(AH54*('Prices&amp;Fuel'!C54+AW54)*'Prices&amp;Fuel'!H54)+(AW54*AL54*'Prices&amp;Fuel'!H54)</f>
        <v>11293881.748072</v>
      </c>
      <c r="AZ54" s="5" t="n">
        <f aca="false">(AP54*'Prices&amp;Fuel'!H54*'Prices&amp;Fuel'!B54)+(AQ54*'Prices&amp;Fuel'!C54*'Prices&amp;Fuel'!H54)+((AM54+AR54)*('Prices&amp;Fuel'!B54+'Long Term Deals'!AX54)*'Prices&amp;Fuel'!H54)+((AN54+AS54)*('Prices&amp;Fuel'!C54+'Long Term Deals'!AX54)*'Prices&amp;Fuel'!H54)+((AO54+AT54)*('Prices&amp;Fuel'!D54+'Long Term Deals'!AX54)*'Prices&amp;Fuel'!H54)+(AV54*'Prices&amp;Fuel'!H54*'Prices&amp;Fuel'!Q54)+AU54</f>
        <v>10813341.9023136</v>
      </c>
      <c r="BA54" s="5" t="n">
        <f aca="false">AY54-AZ54</f>
        <v>480539.845758352</v>
      </c>
      <c r="BB54" s="5" t="n">
        <f aca="false">IF('FP Corp'!T54-((BE54+BF54+BG54)*(1-'Prices&amp;Fuel'!F54))&lt;'Prices&amp;Fuel'!R54,('FP Corp'!T54-(BE54+BF54+BG54)*(1-'Prices&amp;Fuel'!F54)),'Prices&amp;Fuel'!R54)/(1-'Prices&amp;Fuel'!F54)</f>
        <v>4325.96401028278</v>
      </c>
      <c r="BC54" s="9"/>
      <c r="BD54" s="9" t="n">
        <f aca="false">ROUND(IF('FP Corp'!T54/(1-'Prices&amp;Fuel'!F54)-BE54-BF54-BG54-BB54&gt;'Prices&amp;Fuel'!T54,'Prices&amp;Fuel'!T54,'FP Corp'!T54/(1-'Prices&amp;Fuel'!F54)-BE54-BF54-BG54-BB54),9)</f>
        <v>0</v>
      </c>
      <c r="BE54" s="9" t="n">
        <f aca="false">'Prices&amp;Fuel'!U54/(1-'Prices&amp;Fuel'!F54)</f>
        <v>2635.47557840617</v>
      </c>
      <c r="BF54" s="9" t="n">
        <f aca="false">('Prices&amp;Fuel'!V54+'Prices&amp;Fuel'!X54)/(1-'Prices&amp;Fuel'!F54)</f>
        <v>3645.2442159383</v>
      </c>
      <c r="BG54" s="9" t="n">
        <f aca="false">'Prices&amp;Fuel'!W54/(1-'Prices&amp;Fuel'!F54)</f>
        <v>1732.64781491003</v>
      </c>
      <c r="BH54" s="10" t="n">
        <f aca="false">('Prices&amp;Fuel'!C54+'Prices&amp;Fuel'!D54)/2-0.05+('Prices&amp;Fuel'!M54+'Prices&amp;Fuel'!P54)*(1-'Prices&amp;Fuel'!F54)</f>
        <v>3.28392225</v>
      </c>
      <c r="BI54" s="9" t="n">
        <f aca="false">IF(AP54=80000,0,BB54)</f>
        <v>4325.96401028278</v>
      </c>
      <c r="BJ54" s="9"/>
      <c r="BK54" s="10" t="n">
        <f aca="false">(((BB54+BE54)*('Prices&amp;Fuel'!B54+0.025))+(('Prices&amp;Fuel'!D54+0.025)*(BD54+BG54))+(('Prices&amp;Fuel'!C54+0.025)*(BC54+BF54))-(BI54+BJ54)*0.025)/(BB54+BC54+BD54+BE54+BF54+BG54)</f>
        <v>2.58536458333333</v>
      </c>
      <c r="BL54" s="9" t="n">
        <f aca="false">(BB54+BC54+BD54+BE54+BF54+BG54)*BH54*'Prices&amp;Fuel'!H54</f>
        <v>1256163.57532134</v>
      </c>
      <c r="BM54" s="9" t="n">
        <f aca="false">'Prices&amp;Fuel'!X54*('Prices&amp;Fuel'!N54+'Prices&amp;Fuel'!O54)*'Prices&amp;Fuel'!H54</f>
        <v>8956.179</v>
      </c>
      <c r="BN54" s="9" t="n">
        <f aca="false">('Prices&amp;Fuel'!U54+'Prices&amp;Fuel'!V54+'Prices&amp;Fuel'!W54)*('Prices&amp;Fuel'!L54+'Prices&amp;Fuel'!O54)*'Prices&amp;Fuel'!H54</f>
        <v>93233.43</v>
      </c>
      <c r="BO54" s="9" t="n">
        <f aca="false">((BB54+BC54+BD54)*(1-'Prices&amp;Fuel'!G54))*('Prices&amp;Fuel'!M54+'Prices&amp;Fuel'!P54)*'Prices&amp;Fuel'!H54</f>
        <v>100434.1317</v>
      </c>
      <c r="BP54" s="9" t="n">
        <f aca="false">((BD54+BC54+BB54+BE54+BF54+BG54)*BK54*'Prices&amp;Fuel'!H54)+BM54+BN54+BO54</f>
        <v>1191575.54018586</v>
      </c>
      <c r="BQ54" s="5" t="n">
        <f aca="false">BL54-BP54</f>
        <v>64588.0351354757</v>
      </c>
      <c r="CA54" s="5" t="n">
        <f aca="false">(AF54+AG54+AH54+AL54)*0.005*'Prices&amp;Fuel'!H54</f>
        <v>21038.5604113111</v>
      </c>
      <c r="CB54" s="5" t="n">
        <f aca="false">(B54+C54+D54+O54+P54+Q54+X54+Y54+BB54+BC54+BD54+BE54+BF54+BG54+BR54+BS54)*0.005*'Prices&amp;Fuel'!H54</f>
        <v>5958.09640102828</v>
      </c>
      <c r="CC54" s="7" t="n">
        <f aca="false">K54+T54+AB54+AY54+BL54+BX54</f>
        <v>14436198.1633933</v>
      </c>
      <c r="CD54" s="7" t="n">
        <f aca="false">L54+U54+AC54+AZ54+BP54+BY54+CA54+CB54</f>
        <v>13908498.7893118</v>
      </c>
      <c r="CE54" s="7" t="n">
        <f aca="false">CC54-CD54</f>
        <v>527699.374081489</v>
      </c>
      <c r="CF54" s="7" t="n">
        <f aca="false">'Index Price Deals'!AR54</f>
        <v>0</v>
      </c>
      <c r="CG54" s="7" t="n">
        <f aca="false">'Index Price Deals'!AS54</f>
        <v>0</v>
      </c>
      <c r="CH54" s="7" t="n">
        <f aca="false">'Index Price Deals'!AT54</f>
        <v>0</v>
      </c>
      <c r="CI54" s="7" t="n">
        <f aca="false">'Index Price Deals'!AU54</f>
        <v>0</v>
      </c>
      <c r="CJ54" s="7" t="n">
        <f aca="false">CC54+CF54</f>
        <v>14436198.1633933</v>
      </c>
      <c r="CK54" s="7" t="n">
        <f aca="false">CD54+CH54</f>
        <v>13908498.7893118</v>
      </c>
      <c r="CL54" s="7" t="n">
        <f aca="false">CE54+CI54</f>
        <v>527699.374081489</v>
      </c>
      <c r="CM54" s="7" t="n">
        <f aca="false">SUM(CL43:CL54)</f>
        <v>7157106.69058688</v>
      </c>
      <c r="CN54" s="7" t="n">
        <f aca="false">Transport!U54</f>
        <v>0</v>
      </c>
      <c r="CO54" s="71"/>
      <c r="CQ54" s="7" t="n">
        <f aca="false">(((($B54+$C54+$D54+$O54+$P54+$Q54)*0.5)+BR54+BS54)*(0.005*'Prices&amp;Fuel'!$H54)+'Index Price Deals'!AV54)+(((BB54+BC54+BD54+BE54+BF54+BG54)*(1-'Prices&amp;Fuel'!F54))*0.005*0.5*'Prices&amp;Fuel'!H54)</f>
        <v>2875.25</v>
      </c>
      <c r="CR54" s="7" t="n">
        <f aca="false">(((($B54+$C54+$D54+$O54+$P54+$Q54)*0.5)+X54+Y54)*(0.005*'Prices&amp;Fuel'!$H54)+CA54+'Index Price Deals'!AW54)+(((BB54+BC54+BD54+BE54+BF54+BG54)*(1-'Prices&amp;Fuel'!F54))*0.005*0.5*'Prices&amp;Fuel'!H54)</f>
        <v>24068.8104113111</v>
      </c>
      <c r="CS54" s="11"/>
      <c r="CT54" s="7" t="n">
        <f aca="false">[2]Sheet1!$O66</f>
        <v>27798.572017243</v>
      </c>
      <c r="CU54" s="7" t="n">
        <f aca="false">'[3]Long Term Deals'!$Z53</f>
        <v>-34895.0629697055</v>
      </c>
      <c r="CV54" s="70" t="n">
        <f aca="false">CL54-CN54-CT54+CU54+CS54+CO54</f>
        <v>465005.73909454</v>
      </c>
      <c r="CW54" s="14" t="n">
        <f aca="false">((B54+C54+D54+O54+P54+Q54+X54+Y54+AF54+AG54+AH54+BB54+BC54+BD54+BE54+BF54+BG54+BR54+BS54)+('Index Price Deals'!B54+'Index Price Deals'!C54+'Index Price Deals'!D54+'Index Price Deals'!L54+'Index Price Deals'!M54+'Index Price Deals'!N54+'Index Price Deals'!AD54+'Index Price Deals'!AE54+'Index Price Deals'!AF54+'Index Price Deals'!AK54+'Index Price Deals'!AL54+'Index Price Deals'!AM54))*'Prices&amp;Fuel'!H54</f>
        <v>5399331.36246787</v>
      </c>
      <c r="CX54" s="12" t="n">
        <f aca="false">BQ54/(BB54+BC54+BD54+BE54+BF54+BG54)/'Prices&amp;Fuel'!H54</f>
        <v>0.168849097229167</v>
      </c>
      <c r="CZ54" s="13" t="n">
        <f aca="false">(BA54-CT54+CU54)/(AF54+AG54+AH54)/'Prices&amp;Fuel'!H54</f>
        <v>0.0993048484787855</v>
      </c>
      <c r="DB54" s="1" t="n">
        <f aca="false">(O54+P54+Q54)*'Prices&amp;Fuel'!$H54</f>
        <v>778100</v>
      </c>
      <c r="DC54" s="1" t="n">
        <f aca="false">(X54+Y54)*'Prices&amp;Fuel'!$H54</f>
        <v>31000</v>
      </c>
      <c r="DE54" s="1" t="n">
        <v>132000</v>
      </c>
    </row>
    <row r="55" customFormat="false" ht="12.75" hidden="false" customHeight="false" outlineLevel="0" collapsed="false">
      <c r="A55" s="6" t="n">
        <f aca="false">+A54+365/12</f>
        <v>37269.8333333333</v>
      </c>
      <c r="O55" s="7" t="n">
        <v>9036</v>
      </c>
      <c r="P55" s="7" t="n">
        <v>10794</v>
      </c>
      <c r="Q55" s="7" t="n">
        <v>5270</v>
      </c>
      <c r="R55" s="8" t="n">
        <f aca="false">R54</f>
        <v>2.3364</v>
      </c>
      <c r="S55" s="8" t="n">
        <f aca="false">S54</f>
        <v>2.3249</v>
      </c>
      <c r="T55" s="7" t="n">
        <f aca="false">(($O55*R55)+($P55*R55)+($Q55*R55))*'Prices&amp;Fuel'!$H55</f>
        <v>1817952.84</v>
      </c>
      <c r="U55" s="7" t="n">
        <f aca="false">(($O55*S55)+($P55*S55)+($Q55*S55))*'Prices&amp;Fuel'!$H55</f>
        <v>1809004.69</v>
      </c>
      <c r="V55" s="14" t="n">
        <f aca="false">T55-U55</f>
        <v>8948.15000000014</v>
      </c>
      <c r="X55" s="7" t="n">
        <f aca="false">1000*0.5</f>
        <v>500</v>
      </c>
      <c r="Y55" s="7" t="n">
        <f aca="false">X55</f>
        <v>500</v>
      </c>
      <c r="Z55" s="27" t="n">
        <v>2.2</v>
      </c>
      <c r="AA55" s="27" t="n">
        <v>2.18</v>
      </c>
      <c r="AB55" s="7" t="n">
        <f aca="false">($X55+$Y55)*Z55*'Prices&amp;Fuel'!$H55</f>
        <v>68200</v>
      </c>
      <c r="AC55" s="7" t="n">
        <f aca="false">($X55+$Y55)*AA55*'Prices&amp;Fuel'!$H55</f>
        <v>67580</v>
      </c>
      <c r="AD55" s="14" t="n">
        <f aca="false">AB55-AC55</f>
        <v>620</v>
      </c>
      <c r="AF55" s="7" t="n">
        <f aca="false">(32000/(1-'Prices&amp;Fuel'!F55))+(25000/(1-'Prices&amp;Fuel'!G55))-AI55</f>
        <v>58611.8251928021</v>
      </c>
      <c r="AG55" s="7" t="n">
        <v>0</v>
      </c>
      <c r="AH55" s="7" t="n">
        <f aca="false">(75000/(1-'Prices&amp;Fuel'!G55))-AK55</f>
        <v>77120.822622108</v>
      </c>
      <c r="AI55" s="7"/>
      <c r="AJ55" s="7"/>
      <c r="AK55" s="7"/>
      <c r="AL55" s="11" t="n">
        <f aca="false">ROUND((132000/(1-'Prices&amp;Fuel'!F55))-AF55-AG55-AH55,0)</f>
        <v>0</v>
      </c>
      <c r="AM55" s="7" t="n">
        <f aca="false">ROUND(IF(AF55&lt;AP55,0,(AF55-AP55-AI55)/2),0)</f>
        <v>0</v>
      </c>
      <c r="AO55" s="7" t="n">
        <f aca="false">ROUND((75000/(1-'Prices&amp;Fuel'!G55)-AV55-AK55)/2,0)</f>
        <v>38560</v>
      </c>
      <c r="AP55" s="7" t="n">
        <f aca="false">IF(80000&gt;AF55,AF55,80000)</f>
        <v>58611.8251928021</v>
      </c>
      <c r="AR55" s="7" t="n">
        <f aca="false">IF(AP55&gt;AF55,0,AF55-AM55-AP55)</f>
        <v>0</v>
      </c>
      <c r="AT55" s="14" t="n">
        <f aca="false">AH55-AO55-AV55</f>
        <v>38560.822622108</v>
      </c>
      <c r="AU55" s="14" t="n">
        <f aca="false">AL55*AX55*'Prices&amp;Fuel'!H55</f>
        <v>0</v>
      </c>
      <c r="AW55" s="68" t="n">
        <v>0.09</v>
      </c>
      <c r="AX55" s="68" t="n">
        <f aca="false">AX54</f>
        <v>0.025</v>
      </c>
      <c r="AY55" s="5" t="n">
        <f aca="false">('Prices&amp;Fuel'!H55*('Prices&amp;Fuel'!B55+AW55)*'Long Term Deals'!AF55)+('Prices&amp;Fuel'!H55*('Prices&amp;Fuel'!C55+'Long Term Deals'!AW55)*'Long Term Deals'!AG55)+(AH55*('Prices&amp;Fuel'!C55+AW55)*'Prices&amp;Fuel'!H55)+(AW55*AL55*'Prices&amp;Fuel'!H55)</f>
        <v>9821182.51928021</v>
      </c>
      <c r="AZ55" s="5" t="n">
        <f aca="false">(AP55*'Prices&amp;Fuel'!H55*'Prices&amp;Fuel'!B55)+(AQ55*'Prices&amp;Fuel'!C55*'Prices&amp;Fuel'!H55)+((AM55+AR55)*('Prices&amp;Fuel'!B55+'Long Term Deals'!AX55)*'Prices&amp;Fuel'!H55)+((AN55+AS55)*('Prices&amp;Fuel'!C55+'Long Term Deals'!AX55)*'Prices&amp;Fuel'!H55)+((AO55+AT55)*('Prices&amp;Fuel'!D55+'Long Term Deals'!AX55)*'Prices&amp;Fuel'!H55)+(AV55*'Prices&amp;Fuel'!H55*'Prices&amp;Fuel'!Q55)+AU55</f>
        <v>9382719.79434448</v>
      </c>
      <c r="BA55" s="5" t="n">
        <f aca="false">AY55-AZ55</f>
        <v>438462.724935731</v>
      </c>
      <c r="BB55" s="5" t="n">
        <f aca="false">IF('FP Corp'!T55-((BE55+BF55+BG55)*(1-'Prices&amp;Fuel'!F55))&lt;'Prices&amp;Fuel'!R55,('FP Corp'!T55-(BE55+BF55+BG55)*(1-'Prices&amp;Fuel'!F55)),'Prices&amp;Fuel'!R55)/(1-'Prices&amp;Fuel'!F55)</f>
        <v>4325.96401028278</v>
      </c>
      <c r="BC55" s="9"/>
      <c r="BD55" s="9" t="n">
        <f aca="false">ROUND(IF('FP Corp'!T55/(1-'Prices&amp;Fuel'!F55)-BE55-BF55-BG55-BB55&gt;'Prices&amp;Fuel'!T55,'Prices&amp;Fuel'!T55,'FP Corp'!T55/(1-'Prices&amp;Fuel'!F55)-BE55-BF55-BG55-BB55),9)</f>
        <v>0</v>
      </c>
      <c r="BE55" s="9" t="n">
        <f aca="false">'Prices&amp;Fuel'!U55/(1-'Prices&amp;Fuel'!F55)</f>
        <v>2635.47557840617</v>
      </c>
      <c r="BF55" s="9" t="n">
        <f aca="false">('Prices&amp;Fuel'!V55+'Prices&amp;Fuel'!X55)/(1-'Prices&amp;Fuel'!F55)</f>
        <v>3645.2442159383</v>
      </c>
      <c r="BG55" s="9" t="n">
        <f aca="false">'Prices&amp;Fuel'!W55/(1-'Prices&amp;Fuel'!F55)</f>
        <v>1732.64781491003</v>
      </c>
      <c r="BH55" s="10" t="n">
        <f aca="false">('Prices&amp;Fuel'!C55+'Prices&amp;Fuel'!D55)/2-0.05+('Prices&amp;Fuel'!M55+'Prices&amp;Fuel'!P55)*(1-'Prices&amp;Fuel'!F55)</f>
        <v>2.94392225</v>
      </c>
      <c r="BI55" s="9" t="n">
        <f aca="false">IF(AP55=80000,0,BB55)</f>
        <v>4325.96401028278</v>
      </c>
      <c r="BJ55" s="9"/>
      <c r="BK55" s="10" t="n">
        <f aca="false">(((BB55+BE55)*('Prices&amp;Fuel'!B55+0.025))+(('Prices&amp;Fuel'!D55+0.025)*(BD55+BG55))+(('Prices&amp;Fuel'!C55+0.025)*(BC55+BF55))-(BI55+BJ55)*0.025)/(BB55+BC55+BD55+BE55+BF55+BG55)</f>
        <v>2.24536458333333</v>
      </c>
      <c r="BL55" s="9" t="n">
        <f aca="false">(BB55+BC55+BD55+BE55+BF55+BG55)*BH55*'Prices&amp;Fuel'!H55</f>
        <v>1126107.02005141</v>
      </c>
      <c r="BM55" s="9" t="n">
        <f aca="false">'Prices&amp;Fuel'!X55*('Prices&amp;Fuel'!N55+'Prices&amp;Fuel'!O55)*'Prices&amp;Fuel'!H55</f>
        <v>8956.179</v>
      </c>
      <c r="BN55" s="9" t="n">
        <f aca="false">('Prices&amp;Fuel'!U55+'Prices&amp;Fuel'!V55+'Prices&amp;Fuel'!W55)*('Prices&amp;Fuel'!L55+'Prices&amp;Fuel'!O55)*'Prices&amp;Fuel'!H55</f>
        <v>93233.43</v>
      </c>
      <c r="BO55" s="9" t="n">
        <f aca="false">((BB55+BC55+BD55)*(1-'Prices&amp;Fuel'!G55))*('Prices&amp;Fuel'!M55+'Prices&amp;Fuel'!P55)*'Prices&amp;Fuel'!H55</f>
        <v>100434.1317</v>
      </c>
      <c r="BP55" s="9" t="n">
        <f aca="false">((BD55+BC55+BB55+BE55+BF55+BG55)*BK55*'Prices&amp;Fuel'!H55)+BM55+BN55+BO55</f>
        <v>1061518.98491594</v>
      </c>
      <c r="BQ55" s="5" t="n">
        <f aca="false">BL55-BP55</f>
        <v>64588.0351354759</v>
      </c>
      <c r="CA55" s="5" t="n">
        <f aca="false">(AF55+AG55+AH55+AL55)*0.005*'Prices&amp;Fuel'!H55</f>
        <v>21038.5604113111</v>
      </c>
      <c r="CB55" s="5" t="n">
        <f aca="false">(B55+C55+D55+O55+P55+Q55+X55+Y55+BB55+BC55+BD55+BE55+BF55+BG55+BR55+BS55)*0.005*'Prices&amp;Fuel'!H55</f>
        <v>5958.09640102828</v>
      </c>
      <c r="CC55" s="7" t="n">
        <f aca="false">K55+T55+AB55+AY55+BL55+BX55</f>
        <v>12833442.3793316</v>
      </c>
      <c r="CD55" s="7" t="n">
        <f aca="false">L55+U55+AC55+AZ55+BP55+BY55+CA55+CB55</f>
        <v>12347820.1260728</v>
      </c>
      <c r="CE55" s="7" t="n">
        <f aca="false">CC55-CD55</f>
        <v>485622.253258867</v>
      </c>
      <c r="CF55" s="7" t="n">
        <f aca="false">'Index Price Deals'!AR55</f>
        <v>0</v>
      </c>
      <c r="CG55" s="7" t="n">
        <f aca="false">'Index Price Deals'!AS55</f>
        <v>0</v>
      </c>
      <c r="CH55" s="7" t="n">
        <f aca="false">'Index Price Deals'!AT55</f>
        <v>0</v>
      </c>
      <c r="CI55" s="7" t="n">
        <f aca="false">'Index Price Deals'!AU55</f>
        <v>0</v>
      </c>
      <c r="CJ55" s="7" t="n">
        <f aca="false">CC55+CF55</f>
        <v>12833442.3793316</v>
      </c>
      <c r="CK55" s="7" t="n">
        <f aca="false">CD55+CH55</f>
        <v>12347820.1260728</v>
      </c>
      <c r="CL55" s="7" t="n">
        <f aca="false">CE55+CI55</f>
        <v>485622.253258867</v>
      </c>
      <c r="CM55" s="69"/>
      <c r="CN55" s="7" t="n">
        <f aca="false">Transport!U55</f>
        <v>0</v>
      </c>
      <c r="CO55" s="71"/>
      <c r="CQ55" s="7" t="n">
        <f aca="false">(((($B55+$C55+$D55+$O55+$P55+$Q55)*0.5)+BR55+BS55)*(0.005*'Prices&amp;Fuel'!$H55)+'Index Price Deals'!AV55)+(((BB55+BC55+BD55+BE55+BF55+BG55)*(1-'Prices&amp;Fuel'!F55))*0.005*0.5*'Prices&amp;Fuel'!H55)</f>
        <v>2875.25</v>
      </c>
      <c r="CR55" s="7" t="n">
        <f aca="false">(((($B55+$C55+$D55+$O55+$P55+$Q55)*0.5)+X55+Y55)*(0.005*'Prices&amp;Fuel'!$H55)+CA55+'Index Price Deals'!AW55)+(((BB55+BC55+BD55+BE55+BF55+BG55)*(1-'Prices&amp;Fuel'!F55))*0.005*0.5*'Prices&amp;Fuel'!H55)</f>
        <v>24068.8104113111</v>
      </c>
      <c r="CS55" s="11"/>
      <c r="CT55" s="7" t="n">
        <f aca="false">[2]Sheet1!$O68</f>
        <v>-14408.7513453151</v>
      </c>
      <c r="CU55" s="7" t="n">
        <f aca="false">'[3]Long Term Deals'!$Z54</f>
        <v>-34895.0629697055</v>
      </c>
      <c r="CV55" s="70" t="n">
        <f aca="false">CL55-CN55-CT55+CU55+CS55+CO55</f>
        <v>465135.941634477</v>
      </c>
      <c r="CW55" s="14" t="n">
        <f aca="false">((B55+C55+D55+O55+P55+Q55+X55+Y55+AF55+AG55+AH55+BB55+BC55+BD55+BE55+BF55+BG55+BR55+BS55)+('Index Price Deals'!B55+'Index Price Deals'!C55+'Index Price Deals'!D55+'Index Price Deals'!L55+'Index Price Deals'!M55+'Index Price Deals'!N55+'Index Price Deals'!AD55+'Index Price Deals'!AE55+'Index Price Deals'!AF55+'Index Price Deals'!AK55+'Index Price Deals'!AL55+'Index Price Deals'!AM55))*'Prices&amp;Fuel'!H55</f>
        <v>5399331.36246787</v>
      </c>
      <c r="CX55" s="12" t="n">
        <f aca="false">BQ55/(BB55+BC55+BD55+BE55+BF55+BG55)/'Prices&amp;Fuel'!H55</f>
        <v>0.168849097229168</v>
      </c>
      <c r="CZ55" s="13" t="n">
        <f aca="false">(BA55-CT55+CU55)/(AF55+AG55+AH55)/'Prices&amp;Fuel'!H55</f>
        <v>0.0993357922642421</v>
      </c>
      <c r="DB55" s="1" t="n">
        <f aca="false">(O55+P55+Q55)*'Prices&amp;Fuel'!$H55</f>
        <v>778100</v>
      </c>
      <c r="DC55" s="1" t="n">
        <f aca="false">(X55+Y55)*'Prices&amp;Fuel'!$H55</f>
        <v>31000</v>
      </c>
      <c r="DE55" s="1" t="n">
        <v>132000</v>
      </c>
    </row>
    <row r="56" customFormat="false" ht="12.75" hidden="false" customHeight="false" outlineLevel="0" collapsed="false">
      <c r="A56" s="6" t="n">
        <f aca="false">+A55+365/12</f>
        <v>37300.25</v>
      </c>
      <c r="O56" s="7" t="n">
        <v>9036</v>
      </c>
      <c r="P56" s="7" t="n">
        <v>10794</v>
      </c>
      <c r="Q56" s="7" t="n">
        <v>5270</v>
      </c>
      <c r="R56" s="8" t="n">
        <f aca="false">R55</f>
        <v>2.3364</v>
      </c>
      <c r="S56" s="8" t="n">
        <f aca="false">S55</f>
        <v>2.3249</v>
      </c>
      <c r="T56" s="7" t="n">
        <f aca="false">(($O56*R56)+($P56*R56)+($Q56*R56))*'Prices&amp;Fuel'!$H56</f>
        <v>1642021.92</v>
      </c>
      <c r="U56" s="7" t="n">
        <f aca="false">(($O56*S56)+($P56*S56)+($Q56*S56))*'Prices&amp;Fuel'!$H56</f>
        <v>1633939.72</v>
      </c>
      <c r="V56" s="14" t="n">
        <f aca="false">T56-U56</f>
        <v>8082.19999999995</v>
      </c>
      <c r="X56" s="7" t="n">
        <f aca="false">1000*0.5</f>
        <v>500</v>
      </c>
      <c r="Y56" s="7" t="n">
        <f aca="false">X56</f>
        <v>500</v>
      </c>
      <c r="Z56" s="27" t="n">
        <v>2.2</v>
      </c>
      <c r="AA56" s="27" t="n">
        <v>2.18</v>
      </c>
      <c r="AB56" s="7" t="n">
        <f aca="false">($X56+$Y56)*Z56*'Prices&amp;Fuel'!$H56</f>
        <v>61600</v>
      </c>
      <c r="AC56" s="7" t="n">
        <f aca="false">($X56+$Y56)*AA56*'Prices&amp;Fuel'!$H56</f>
        <v>61040</v>
      </c>
      <c r="AD56" s="14" t="n">
        <f aca="false">AB56-AC56</f>
        <v>560</v>
      </c>
      <c r="AF56" s="7" t="n">
        <f aca="false">(32000/(1-'Prices&amp;Fuel'!F56))+(25000/(1-'Prices&amp;Fuel'!G56))-AI56</f>
        <v>58611.8251928021</v>
      </c>
      <c r="AG56" s="7" t="n">
        <v>0</v>
      </c>
      <c r="AH56" s="7" t="n">
        <f aca="false">(75000/(1-'Prices&amp;Fuel'!G56))-AK56</f>
        <v>77120.822622108</v>
      </c>
      <c r="AI56" s="7"/>
      <c r="AJ56" s="7"/>
      <c r="AK56" s="7"/>
      <c r="AL56" s="11" t="n">
        <f aca="false">ROUND((132000/(1-'Prices&amp;Fuel'!F56))-AF56-AG56-AH56,0)</f>
        <v>0</v>
      </c>
      <c r="AM56" s="7" t="n">
        <f aca="false">ROUND(IF(AF56&lt;AP56,0,(AF56-AP56-AI56)/2),0)</f>
        <v>0</v>
      </c>
      <c r="AO56" s="7" t="n">
        <f aca="false">ROUND((75000/(1-'Prices&amp;Fuel'!G56)-AV56-AK56)/2,0)</f>
        <v>38560</v>
      </c>
      <c r="AP56" s="7" t="n">
        <f aca="false">IF(80000&gt;AF56,AF56,80000)</f>
        <v>58611.8251928021</v>
      </c>
      <c r="AR56" s="7" t="n">
        <f aca="false">IF(AP56&gt;AF56,0,AF56-AM56-AP56)</f>
        <v>0</v>
      </c>
      <c r="AT56" s="14" t="n">
        <f aca="false">AH56-AO56-AV56</f>
        <v>38560.822622108</v>
      </c>
      <c r="AU56" s="14" t="n">
        <f aca="false">AL56*AX56*'Prices&amp;Fuel'!H56</f>
        <v>0</v>
      </c>
      <c r="AW56" s="68" t="n">
        <f aca="false">AW55</f>
        <v>0.09</v>
      </c>
      <c r="AX56" s="68" t="n">
        <f aca="false">AX55</f>
        <v>0.025</v>
      </c>
      <c r="AY56" s="5" t="n">
        <f aca="false">('Prices&amp;Fuel'!H56*('Prices&amp;Fuel'!B56+AW56)*'Long Term Deals'!AF56)+('Prices&amp;Fuel'!H56*('Prices&amp;Fuel'!C56+'Long Term Deals'!AW56)*'Long Term Deals'!AG56)+(AH56*('Prices&amp;Fuel'!C56+AW56)*'Prices&amp;Fuel'!H56)+(AW56*AL56*'Prices&amp;Fuel'!H56)</f>
        <v>9896884.31876607</v>
      </c>
      <c r="AZ56" s="5" t="n">
        <f aca="false">(AP56*'Prices&amp;Fuel'!H56*'Prices&amp;Fuel'!B56)+(AQ56*'Prices&amp;Fuel'!C56*'Prices&amp;Fuel'!H56)+((AM56+AR56)*('Prices&amp;Fuel'!B56+'Long Term Deals'!AX56)*'Prices&amp;Fuel'!H56)+((AN56+AS56)*('Prices&amp;Fuel'!C56+'Long Term Deals'!AX56)*'Prices&amp;Fuel'!H56)+((AO56+AT56)*('Prices&amp;Fuel'!D56+'Long Term Deals'!AX56)*'Prices&amp;Fuel'!H56)+(AV56*'Prices&amp;Fuel'!H56*'Prices&amp;Fuel'!Q56)+AU56</f>
        <v>9500853.47043702</v>
      </c>
      <c r="BA56" s="5" t="n">
        <f aca="false">AY56-AZ56</f>
        <v>396030.848329049</v>
      </c>
      <c r="BB56" s="5" t="n">
        <f aca="false">IF('FP Corp'!T56-((BE56+BF56+BG56)*(1-'Prices&amp;Fuel'!F56))&lt;'Prices&amp;Fuel'!R56,('FP Corp'!T56-(BE56+BF56+BG56)*(1-'Prices&amp;Fuel'!F56)),'Prices&amp;Fuel'!R56)/(1-'Prices&amp;Fuel'!F56)</f>
        <v>4325.96401028278</v>
      </c>
      <c r="BC56" s="9"/>
      <c r="BD56" s="9" t="n">
        <f aca="false">ROUND(IF('FP Corp'!T56/(1-'Prices&amp;Fuel'!F56)-BE56-BF56-BG56-BB56&gt;'Prices&amp;Fuel'!T56,'Prices&amp;Fuel'!T56,'FP Corp'!T56/(1-'Prices&amp;Fuel'!F56)-BE56-BF56-BG56-BB56),9)</f>
        <v>0</v>
      </c>
      <c r="BE56" s="9" t="n">
        <f aca="false">'Prices&amp;Fuel'!U56/(1-'Prices&amp;Fuel'!F56)</f>
        <v>2635.47557840617</v>
      </c>
      <c r="BF56" s="9" t="n">
        <f aca="false">('Prices&amp;Fuel'!V56+'Prices&amp;Fuel'!X56)/(1-'Prices&amp;Fuel'!F56)</f>
        <v>3645.2442159383</v>
      </c>
      <c r="BG56" s="9" t="n">
        <f aca="false">'Prices&amp;Fuel'!W56/(1-'Prices&amp;Fuel'!F56)</f>
        <v>1732.64781491003</v>
      </c>
      <c r="BH56" s="10" t="n">
        <f aca="false">('Prices&amp;Fuel'!C56+'Prices&amp;Fuel'!D56)/2-0.05+('Prices&amp;Fuel'!M56+'Prices&amp;Fuel'!P56)*(1-'Prices&amp;Fuel'!F56)</f>
        <v>3.21392225</v>
      </c>
      <c r="BI56" s="9" t="n">
        <f aca="false">IF(AP56=80000,0,BB56)</f>
        <v>4325.96401028278</v>
      </c>
      <c r="BJ56" s="9"/>
      <c r="BK56" s="10" t="n">
        <f aca="false">(((BB56+BE56)*('Prices&amp;Fuel'!B56+0.025))+(('Prices&amp;Fuel'!D56+0.025)*(BD56+BG56))+(('Prices&amp;Fuel'!C56+0.025)*(BC56+BF56))-(BI56+BJ56)*0.025)/(BB56+BC56+BD56+BE56+BF56+BG56)</f>
        <v>2.51536458333333</v>
      </c>
      <c r="BL56" s="9" t="n">
        <f aca="false">(BB56+BC56+BD56+BE56+BF56+BG56)*BH56*'Prices&amp;Fuel'!H56</f>
        <v>1110414.26838046</v>
      </c>
      <c r="BM56" s="9" t="n">
        <f aca="false">'Prices&amp;Fuel'!X56*('Prices&amp;Fuel'!N56+'Prices&amp;Fuel'!O56)*'Prices&amp;Fuel'!H56</f>
        <v>8089.452</v>
      </c>
      <c r="BN56" s="9" t="n">
        <f aca="false">('Prices&amp;Fuel'!U56+'Prices&amp;Fuel'!V56+'Prices&amp;Fuel'!W56)*('Prices&amp;Fuel'!L56+'Prices&amp;Fuel'!O56)*'Prices&amp;Fuel'!H56</f>
        <v>84210.84</v>
      </c>
      <c r="BO56" s="9" t="n">
        <f aca="false">((BB56+BC56+BD56)*(1-'Prices&amp;Fuel'!G56))*('Prices&amp;Fuel'!M56+'Prices&amp;Fuel'!P56)*'Prices&amp;Fuel'!H56</f>
        <v>90714.6996</v>
      </c>
      <c r="BP56" s="9" t="n">
        <f aca="false">((BD56+BC56+BB56+BE56+BF56+BG56)*BK56*'Prices&amp;Fuel'!H56)+BM56+BN56+BO56</f>
        <v>1052076.6882581</v>
      </c>
      <c r="BQ56" s="5" t="n">
        <f aca="false">BL56-BP56</f>
        <v>58337.5801223652</v>
      </c>
      <c r="CA56" s="5" t="n">
        <f aca="false">(AF56+AG56+AH56+AL56)*0.005*'Prices&amp;Fuel'!H56</f>
        <v>19002.5706940874</v>
      </c>
      <c r="CB56" s="5" t="n">
        <f aca="false">(B56+C56+D56+O56+P56+Q56+X56+Y56+BB56+BC56+BD56+BE56+BF56+BG56+BR56+BS56)*0.005*'Prices&amp;Fuel'!H56</f>
        <v>5381.50642673522</v>
      </c>
      <c r="CC56" s="7" t="n">
        <f aca="false">K56+T56+AB56+AY56+BL56+BX56</f>
        <v>12710920.5071465</v>
      </c>
      <c r="CD56" s="7" t="n">
        <f aca="false">L56+U56+AC56+AZ56+BP56+BY56+CA56+CB56</f>
        <v>12272293.9558159</v>
      </c>
      <c r="CE56" s="7" t="n">
        <f aca="false">CC56-CD56</f>
        <v>438626.551330591</v>
      </c>
      <c r="CF56" s="7" t="n">
        <f aca="false">'Index Price Deals'!AR56</f>
        <v>0</v>
      </c>
      <c r="CG56" s="7" t="n">
        <f aca="false">'Index Price Deals'!AS56</f>
        <v>0</v>
      </c>
      <c r="CH56" s="7" t="n">
        <f aca="false">'Index Price Deals'!AT56</f>
        <v>0</v>
      </c>
      <c r="CI56" s="7" t="n">
        <f aca="false">'Index Price Deals'!AU56</f>
        <v>0</v>
      </c>
      <c r="CJ56" s="7" t="n">
        <f aca="false">CC56+CF56</f>
        <v>12710920.5071465</v>
      </c>
      <c r="CK56" s="7" t="n">
        <f aca="false">CD56+CH56</f>
        <v>12272293.9558159</v>
      </c>
      <c r="CL56" s="7" t="n">
        <f aca="false">CE56+CI56</f>
        <v>438626.551330591</v>
      </c>
      <c r="CM56" s="69"/>
      <c r="CN56" s="7" t="n">
        <f aca="false">Transport!U56</f>
        <v>0</v>
      </c>
      <c r="CO56" s="71"/>
      <c r="CQ56" s="7" t="n">
        <f aca="false">(((($B56+$C56+$D56+$O56+$P56+$Q56)*0.5)+BR56+BS56)*(0.005*'Prices&amp;Fuel'!$H56)+'Index Price Deals'!AV56)+(((BB56+BC56+BD56+BE56+BF56+BG56)*(1-'Prices&amp;Fuel'!F56))*0.005*0.5*'Prices&amp;Fuel'!H56)</f>
        <v>2597</v>
      </c>
      <c r="CR56" s="7" t="n">
        <f aca="false">(((($B56+$C56+$D56+$O56+$P56+$Q56)*0.5)+X56+Y56)*(0.005*'Prices&amp;Fuel'!$H56)+CA56+'Index Price Deals'!AW56)+(((BB56+BC56+BD56+BE56+BF56+BG56)*(1-'Prices&amp;Fuel'!F56))*0.005*0.5*'Prices&amp;Fuel'!H56)</f>
        <v>21739.5706940874</v>
      </c>
      <c r="CS56" s="11"/>
      <c r="CT56" s="7" t="n">
        <f aca="false">[2]Sheet1!$O69</f>
        <v>-13014.356053833</v>
      </c>
      <c r="CU56" s="7" t="n">
        <f aca="false">'[3]Long Term Deals'!$Z55</f>
        <v>-31518.1213919921</v>
      </c>
      <c r="CV56" s="70" t="n">
        <f aca="false">CL56-CN56-CT56+CU56+CS56+CO56</f>
        <v>420122.785992432</v>
      </c>
      <c r="CW56" s="14" t="n">
        <f aca="false">((B56+C56+D56+O56+P56+Q56+X56+Y56+AF56+AG56+AH56+BB56+BC56+BD56+BE56+BF56+BG56+BR56+BS56)+('Index Price Deals'!B56+'Index Price Deals'!C56+'Index Price Deals'!D56+'Index Price Deals'!L56+'Index Price Deals'!M56+'Index Price Deals'!N56+'Index Price Deals'!AD56+'Index Price Deals'!AE56+'Index Price Deals'!AF56+'Index Price Deals'!AK56+'Index Price Deals'!AL56+'Index Price Deals'!AM56))*'Prices&amp;Fuel'!H56</f>
        <v>4876815.42416452</v>
      </c>
      <c r="CX56" s="12" t="n">
        <f aca="false">BQ56/(BB56+BC56+BD56+BE56+BF56+BG56)/'Prices&amp;Fuel'!H56</f>
        <v>0.168849097229167</v>
      </c>
      <c r="CZ56" s="13" t="n">
        <f aca="false">(BA56-CT56+CU56)/(AF56+AG56+AH56)/'Prices&amp;Fuel'!H56</f>
        <v>0.0993357922642424</v>
      </c>
      <c r="DB56" s="1" t="n">
        <f aca="false">(O56+P56+Q56)*'Prices&amp;Fuel'!$H56</f>
        <v>702800</v>
      </c>
      <c r="DC56" s="1" t="n">
        <f aca="false">(X56+Y56)*'Prices&amp;Fuel'!$H56</f>
        <v>28000</v>
      </c>
      <c r="DE56" s="1" t="n">
        <v>132000</v>
      </c>
    </row>
    <row r="57" customFormat="false" ht="12.75" hidden="false" customHeight="false" outlineLevel="0" collapsed="false">
      <c r="A57" s="6" t="n">
        <f aca="false">+A56+365/12</f>
        <v>37330.6666666667</v>
      </c>
      <c r="O57" s="7" t="n">
        <v>9036</v>
      </c>
      <c r="P57" s="7" t="n">
        <v>10794</v>
      </c>
      <c r="Q57" s="7" t="n">
        <v>5270</v>
      </c>
      <c r="R57" s="8" t="n">
        <f aca="false">R56</f>
        <v>2.3364</v>
      </c>
      <c r="S57" s="8" t="n">
        <f aca="false">S56</f>
        <v>2.3249</v>
      </c>
      <c r="T57" s="7" t="n">
        <f aca="false">(($O57*R57)+($P57*R57)+($Q57*R57))*'Prices&amp;Fuel'!$H57</f>
        <v>1817952.84</v>
      </c>
      <c r="U57" s="7" t="n">
        <f aca="false">(($O57*S57)+($P57*S57)+($Q57*S57))*'Prices&amp;Fuel'!$H57</f>
        <v>1809004.69</v>
      </c>
      <c r="V57" s="14" t="n">
        <f aca="false">T57-U57</f>
        <v>8948.15000000014</v>
      </c>
      <c r="X57" s="7" t="n">
        <f aca="false">1000*0.5</f>
        <v>500</v>
      </c>
      <c r="Y57" s="7" t="n">
        <f aca="false">X57</f>
        <v>500</v>
      </c>
      <c r="Z57" s="27" t="n">
        <v>2.2</v>
      </c>
      <c r="AA57" s="27" t="n">
        <v>2.18</v>
      </c>
      <c r="AB57" s="7" t="n">
        <f aca="false">($X57+$Y57)*Z57*'Prices&amp;Fuel'!$H57</f>
        <v>68200</v>
      </c>
      <c r="AC57" s="7" t="n">
        <f aca="false">($X57+$Y57)*AA57*'Prices&amp;Fuel'!$H57</f>
        <v>67580</v>
      </c>
      <c r="AD57" s="14" t="n">
        <f aca="false">AB57-AC57</f>
        <v>620</v>
      </c>
      <c r="AF57" s="7" t="n">
        <f aca="false">(32000/(1-'Prices&amp;Fuel'!F57))+(25000/(1-'Prices&amp;Fuel'!G57))-AI57</f>
        <v>58611.8251928021</v>
      </c>
      <c r="AG57" s="7" t="n">
        <v>0</v>
      </c>
      <c r="AH57" s="7" t="n">
        <f aca="false">(75000/(1-'Prices&amp;Fuel'!G57))-AK57</f>
        <v>77120.822622108</v>
      </c>
      <c r="AI57" s="7"/>
      <c r="AJ57" s="7"/>
      <c r="AK57" s="7"/>
      <c r="AL57" s="11" t="n">
        <f aca="false">ROUND((132000/(1-'Prices&amp;Fuel'!F57))-AF57-AG57-AH57,0)</f>
        <v>0</v>
      </c>
      <c r="AM57" s="7" t="n">
        <f aca="false">ROUND(IF(AF57&lt;AP57,0,(AF57-AP57-AI57)/2),0)</f>
        <v>0</v>
      </c>
      <c r="AO57" s="7" t="n">
        <f aca="false">ROUND((75000/(1-'Prices&amp;Fuel'!G57)-AV57-AK57)/2,0)</f>
        <v>38560</v>
      </c>
      <c r="AP57" s="7" t="n">
        <f aca="false">IF(80000&gt;AF57,AF57,80000)</f>
        <v>58611.8251928021</v>
      </c>
      <c r="AR57" s="7" t="n">
        <f aca="false">IF(AP57&gt;AF57,0,AF57-AM57-AP57)</f>
        <v>0</v>
      </c>
      <c r="AT57" s="14" t="n">
        <f aca="false">AH57-AO57-AV57</f>
        <v>38560.822622108</v>
      </c>
      <c r="AU57" s="14" t="n">
        <f aca="false">AL57*AX57*'Prices&amp;Fuel'!H57</f>
        <v>0</v>
      </c>
      <c r="AW57" s="68" t="n">
        <f aca="false">AW56</f>
        <v>0.09</v>
      </c>
      <c r="AX57" s="68" t="n">
        <f aca="false">AX56</f>
        <v>0.025</v>
      </c>
      <c r="AY57" s="5" t="n">
        <f aca="false">('Prices&amp;Fuel'!H57*('Prices&amp;Fuel'!B57+AW57)*'Long Term Deals'!AF57)+('Prices&amp;Fuel'!H57*('Prices&amp;Fuel'!C57+'Long Term Deals'!AW57)*'Long Term Deals'!AG57)+(AH57*('Prices&amp;Fuel'!C57+AW57)*'Prices&amp;Fuel'!H57)+(AW57*AL57*'Prices&amp;Fuel'!H57)</f>
        <v>10957264.781491</v>
      </c>
      <c r="AZ57" s="5" t="n">
        <f aca="false">(AP57*'Prices&amp;Fuel'!H57*'Prices&amp;Fuel'!B57)+(AQ57*'Prices&amp;Fuel'!C57*'Prices&amp;Fuel'!H57)+((AM57+AR57)*('Prices&amp;Fuel'!B57+'Long Term Deals'!AX57)*'Prices&amp;Fuel'!H57)+((AN57+AS57)*('Prices&amp;Fuel'!C57+'Long Term Deals'!AX57)*'Prices&amp;Fuel'!H57)+((AO57+AT57)*('Prices&amp;Fuel'!D57+'Long Term Deals'!AX57)*'Prices&amp;Fuel'!H57)+(AV57*'Prices&amp;Fuel'!H57*'Prices&amp;Fuel'!Q57)+AU57</f>
        <v>10518802.0565553</v>
      </c>
      <c r="BA57" s="5" t="n">
        <f aca="false">AY57-AZ57</f>
        <v>438462.724935731</v>
      </c>
      <c r="BB57" s="5" t="n">
        <f aca="false">IF('FP Corp'!T57-((BE57+BF57+BG57)*(1-'Prices&amp;Fuel'!F57))&lt;'Prices&amp;Fuel'!R57,('FP Corp'!T57-(BE57+BF57+BG57)*(1-'Prices&amp;Fuel'!F57)),'Prices&amp;Fuel'!R57)/(1-'Prices&amp;Fuel'!F57)</f>
        <v>4325.96401028278</v>
      </c>
      <c r="BC57" s="9"/>
      <c r="BD57" s="9" t="n">
        <f aca="false">ROUND(IF('FP Corp'!T57/(1-'Prices&amp;Fuel'!F57)-BE57-BF57-BG57-BB57&gt;'Prices&amp;Fuel'!T57,'Prices&amp;Fuel'!T57,'FP Corp'!T57/(1-'Prices&amp;Fuel'!F57)-BE57-BF57-BG57-BB57),9)</f>
        <v>0</v>
      </c>
      <c r="BE57" s="9" t="n">
        <f aca="false">'Prices&amp;Fuel'!U57/(1-'Prices&amp;Fuel'!F57)</f>
        <v>2635.47557840617</v>
      </c>
      <c r="BF57" s="9" t="n">
        <f aca="false">('Prices&amp;Fuel'!V57+'Prices&amp;Fuel'!X57)/(1-'Prices&amp;Fuel'!F57)</f>
        <v>3645.2442159383</v>
      </c>
      <c r="BG57" s="9" t="n">
        <f aca="false">'Prices&amp;Fuel'!W57/(1-'Prices&amp;Fuel'!F57)</f>
        <v>1732.64781491003</v>
      </c>
      <c r="BH57" s="10" t="n">
        <f aca="false">('Prices&amp;Fuel'!C57+'Prices&amp;Fuel'!D57)/2-0.05+('Prices&amp;Fuel'!M57+'Prices&amp;Fuel'!P57)*(1-'Prices&amp;Fuel'!F57)</f>
        <v>3.21392225</v>
      </c>
      <c r="BI57" s="9" t="n">
        <f aca="false">IF(AP57=80000,0,BB57)</f>
        <v>4325.96401028278</v>
      </c>
      <c r="BJ57" s="9"/>
      <c r="BK57" s="10" t="n">
        <f aca="false">(((BB57+BE57)*('Prices&amp;Fuel'!B57+0.025))+(('Prices&amp;Fuel'!D57+0.025)*(BD57+BG57))+(('Prices&amp;Fuel'!C57+0.025)*(BC57+BF57))-(BI57+BJ57)*0.025)/(BB57+BC57+BD57+BE57+BF57+BG57)</f>
        <v>2.51536458333333</v>
      </c>
      <c r="BL57" s="9" t="n">
        <f aca="false">(BB57+BC57+BD57+BE57+BF57+BG57)*BH57*'Prices&amp;Fuel'!H57</f>
        <v>1229387.22570694</v>
      </c>
      <c r="BM57" s="9" t="n">
        <f aca="false">'Prices&amp;Fuel'!X57*('Prices&amp;Fuel'!N57+'Prices&amp;Fuel'!O57)*'Prices&amp;Fuel'!H57</f>
        <v>8956.179</v>
      </c>
      <c r="BN57" s="9" t="n">
        <f aca="false">('Prices&amp;Fuel'!U57+'Prices&amp;Fuel'!V57+'Prices&amp;Fuel'!W57)*('Prices&amp;Fuel'!L57+'Prices&amp;Fuel'!O57)*'Prices&amp;Fuel'!H57</f>
        <v>93233.43</v>
      </c>
      <c r="BO57" s="9" t="n">
        <f aca="false">((BB57+BC57+BD57)*(1-'Prices&amp;Fuel'!G57))*('Prices&amp;Fuel'!M57+'Prices&amp;Fuel'!P57)*'Prices&amp;Fuel'!H57</f>
        <v>100434.1317</v>
      </c>
      <c r="BP57" s="9" t="n">
        <f aca="false">((BD57+BC57+BB57+BE57+BF57+BG57)*BK57*'Prices&amp;Fuel'!H57)+BM57+BN57+BO57</f>
        <v>1164799.19057147</v>
      </c>
      <c r="BQ57" s="5" t="n">
        <f aca="false">BL57-BP57</f>
        <v>64588.0351354757</v>
      </c>
      <c r="CA57" s="5" t="n">
        <f aca="false">(AF57+AG57+AH57+AL57)*0.005*'Prices&amp;Fuel'!H57</f>
        <v>21038.5604113111</v>
      </c>
      <c r="CB57" s="5" t="n">
        <f aca="false">(B57+C57+D57+O57+P57+Q57+X57+Y57+BB57+BC57+BD57+BE57+BF57+BG57+BR57+BS57)*0.005*'Prices&amp;Fuel'!H57</f>
        <v>5958.09640102828</v>
      </c>
      <c r="CC57" s="7" t="n">
        <f aca="false">K57+T57+AB57+AY57+BL57+BX57</f>
        <v>14072804.8471979</v>
      </c>
      <c r="CD57" s="7" t="n">
        <f aca="false">L57+U57+AC57+AZ57+BP57+BY57+CA57+CB57</f>
        <v>13587182.5939391</v>
      </c>
      <c r="CE57" s="7" t="n">
        <f aca="false">CC57-CD57</f>
        <v>485622.253258867</v>
      </c>
      <c r="CF57" s="7" t="n">
        <f aca="false">'Index Price Deals'!AR57</f>
        <v>0</v>
      </c>
      <c r="CG57" s="7" t="n">
        <f aca="false">'Index Price Deals'!AS57</f>
        <v>0</v>
      </c>
      <c r="CH57" s="7" t="n">
        <f aca="false">'Index Price Deals'!AT57</f>
        <v>0</v>
      </c>
      <c r="CI57" s="7" t="n">
        <f aca="false">'Index Price Deals'!AU57</f>
        <v>0</v>
      </c>
      <c r="CJ57" s="7" t="n">
        <f aca="false">CC57+CF57</f>
        <v>14072804.8471979</v>
      </c>
      <c r="CK57" s="7" t="n">
        <f aca="false">CD57+CH57</f>
        <v>13587182.5939391</v>
      </c>
      <c r="CL57" s="7" t="n">
        <f aca="false">CE57+CI57</f>
        <v>485622.253258867</v>
      </c>
      <c r="CM57" s="69"/>
      <c r="CN57" s="7" t="n">
        <f aca="false">Transport!U57</f>
        <v>0</v>
      </c>
      <c r="CO57" s="71"/>
      <c r="CQ57" s="7" t="n">
        <f aca="false">(((($B57+$C57+$D57+$O57+$P57+$Q57)*0.5)+BR57+BS57)*(0.005*'Prices&amp;Fuel'!$H57)+'Index Price Deals'!AV57)+(((BB57+BC57+BD57+BE57+BF57+BG57)*(1-'Prices&amp;Fuel'!F57))*0.005*0.5*'Prices&amp;Fuel'!H57)</f>
        <v>2875.25</v>
      </c>
      <c r="CR57" s="7" t="n">
        <f aca="false">(((($B57+$C57+$D57+$O57+$P57+$Q57)*0.5)+X57+Y57)*(0.005*'Prices&amp;Fuel'!$H57)+CA57+'Index Price Deals'!AW57)+(((BB57+BC57+BD57+BE57+BF57+BG57)*(1-'Prices&amp;Fuel'!F57))*0.005*0.5*'Prices&amp;Fuel'!H57)</f>
        <v>24068.8104113111</v>
      </c>
      <c r="CS57" s="11"/>
      <c r="CT57" s="7" t="n">
        <f aca="false">[2]Sheet1!$O70</f>
        <v>-14408.7513453151</v>
      </c>
      <c r="CU57" s="7" t="n">
        <f aca="false">'[3]Long Term Deals'!$Z56</f>
        <v>-34895.0629697055</v>
      </c>
      <c r="CV57" s="70" t="n">
        <f aca="false">CL57-CN57-CT57+CU57+CS57+CO57</f>
        <v>465135.941634477</v>
      </c>
      <c r="CW57" s="14" t="n">
        <f aca="false">((B57+C57+D57+O57+P57+Q57+X57+Y57+AF57+AG57+AH57+BB57+BC57+BD57+BE57+BF57+BG57+BR57+BS57)+('Index Price Deals'!B57+'Index Price Deals'!C57+'Index Price Deals'!D57+'Index Price Deals'!L57+'Index Price Deals'!M57+'Index Price Deals'!N57+'Index Price Deals'!AD57+'Index Price Deals'!AE57+'Index Price Deals'!AF57+'Index Price Deals'!AK57+'Index Price Deals'!AL57+'Index Price Deals'!AM57))*'Prices&amp;Fuel'!H57</f>
        <v>5399331.36246787</v>
      </c>
      <c r="CX57" s="12" t="n">
        <f aca="false">BQ57/(BB57+BC57+BD57+BE57+BF57+BG57)/'Prices&amp;Fuel'!H57</f>
        <v>0.168849097229167</v>
      </c>
      <c r="CZ57" s="13" t="n">
        <f aca="false">(BA57-CT57+CU57)/(AF57+AG57+AH57)/'Prices&amp;Fuel'!H57</f>
        <v>0.0993357922642421</v>
      </c>
      <c r="DB57" s="1" t="n">
        <f aca="false">(O57+P57+Q57)*'Prices&amp;Fuel'!$H57</f>
        <v>778100</v>
      </c>
      <c r="DC57" s="1" t="n">
        <f aca="false">(X57+Y57)*'Prices&amp;Fuel'!$H57</f>
        <v>31000</v>
      </c>
      <c r="DE57" s="1" t="n">
        <v>132000</v>
      </c>
    </row>
    <row r="58" customFormat="false" ht="12.75" hidden="false" customHeight="false" outlineLevel="0" collapsed="false">
      <c r="A58" s="6" t="n">
        <f aca="false">+A57+365/12</f>
        <v>37361.0833333333</v>
      </c>
      <c r="O58" s="7" t="n">
        <v>9036</v>
      </c>
      <c r="P58" s="7" t="n">
        <v>10794</v>
      </c>
      <c r="Q58" s="7" t="n">
        <v>5270</v>
      </c>
      <c r="R58" s="8" t="n">
        <f aca="false">R57</f>
        <v>2.3364</v>
      </c>
      <c r="S58" s="8" t="n">
        <f aca="false">S57</f>
        <v>2.3249</v>
      </c>
      <c r="T58" s="7" t="n">
        <f aca="false">(($O58*R58)+($P58*R58)+($Q58*R58))*'Prices&amp;Fuel'!$H58</f>
        <v>1759309.2</v>
      </c>
      <c r="U58" s="7" t="n">
        <f aca="false">(($O58*S58)+($P58*S58)+($Q58*S58))*'Prices&amp;Fuel'!$H58</f>
        <v>1750649.7</v>
      </c>
      <c r="V58" s="14" t="n">
        <f aca="false">T58-U58</f>
        <v>8659.5</v>
      </c>
      <c r="X58" s="7" t="n">
        <f aca="false">1000*0.5</f>
        <v>500</v>
      </c>
      <c r="Y58" s="7" t="n">
        <f aca="false">X58</f>
        <v>500</v>
      </c>
      <c r="Z58" s="27" t="n">
        <v>2.2</v>
      </c>
      <c r="AA58" s="27" t="n">
        <v>2.18</v>
      </c>
      <c r="AB58" s="7" t="n">
        <f aca="false">($X58+$Y58)*Z58*'Prices&amp;Fuel'!$H58</f>
        <v>66000</v>
      </c>
      <c r="AC58" s="7" t="n">
        <f aca="false">($X58+$Y58)*AA58*'Prices&amp;Fuel'!$H58</f>
        <v>65400</v>
      </c>
      <c r="AD58" s="14" t="n">
        <f aca="false">AB58-AC58</f>
        <v>600</v>
      </c>
      <c r="AF58" s="7" t="n">
        <f aca="false">(32000/(1-'Prices&amp;Fuel'!F58))+(25000/(1-'Prices&amp;Fuel'!G58))-AI58</f>
        <v>58611.8251928021</v>
      </c>
      <c r="AG58" s="7" t="n">
        <v>0</v>
      </c>
      <c r="AH58" s="7" t="n">
        <f aca="false">(75000/(1-'Prices&amp;Fuel'!G58))-AK58</f>
        <v>77120.822622108</v>
      </c>
      <c r="AI58" s="7"/>
      <c r="AJ58" s="7"/>
      <c r="AK58" s="7"/>
      <c r="AL58" s="11" t="n">
        <f aca="false">ROUND((132000/(1-'Prices&amp;Fuel'!F58))-AF58-AG58-AH58,0)</f>
        <v>0</v>
      </c>
      <c r="AM58" s="7" t="n">
        <f aca="false">ROUND(IF(AF58&lt;AP58,0,(AF58-AP58-AI58)/2),0)</f>
        <v>0</v>
      </c>
      <c r="AO58" s="7" t="n">
        <f aca="false">ROUND((75000/(1-'Prices&amp;Fuel'!G58)-AV58-AK58)/2,0)</f>
        <v>38560</v>
      </c>
      <c r="AP58" s="7" t="n">
        <f aca="false">IF(80000&gt;AF58,AF58,80000)</f>
        <v>58611.8251928021</v>
      </c>
      <c r="AR58" s="7" t="n">
        <f aca="false">IF(AP58&gt;AF58,0,AF58-AM58-AP58)</f>
        <v>0</v>
      </c>
      <c r="AT58" s="14" t="n">
        <f aca="false">AH58-AO58-AV58</f>
        <v>38560.822622108</v>
      </c>
      <c r="AU58" s="14" t="n">
        <f aca="false">AL58*AX58*'Prices&amp;Fuel'!H58</f>
        <v>0</v>
      </c>
      <c r="AW58" s="68" t="n">
        <f aca="false">AW57</f>
        <v>0.09</v>
      </c>
      <c r="AX58" s="68" t="n">
        <f aca="false">AX57</f>
        <v>0.025</v>
      </c>
      <c r="AY58" s="5" t="n">
        <f aca="false">('Prices&amp;Fuel'!H58*('Prices&amp;Fuel'!B58+AW58)*'Long Term Deals'!AF58)+('Prices&amp;Fuel'!H58*('Prices&amp;Fuel'!C58+'Long Term Deals'!AW58)*'Long Term Deals'!AG58)+(AH58*('Prices&amp;Fuel'!C58+AW58)*'Prices&amp;Fuel'!H58)+(AW58*AL58*'Prices&amp;Fuel'!H58)</f>
        <v>11703239.0745501</v>
      </c>
      <c r="AZ58" s="5" t="n">
        <f aca="false">(AP58*'Prices&amp;Fuel'!H58*'Prices&amp;Fuel'!B58)+(AQ58*'Prices&amp;Fuel'!C58*'Prices&amp;Fuel'!H58)+((AM58+AR58)*('Prices&amp;Fuel'!B58+'Long Term Deals'!AX58)*'Prices&amp;Fuel'!H58)+((AN58+AS58)*('Prices&amp;Fuel'!C58+'Long Term Deals'!AX58)*'Prices&amp;Fuel'!H58)+((AO58+AT58)*('Prices&amp;Fuel'!D58+'Long Term Deals'!AX58)*'Prices&amp;Fuel'!H58)+(AV58*'Prices&amp;Fuel'!H58*'Prices&amp;Fuel'!Q58)+AU58</f>
        <v>11278920.3084833</v>
      </c>
      <c r="BA58" s="5" t="n">
        <f aca="false">AY58-AZ58</f>
        <v>424318.766066838</v>
      </c>
      <c r="BB58" s="5" t="n">
        <f aca="false">IF('FP Corp'!T58-((BE58+BF58+BG58)*(1-'Prices&amp;Fuel'!F58))&lt;'Prices&amp;Fuel'!R58,('FP Corp'!T58-(BE58+BF58+BG58)*(1-'Prices&amp;Fuel'!F58)),'Prices&amp;Fuel'!R58)/(1-'Prices&amp;Fuel'!F58)</f>
        <v>6278.66323907455</v>
      </c>
      <c r="BC58" s="9"/>
      <c r="BD58" s="9" t="n">
        <f aca="false">ROUND(IF('FP Corp'!T58/(1-'Prices&amp;Fuel'!F58)-BE58-BF58-BG58-BB58&gt;'Prices&amp;Fuel'!T58,'Prices&amp;Fuel'!T58,'FP Corp'!T58/(1-'Prices&amp;Fuel'!F58)-BE58-BF58-BG58-BB58),9)</f>
        <v>0</v>
      </c>
      <c r="BE58" s="9" t="n">
        <f aca="false">'Prices&amp;Fuel'!U58/(1-'Prices&amp;Fuel'!F58)</f>
        <v>1933.16195372751</v>
      </c>
      <c r="BF58" s="9" t="n">
        <f aca="false">('Prices&amp;Fuel'!V58+'Prices&amp;Fuel'!X58)/(1-'Prices&amp;Fuel'!F58)</f>
        <v>2833.93316195373</v>
      </c>
      <c r="BG58" s="9" t="n">
        <f aca="false">'Prices&amp;Fuel'!W58/(1-'Prices&amp;Fuel'!F58)</f>
        <v>1293.57326478149</v>
      </c>
      <c r="BH58" s="10" t="n">
        <f aca="false">('Prices&amp;Fuel'!C58+'Prices&amp;Fuel'!D58)/2-0.05+('Prices&amp;Fuel'!M58+'Prices&amp;Fuel'!P58)*(1-'Prices&amp;Fuel'!F58)</f>
        <v>3.48392225</v>
      </c>
      <c r="BI58" s="9" t="n">
        <f aca="false">IF(AP58=80000,0,BB58)</f>
        <v>6278.66323907455</v>
      </c>
      <c r="BJ58" s="9"/>
      <c r="BK58" s="10" t="n">
        <f aca="false">(((BB58+BE58)*('Prices&amp;Fuel'!B58+0.025))+(('Prices&amp;Fuel'!D58+0.025)*(BD58+BG58))+(('Prices&amp;Fuel'!C58+0.025)*(BC58+BF58))-(BI58+BJ58)*0.025)/(BB58+BC58+BD58+BE58+BF58+BG58)</f>
        <v>2.7771075</v>
      </c>
      <c r="BL58" s="9" t="n">
        <f aca="false">(BB58+BC58+BD58+BE58+BF58+BG58)*BH58*'Prices&amp;Fuel'!H58</f>
        <v>1289678.15938303</v>
      </c>
      <c r="BM58" s="9" t="n">
        <f aca="false">'Prices&amp;Fuel'!X58*('Prices&amp;Fuel'!N58+'Prices&amp;Fuel'!O58)*'Prices&amp;Fuel'!H58</f>
        <v>8667.27</v>
      </c>
      <c r="BN58" s="9" t="n">
        <f aca="false">('Prices&amp;Fuel'!U58+'Prices&amp;Fuel'!V58+'Prices&amp;Fuel'!W58)*('Prices&amp;Fuel'!L58+'Prices&amp;Fuel'!O58)*'Prices&amp;Fuel'!H58</f>
        <v>66127.59</v>
      </c>
      <c r="BO58" s="9" t="n">
        <f aca="false">((BB58+BC58+BD58)*(1-'Prices&amp;Fuel'!G58))*('Prices&amp;Fuel'!M58+'Prices&amp;Fuel'!P58)*'Prices&amp;Fuel'!H58</f>
        <v>141066.918</v>
      </c>
      <c r="BP58" s="9" t="n">
        <f aca="false">((BD58+BC58+BB58+BE58+BF58+BG58)*BK58*'Prices&amp;Fuel'!H58)+BM58+BN58+BO58</f>
        <v>1243891.28956812</v>
      </c>
      <c r="BQ58" s="5" t="n">
        <f aca="false">BL58-BP58</f>
        <v>45786.86981491</v>
      </c>
      <c r="CA58" s="5" t="n">
        <f aca="false">(AF58+AG58+AH58+AL58)*0.005*'Prices&amp;Fuel'!H58</f>
        <v>20359.8971722365</v>
      </c>
      <c r="CB58" s="5" t="n">
        <f aca="false">(B58+C58+D58+O58+P58+Q58+X58+Y58+BB58+BC58+BD58+BE58+BF58+BG58+BR58+BS58)*0.005*'Prices&amp;Fuel'!H58</f>
        <v>5765.89974293059</v>
      </c>
      <c r="CC58" s="7" t="n">
        <f aca="false">K58+T58+AB58+AY58+BL58+BX58</f>
        <v>14818226.4339332</v>
      </c>
      <c r="CD58" s="7" t="n">
        <f aca="false">L58+U58+AC58+AZ58+BP58+BY58+CA58+CB58</f>
        <v>14364987.0949666</v>
      </c>
      <c r="CE58" s="7" t="n">
        <f aca="false">CC58-CD58</f>
        <v>453239.33896658</v>
      </c>
      <c r="CF58" s="7" t="n">
        <f aca="false">'Index Price Deals'!AR58</f>
        <v>0</v>
      </c>
      <c r="CG58" s="7" t="n">
        <f aca="false">'Index Price Deals'!AS58</f>
        <v>0</v>
      </c>
      <c r="CH58" s="7" t="n">
        <f aca="false">'Index Price Deals'!AT58</f>
        <v>0</v>
      </c>
      <c r="CI58" s="7" t="n">
        <f aca="false">'Index Price Deals'!AU58</f>
        <v>0</v>
      </c>
      <c r="CJ58" s="7" t="n">
        <f aca="false">CC58+CF58</f>
        <v>14818226.4339332</v>
      </c>
      <c r="CK58" s="7" t="n">
        <f aca="false">CD58+CH58</f>
        <v>14364987.0949666</v>
      </c>
      <c r="CL58" s="7" t="n">
        <f aca="false">CE58+CI58</f>
        <v>453239.33896658</v>
      </c>
      <c r="CM58" s="69"/>
      <c r="CN58" s="7" t="n">
        <f aca="false">Transport!U58</f>
        <v>0</v>
      </c>
      <c r="CO58" s="71"/>
      <c r="CQ58" s="7" t="n">
        <f aca="false">(((($B58+$C58+$D58+$O58+$P58+$Q58)*0.5)+BR58+BS58)*(0.005*'Prices&amp;Fuel'!$H58)+'Index Price Deals'!AV58)+(((BB58+BC58+BD58+BE58+BF58+BG58)*(1-'Prices&amp;Fuel'!F58))*0.005*0.5*'Prices&amp;Fuel'!H58)</f>
        <v>2782.5</v>
      </c>
      <c r="CR58" s="7" t="n">
        <f aca="false">(((($B58+$C58+$D58+$O58+$P58+$Q58)*0.5)+X58+Y58)*(0.005*'Prices&amp;Fuel'!$H58)+CA58+'Index Price Deals'!AW58)+(((BB58+BC58+BD58+BE58+BF58+BG58)*(1-'Prices&amp;Fuel'!F58))*0.005*0.5*'Prices&amp;Fuel'!H58)</f>
        <v>23292.3971722365</v>
      </c>
      <c r="CS58" s="11"/>
      <c r="CT58" s="7" t="n">
        <f aca="false">[2]Sheet1!$O71</f>
        <v>-13943.9529148211</v>
      </c>
      <c r="CU58" s="7" t="n">
        <f aca="false">'[3]Long Term Deals'!$Z57</f>
        <v>-33769.4157771343</v>
      </c>
      <c r="CV58" s="70" t="n">
        <f aca="false">CL58-CN58-CT58+CU58+CS58+CO58</f>
        <v>433413.876104267</v>
      </c>
      <c r="CW58" s="14" t="n">
        <f aca="false">((B58+C58+D58+O58+P58+Q58+X58+Y58+AF58+AG58+AH58+BB58+BC58+BD58+BE58+BF58+BG58+BR58+BS58)+('Index Price Deals'!B58+'Index Price Deals'!C58+'Index Price Deals'!D58+'Index Price Deals'!L58+'Index Price Deals'!M58+'Index Price Deals'!N58+'Index Price Deals'!AD58+'Index Price Deals'!AE58+'Index Price Deals'!AF58+'Index Price Deals'!AK58+'Index Price Deals'!AL58+'Index Price Deals'!AM58))*'Prices&amp;Fuel'!H58</f>
        <v>5225159.38303342</v>
      </c>
      <c r="CX58" s="12" t="n">
        <f aca="false">BQ58/(BB58+BC58+BD58+BE58+BF58+BG58)/'Prices&amp;Fuel'!H58</f>
        <v>0.123688141375</v>
      </c>
      <c r="CZ58" s="13" t="n">
        <f aca="false">(BA58-CT58+CU58)/(AF58+AG58+AH58)/'Prices&amp;Fuel'!H58</f>
        <v>0.0993357922642425</v>
      </c>
      <c r="DB58" s="1" t="n">
        <f aca="false">(O58+P58+Q58)*'Prices&amp;Fuel'!$H58</f>
        <v>753000</v>
      </c>
      <c r="DC58" s="1" t="n">
        <f aca="false">(X58+Y58)*'Prices&amp;Fuel'!$H58</f>
        <v>30000</v>
      </c>
      <c r="DE58" s="1" t="n">
        <v>132000</v>
      </c>
    </row>
    <row r="59" customFormat="false" ht="12.75" hidden="false" customHeight="false" outlineLevel="0" collapsed="false">
      <c r="A59" s="6" t="n">
        <f aca="false">+A58+365/12</f>
        <v>37391.5</v>
      </c>
      <c r="O59" s="7" t="n">
        <v>9036</v>
      </c>
      <c r="P59" s="7" t="n">
        <v>10794</v>
      </c>
      <c r="Q59" s="7" t="n">
        <v>5270</v>
      </c>
      <c r="R59" s="8" t="n">
        <f aca="false">R58</f>
        <v>2.3364</v>
      </c>
      <c r="S59" s="8" t="n">
        <f aca="false">S58</f>
        <v>2.3249</v>
      </c>
      <c r="T59" s="7" t="n">
        <f aca="false">(($O59*R59)+($P59*R59)+($Q59*R59))*'Prices&amp;Fuel'!$H59</f>
        <v>1817952.84</v>
      </c>
      <c r="U59" s="7" t="n">
        <f aca="false">(($O59*S59)+($P59*S59)+($Q59*S59))*'Prices&amp;Fuel'!$H59</f>
        <v>1809004.69</v>
      </c>
      <c r="V59" s="14" t="n">
        <f aca="false">T59-U59</f>
        <v>8948.15000000014</v>
      </c>
      <c r="X59" s="7" t="n">
        <f aca="false">1000*0.5</f>
        <v>500</v>
      </c>
      <c r="Y59" s="7" t="n">
        <f aca="false">X59</f>
        <v>500</v>
      </c>
      <c r="Z59" s="27" t="n">
        <v>2.2</v>
      </c>
      <c r="AA59" s="27" t="n">
        <v>2.18</v>
      </c>
      <c r="AB59" s="7" t="n">
        <f aca="false">($X59+$Y59)*Z59*'Prices&amp;Fuel'!$H59</f>
        <v>68200</v>
      </c>
      <c r="AC59" s="7" t="n">
        <f aca="false">($X59+$Y59)*AA59*'Prices&amp;Fuel'!$H59</f>
        <v>67580</v>
      </c>
      <c r="AD59" s="14" t="n">
        <f aca="false">AB59-AC59</f>
        <v>620</v>
      </c>
      <c r="AF59" s="7" t="n">
        <f aca="false">((126000)/(1-'Prices&amp;Fuel'!F59))+(25000/(1-'Prices&amp;Fuel'!G59))-AI59</f>
        <v>155269.922879177</v>
      </c>
      <c r="AG59" s="7" t="n">
        <v>0</v>
      </c>
      <c r="AH59" s="7" t="n">
        <f aca="false">(75000/(1-'Prices&amp;Fuel'!G59))-AK59</f>
        <v>77120.822622108</v>
      </c>
      <c r="AI59" s="7"/>
      <c r="AJ59" s="7"/>
      <c r="AK59" s="7"/>
      <c r="AL59" s="11" t="n">
        <f aca="false">ROUND((226000/(1-'Prices&amp;Fuel'!F59))-AF59-AG59-AH59,0)</f>
        <v>0</v>
      </c>
      <c r="AM59" s="7" t="n">
        <f aca="false">ROUND(IF(AF59&lt;AP59,0,(AF59-AP59-AI59)/2),0)</f>
        <v>37635</v>
      </c>
      <c r="AO59" s="7" t="n">
        <f aca="false">ROUND((75000/(1-'Prices&amp;Fuel'!G59)-AV59-AK59)/2,0)</f>
        <v>38560</v>
      </c>
      <c r="AP59" s="7" t="n">
        <f aca="false">IF(80000&gt;AF59,AF59,80000)</f>
        <v>80000</v>
      </c>
      <c r="AR59" s="7" t="n">
        <f aca="false">IF(AP59&gt;AF59,0,AF59-AM59-AP59)</f>
        <v>37634.9228791774</v>
      </c>
      <c r="AT59" s="14" t="n">
        <f aca="false">AH59-AO59-AV59</f>
        <v>38560.822622108</v>
      </c>
      <c r="AU59" s="14" t="n">
        <f aca="false">AL59*AX59*'Prices&amp;Fuel'!H59</f>
        <v>0</v>
      </c>
      <c r="AW59" s="68" t="n">
        <f aca="false">AW58</f>
        <v>0.09</v>
      </c>
      <c r="AX59" s="68" t="n">
        <f aca="false">AX58</f>
        <v>0.025</v>
      </c>
      <c r="AY59" s="5" t="n">
        <f aca="false">('Prices&amp;Fuel'!H59*('Prices&amp;Fuel'!B59+AW59)*'Long Term Deals'!AF59)+('Prices&amp;Fuel'!H59*('Prices&amp;Fuel'!C59+'Long Term Deals'!AW59)*'Long Term Deals'!AG59)+(AH59*('Prices&amp;Fuel'!C59+AW59)*'Prices&amp;Fuel'!H59)+(AW59*AL59*'Prices&amp;Fuel'!H59)</f>
        <v>21971907.4550129</v>
      </c>
      <c r="AZ59" s="5" t="n">
        <f aca="false">(AP59*'Prices&amp;Fuel'!H59*'Prices&amp;Fuel'!B59)+(AQ59*'Prices&amp;Fuel'!C59*'Prices&amp;Fuel'!H59)+((AM59+AR59)*('Prices&amp;Fuel'!B59+'Long Term Deals'!AX59)*'Prices&amp;Fuel'!H59)+((AN59+AS59)*('Prices&amp;Fuel'!C59+'Long Term Deals'!AX59)*'Prices&amp;Fuel'!H59)+((AO59+AT59)*('Prices&amp;Fuel'!D59+'Long Term Deals'!AX59)*'Prices&amp;Fuel'!H59)+(AV59*'Prices&amp;Fuel'!H59*'Prices&amp;Fuel'!Q59)+AU59</f>
        <v>21322102.8277635</v>
      </c>
      <c r="BA59" s="5" t="n">
        <f aca="false">AY59-AZ59</f>
        <v>649804.627249356</v>
      </c>
      <c r="BB59" s="5" t="n">
        <f aca="false">IF('FP Corp'!T59-((BE59+BF59+BG59)*(1-'Prices&amp;Fuel'!F59))&lt;'Prices&amp;Fuel'!R59,('FP Corp'!T59-(BE59+BF59+BG59)*(1-'Prices&amp;Fuel'!F59)),'Prices&amp;Fuel'!R59)/(1-'Prices&amp;Fuel'!F59)</f>
        <v>8976.86375321337</v>
      </c>
      <c r="BC59" s="9"/>
      <c r="BD59" s="9" t="n">
        <f aca="false">ROUND(IF('FP Corp'!T59/(1-'Prices&amp;Fuel'!F59)-BE59-BF59-BG59-BB59&gt;'Prices&amp;Fuel'!T59,'Prices&amp;Fuel'!T59,'FP Corp'!T59/(1-'Prices&amp;Fuel'!F59)-BE59-BF59-BG59-BB59),9)</f>
        <v>6556.298200514</v>
      </c>
      <c r="BE59" s="9" t="n">
        <f aca="false">'Prices&amp;Fuel'!U59/(1-'Prices&amp;Fuel'!F59)</f>
        <v>1933.16195372751</v>
      </c>
      <c r="BF59" s="9" t="n">
        <f aca="false">('Prices&amp;Fuel'!V59+'Prices&amp;Fuel'!X59)/(1-'Prices&amp;Fuel'!F59)</f>
        <v>3062.21079691517</v>
      </c>
      <c r="BG59" s="9" t="n">
        <f aca="false">'Prices&amp;Fuel'!W59/(1-'Prices&amp;Fuel'!F59)</f>
        <v>1065.29562982005</v>
      </c>
      <c r="BH59" s="10" t="n">
        <f aca="false">('Prices&amp;Fuel'!C59+'Prices&amp;Fuel'!D59)/2-0.05+('Prices&amp;Fuel'!M59+'Prices&amp;Fuel'!P59)*(1-'Prices&amp;Fuel'!F59)</f>
        <v>3.67392225</v>
      </c>
      <c r="BI59" s="9" t="n">
        <f aca="false">IF(AP59=80000,0,BB59)</f>
        <v>0</v>
      </c>
      <c r="BJ59" s="9"/>
      <c r="BK59" s="10" t="n">
        <f aca="false">(((BB59+BE59)*('Prices&amp;Fuel'!B59+0.025))+(('Prices&amp;Fuel'!D59+0.025)*(BD59+BG59))+(('Prices&amp;Fuel'!C59+0.025)*(BC59+BF59))-(BI59+BJ59)*0.025)/(BB59+BC59+BD59+BE59+BF59+BG59)</f>
        <v>2.9770380952381</v>
      </c>
      <c r="BL59" s="9" t="n">
        <f aca="false">(BB59+BC59+BD59+BE59+BF59+BG59)*BH59*'Prices&amp;Fuel'!H59</f>
        <v>2459355.66555268</v>
      </c>
      <c r="BM59" s="9" t="n">
        <f aca="false">'Prices&amp;Fuel'!X59*('Prices&amp;Fuel'!N59+'Prices&amp;Fuel'!O59)*'Prices&amp;Fuel'!H59</f>
        <v>8956.179</v>
      </c>
      <c r="BN59" s="9" t="n">
        <f aca="false">('Prices&amp;Fuel'!U59+'Prices&amp;Fuel'!V59+'Prices&amp;Fuel'!W59)*('Prices&amp;Fuel'!L59+'Prices&amp;Fuel'!O59)*'Prices&amp;Fuel'!H59</f>
        <v>68331.843</v>
      </c>
      <c r="BO59" s="9" t="n">
        <f aca="false">((BB59+BC59+BD59)*(1-'Prices&amp;Fuel'!G59))*('Prices&amp;Fuel'!M59+'Prices&amp;Fuel'!P59)*'Prices&amp;Fuel'!H59</f>
        <v>360627.048599997</v>
      </c>
      <c r="BP59" s="9" t="n">
        <f aca="false">((BD59+BC59+BB59+BE59+BF59+BG59)*BK59*'Prices&amp;Fuel'!H59)+BM59+BN59+BO59</f>
        <v>2430770.39193675</v>
      </c>
      <c r="BQ59" s="5" t="n">
        <f aca="false">BL59-BP59</f>
        <v>28585.2736159391</v>
      </c>
      <c r="CA59" s="5" t="n">
        <f aca="false">(AF59+AG59+AH59+AL59)*0.005*'Prices&amp;Fuel'!H59</f>
        <v>36020.5655526992</v>
      </c>
      <c r="CB59" s="5" t="n">
        <f aca="false">(B59+C59+D59+O59+P59+Q59+X59+Y59+BB59+BC59+BD59+BE59+BF59+BG59+BR59+BS59)*0.005*'Prices&amp;Fuel'!H59</f>
        <v>7392.54370179946</v>
      </c>
      <c r="CC59" s="7" t="n">
        <f aca="false">K59+T59+AB59+AY59+BL59+BX59</f>
        <v>26317415.9605655</v>
      </c>
      <c r="CD59" s="7" t="n">
        <f aca="false">L59+U59+AC59+AZ59+BP59+BY59+CA59+CB59</f>
        <v>25672871.0189547</v>
      </c>
      <c r="CE59" s="7" t="n">
        <f aca="false">CC59-CD59</f>
        <v>644544.941610795</v>
      </c>
      <c r="CF59" s="7" t="n">
        <f aca="false">'Index Price Deals'!AR59</f>
        <v>0</v>
      </c>
      <c r="CG59" s="7" t="n">
        <f aca="false">'Index Price Deals'!AS59</f>
        <v>0</v>
      </c>
      <c r="CH59" s="7" t="n">
        <f aca="false">'Index Price Deals'!AT59</f>
        <v>0</v>
      </c>
      <c r="CI59" s="7" t="n">
        <f aca="false">'Index Price Deals'!AU59</f>
        <v>0</v>
      </c>
      <c r="CJ59" s="7" t="n">
        <f aca="false">CC59+CF59</f>
        <v>26317415.9605655</v>
      </c>
      <c r="CK59" s="7" t="n">
        <f aca="false">CD59+CH59</f>
        <v>25672871.0189547</v>
      </c>
      <c r="CL59" s="7" t="n">
        <f aca="false">CE59+CI59</f>
        <v>644544.941610795</v>
      </c>
      <c r="CM59" s="69"/>
      <c r="CN59" s="7" t="n">
        <f aca="false">Transport!U59</f>
        <v>3.16872756229714E-009</v>
      </c>
      <c r="CO59" s="71"/>
      <c r="CQ59" s="7" t="n">
        <f aca="false">(((($B59+$C59+$D59+$O59+$P59+$Q59)*0.5)+BR59+BS59)*(0.005*'Prices&amp;Fuel'!$H59)+'Index Price Deals'!AV59)+(((BB59+BC59+BD59+BE59+BF59+BG59)*(1-'Prices&amp;Fuel'!F59))*0.005*0.5*'Prices&amp;Fuel'!H59)</f>
        <v>3572.74999999999</v>
      </c>
      <c r="CR59" s="7" t="n">
        <f aca="false">(((($B59+$C59+$D59+$O59+$P59+$Q59)*0.5)+X59+Y59)*(0.005*'Prices&amp;Fuel'!$H59)+CA59+'Index Price Deals'!AW59)+(((BB59+BC59+BD59+BE59+BF59+BG59)*(1-'Prices&amp;Fuel'!F59))*0.005*0.5*'Prices&amp;Fuel'!H59)</f>
        <v>39748.3155526992</v>
      </c>
      <c r="CS59" s="11"/>
      <c r="CT59" s="7" t="n">
        <f aca="false">[2]Sheet1!$O72</f>
        <v>-24669.528818494</v>
      </c>
      <c r="CU59" s="7" t="n">
        <f aca="false">'[3]Long Term Deals'!$Z58</f>
        <v>-43972.9018835931</v>
      </c>
      <c r="CV59" s="70" t="n">
        <f aca="false">CL59-CN59-CT59+CU59+CS59+CO59</f>
        <v>625241.568545692</v>
      </c>
      <c r="CW59" s="14" t="n">
        <f aca="false">((B59+C59+D59+O59+P59+Q59+X59+Y59+AF59+AG59+AH59+BB59+BC59+BD59+BE59+BF59+BG59+BR59+BS59)+('Index Price Deals'!B59+'Index Price Deals'!C59+'Index Price Deals'!D59+'Index Price Deals'!L59+'Index Price Deals'!M59+'Index Price Deals'!N59+'Index Price Deals'!AD59+'Index Price Deals'!AE59+'Index Price Deals'!AF59+'Index Price Deals'!AK59+'Index Price Deals'!AL59+'Index Price Deals'!AM59))*'Prices&amp;Fuel'!H59</f>
        <v>8682621.85089974</v>
      </c>
      <c r="CX59" s="12" t="n">
        <f aca="false">BQ59/(BB59+BC59+BD59+BE59+BF59+BG59)/'Prices&amp;Fuel'!H59</f>
        <v>0.0427022712619062</v>
      </c>
      <c r="CZ59" s="13" t="n">
        <f aca="false">(BA59-CT59+CU59)/(AF59+AG59+AH59)/'Prices&amp;Fuel'!H59</f>
        <v>0.0875196217091336</v>
      </c>
      <c r="DB59" s="1" t="n">
        <f aca="false">(O59+P59+Q59)*'Prices&amp;Fuel'!$H59</f>
        <v>778100</v>
      </c>
      <c r="DC59" s="1" t="n">
        <f aca="false">(X59+Y59)*'Prices&amp;Fuel'!$H59</f>
        <v>31000</v>
      </c>
      <c r="DE59" s="1" t="n">
        <v>226000</v>
      </c>
    </row>
    <row r="60" customFormat="false" ht="12.75" hidden="false" customHeight="false" outlineLevel="0" collapsed="false">
      <c r="A60" s="6" t="n">
        <f aca="false">+A59+365/12</f>
        <v>37421.9166666667</v>
      </c>
      <c r="O60" s="7" t="n">
        <v>9036</v>
      </c>
      <c r="P60" s="7" t="n">
        <v>10794</v>
      </c>
      <c r="Q60" s="7" t="n">
        <v>5270</v>
      </c>
      <c r="R60" s="8" t="n">
        <f aca="false">R59</f>
        <v>2.3364</v>
      </c>
      <c r="S60" s="8" t="n">
        <f aca="false">S59</f>
        <v>2.3249</v>
      </c>
      <c r="T60" s="7" t="n">
        <f aca="false">(($O60*R60)+($P60*R60)+($Q60*R60))*'Prices&amp;Fuel'!$H60</f>
        <v>1759309.2</v>
      </c>
      <c r="U60" s="7" t="n">
        <f aca="false">(($O60*S60)+($P60*S60)+($Q60*S60))*'Prices&amp;Fuel'!$H60</f>
        <v>1750649.7</v>
      </c>
      <c r="V60" s="14" t="n">
        <f aca="false">T60-U60</f>
        <v>8659.5</v>
      </c>
      <c r="X60" s="7" t="n">
        <f aca="false">1000*0.5</f>
        <v>500</v>
      </c>
      <c r="Y60" s="7" t="n">
        <f aca="false">X60</f>
        <v>500</v>
      </c>
      <c r="Z60" s="27" t="n">
        <v>2.2</v>
      </c>
      <c r="AA60" s="27" t="n">
        <v>2.18</v>
      </c>
      <c r="AB60" s="7" t="n">
        <f aca="false">($X60+$Y60)*Z60*'Prices&amp;Fuel'!$H60</f>
        <v>66000</v>
      </c>
      <c r="AC60" s="7" t="n">
        <f aca="false">($X60+$Y60)*AA60*'Prices&amp;Fuel'!$H60</f>
        <v>65400</v>
      </c>
      <c r="AD60" s="14" t="n">
        <f aca="false">AB60-AC60</f>
        <v>600</v>
      </c>
      <c r="AF60" s="7" t="n">
        <f aca="false">((126000)/(1-'Prices&amp;Fuel'!F60))+(25000/(1-'Prices&amp;Fuel'!G60))-AI60</f>
        <v>155269.922879177</v>
      </c>
      <c r="AG60" s="7" t="n">
        <v>0</v>
      </c>
      <c r="AH60" s="7" t="n">
        <f aca="false">(75000/(1-'Prices&amp;Fuel'!G60))-AK60</f>
        <v>77120.822622108</v>
      </c>
      <c r="AI60" s="7"/>
      <c r="AJ60" s="7"/>
      <c r="AK60" s="7"/>
      <c r="AL60" s="11" t="n">
        <f aca="false">ROUND((226000/(1-'Prices&amp;Fuel'!F60))-AF60-AG60-AH60,0)</f>
        <v>0</v>
      </c>
      <c r="AM60" s="7" t="n">
        <f aca="false">ROUND(IF(AF60&lt;AP60,0,(AF60-AP60-AI60)/2),0)</f>
        <v>37635</v>
      </c>
      <c r="AO60" s="7" t="n">
        <f aca="false">ROUND((75000/(1-'Prices&amp;Fuel'!G60)-AV60-AK60)/2,0)</f>
        <v>38560</v>
      </c>
      <c r="AP60" s="7" t="n">
        <f aca="false">IF(80000&gt;AF60,AF60,80000)</f>
        <v>80000</v>
      </c>
      <c r="AR60" s="7" t="n">
        <f aca="false">IF(AP60&gt;AF60,0,AF60-AM60-AP60)</f>
        <v>37634.9228791774</v>
      </c>
      <c r="AT60" s="14" t="n">
        <f aca="false">AH60-AO60-AV60</f>
        <v>38560.822622108</v>
      </c>
      <c r="AU60" s="14" t="n">
        <f aca="false">AL60*AX60*'Prices&amp;Fuel'!H60</f>
        <v>0</v>
      </c>
      <c r="AW60" s="68" t="n">
        <f aca="false">AW59</f>
        <v>0.09</v>
      </c>
      <c r="AX60" s="68" t="n">
        <f aca="false">AX59</f>
        <v>0.025</v>
      </c>
      <c r="AY60" s="5" t="n">
        <f aca="false">('Prices&amp;Fuel'!H60*('Prices&amp;Fuel'!B60+AW60)*'Long Term Deals'!AF60)+('Prices&amp;Fuel'!H60*('Prices&amp;Fuel'!C60+'Long Term Deals'!AW60)*'Long Term Deals'!AG60)+(AH60*('Prices&amp;Fuel'!C60+AW60)*'Prices&amp;Fuel'!H60)+(AW60*AL60*'Prices&amp;Fuel'!H60)</f>
        <v>30396092.5449871</v>
      </c>
      <c r="AZ60" s="5" t="n">
        <f aca="false">(AP60*'Prices&amp;Fuel'!H60*'Prices&amp;Fuel'!B60)+(AQ60*'Prices&amp;Fuel'!C60*'Prices&amp;Fuel'!H60)+((AM60+AR60)*('Prices&amp;Fuel'!B60+'Long Term Deals'!AX60)*'Prices&amp;Fuel'!H60)+((AN60+AS60)*('Prices&amp;Fuel'!C60+'Long Term Deals'!AX60)*'Prices&amp;Fuel'!H60)+((AO60+AT60)*('Prices&amp;Fuel'!D60+'Long Term Deals'!AX60)*'Prices&amp;Fuel'!H60)+(AV60*'Prices&amp;Fuel'!H60*'Prices&amp;Fuel'!Q60)+AU60</f>
        <v>29767249.3573265</v>
      </c>
      <c r="BA60" s="5" t="n">
        <f aca="false">AY60-AZ60</f>
        <v>628843.187660664</v>
      </c>
      <c r="BB60" s="5" t="n">
        <f aca="false">IF('FP Corp'!T60-((BE60+BF60+BG60)*(1-'Prices&amp;Fuel'!F60))&lt;'Prices&amp;Fuel'!R60,('FP Corp'!T60-(BE60+BF60+BG60)*(1-'Prices&amp;Fuel'!F60)),'Prices&amp;Fuel'!R60)/(1-'Prices&amp;Fuel'!F60)</f>
        <v>8976.86375321337</v>
      </c>
      <c r="BC60" s="9"/>
      <c r="BD60" s="9" t="n">
        <f aca="false">ROUND(IF('FP Corp'!T60/(1-'Prices&amp;Fuel'!F60)-BE60-BF60-BG60-BB60&gt;'Prices&amp;Fuel'!T60,'Prices&amp;Fuel'!T60,'FP Corp'!T60/(1-'Prices&amp;Fuel'!F60)-BE60-BF60-BG60-BB60),9)</f>
        <v>6556.298200514</v>
      </c>
      <c r="BE60" s="9" t="n">
        <f aca="false">'Prices&amp;Fuel'!U60/(1-'Prices&amp;Fuel'!F60)</f>
        <v>1933.16195372751</v>
      </c>
      <c r="BF60" s="9" t="n">
        <f aca="false">('Prices&amp;Fuel'!V60+'Prices&amp;Fuel'!X60)/(1-'Prices&amp;Fuel'!F60)</f>
        <v>3062.21079691517</v>
      </c>
      <c r="BG60" s="9" t="n">
        <f aca="false">'Prices&amp;Fuel'!W60/(1-'Prices&amp;Fuel'!F60)</f>
        <v>1065.29562982005</v>
      </c>
      <c r="BH60" s="10" t="n">
        <f aca="false">('Prices&amp;Fuel'!C60+'Prices&amp;Fuel'!D60)/2-0.05+('Prices&amp;Fuel'!M60+'Prices&amp;Fuel'!P60)*(1-'Prices&amp;Fuel'!F60)</f>
        <v>4.98392225</v>
      </c>
      <c r="BI60" s="9" t="n">
        <f aca="false">IF(AP60=80000,0,BB60)</f>
        <v>0</v>
      </c>
      <c r="BJ60" s="9"/>
      <c r="BK60" s="10" t="n">
        <f aca="false">(((BB60+BE60)*('Prices&amp;Fuel'!B60+0.025))+(('Prices&amp;Fuel'!D60+0.025)*(BD60+BG60))+(('Prices&amp;Fuel'!C60+0.025)*(BC60+BF60))-(BI60+BJ60)*0.025)/(BB60+BC60+BD60+BE60+BF60+BG60)</f>
        <v>4.2870380952381</v>
      </c>
      <c r="BL60" s="9" t="n">
        <f aca="false">(BB60+BC60+BD60+BE60+BF60+BG60)*BH60*'Prices&amp;Fuel'!H60</f>
        <v>3228659.14395885</v>
      </c>
      <c r="BM60" s="9" t="n">
        <f aca="false">'Prices&amp;Fuel'!X60*('Prices&amp;Fuel'!N60+'Prices&amp;Fuel'!O60)*'Prices&amp;Fuel'!H60</f>
        <v>8667.27</v>
      </c>
      <c r="BN60" s="9" t="n">
        <f aca="false">('Prices&amp;Fuel'!U60+'Prices&amp;Fuel'!V60+'Prices&amp;Fuel'!W60)*('Prices&amp;Fuel'!L60+'Prices&amp;Fuel'!O60)*'Prices&amp;Fuel'!H60</f>
        <v>66127.59</v>
      </c>
      <c r="BO60" s="9" t="n">
        <f aca="false">((BB60+BC60+BD60)*(1-'Prices&amp;Fuel'!G60))*('Prices&amp;Fuel'!M60+'Prices&amp;Fuel'!P60)*'Prices&amp;Fuel'!H60</f>
        <v>348993.917999997</v>
      </c>
      <c r="BP60" s="9" t="n">
        <f aca="false">((BD60+BC60+BB60+BE60+BF60+BG60)*BK60*'Prices&amp;Fuel'!H60)+BM60+BN60+BO60</f>
        <v>3200995.97594342</v>
      </c>
      <c r="BQ60" s="5" t="n">
        <f aca="false">BL60-BP60</f>
        <v>27663.1680154242</v>
      </c>
      <c r="CA60" s="5" t="n">
        <f aca="false">(AF60+AG60+AH60+AL60)*0.005*'Prices&amp;Fuel'!H60</f>
        <v>34858.6118251928</v>
      </c>
      <c r="CB60" s="5" t="n">
        <f aca="false">(B60+C60+D60+O60+P60+Q60+X60+Y60+BB60+BC60+BD60+BE60+BF60+BG60+BR60+BS60)*0.005*'Prices&amp;Fuel'!H60</f>
        <v>7154.07455012851</v>
      </c>
      <c r="CC60" s="7" t="n">
        <f aca="false">K60+T60+AB60+AY60+BL60+BX60</f>
        <v>35450060.888946</v>
      </c>
      <c r="CD60" s="7" t="n">
        <f aca="false">L60+U60+AC60+AZ60+BP60+BY60+CA60+CB60</f>
        <v>34826307.7196452</v>
      </c>
      <c r="CE60" s="7" t="n">
        <f aca="false">CC60-CD60</f>
        <v>623753.169300772</v>
      </c>
      <c r="CF60" s="7" t="n">
        <f aca="false">'Index Price Deals'!AR60</f>
        <v>0</v>
      </c>
      <c r="CG60" s="7" t="n">
        <f aca="false">'Index Price Deals'!AS60</f>
        <v>0</v>
      </c>
      <c r="CH60" s="7" t="n">
        <f aca="false">'Index Price Deals'!AT60</f>
        <v>0</v>
      </c>
      <c r="CI60" s="7" t="n">
        <f aca="false">'Index Price Deals'!AU60</f>
        <v>0</v>
      </c>
      <c r="CJ60" s="7" t="n">
        <f aca="false">CC60+CF60</f>
        <v>35450060.888946</v>
      </c>
      <c r="CK60" s="7" t="n">
        <f aca="false">CD60+CH60</f>
        <v>34826307.7196452</v>
      </c>
      <c r="CL60" s="7" t="n">
        <f aca="false">CE60+CI60</f>
        <v>623753.169300772</v>
      </c>
      <c r="CM60" s="69"/>
      <c r="CN60" s="7" t="n">
        <f aca="false">Transport!U60</f>
        <v>3.06651054415852E-009</v>
      </c>
      <c r="CO60" s="71"/>
      <c r="CQ60" s="7" t="n">
        <f aca="false">(((($B60+$C60+$D60+$O60+$P60+$Q60)*0.5)+BR60+BS60)*(0.005*'Prices&amp;Fuel'!$H60)+'Index Price Deals'!AV60)+(((BB60+BC60+BD60+BE60+BF60+BG60)*(1-'Prices&amp;Fuel'!F60))*0.005*0.5*'Prices&amp;Fuel'!H60)</f>
        <v>3457.49999999999</v>
      </c>
      <c r="CR60" s="7" t="n">
        <f aca="false">(((($B60+$C60+$D60+$O60+$P60+$Q60)*0.5)+X60+Y60)*(0.005*'Prices&amp;Fuel'!$H60)+CA60+'Index Price Deals'!AW60)+(((BB60+BC60+BD60+BE60+BF60+BG60)*(1-'Prices&amp;Fuel'!F60))*0.005*0.5*'Prices&amp;Fuel'!H60)</f>
        <v>38466.1118251928</v>
      </c>
      <c r="CS60" s="11"/>
      <c r="CT60" s="7" t="n">
        <f aca="false">[2]Sheet1!$O73</f>
        <v>-23873.7375662845</v>
      </c>
      <c r="CU60" s="7" t="n">
        <f aca="false">'[3]Long Term Deals'!$Z59</f>
        <v>-42554.4211776707</v>
      </c>
      <c r="CV60" s="70" t="n">
        <f aca="false">CL60-CN60-CT60+CU60+CS60+CO60</f>
        <v>605072.485689383</v>
      </c>
      <c r="CW60" s="14" t="n">
        <f aca="false">((B60+C60+D60+O60+P60+Q60+X60+Y60+AF60+AG60+AH60+BB60+BC60+BD60+BE60+BF60+BG60+BR60+BS60)+('Index Price Deals'!B60+'Index Price Deals'!C60+'Index Price Deals'!D60+'Index Price Deals'!L60+'Index Price Deals'!M60+'Index Price Deals'!N60+'Index Price Deals'!AD60+'Index Price Deals'!AE60+'Index Price Deals'!AF60+'Index Price Deals'!AK60+'Index Price Deals'!AL60+'Index Price Deals'!AM60))*'Prices&amp;Fuel'!H60</f>
        <v>8402537.27506426</v>
      </c>
      <c r="CX60" s="12" t="n">
        <f aca="false">BQ60/(BB60+BC60+BD60+BE60+BF60+BG60)/'Prices&amp;Fuel'!H60</f>
        <v>0.042702271261905</v>
      </c>
      <c r="CZ60" s="13" t="n">
        <f aca="false">(BA60-CT60+CU60)/(AF60+AG60+AH60)/'Prices&amp;Fuel'!H60</f>
        <v>0.0875196217091332</v>
      </c>
      <c r="DB60" s="1" t="n">
        <f aca="false">(O60+P60+Q60)*'Prices&amp;Fuel'!$H60</f>
        <v>753000</v>
      </c>
      <c r="DC60" s="1" t="n">
        <f aca="false">(X60+Y60)*'Prices&amp;Fuel'!$H60</f>
        <v>30000</v>
      </c>
      <c r="DE60" s="1" t="n">
        <v>226000</v>
      </c>
    </row>
    <row r="61" customFormat="false" ht="12.75" hidden="false" customHeight="false" outlineLevel="0" collapsed="false">
      <c r="A61" s="6" t="n">
        <f aca="false">+A60+365/12</f>
        <v>37452.3333333333</v>
      </c>
      <c r="O61" s="7" t="n">
        <v>9036</v>
      </c>
      <c r="P61" s="7" t="n">
        <v>10794</v>
      </c>
      <c r="Q61" s="7" t="n">
        <v>5270</v>
      </c>
      <c r="R61" s="8" t="n">
        <f aca="false">ROUND(2.034*1.02*1.02*1.02*1.02*1.02*1.02*1.02*1.02,4)</f>
        <v>2.3832</v>
      </c>
      <c r="S61" s="8" t="n">
        <f aca="false">R61-ROUND(0.01*1.02*1.02*1.02*1.02*1.02*1.02*1.02*1.02,4)</f>
        <v>2.3715</v>
      </c>
      <c r="T61" s="7" t="n">
        <f aca="false">(($O61*R61)+($P61*R61)+($Q61*R61))*'Prices&amp;Fuel'!$H61</f>
        <v>1854367.92</v>
      </c>
      <c r="U61" s="7" t="n">
        <f aca="false">(($O61*S61)+($P61*S61)+($Q61*S61))*'Prices&amp;Fuel'!$H61</f>
        <v>1845264.15</v>
      </c>
      <c r="V61" s="14" t="n">
        <f aca="false">T61-U61</f>
        <v>9103.76999999979</v>
      </c>
      <c r="X61" s="7" t="n">
        <f aca="false">1000*0.5</f>
        <v>500</v>
      </c>
      <c r="Y61" s="7" t="n">
        <f aca="false">X61</f>
        <v>500</v>
      </c>
      <c r="Z61" s="27" t="n">
        <v>2.2</v>
      </c>
      <c r="AA61" s="27" t="n">
        <v>2.18</v>
      </c>
      <c r="AB61" s="7" t="n">
        <f aca="false">($X61+$Y61)*Z61*'Prices&amp;Fuel'!$H61</f>
        <v>68200</v>
      </c>
      <c r="AC61" s="7" t="n">
        <f aca="false">($X61+$Y61)*AA61*'Prices&amp;Fuel'!$H61</f>
        <v>67580</v>
      </c>
      <c r="AD61" s="14" t="n">
        <f aca="false">AB61-AC61</f>
        <v>620</v>
      </c>
      <c r="AF61" s="7" t="n">
        <f aca="false">((126000)/(1-'Prices&amp;Fuel'!F61))+(25000/(1-'Prices&amp;Fuel'!G61))-AI61</f>
        <v>155269.922879177</v>
      </c>
      <c r="AG61" s="7" t="n">
        <v>0</v>
      </c>
      <c r="AH61" s="7" t="n">
        <f aca="false">(75000/(1-'Prices&amp;Fuel'!G61))-AK61</f>
        <v>77120.822622108</v>
      </c>
      <c r="AI61" s="7"/>
      <c r="AJ61" s="7"/>
      <c r="AK61" s="7"/>
      <c r="AL61" s="11" t="n">
        <f aca="false">ROUND((226000/(1-'Prices&amp;Fuel'!F61))-AF61-AG61-AH61,0)</f>
        <v>0</v>
      </c>
      <c r="AM61" s="7" t="n">
        <f aca="false">ROUND(IF(AF61&lt;AP61,0,(AF61-AP61-AI61)/2),0)</f>
        <v>37635</v>
      </c>
      <c r="AO61" s="7" t="n">
        <f aca="false">ROUND((75000/(1-'Prices&amp;Fuel'!G61)-AV61-AK61)/2,0)</f>
        <v>38560</v>
      </c>
      <c r="AP61" s="7" t="n">
        <f aca="false">IF(80000&gt;AF61,AF61,80000)</f>
        <v>80000</v>
      </c>
      <c r="AR61" s="7" t="n">
        <f aca="false">IF(AP61&gt;AF61,0,AF61-AM61-AP61)</f>
        <v>37634.9228791774</v>
      </c>
      <c r="AT61" s="14" t="n">
        <f aca="false">AH61-AO61-AV61</f>
        <v>38560.822622108</v>
      </c>
      <c r="AU61" s="14" t="n">
        <f aca="false">AL61*AX61*'Prices&amp;Fuel'!H61</f>
        <v>0</v>
      </c>
      <c r="AW61" s="68" t="n">
        <f aca="false">AW60</f>
        <v>0.09</v>
      </c>
      <c r="AX61" s="68" t="n">
        <f aca="false">AX60</f>
        <v>0.025</v>
      </c>
      <c r="AY61" s="5" t="n">
        <f aca="false">('Prices&amp;Fuel'!H61*('Prices&amp;Fuel'!B61+AW61)*'Long Term Deals'!AF61)+('Prices&amp;Fuel'!H61*('Prices&amp;Fuel'!C61+'Long Term Deals'!AW61)*'Long Term Deals'!AG61)+(AH61*('Prices&amp;Fuel'!C61+AW61)*'Prices&amp;Fuel'!H61)+(AW61*AL61*'Prices&amp;Fuel'!H61)</f>
        <v>31337254.4987147</v>
      </c>
      <c r="AZ61" s="5" t="n">
        <f aca="false">(AP61*'Prices&amp;Fuel'!H61*'Prices&amp;Fuel'!B61)+(AQ61*'Prices&amp;Fuel'!C61*'Prices&amp;Fuel'!H61)+((AM61+AR61)*('Prices&amp;Fuel'!B61+'Long Term Deals'!AX61)*'Prices&amp;Fuel'!H61)+((AN61+AS61)*('Prices&amp;Fuel'!C61+'Long Term Deals'!AX61)*'Prices&amp;Fuel'!H61)+((AO61+AT61)*('Prices&amp;Fuel'!D61+'Long Term Deals'!AX61)*'Prices&amp;Fuel'!H61)+(AV61*'Prices&amp;Fuel'!H61*'Prices&amp;Fuel'!Q61)+AU61</f>
        <v>30687449.8714653</v>
      </c>
      <c r="BA61" s="5" t="n">
        <f aca="false">AY61-AZ61</f>
        <v>649804.627249356</v>
      </c>
      <c r="BB61" s="5" t="n">
        <f aca="false">IF('FP Corp'!T61-((BE61+BF61+BG61)*(1-'Prices&amp;Fuel'!F61))&lt;'Prices&amp;Fuel'!R61,('FP Corp'!T61-(BE61+BF61+BG61)*(1-'Prices&amp;Fuel'!F61)),'Prices&amp;Fuel'!R61)/(1-'Prices&amp;Fuel'!F61)</f>
        <v>8976.86375321337</v>
      </c>
      <c r="BC61" s="9"/>
      <c r="BD61" s="9" t="n">
        <f aca="false">ROUND(IF('FP Corp'!T61/(1-'Prices&amp;Fuel'!F61)-BE61-BF61-BG61-BB61&gt;'Prices&amp;Fuel'!T61,'Prices&amp;Fuel'!T61,'FP Corp'!T61/(1-'Prices&amp;Fuel'!F61)-BE61-BF61-BG61-BB61),9)</f>
        <v>6556.298200514</v>
      </c>
      <c r="BE61" s="9" t="n">
        <f aca="false">'Prices&amp;Fuel'!U61/(1-'Prices&amp;Fuel'!F61)</f>
        <v>1933.16195372751</v>
      </c>
      <c r="BF61" s="9" t="n">
        <f aca="false">('Prices&amp;Fuel'!V61+'Prices&amp;Fuel'!X61)/(1-'Prices&amp;Fuel'!F61)</f>
        <v>3062.21079691517</v>
      </c>
      <c r="BG61" s="9" t="n">
        <f aca="false">'Prices&amp;Fuel'!W61/(1-'Prices&amp;Fuel'!F61)</f>
        <v>1065.29562982005</v>
      </c>
      <c r="BH61" s="10" t="n">
        <f aca="false">('Prices&amp;Fuel'!C61+'Prices&amp;Fuel'!D61)/2-0.05+('Prices&amp;Fuel'!M61+'Prices&amp;Fuel'!P61)*(1-'Prices&amp;Fuel'!F61)</f>
        <v>4.97392225</v>
      </c>
      <c r="BI61" s="9" t="n">
        <f aca="false">IF(AP61=80000,0,BB61)</f>
        <v>0</v>
      </c>
      <c r="BJ61" s="9"/>
      <c r="BK61" s="10" t="n">
        <f aca="false">(((BB61+BE61)*('Prices&amp;Fuel'!B61+0.025))+(('Prices&amp;Fuel'!D61+0.025)*(BD61+BG61))+(('Prices&amp;Fuel'!C61+0.025)*(BC61+BF61))-(BI61+BJ61)*0.025)/(BB61+BC61+BD61+BE61+BF61+BG61)</f>
        <v>4.2770380952381</v>
      </c>
      <c r="BL61" s="9" t="n">
        <f aca="false">(BB61+BC61+BD61+BE61+BF61+BG61)*BH61*'Prices&amp;Fuel'!H61</f>
        <v>3329587.02802054</v>
      </c>
      <c r="BM61" s="9" t="n">
        <f aca="false">'Prices&amp;Fuel'!X61*('Prices&amp;Fuel'!N61+'Prices&amp;Fuel'!O61)*'Prices&amp;Fuel'!H61</f>
        <v>8956.179</v>
      </c>
      <c r="BN61" s="9" t="n">
        <f aca="false">('Prices&amp;Fuel'!U61+'Prices&amp;Fuel'!V61+'Prices&amp;Fuel'!W61)*('Prices&amp;Fuel'!L61+'Prices&amp;Fuel'!O61)*'Prices&amp;Fuel'!H61</f>
        <v>68331.843</v>
      </c>
      <c r="BO61" s="9" t="n">
        <f aca="false">((BB61+BC61+BD61)*(1-'Prices&amp;Fuel'!G61))*('Prices&amp;Fuel'!M61+'Prices&amp;Fuel'!P61)*'Prices&amp;Fuel'!H61</f>
        <v>360627.048599997</v>
      </c>
      <c r="BP61" s="9" t="n">
        <f aca="false">((BD61+BC61+BB61+BE61+BF61+BG61)*BK61*'Prices&amp;Fuel'!H61)+BM61+BN61+BO61</f>
        <v>3301001.75440461</v>
      </c>
      <c r="BQ61" s="5" t="n">
        <f aca="false">BL61-BP61</f>
        <v>28585.2736159377</v>
      </c>
      <c r="CA61" s="5" t="n">
        <f aca="false">(AF61+AG61+AH61+AL61)*0.005*'Prices&amp;Fuel'!H61</f>
        <v>36020.5655526992</v>
      </c>
      <c r="CB61" s="5" t="n">
        <f aca="false">(B61+C61+D61+O61+P61+Q61+X61+Y61+BB61+BC61+BD61+BE61+BF61+BG61+BR61+BS61)*0.005*'Prices&amp;Fuel'!H61</f>
        <v>7392.54370179946</v>
      </c>
      <c r="CC61" s="7" t="n">
        <f aca="false">K61+T61+AB61+AY61+BL61+BX61</f>
        <v>36589409.4467352</v>
      </c>
      <c r="CD61" s="7" t="n">
        <f aca="false">L61+U61+AC61+AZ61+BP61+BY61+CA61+CB61</f>
        <v>35944708.8851244</v>
      </c>
      <c r="CE61" s="7" t="n">
        <f aca="false">CC61-CD61</f>
        <v>644700.561610803</v>
      </c>
      <c r="CF61" s="7" t="n">
        <f aca="false">'Index Price Deals'!AR61</f>
        <v>0</v>
      </c>
      <c r="CG61" s="7" t="n">
        <f aca="false">'Index Price Deals'!AS61</f>
        <v>0</v>
      </c>
      <c r="CH61" s="7" t="n">
        <f aca="false">'Index Price Deals'!AT61</f>
        <v>0</v>
      </c>
      <c r="CI61" s="7" t="n">
        <f aca="false">'Index Price Deals'!AU61</f>
        <v>0</v>
      </c>
      <c r="CJ61" s="7" t="n">
        <f aca="false">CC61+CF61</f>
        <v>36589409.4467352</v>
      </c>
      <c r="CK61" s="7" t="n">
        <f aca="false">CD61+CH61</f>
        <v>35944708.8851244</v>
      </c>
      <c r="CL61" s="7" t="n">
        <f aca="false">CE61+CI61</f>
        <v>644700.561610803</v>
      </c>
      <c r="CM61" s="69"/>
      <c r="CN61" s="7" t="n">
        <f aca="false">Transport!U61</f>
        <v>3.16872756229714E-009</v>
      </c>
      <c r="CO61" s="71"/>
      <c r="CQ61" s="7" t="n">
        <f aca="false">(((($B61+$C61+$D61+$O61+$P61+$Q61)*0.5)+BR61+BS61)*(0.005*'Prices&amp;Fuel'!$H61)+'Index Price Deals'!AV61)+(((BB61+BC61+BD61+BE61+BF61+BG61)*(1-'Prices&amp;Fuel'!F61))*0.005*0.5*'Prices&amp;Fuel'!H61)</f>
        <v>3572.74999999999</v>
      </c>
      <c r="CR61" s="7" t="n">
        <f aca="false">(((($B61+$C61+$D61+$O61+$P61+$Q61)*0.5)+X61+Y61)*(0.005*'Prices&amp;Fuel'!$H61)+CA61+'Index Price Deals'!AW61)+(((BB61+BC61+BD61+BE61+BF61+BG61)*(1-'Prices&amp;Fuel'!F61))*0.005*0.5*'Prices&amp;Fuel'!H61)</f>
        <v>39748.3155526992</v>
      </c>
      <c r="CS61" s="11"/>
      <c r="CT61" s="7" t="n">
        <f aca="false">[2]Sheet1!$O74</f>
        <v>-24669.528818494</v>
      </c>
      <c r="CU61" s="7" t="n">
        <f aca="false">'[3]Long Term Deals'!$Z60</f>
        <v>-43972.9018835931</v>
      </c>
      <c r="CV61" s="70" t="n">
        <f aca="false">CL61-CN61-CT61+CU61+CS61+CO61</f>
        <v>625397.188545701</v>
      </c>
      <c r="CW61" s="14" t="n">
        <f aca="false">((B61+C61+D61+O61+P61+Q61+X61+Y61+AF61+AG61+AH61+BB61+BC61+BD61+BE61+BF61+BG61+BR61+BS61)+('Index Price Deals'!B61+'Index Price Deals'!C61+'Index Price Deals'!D61+'Index Price Deals'!L61+'Index Price Deals'!M61+'Index Price Deals'!N61+'Index Price Deals'!AD61+'Index Price Deals'!AE61+'Index Price Deals'!AF61+'Index Price Deals'!AK61+'Index Price Deals'!AL61+'Index Price Deals'!AM61))*'Prices&amp;Fuel'!H61</f>
        <v>8682621.85089974</v>
      </c>
      <c r="CX61" s="12" t="n">
        <f aca="false">BQ61/(BB61+BC61+BD61+BE61+BF61+BG61)/'Prices&amp;Fuel'!H61</f>
        <v>0.0427022712619041</v>
      </c>
      <c r="CZ61" s="13" t="n">
        <f aca="false">(BA61-CT61+CU61)/(AF61+AG61+AH61)/'Prices&amp;Fuel'!H61</f>
        <v>0.0875196217091336</v>
      </c>
      <c r="DB61" s="1" t="n">
        <f aca="false">(O61+P61+Q61)*'Prices&amp;Fuel'!$H61</f>
        <v>778100</v>
      </c>
      <c r="DC61" s="1" t="n">
        <f aca="false">(X61+Y61)*'Prices&amp;Fuel'!$H61</f>
        <v>31000</v>
      </c>
      <c r="DE61" s="1" t="n">
        <v>226000</v>
      </c>
    </row>
    <row r="62" customFormat="false" ht="12.75" hidden="false" customHeight="false" outlineLevel="0" collapsed="false">
      <c r="A62" s="6" t="n">
        <f aca="false">+A61+365/12</f>
        <v>37482.75</v>
      </c>
      <c r="O62" s="7" t="n">
        <v>9036</v>
      </c>
      <c r="P62" s="7" t="n">
        <v>10794</v>
      </c>
      <c r="Q62" s="7" t="n">
        <v>5270</v>
      </c>
      <c r="R62" s="8" t="n">
        <f aca="false">R61</f>
        <v>2.3832</v>
      </c>
      <c r="S62" s="8" t="n">
        <f aca="false">S61</f>
        <v>2.3715</v>
      </c>
      <c r="T62" s="7" t="n">
        <f aca="false">(($O62*R62)+($P62*R62)+($Q62*R62))*'Prices&amp;Fuel'!$H62</f>
        <v>1854367.92</v>
      </c>
      <c r="U62" s="7" t="n">
        <f aca="false">(($O62*S62)+($P62*S62)+($Q62*S62))*'Prices&amp;Fuel'!$H62</f>
        <v>1845264.15</v>
      </c>
      <c r="V62" s="14" t="n">
        <f aca="false">T62-U62</f>
        <v>9103.76999999979</v>
      </c>
      <c r="X62" s="7" t="n">
        <f aca="false">1000*0.5</f>
        <v>500</v>
      </c>
      <c r="Y62" s="7" t="n">
        <f aca="false">X62</f>
        <v>500</v>
      </c>
      <c r="Z62" s="27" t="n">
        <v>2.2</v>
      </c>
      <c r="AA62" s="27" t="n">
        <v>2.18</v>
      </c>
      <c r="AB62" s="7" t="n">
        <f aca="false">($X62+$Y62)*Z62*'Prices&amp;Fuel'!$H62</f>
        <v>68200</v>
      </c>
      <c r="AC62" s="7" t="n">
        <f aca="false">($X62+$Y62)*AA62*'Prices&amp;Fuel'!$H62</f>
        <v>67580</v>
      </c>
      <c r="AD62" s="14" t="n">
        <f aca="false">AB62-AC62</f>
        <v>620</v>
      </c>
      <c r="AF62" s="7" t="n">
        <f aca="false">((126000)/(1-'Prices&amp;Fuel'!F62))+(25000/(1-'Prices&amp;Fuel'!G62))-AI62</f>
        <v>155269.922879177</v>
      </c>
      <c r="AG62" s="7" t="n">
        <v>0</v>
      </c>
      <c r="AH62" s="7" t="n">
        <f aca="false">(75000/(1-'Prices&amp;Fuel'!G62))-AK62</f>
        <v>77120.822622108</v>
      </c>
      <c r="AI62" s="7"/>
      <c r="AJ62" s="7"/>
      <c r="AK62" s="7"/>
      <c r="AL62" s="11" t="n">
        <f aca="false">ROUND((226000/(1-'Prices&amp;Fuel'!F62))-AF62-AG62-AH62,0)</f>
        <v>0</v>
      </c>
      <c r="AM62" s="7" t="n">
        <f aca="false">ROUND(IF(AF62&lt;AP62,0,(AF62-AP62-AI62)/2),0)</f>
        <v>37635</v>
      </c>
      <c r="AO62" s="7" t="n">
        <f aca="false">ROUND((75000/(1-'Prices&amp;Fuel'!G62)-AV62-AK62)/2,0)</f>
        <v>38560</v>
      </c>
      <c r="AP62" s="7" t="n">
        <f aca="false">IF(80000&gt;AF62,AF62,80000)</f>
        <v>80000</v>
      </c>
      <c r="AR62" s="7" t="n">
        <f aca="false">IF(AP62&gt;AF62,0,AF62-AM62-AP62)</f>
        <v>37634.9228791774</v>
      </c>
      <c r="AT62" s="14" t="n">
        <f aca="false">AH62-AO62-AV62</f>
        <v>38560.822622108</v>
      </c>
      <c r="AU62" s="14" t="n">
        <f aca="false">AL62*AX62*'Prices&amp;Fuel'!H62</f>
        <v>0</v>
      </c>
      <c r="AW62" s="68" t="n">
        <f aca="false">AW61</f>
        <v>0.09</v>
      </c>
      <c r="AX62" s="68" t="n">
        <f aca="false">AX61</f>
        <v>0.025</v>
      </c>
      <c r="AY62" s="5" t="n">
        <f aca="false">('Prices&amp;Fuel'!H62*('Prices&amp;Fuel'!B62+AW62)*'Long Term Deals'!AF62)+('Prices&amp;Fuel'!H62*('Prices&amp;Fuel'!C62+'Long Term Deals'!AW62)*'Long Term Deals'!AG62)+(AH62*('Prices&amp;Fuel'!C62+AW62)*'Prices&amp;Fuel'!H62)+(AW62*AL62*'Prices&amp;Fuel'!H62)</f>
        <v>27447033.4190231</v>
      </c>
      <c r="AZ62" s="5" t="n">
        <f aca="false">(AP62*'Prices&amp;Fuel'!H62*'Prices&amp;Fuel'!B62)+(AQ62*'Prices&amp;Fuel'!C62*'Prices&amp;Fuel'!H62)+((AM62+AR62)*('Prices&amp;Fuel'!B62+'Long Term Deals'!AX62)*'Prices&amp;Fuel'!H62)+((AN62+AS62)*('Prices&amp;Fuel'!C62+'Long Term Deals'!AX62)*'Prices&amp;Fuel'!H62)+((AO62+AT62)*('Prices&amp;Fuel'!D62+'Long Term Deals'!AX62)*'Prices&amp;Fuel'!H62)+(AV62*'Prices&amp;Fuel'!H62*'Prices&amp;Fuel'!Q62)+AU62</f>
        <v>26797228.7917738</v>
      </c>
      <c r="BA62" s="5" t="n">
        <f aca="false">AY62-AZ62</f>
        <v>649804.627249356</v>
      </c>
      <c r="BB62" s="5" t="n">
        <f aca="false">IF('FP Corp'!T62-((BE62+BF62+BG62)*(1-'Prices&amp;Fuel'!F62))&lt;'Prices&amp;Fuel'!R62,('FP Corp'!T62-(BE62+BF62+BG62)*(1-'Prices&amp;Fuel'!F62)),'Prices&amp;Fuel'!R62)/(1-'Prices&amp;Fuel'!F62)</f>
        <v>8976.86375321337</v>
      </c>
      <c r="BC62" s="9"/>
      <c r="BD62" s="9" t="n">
        <f aca="false">ROUND(IF('FP Corp'!T62/(1-'Prices&amp;Fuel'!F62)-BE62-BF62-BG62-BB62&gt;'Prices&amp;Fuel'!T62,'Prices&amp;Fuel'!T62,'FP Corp'!T62/(1-'Prices&amp;Fuel'!F62)-BE62-BF62-BG62-BB62),9)</f>
        <v>6556.298200514</v>
      </c>
      <c r="BE62" s="9" t="n">
        <f aca="false">'Prices&amp;Fuel'!U62/(1-'Prices&amp;Fuel'!F62)</f>
        <v>1933.16195372751</v>
      </c>
      <c r="BF62" s="9" t="n">
        <f aca="false">('Prices&amp;Fuel'!V62+'Prices&amp;Fuel'!X62)/(1-'Prices&amp;Fuel'!F62)</f>
        <v>3062.21079691517</v>
      </c>
      <c r="BG62" s="9" t="n">
        <f aca="false">'Prices&amp;Fuel'!W62/(1-'Prices&amp;Fuel'!F62)</f>
        <v>1065.29562982005</v>
      </c>
      <c r="BH62" s="10" t="n">
        <f aca="false">('Prices&amp;Fuel'!C62+'Prices&amp;Fuel'!D62)/2-0.05+('Prices&amp;Fuel'!M62+'Prices&amp;Fuel'!P62)*(1-'Prices&amp;Fuel'!F62)</f>
        <v>4.43392225</v>
      </c>
      <c r="BI62" s="9" t="n">
        <f aca="false">IF(AP62=80000,0,BB62)</f>
        <v>0</v>
      </c>
      <c r="BJ62" s="9"/>
      <c r="BK62" s="10" t="n">
        <f aca="false">(((BB62+BE62)*('Prices&amp;Fuel'!B62+0.025))+(('Prices&amp;Fuel'!D62+0.025)*(BD62+BG62))+(('Prices&amp;Fuel'!C62+0.025)*(BC62+BF62))-(BI62+BJ62)*0.025)/(BB62+BC62+BD62+BE62+BF62+BG62)</f>
        <v>3.7370380952381</v>
      </c>
      <c r="BL62" s="9" t="n">
        <f aca="false">(BB62+BC62+BD62+BE62+BF62+BG62)*BH62*'Prices&amp;Fuel'!H62</f>
        <v>2968106.3082262</v>
      </c>
      <c r="BM62" s="9" t="n">
        <f aca="false">'Prices&amp;Fuel'!X62*('Prices&amp;Fuel'!N62+'Prices&amp;Fuel'!O62)*'Prices&amp;Fuel'!H62</f>
        <v>8956.179</v>
      </c>
      <c r="BN62" s="9" t="n">
        <f aca="false">('Prices&amp;Fuel'!U62+'Prices&amp;Fuel'!V62+'Prices&amp;Fuel'!W62)*('Prices&amp;Fuel'!L62+'Prices&amp;Fuel'!O62)*'Prices&amp;Fuel'!H62</f>
        <v>68331.843</v>
      </c>
      <c r="BO62" s="9" t="n">
        <f aca="false">((BB62+BC62+BD62)*(1-'Prices&amp;Fuel'!G62))*('Prices&amp;Fuel'!M62+'Prices&amp;Fuel'!P62)*'Prices&amp;Fuel'!H62</f>
        <v>360627.048599997</v>
      </c>
      <c r="BP62" s="9" t="n">
        <f aca="false">((BD62+BC62+BB62+BE62+BF62+BG62)*BK62*'Prices&amp;Fuel'!H62)+BM62+BN62+BO62</f>
        <v>2939521.03461026</v>
      </c>
      <c r="BQ62" s="5" t="n">
        <f aca="false">BL62-BP62</f>
        <v>28585.2736159386</v>
      </c>
      <c r="CA62" s="5" t="n">
        <f aca="false">(AF62+AG62+AH62+AL62)*0.005*'Prices&amp;Fuel'!H62</f>
        <v>36020.5655526992</v>
      </c>
      <c r="CB62" s="5" t="n">
        <f aca="false">(B62+C62+D62+O62+P62+Q62+X62+Y62+BB62+BC62+BD62+BE62+BF62+BG62+BR62+BS62)*0.005*'Prices&amp;Fuel'!H62</f>
        <v>7392.54370179946</v>
      </c>
      <c r="CC62" s="7" t="n">
        <f aca="false">K62+T62+AB62+AY62+BL62+BX62</f>
        <v>32337707.6472493</v>
      </c>
      <c r="CD62" s="7" t="n">
        <f aca="false">L62+U62+AC62+AZ62+BP62+BY62+CA62+CB62</f>
        <v>31693007.0856385</v>
      </c>
      <c r="CE62" s="7" t="n">
        <f aca="false">CC62-CD62</f>
        <v>644700.561610796</v>
      </c>
      <c r="CF62" s="7" t="n">
        <f aca="false">'Index Price Deals'!AR62</f>
        <v>0</v>
      </c>
      <c r="CG62" s="7" t="n">
        <f aca="false">'Index Price Deals'!AS62</f>
        <v>0</v>
      </c>
      <c r="CH62" s="7" t="n">
        <f aca="false">'Index Price Deals'!AT62</f>
        <v>0</v>
      </c>
      <c r="CI62" s="7" t="n">
        <f aca="false">'Index Price Deals'!AU62</f>
        <v>0</v>
      </c>
      <c r="CJ62" s="7" t="n">
        <f aca="false">CC62+CF62</f>
        <v>32337707.6472493</v>
      </c>
      <c r="CK62" s="7" t="n">
        <f aca="false">CD62+CH62</f>
        <v>31693007.0856385</v>
      </c>
      <c r="CL62" s="7" t="n">
        <f aca="false">CE62+CI62</f>
        <v>644700.561610796</v>
      </c>
      <c r="CM62" s="69"/>
      <c r="CN62" s="7" t="n">
        <f aca="false">Transport!U62</f>
        <v>3.16872756229714E-009</v>
      </c>
      <c r="CO62" s="71"/>
      <c r="CQ62" s="7" t="n">
        <f aca="false">(((($B62+$C62+$D62+$O62+$P62+$Q62)*0.5)+BR62+BS62)*(0.005*'Prices&amp;Fuel'!$H62)+'Index Price Deals'!AV62)+(((BB62+BC62+BD62+BE62+BF62+BG62)*(1-'Prices&amp;Fuel'!F62))*0.005*0.5*'Prices&amp;Fuel'!H62)</f>
        <v>3572.74999999999</v>
      </c>
      <c r="CR62" s="7" t="n">
        <f aca="false">(((($B62+$C62+$D62+$O62+$P62+$Q62)*0.5)+X62+Y62)*(0.005*'Prices&amp;Fuel'!$H62)+CA62+'Index Price Deals'!AW62)+(((BB62+BC62+BD62+BE62+BF62+BG62)*(1-'Prices&amp;Fuel'!F62))*0.005*0.5*'Prices&amp;Fuel'!H62)</f>
        <v>39748.3155526992</v>
      </c>
      <c r="CS62" s="11"/>
      <c r="CT62" s="7" t="n">
        <f aca="false">[2]Sheet1!$O75</f>
        <v>-24669.528818494</v>
      </c>
      <c r="CU62" s="7" t="n">
        <f aca="false">'[3]Long Term Deals'!$Z61</f>
        <v>-43972.9018835931</v>
      </c>
      <c r="CV62" s="70" t="n">
        <f aca="false">CL62-CN62-CT62+CU62+CS62+CO62</f>
        <v>625397.188545693</v>
      </c>
      <c r="CW62" s="14" t="n">
        <f aca="false">((B62+C62+D62+O62+P62+Q62+X62+Y62+AF62+AG62+AH62+BB62+BC62+BD62+BE62+BF62+BG62+BR62+BS62)+('Index Price Deals'!B62+'Index Price Deals'!C62+'Index Price Deals'!D62+'Index Price Deals'!L62+'Index Price Deals'!M62+'Index Price Deals'!N62+'Index Price Deals'!AD62+'Index Price Deals'!AE62+'Index Price Deals'!AF62+'Index Price Deals'!AK62+'Index Price Deals'!AL62+'Index Price Deals'!AM62))*'Prices&amp;Fuel'!H62</f>
        <v>8682621.85089974</v>
      </c>
      <c r="CX62" s="12" t="n">
        <f aca="false">BQ62/(BB62+BC62+BD62+BE62+BF62+BG62)/'Prices&amp;Fuel'!H62</f>
        <v>0.0427022712619055</v>
      </c>
      <c r="CZ62" s="13" t="n">
        <f aca="false">(BA62-CT62+CU62)/(AF62+AG62+AH62)/'Prices&amp;Fuel'!H62</f>
        <v>0.0875196217091336</v>
      </c>
      <c r="DB62" s="1" t="n">
        <f aca="false">(O62+P62+Q62)*'Prices&amp;Fuel'!$H62</f>
        <v>778100</v>
      </c>
      <c r="DC62" s="1" t="n">
        <f aca="false">(X62+Y62)*'Prices&amp;Fuel'!$H62</f>
        <v>31000</v>
      </c>
      <c r="DE62" s="1" t="n">
        <v>226000</v>
      </c>
    </row>
    <row r="63" customFormat="false" ht="12.75" hidden="false" customHeight="false" outlineLevel="0" collapsed="false">
      <c r="A63" s="6" t="n">
        <f aca="false">+A62+365/12</f>
        <v>37513.1666666667</v>
      </c>
      <c r="O63" s="7" t="n">
        <v>9036</v>
      </c>
      <c r="P63" s="7" t="n">
        <v>10794</v>
      </c>
      <c r="Q63" s="7" t="n">
        <v>5270</v>
      </c>
      <c r="R63" s="8" t="n">
        <f aca="false">R62</f>
        <v>2.3832</v>
      </c>
      <c r="S63" s="8" t="n">
        <f aca="false">S62</f>
        <v>2.3715</v>
      </c>
      <c r="T63" s="7" t="n">
        <f aca="false">(($O63*R63)+($P63*R63)+($Q63*R63))*'Prices&amp;Fuel'!$H63</f>
        <v>1794549.6</v>
      </c>
      <c r="U63" s="7" t="n">
        <f aca="false">(($O63*S63)+($P63*S63)+($Q63*S63))*'Prices&amp;Fuel'!$H63</f>
        <v>1785739.5</v>
      </c>
      <c r="V63" s="14" t="n">
        <f aca="false">T63-U63</f>
        <v>8810.10000000009</v>
      </c>
      <c r="X63" s="7" t="n">
        <f aca="false">1000*0.5</f>
        <v>500</v>
      </c>
      <c r="Y63" s="7" t="n">
        <f aca="false">X63</f>
        <v>500</v>
      </c>
      <c r="Z63" s="27" t="n">
        <v>2.2</v>
      </c>
      <c r="AA63" s="27" t="n">
        <v>2.18</v>
      </c>
      <c r="AB63" s="7" t="n">
        <f aca="false">($X63+$Y63)*Z63*'Prices&amp;Fuel'!$H63</f>
        <v>66000</v>
      </c>
      <c r="AC63" s="7" t="n">
        <f aca="false">($X63+$Y63)*AA63*'Prices&amp;Fuel'!$H63</f>
        <v>65400</v>
      </c>
      <c r="AD63" s="14" t="n">
        <f aca="false">AB63-AC63</f>
        <v>600</v>
      </c>
      <c r="AF63" s="7" t="n">
        <f aca="false">((126000)/(1-'Prices&amp;Fuel'!F63))+(25000/(1-'Prices&amp;Fuel'!G63))-AI63</f>
        <v>155269.922879177</v>
      </c>
      <c r="AG63" s="7" t="n">
        <v>0</v>
      </c>
      <c r="AH63" s="7" t="n">
        <f aca="false">(75000/(1-'Prices&amp;Fuel'!G63))-AK63</f>
        <v>77120.822622108</v>
      </c>
      <c r="AI63" s="7"/>
      <c r="AJ63" s="7"/>
      <c r="AK63" s="7"/>
      <c r="AL63" s="11" t="n">
        <f aca="false">ROUND((226000/(1-'Prices&amp;Fuel'!F63))-AF63-AG63-AH63,0)</f>
        <v>0</v>
      </c>
      <c r="AM63" s="7" t="n">
        <f aca="false">ROUND(IF(AF63&lt;AP63,0,(AF63-AP63-AI63)/2),0)</f>
        <v>37635</v>
      </c>
      <c r="AO63" s="7" t="n">
        <f aca="false">ROUND((75000/(1-'Prices&amp;Fuel'!G63)-AV63-AK63)/2,0)</f>
        <v>38560</v>
      </c>
      <c r="AP63" s="7" t="n">
        <f aca="false">IF(80000&gt;AF63,AF63,80000)</f>
        <v>80000</v>
      </c>
      <c r="AR63" s="7" t="n">
        <f aca="false">IF(AP63&gt;AF63,0,AF63-AM63-AP63)</f>
        <v>37634.9228791774</v>
      </c>
      <c r="AT63" s="14" t="n">
        <f aca="false">AH63-AO63-AV63</f>
        <v>38560.822622108</v>
      </c>
      <c r="AU63" s="14" t="n">
        <f aca="false">AL63*AX63*'Prices&amp;Fuel'!H63</f>
        <v>0</v>
      </c>
      <c r="AW63" s="68" t="n">
        <f aca="false">AW62</f>
        <v>0.09</v>
      </c>
      <c r="AX63" s="68" t="n">
        <f aca="false">AX62</f>
        <v>0.025</v>
      </c>
      <c r="AY63" s="5" t="n">
        <f aca="false">('Prices&amp;Fuel'!H63*('Prices&amp;Fuel'!B63+AW63)*'Long Term Deals'!AF63)+('Prices&amp;Fuel'!H63*('Prices&amp;Fuel'!C63+'Long Term Deals'!AW63)*'Long Term Deals'!AG63)+(AH63*('Prices&amp;Fuel'!C63+AW63)*'Prices&amp;Fuel'!H63)+(AW63*AL63*'Prices&amp;Fuel'!H63)</f>
        <v>31929871.4652956</v>
      </c>
      <c r="AZ63" s="5" t="n">
        <f aca="false">(AP63*'Prices&amp;Fuel'!H63*'Prices&amp;Fuel'!B63)+(AQ63*'Prices&amp;Fuel'!C63*'Prices&amp;Fuel'!H63)+((AM63+AR63)*('Prices&amp;Fuel'!B63+'Long Term Deals'!AX63)*'Prices&amp;Fuel'!H63)+((AN63+AS63)*('Prices&amp;Fuel'!C63+'Long Term Deals'!AX63)*'Prices&amp;Fuel'!H63)+((AO63+AT63)*('Prices&amp;Fuel'!D63+'Long Term Deals'!AX63)*'Prices&amp;Fuel'!H63)+(AV63*'Prices&amp;Fuel'!H63*'Prices&amp;Fuel'!Q63)+AU63</f>
        <v>31301028.277635</v>
      </c>
      <c r="BA63" s="5" t="n">
        <f aca="false">AY63-AZ63</f>
        <v>628843.187660661</v>
      </c>
      <c r="BB63" s="5" t="n">
        <f aca="false">IF('FP Corp'!T63-((BE63+BF63+BG63)*(1-'Prices&amp;Fuel'!F63))&lt;'Prices&amp;Fuel'!R63,('FP Corp'!T63-(BE63+BF63+BG63)*(1-'Prices&amp;Fuel'!F63)),'Prices&amp;Fuel'!R63)/(1-'Prices&amp;Fuel'!F63)</f>
        <v>8976.86375321337</v>
      </c>
      <c r="BC63" s="9"/>
      <c r="BD63" s="9" t="n">
        <f aca="false">ROUND(IF('FP Corp'!T63/(1-'Prices&amp;Fuel'!F63)-BE63-BF63-BG63-BB63&gt;'Prices&amp;Fuel'!T63,'Prices&amp;Fuel'!T63,'FP Corp'!T63/(1-'Prices&amp;Fuel'!F63)-BE63-BF63-BG63-BB63),9)</f>
        <v>6556.298200514</v>
      </c>
      <c r="BE63" s="9" t="n">
        <f aca="false">'Prices&amp;Fuel'!U63/(1-'Prices&amp;Fuel'!F63)</f>
        <v>1933.16195372751</v>
      </c>
      <c r="BF63" s="9" t="n">
        <f aca="false">('Prices&amp;Fuel'!V63+'Prices&amp;Fuel'!X63)/(1-'Prices&amp;Fuel'!F63)</f>
        <v>3062.21079691517</v>
      </c>
      <c r="BG63" s="9" t="n">
        <f aca="false">'Prices&amp;Fuel'!W63/(1-'Prices&amp;Fuel'!F63)</f>
        <v>1065.29562982005</v>
      </c>
      <c r="BH63" s="10" t="n">
        <f aca="false">('Prices&amp;Fuel'!C63+'Prices&amp;Fuel'!D63)/2-0.05+('Prices&amp;Fuel'!M63+'Prices&amp;Fuel'!P63)*(1-'Prices&amp;Fuel'!F63)</f>
        <v>5.20392225</v>
      </c>
      <c r="BI63" s="9" t="n">
        <f aca="false">IF(AP63=80000,0,BB63)</f>
        <v>0</v>
      </c>
      <c r="BJ63" s="9"/>
      <c r="BK63" s="10" t="n">
        <f aca="false">(((BB63+BE63)*('Prices&amp;Fuel'!B63+0.025))+(('Prices&amp;Fuel'!D63+0.025)*(BD63+BG63))+(('Prices&amp;Fuel'!C63+0.025)*(BC63+BF63))-(BI63+BJ63)*0.025)/(BB63+BC63+BD63+BE63+BF63+BG63)</f>
        <v>4.5070380952381</v>
      </c>
      <c r="BL63" s="9" t="n">
        <f aca="false">(BB63+BC63+BD63+BE63+BF63+BG63)*BH63*'Prices&amp;Fuel'!H63</f>
        <v>3371178.4241645</v>
      </c>
      <c r="BM63" s="9" t="n">
        <f aca="false">'Prices&amp;Fuel'!X63*('Prices&amp;Fuel'!N63+'Prices&amp;Fuel'!O63)*'Prices&amp;Fuel'!H63</f>
        <v>8667.27</v>
      </c>
      <c r="BN63" s="9" t="n">
        <f aca="false">('Prices&amp;Fuel'!U63+'Prices&amp;Fuel'!V63+'Prices&amp;Fuel'!W63)*('Prices&amp;Fuel'!L63+'Prices&amp;Fuel'!O63)*'Prices&amp;Fuel'!H63</f>
        <v>66127.59</v>
      </c>
      <c r="BO63" s="9" t="n">
        <f aca="false">((BB63+BC63+BD63)*(1-'Prices&amp;Fuel'!G63))*('Prices&amp;Fuel'!M63+'Prices&amp;Fuel'!P63)*'Prices&amp;Fuel'!H63</f>
        <v>348993.917999997</v>
      </c>
      <c r="BP63" s="9" t="n">
        <f aca="false">((BD63+BC63+BB63+BE63+BF63+BG63)*BK63*'Prices&amp;Fuel'!H63)+BM63+BN63+BO63</f>
        <v>3343515.25614908</v>
      </c>
      <c r="BQ63" s="5" t="n">
        <f aca="false">BL63-BP63</f>
        <v>27663.1680154242</v>
      </c>
      <c r="CA63" s="5" t="n">
        <f aca="false">(AF63+AG63+AH63+AL63)*0.005*'Prices&amp;Fuel'!H63</f>
        <v>34858.6118251928</v>
      </c>
      <c r="CB63" s="5" t="n">
        <f aca="false">(B63+C63+D63+O63+P63+Q63+X63+Y63+BB63+BC63+BD63+BE63+BF63+BG63+BR63+BS63)*0.005*'Prices&amp;Fuel'!H63</f>
        <v>7154.07455012851</v>
      </c>
      <c r="CC63" s="7" t="n">
        <f aca="false">K63+T63+AB63+AY63+BL63+BX63</f>
        <v>37161599.4894601</v>
      </c>
      <c r="CD63" s="7" t="n">
        <f aca="false">L63+U63+AC63+AZ63+BP63+BY63+CA63+CB63</f>
        <v>36537695.7201594</v>
      </c>
      <c r="CE63" s="7" t="n">
        <f aca="false">CC63-CD63</f>
        <v>623903.769300766</v>
      </c>
      <c r="CF63" s="7" t="n">
        <f aca="false">'Index Price Deals'!AR63</f>
        <v>0</v>
      </c>
      <c r="CG63" s="7" t="n">
        <f aca="false">'Index Price Deals'!AS63</f>
        <v>0</v>
      </c>
      <c r="CH63" s="7" t="n">
        <f aca="false">'Index Price Deals'!AT63</f>
        <v>0</v>
      </c>
      <c r="CI63" s="7" t="n">
        <f aca="false">'Index Price Deals'!AU63</f>
        <v>0</v>
      </c>
      <c r="CJ63" s="7" t="n">
        <f aca="false">CC63+CF63</f>
        <v>37161599.4894601</v>
      </c>
      <c r="CK63" s="7" t="n">
        <f aca="false">CD63+CH63</f>
        <v>36537695.7201594</v>
      </c>
      <c r="CL63" s="7" t="n">
        <f aca="false">CE63+CI63</f>
        <v>623903.769300766</v>
      </c>
      <c r="CM63" s="69"/>
      <c r="CN63" s="7" t="n">
        <f aca="false">Transport!U63</f>
        <v>3.06651054415852E-009</v>
      </c>
      <c r="CO63" s="71"/>
      <c r="CQ63" s="7" t="n">
        <f aca="false">(((($B63+$C63+$D63+$O63+$P63+$Q63)*0.5)+BR63+BS63)*(0.005*'Prices&amp;Fuel'!$H63)+'Index Price Deals'!AV63)+(((BB63+BC63+BD63+BE63+BF63+BG63)*(1-'Prices&amp;Fuel'!F63))*0.005*0.5*'Prices&amp;Fuel'!H63)</f>
        <v>3457.49999999999</v>
      </c>
      <c r="CR63" s="7" t="n">
        <f aca="false">(((($B63+$C63+$D63+$O63+$P63+$Q63)*0.5)+X63+Y63)*(0.005*'Prices&amp;Fuel'!$H63)+CA63+'Index Price Deals'!AW63)+(((BB63+BC63+BD63+BE63+BF63+BG63)*(1-'Prices&amp;Fuel'!F63))*0.005*0.5*'Prices&amp;Fuel'!H63)</f>
        <v>38466.1118251928</v>
      </c>
      <c r="CS63" s="11"/>
      <c r="CT63" s="7" t="n">
        <f aca="false">[2]Sheet1!$O76</f>
        <v>-23873.7375662845</v>
      </c>
      <c r="CU63" s="7" t="n">
        <f aca="false">'[3]Long Term Deals'!$Z62</f>
        <v>-42554.4211776707</v>
      </c>
      <c r="CV63" s="70" t="n">
        <f aca="false">CL63-CN63-CT63+CU63+CS63+CO63</f>
        <v>605223.085689377</v>
      </c>
      <c r="CW63" s="14" t="n">
        <f aca="false">((B63+C63+D63+O63+P63+Q63+X63+Y63+AF63+AG63+AH63+BB63+BC63+BD63+BE63+BF63+BG63+BR63+BS63)+('Index Price Deals'!B63+'Index Price Deals'!C63+'Index Price Deals'!D63+'Index Price Deals'!L63+'Index Price Deals'!M63+'Index Price Deals'!N63+'Index Price Deals'!AD63+'Index Price Deals'!AE63+'Index Price Deals'!AF63+'Index Price Deals'!AK63+'Index Price Deals'!AL63+'Index Price Deals'!AM63))*'Prices&amp;Fuel'!H63</f>
        <v>8402537.27506426</v>
      </c>
      <c r="CX63" s="12" t="n">
        <f aca="false">BQ63/(BB63+BC63+BD63+BE63+BF63+BG63)/'Prices&amp;Fuel'!H63</f>
        <v>0.042702271261905</v>
      </c>
      <c r="CZ63" s="13" t="n">
        <f aca="false">(BA63-CT63+CU63)/(AF63+AG63+AH63)/'Prices&amp;Fuel'!H63</f>
        <v>0.0875196217091327</v>
      </c>
      <c r="DB63" s="1" t="n">
        <f aca="false">(O63+P63+Q63)*'Prices&amp;Fuel'!$H63</f>
        <v>753000</v>
      </c>
      <c r="DC63" s="1" t="n">
        <f aca="false">(X63+Y63)*'Prices&amp;Fuel'!$H63</f>
        <v>30000</v>
      </c>
      <c r="DE63" s="1" t="n">
        <v>226000</v>
      </c>
    </row>
    <row r="64" customFormat="false" ht="12.75" hidden="false" customHeight="false" outlineLevel="0" collapsed="false">
      <c r="A64" s="6" t="n">
        <f aca="false">+A63+365/12</f>
        <v>37543.5833333333</v>
      </c>
      <c r="O64" s="7" t="n">
        <v>9036</v>
      </c>
      <c r="P64" s="7" t="n">
        <v>10794</v>
      </c>
      <c r="Q64" s="7" t="n">
        <v>5270</v>
      </c>
      <c r="R64" s="8" t="n">
        <f aca="false">R63</f>
        <v>2.3832</v>
      </c>
      <c r="S64" s="8" t="n">
        <f aca="false">S63</f>
        <v>2.3715</v>
      </c>
      <c r="T64" s="7" t="n">
        <f aca="false">(($O64*R64)+($P64*R64)+($Q64*R64))*'Prices&amp;Fuel'!$H64</f>
        <v>1854367.92</v>
      </c>
      <c r="U64" s="7" t="n">
        <f aca="false">(($O64*S64)+($P64*S64)+($Q64*S64))*'Prices&amp;Fuel'!$H64</f>
        <v>1845264.15</v>
      </c>
      <c r="V64" s="14" t="n">
        <f aca="false">T64-U64</f>
        <v>9103.76999999979</v>
      </c>
      <c r="X64" s="7" t="n">
        <f aca="false">1000*0.5</f>
        <v>500</v>
      </c>
      <c r="Y64" s="7" t="n">
        <f aca="false">X64</f>
        <v>500</v>
      </c>
      <c r="Z64" s="27" t="n">
        <v>2.2</v>
      </c>
      <c r="AA64" s="27" t="n">
        <v>2.18</v>
      </c>
      <c r="AB64" s="7" t="n">
        <f aca="false">($X64+$Y64)*Z64*'Prices&amp;Fuel'!$H64</f>
        <v>68200</v>
      </c>
      <c r="AC64" s="7" t="n">
        <f aca="false">($X64+$Y64)*AA64*'Prices&amp;Fuel'!$H64</f>
        <v>67580</v>
      </c>
      <c r="AD64" s="14" t="n">
        <f aca="false">AB64-AC64</f>
        <v>620</v>
      </c>
      <c r="AF64" s="7" t="n">
        <f aca="false">(32000/(1-'Prices&amp;Fuel'!F64))+(25000/(1-'Prices&amp;Fuel'!G64))-AI64</f>
        <v>58611.8251928021</v>
      </c>
      <c r="AG64" s="7" t="n">
        <v>0</v>
      </c>
      <c r="AH64" s="7" t="n">
        <f aca="false">(75000/(1-'Prices&amp;Fuel'!G64))-AK64</f>
        <v>77120.822622108</v>
      </c>
      <c r="AI64" s="7"/>
      <c r="AJ64" s="7"/>
      <c r="AK64" s="7"/>
      <c r="AL64" s="11" t="n">
        <f aca="false">ROUND((132000/(1-'Prices&amp;Fuel'!F64))-AF64-AG64-AH64,0)</f>
        <v>0</v>
      </c>
      <c r="AM64" s="7" t="n">
        <f aca="false">ROUND(IF(AF64&lt;AP64,0,(AF64-AP64-AI64)/2),0)</f>
        <v>0</v>
      </c>
      <c r="AO64" s="7" t="n">
        <f aca="false">ROUND((75000/(1-'Prices&amp;Fuel'!G64)-AV64-AK64)/2,0)</f>
        <v>38560</v>
      </c>
      <c r="AP64" s="7" t="n">
        <f aca="false">IF(80000&gt;AF64,AF64,80000)</f>
        <v>58611.8251928021</v>
      </c>
      <c r="AR64" s="7" t="n">
        <f aca="false">IF(AP64&gt;AF64,0,AF64-AM64-AP64)</f>
        <v>0</v>
      </c>
      <c r="AT64" s="14" t="n">
        <f aca="false">AH64-AO64-AV64</f>
        <v>38560.822622108</v>
      </c>
      <c r="AU64" s="14" t="n">
        <f aca="false">AL64*AX64*'Prices&amp;Fuel'!H64</f>
        <v>0</v>
      </c>
      <c r="AW64" s="68" t="n">
        <f aca="false">AW63</f>
        <v>0.09</v>
      </c>
      <c r="AX64" s="68" t="n">
        <f aca="false">AX63</f>
        <v>0.025</v>
      </c>
      <c r="AY64" s="5" t="n">
        <f aca="false">('Prices&amp;Fuel'!H64*('Prices&amp;Fuel'!B64+AW64)*'Long Term Deals'!AF64)+('Prices&amp;Fuel'!H64*('Prices&amp;Fuel'!C64+'Long Term Deals'!AW64)*'Long Term Deals'!AG64)+(AH64*('Prices&amp;Fuel'!C64+AW64)*'Prices&amp;Fuel'!H64)+(AW64*AL64*'Prices&amp;Fuel'!H64)</f>
        <v>22191856.0411311</v>
      </c>
      <c r="AZ64" s="5" t="n">
        <f aca="false">(AP64*'Prices&amp;Fuel'!H64*'Prices&amp;Fuel'!B64)+(AQ64*'Prices&amp;Fuel'!C64*'Prices&amp;Fuel'!H64)+((AM64+AR64)*('Prices&amp;Fuel'!B64+'Long Term Deals'!AX64)*'Prices&amp;Fuel'!H64)+((AN64+AS64)*('Prices&amp;Fuel'!C64+'Long Term Deals'!AX64)*'Prices&amp;Fuel'!H64)+((AO64+AT64)*('Prices&amp;Fuel'!D64+'Long Term Deals'!AX64)*'Prices&amp;Fuel'!H64)+(AV64*'Prices&amp;Fuel'!H64*'Prices&amp;Fuel'!Q64)+AU64</f>
        <v>21753393.3161954</v>
      </c>
      <c r="BA64" s="5" t="n">
        <f aca="false">AY64-AZ64</f>
        <v>438462.724935729</v>
      </c>
      <c r="BB64" s="5" t="n">
        <f aca="false">IF('FP Corp'!T64-((BE64+BF64+BG64)*(1-'Prices&amp;Fuel'!F64))&lt;'Prices&amp;Fuel'!R64,('FP Corp'!T64-(BE64+BF64+BG64)*(1-'Prices&amp;Fuel'!F64)),'Prices&amp;Fuel'!R64)/(1-'Prices&amp;Fuel'!F64)</f>
        <v>8976.86375321337</v>
      </c>
      <c r="BC64" s="9"/>
      <c r="BD64" s="9" t="n">
        <f aca="false">ROUND(IF('FP Corp'!T64/(1-'Prices&amp;Fuel'!F64)-BE64-BF64-BG64-BB64&gt;'Prices&amp;Fuel'!T64,'Prices&amp;Fuel'!T64,'FP Corp'!T64/(1-'Prices&amp;Fuel'!F64)-BE64-BF64-BG64-BB64),9)</f>
        <v>3514.652956298</v>
      </c>
      <c r="BE64" s="9" t="n">
        <f aca="false">'Prices&amp;Fuel'!U64/(1-'Prices&amp;Fuel'!F64)</f>
        <v>2910.02570694087</v>
      </c>
      <c r="BF64" s="9" t="n">
        <f aca="false">('Prices&amp;Fuel'!V64+'Prices&amp;Fuel'!X64)/(1-'Prices&amp;Fuel'!F64)</f>
        <v>4628.27763496144</v>
      </c>
      <c r="BG64" s="9" t="n">
        <f aca="false">'Prices&amp;Fuel'!W64/(1-'Prices&amp;Fuel'!F64)</f>
        <v>1564.01028277635</v>
      </c>
      <c r="BH64" s="10" t="n">
        <f aca="false">('Prices&amp;Fuel'!C64+'Prices&amp;Fuel'!D64)/2-0.05+('Prices&amp;Fuel'!M64+'Prices&amp;Fuel'!P64)*(1-'Prices&amp;Fuel'!F64)</f>
        <v>5.88392225</v>
      </c>
      <c r="BI64" s="9" t="n">
        <f aca="false">IF(AP64=80000,0,BB64)</f>
        <v>8976.86375321337</v>
      </c>
      <c r="BJ64" s="9"/>
      <c r="BK64" s="10" t="n">
        <f aca="false">(((BB64+BE64)*('Prices&amp;Fuel'!B64+0.025))+(('Prices&amp;Fuel'!D64+0.025)*(BD64+BG64))+(('Prices&amp;Fuel'!C64+0.025)*(BC64+BF64))-(BI64+BJ64)*0.025)/(BB64+BC64+BD64+BE64+BF64+BG64)</f>
        <v>5.17981904761905</v>
      </c>
      <c r="BL64" s="9" t="n">
        <f aca="false">(BB64+BC64+BD64+BE64+BF64+BG64)*BH64*'Prices&amp;Fuel'!H64</f>
        <v>3938748.98174804</v>
      </c>
      <c r="BM64" s="9" t="n">
        <f aca="false">'Prices&amp;Fuel'!X64*('Prices&amp;Fuel'!N64+'Prices&amp;Fuel'!O64)*'Prices&amp;Fuel'!H64</f>
        <v>13126.113</v>
      </c>
      <c r="BN64" s="9" t="n">
        <f aca="false">('Prices&amp;Fuel'!U64+'Prices&amp;Fuel'!V64+'Prices&amp;Fuel'!W64)*('Prices&amp;Fuel'!L64+'Prices&amp;Fuel'!O64)*'Prices&amp;Fuel'!H64</f>
        <v>102950.163</v>
      </c>
      <c r="BO64" s="9" t="n">
        <f aca="false">((BB64+BC64+BD64)*(1-'Prices&amp;Fuel'!G64))*('Prices&amp;Fuel'!M64+'Prices&amp;Fuel'!P64)*'Prices&amp;Fuel'!H64</f>
        <v>290010.418799995</v>
      </c>
      <c r="BP64" s="9" t="n">
        <f aca="false">((BD64+BC64+BB64+BE64+BF64+BG64)*BK64*'Prices&amp;Fuel'!H64)+BM64+BN64+BO64</f>
        <v>3873502.83875883</v>
      </c>
      <c r="BQ64" s="5" t="n">
        <f aca="false">BL64-BP64</f>
        <v>65246.1429892038</v>
      </c>
      <c r="CA64" s="5" t="n">
        <f aca="false">(AF64+AG64+AH64+AL64)*0.005*'Prices&amp;Fuel'!H64</f>
        <v>21038.5604113111</v>
      </c>
      <c r="CB64" s="5" t="n">
        <f aca="false">(B64+C64+D64+O64+P64+Q64+X64+Y64+BB64+BC64+BD64+BE64+BF64+BG64+BR64+BS64)*0.005*'Prices&amp;Fuel'!H64</f>
        <v>7392.54370179946</v>
      </c>
      <c r="CC64" s="7" t="n">
        <f aca="false">K64+T64+AB64+AY64+BL64+BX64</f>
        <v>28053172.9428791</v>
      </c>
      <c r="CD64" s="7" t="n">
        <f aca="false">L64+U64+AC64+AZ64+BP64+BY64+CA64+CB64</f>
        <v>27568171.4090673</v>
      </c>
      <c r="CE64" s="7" t="n">
        <f aca="false">CC64-CD64</f>
        <v>485001.533811823</v>
      </c>
      <c r="CF64" s="7" t="n">
        <f aca="false">'Index Price Deals'!AR64</f>
        <v>0</v>
      </c>
      <c r="CG64" s="7" t="n">
        <f aca="false">'Index Price Deals'!AS64</f>
        <v>0</v>
      </c>
      <c r="CH64" s="7" t="n">
        <f aca="false">'Index Price Deals'!AT64</f>
        <v>0</v>
      </c>
      <c r="CI64" s="7" t="n">
        <f aca="false">'Index Price Deals'!AU64</f>
        <v>0</v>
      </c>
      <c r="CJ64" s="7" t="n">
        <f aca="false">CC64+CF64</f>
        <v>28053172.9428791</v>
      </c>
      <c r="CK64" s="7" t="n">
        <f aca="false">CD64+CH64</f>
        <v>27568171.4090673</v>
      </c>
      <c r="CL64" s="7" t="n">
        <f aca="false">CE64+CI64</f>
        <v>485001.533811823</v>
      </c>
      <c r="CM64" s="69"/>
      <c r="CN64" s="7" t="n">
        <f aca="false">Transport!U64</f>
        <v>4.41954107373022E-009</v>
      </c>
      <c r="CO64" s="71"/>
      <c r="CQ64" s="7" t="n">
        <f aca="false">(((($B64+$C64+$D64+$O64+$P64+$Q64)*0.5)+BR64+BS64)*(0.005*'Prices&amp;Fuel'!$H64)+'Index Price Deals'!AV64)+(((BB64+BC64+BD64+BE64+BF64+BG64)*(1-'Prices&amp;Fuel'!F64))*0.005*0.5*'Prices&amp;Fuel'!H64)</f>
        <v>3572.74999999999</v>
      </c>
      <c r="CR64" s="7" t="n">
        <f aca="false">(((($B64+$C64+$D64+$O64+$P64+$Q64)*0.5)+X64+Y64)*(0.005*'Prices&amp;Fuel'!$H64)+CA64+'Index Price Deals'!AW64)+(((BB64+BC64+BD64+BE64+BF64+BG64)*(1-'Prices&amp;Fuel'!F64))*0.005*0.5*'Prices&amp;Fuel'!H64)</f>
        <v>24766.310411311</v>
      </c>
      <c r="CS64" s="11"/>
      <c r="CT64" s="7" t="n">
        <f aca="false">[2]Sheet1!$O77</f>
        <v>-14408.7513453151</v>
      </c>
      <c r="CU64" s="7" t="n">
        <f aca="false">'[3]Long Term Deals'!$Z63</f>
        <v>-34895.0629697055</v>
      </c>
      <c r="CV64" s="70" t="n">
        <f aca="false">CL64-CN64-CT64+CU64+CS64+CO64</f>
        <v>464515.222187428</v>
      </c>
      <c r="CW64" s="14" t="n">
        <f aca="false">((B64+C64+D64+O64+P64+Q64+X64+Y64+AF64+AG64+AH64+BB64+BC64+BD64+BE64+BF64+BG64+BR64+BS64)+('Index Price Deals'!B64+'Index Price Deals'!C64+'Index Price Deals'!D64+'Index Price Deals'!L64+'Index Price Deals'!M64+'Index Price Deals'!N64+'Index Price Deals'!AD64+'Index Price Deals'!AE64+'Index Price Deals'!AF64+'Index Price Deals'!AK64+'Index Price Deals'!AL64+'Index Price Deals'!AM64))*'Prices&amp;Fuel'!H64</f>
        <v>5686220.8226221</v>
      </c>
      <c r="CX64" s="12" t="n">
        <f aca="false">BQ64/(BB64+BC64+BD64+BE64+BF64+BG64)/'Prices&amp;Fuel'!H64</f>
        <v>0.0974683165238115</v>
      </c>
      <c r="CZ64" s="13" t="n">
        <f aca="false">(BA64-CT64+CU64)/(AF64+AG64+AH64)/'Prices&amp;Fuel'!H64</f>
        <v>0.0993357922642416</v>
      </c>
      <c r="DB64" s="1" t="n">
        <f aca="false">(O64+P64+Q64)*'Prices&amp;Fuel'!$H64</f>
        <v>778100</v>
      </c>
      <c r="DC64" s="1" t="n">
        <f aca="false">(X64+Y64)*'Prices&amp;Fuel'!$H64</f>
        <v>31000</v>
      </c>
      <c r="DE64" s="1" t="n">
        <v>132000</v>
      </c>
    </row>
    <row r="65" customFormat="false" ht="12.75" hidden="false" customHeight="false" outlineLevel="0" collapsed="false">
      <c r="A65" s="6" t="n">
        <f aca="false">+A64+365/12</f>
        <v>37574</v>
      </c>
      <c r="O65" s="7" t="n">
        <v>9036</v>
      </c>
      <c r="P65" s="7" t="n">
        <v>10794</v>
      </c>
      <c r="Q65" s="7" t="n">
        <v>5270</v>
      </c>
      <c r="R65" s="8" t="n">
        <f aca="false">R64</f>
        <v>2.3832</v>
      </c>
      <c r="S65" s="8" t="n">
        <f aca="false">S64</f>
        <v>2.3715</v>
      </c>
      <c r="T65" s="7" t="n">
        <f aca="false">(($O65*R65)+($P65*R65)+($Q65*R65))*'Prices&amp;Fuel'!$H65</f>
        <v>1794549.6</v>
      </c>
      <c r="U65" s="7" t="n">
        <f aca="false">(($O65*S65)+($P65*S65)+($Q65*S65))*'Prices&amp;Fuel'!$H65</f>
        <v>1785739.5</v>
      </c>
      <c r="V65" s="14" t="n">
        <f aca="false">T65-U65</f>
        <v>8810.10000000009</v>
      </c>
      <c r="X65" s="7"/>
      <c r="AD65" s="7"/>
      <c r="AF65" s="7" t="n">
        <f aca="false">(32000/(1-'Prices&amp;Fuel'!F65))+(25000/(1-'Prices&amp;Fuel'!G65))-AI65</f>
        <v>58611.8251928021</v>
      </c>
      <c r="AG65" s="7" t="n">
        <v>0</v>
      </c>
      <c r="AH65" s="7" t="n">
        <f aca="false">(75000/(1-'Prices&amp;Fuel'!G65))-AK65</f>
        <v>77120.822622108</v>
      </c>
      <c r="AI65" s="7"/>
      <c r="AJ65" s="7"/>
      <c r="AK65" s="7"/>
      <c r="AL65" s="11" t="n">
        <f aca="false">ROUND((132000/(1-'Prices&amp;Fuel'!F65))-AF65-AG65-AH65,0)</f>
        <v>0</v>
      </c>
      <c r="AM65" s="7" t="n">
        <f aca="false">ROUND(IF(AF65&lt;AP65,0,(AF65-AP65-AI65)/2),0)</f>
        <v>0</v>
      </c>
      <c r="AO65" s="7" t="n">
        <f aca="false">ROUND((75000/(1-'Prices&amp;Fuel'!G65)-AV65-AK65)/2,0)</f>
        <v>38560</v>
      </c>
      <c r="AP65" s="7" t="n">
        <f aca="false">IF(80000&gt;AF65,AF65,80000)</f>
        <v>58611.8251928021</v>
      </c>
      <c r="AR65" s="7" t="n">
        <f aca="false">IF(AP65&gt;AF65,0,AF65-AM65-AP65)</f>
        <v>0</v>
      </c>
      <c r="AT65" s="14" t="n">
        <f aca="false">AH65-AO65-AV65</f>
        <v>38560.822622108</v>
      </c>
      <c r="AU65" s="14" t="n">
        <f aca="false">AL65*AX65*'Prices&amp;Fuel'!H65</f>
        <v>0</v>
      </c>
      <c r="AW65" s="68" t="n">
        <f aca="false">AW64</f>
        <v>0.09</v>
      </c>
      <c r="AX65" s="68" t="n">
        <f aca="false">AX64</f>
        <v>0.025</v>
      </c>
      <c r="AY65" s="5" t="n">
        <f aca="false">('Prices&amp;Fuel'!H65*('Prices&amp;Fuel'!B65+AW65)*'Long Term Deals'!AF65)+('Prices&amp;Fuel'!H65*('Prices&amp;Fuel'!C65+'Long Term Deals'!AW65)*'Long Term Deals'!AG65)+(AH65*('Prices&amp;Fuel'!C65+AW65)*'Prices&amp;Fuel'!H65)+(AW65*AL65*'Prices&amp;Fuel'!H65)</f>
        <v>14431465.2956298</v>
      </c>
      <c r="AZ65" s="5" t="n">
        <f aca="false">(AP65*'Prices&amp;Fuel'!H65*'Prices&amp;Fuel'!B65)+(AQ65*'Prices&amp;Fuel'!C65*'Prices&amp;Fuel'!H65)+((AM65+AR65)*('Prices&amp;Fuel'!B65+'Long Term Deals'!AX65)*'Prices&amp;Fuel'!H65)+((AN65+AS65)*('Prices&amp;Fuel'!C65+'Long Term Deals'!AX65)*'Prices&amp;Fuel'!H65)+((AO65+AT65)*('Prices&amp;Fuel'!D65+'Long Term Deals'!AX65)*'Prices&amp;Fuel'!H65)+(AV65*'Prices&amp;Fuel'!H65*'Prices&amp;Fuel'!Q65)+AU65</f>
        <v>14007146.529563</v>
      </c>
      <c r="BA65" s="5" t="n">
        <f aca="false">AY65-AZ65</f>
        <v>424318.766066838</v>
      </c>
      <c r="BB65" s="5" t="n">
        <f aca="false">IF('FP Corp'!T65-((BE65+BF65+BG65)*(1-'Prices&amp;Fuel'!F65))&lt;'Prices&amp;Fuel'!R65,('FP Corp'!T65-(BE65+BF65+BG65)*(1-'Prices&amp;Fuel'!F65)),'Prices&amp;Fuel'!R65)/(1-'Prices&amp;Fuel'!F65)</f>
        <v>4325.96401028278</v>
      </c>
      <c r="BC65" s="9"/>
      <c r="BD65" s="9" t="n">
        <f aca="false">ROUND(IF('FP Corp'!T65/(1-'Prices&amp;Fuel'!F65)-BE65-BF65-BG65-BB65&gt;'Prices&amp;Fuel'!T65,'Prices&amp;Fuel'!T65,'FP Corp'!T65/(1-'Prices&amp;Fuel'!F65)-BE65-BF65-BG65-BB65),9)</f>
        <v>0</v>
      </c>
      <c r="BE65" s="9" t="n">
        <f aca="false">'Prices&amp;Fuel'!U65/(1-'Prices&amp;Fuel'!F65)</f>
        <v>2635.47557840617</v>
      </c>
      <c r="BF65" s="9" t="n">
        <f aca="false">('Prices&amp;Fuel'!V65+'Prices&amp;Fuel'!X65)/(1-'Prices&amp;Fuel'!F65)</f>
        <v>3645.2442159383</v>
      </c>
      <c r="BG65" s="9" t="n">
        <f aca="false">'Prices&amp;Fuel'!W65/(1-'Prices&amp;Fuel'!F65)</f>
        <v>1732.64781491003</v>
      </c>
      <c r="BH65" s="10" t="n">
        <f aca="false">('Prices&amp;Fuel'!C65+'Prices&amp;Fuel'!D65)/2-0.05+('Prices&amp;Fuel'!M65+'Prices&amp;Fuel'!P65)*(1-'Prices&amp;Fuel'!F65)</f>
        <v>4.15392225</v>
      </c>
      <c r="BI65" s="9" t="n">
        <f aca="false">IF(AP65=80000,0,BB65)</f>
        <v>4325.96401028278</v>
      </c>
      <c r="BJ65" s="9"/>
      <c r="BK65" s="10" t="n">
        <f aca="false">(((BB65+BE65)*('Prices&amp;Fuel'!B65+0.025))+(('Prices&amp;Fuel'!D65+0.025)*(BD65+BG65))+(('Prices&amp;Fuel'!C65+0.025)*(BC65+BF65))-(BI65+BJ65)*0.025)/(BB65+BC65+BD65+BE65+BF65+BG65)</f>
        <v>3.45536458333333</v>
      </c>
      <c r="BL65" s="9" t="n">
        <f aca="false">(BB65+BC65+BD65+BE65+BF65+BG65)*BH65*'Prices&amp;Fuel'!H65</f>
        <v>1537698.72493573</v>
      </c>
      <c r="BM65" s="9" t="n">
        <f aca="false">'Prices&amp;Fuel'!X65*('Prices&amp;Fuel'!N65+'Prices&amp;Fuel'!O65)*'Prices&amp;Fuel'!H65</f>
        <v>8667.27</v>
      </c>
      <c r="BN65" s="9" t="n">
        <f aca="false">('Prices&amp;Fuel'!U65+'Prices&amp;Fuel'!V65+'Prices&amp;Fuel'!W65)*('Prices&amp;Fuel'!L65+'Prices&amp;Fuel'!O65)*'Prices&amp;Fuel'!H65</f>
        <v>90225.9</v>
      </c>
      <c r="BO65" s="9" t="n">
        <f aca="false">((BB65+BC65+BD65)*(1-'Prices&amp;Fuel'!G65))*('Prices&amp;Fuel'!M65+'Prices&amp;Fuel'!P65)*'Prices&amp;Fuel'!H65</f>
        <v>97194.321</v>
      </c>
      <c r="BP65" s="9" t="n">
        <f aca="false">((BD65+BC65+BB65+BE65+BF65+BG65)*BK65*'Prices&amp;Fuel'!H65)+BM65+BN65+BO65</f>
        <v>1475194.17480463</v>
      </c>
      <c r="BQ65" s="5" t="n">
        <f aca="false">BL65-BP65</f>
        <v>62504.5501311056</v>
      </c>
      <c r="CA65" s="5" t="n">
        <f aca="false">(AF65+AG65+AH65+AL65)*0.005*'Prices&amp;Fuel'!H65</f>
        <v>20359.8971722365</v>
      </c>
      <c r="CB65" s="5" t="n">
        <f aca="false">(B65+C65+D65+O65+P65+Q65+X65+Y65+BB65+BC65+BD65+BE65+BF65+BG65+BR65+BS65)*0.005*'Prices&amp;Fuel'!H65</f>
        <v>5615.89974293059</v>
      </c>
      <c r="CC65" s="7" t="n">
        <f aca="false">K65+T65+AB65+AY65+BL65+BX65</f>
        <v>17763713.6205656</v>
      </c>
      <c r="CD65" s="7" t="n">
        <f aca="false">L65+U65+AC65+AZ65+BP65+BY65+CA65+CB65</f>
        <v>17294056.0012828</v>
      </c>
      <c r="CE65" s="7" t="n">
        <f aca="false">CC65-CD65</f>
        <v>469657.619282778</v>
      </c>
      <c r="CF65" s="7" t="n">
        <f aca="false">'Index Price Deals'!AR65</f>
        <v>0</v>
      </c>
      <c r="CG65" s="7" t="n">
        <f aca="false">'Index Price Deals'!AS65</f>
        <v>0</v>
      </c>
      <c r="CH65" s="7" t="n">
        <f aca="false">'Index Price Deals'!AT65</f>
        <v>0</v>
      </c>
      <c r="CI65" s="7" t="n">
        <f aca="false">'Index Price Deals'!AU65</f>
        <v>0</v>
      </c>
      <c r="CJ65" s="7" t="n">
        <f aca="false">CC65+CF65</f>
        <v>17763713.6205656</v>
      </c>
      <c r="CK65" s="7" t="n">
        <f aca="false">CD65+CH65</f>
        <v>17294056.0012828</v>
      </c>
      <c r="CL65" s="7" t="n">
        <f aca="false">CE65+CI65</f>
        <v>469657.619282778</v>
      </c>
      <c r="CM65" s="69"/>
      <c r="CN65" s="7" t="n">
        <f aca="false">Transport!U65</f>
        <v>0</v>
      </c>
      <c r="CO65" s="71"/>
      <c r="CQ65" s="7" t="n">
        <f aca="false">(((($B65+$C65+$D65+$O65+$P65+$Q65)*0.5)+BR65+BS65)*(0.005*'Prices&amp;Fuel'!$H65)+'Index Price Deals'!AV65)+(((BB65+BC65+BD65+BE65+BF65+BG65)*(1-'Prices&amp;Fuel'!F65))*0.005*0.5*'Prices&amp;Fuel'!H65)</f>
        <v>2782.5</v>
      </c>
      <c r="CR65" s="7" t="n">
        <f aca="false">(((($B65+$C65+$D65+$O65+$P65+$Q65)*0.5)+X65+Y65)*(0.005*'Prices&amp;Fuel'!$H65)+CA65+'Index Price Deals'!AW65)+(((BB65+BC65+BD65+BE65+BF65+BG65)*(1-'Prices&amp;Fuel'!F65))*0.005*0.5*'Prices&amp;Fuel'!H65)</f>
        <v>23142.3971722365</v>
      </c>
      <c r="CS65" s="11"/>
      <c r="CT65" s="7" t="n">
        <f aca="false">[2]Sheet1!$O78</f>
        <v>-13943.9529148211</v>
      </c>
      <c r="CU65" s="7" t="n">
        <f aca="false">'[3]Long Term Deals'!$Z64</f>
        <v>-33769.4157771343</v>
      </c>
      <c r="CV65" s="70" t="n">
        <f aca="false">CL65-CN65-CT65+CU65+CS65+CO65</f>
        <v>449832.156420465</v>
      </c>
      <c r="CW65" s="14" t="n">
        <f aca="false">((B65+C65+D65+O65+P65+Q65+X65+Y65+AF65+AG65+AH65+BB65+BC65+BD65+BE65+BF65+BG65+BR65+BS65)+('Index Price Deals'!B65+'Index Price Deals'!C65+'Index Price Deals'!D65+'Index Price Deals'!L65+'Index Price Deals'!M65+'Index Price Deals'!N65+'Index Price Deals'!AD65+'Index Price Deals'!AE65+'Index Price Deals'!AF65+'Index Price Deals'!AK65+'Index Price Deals'!AL65+'Index Price Deals'!AM65))*'Prices&amp;Fuel'!H65</f>
        <v>5195159.38303342</v>
      </c>
      <c r="CX65" s="12" t="n">
        <f aca="false">BQ65/(BB65+BC65+BD65+BE65+BF65+BG65)/'Prices&amp;Fuel'!H65</f>
        <v>0.168849097229167</v>
      </c>
      <c r="CZ65" s="13" t="n">
        <f aca="false">(BA65-CT65+CU65)/(AF65+AG65+AH65)/'Prices&amp;Fuel'!H65</f>
        <v>0.0993357922642425</v>
      </c>
      <c r="DB65" s="1" t="n">
        <f aca="false">(O65+P65+Q65)*'Prices&amp;Fuel'!$H65</f>
        <v>753000</v>
      </c>
      <c r="DE65" s="1" t="n">
        <v>132000</v>
      </c>
    </row>
    <row r="66" customFormat="false" ht="12.75" hidden="false" customHeight="false" outlineLevel="0" collapsed="false">
      <c r="A66" s="6" t="n">
        <f aca="false">+A65+365/12</f>
        <v>37604.4166666667</v>
      </c>
      <c r="O66" s="7" t="n">
        <v>9036</v>
      </c>
      <c r="P66" s="7" t="n">
        <v>10794</v>
      </c>
      <c r="Q66" s="7" t="n">
        <v>5270</v>
      </c>
      <c r="R66" s="8" t="n">
        <f aca="false">R65</f>
        <v>2.3832</v>
      </c>
      <c r="S66" s="8" t="n">
        <f aca="false">S65</f>
        <v>2.3715</v>
      </c>
      <c r="T66" s="7" t="n">
        <f aca="false">(($O66*R66)+($P66*R66)+($Q66*R66))*'Prices&amp;Fuel'!$H66</f>
        <v>1854367.92</v>
      </c>
      <c r="U66" s="7" t="n">
        <f aca="false">(($O66*S66)+($P66*S66)+($Q66*S66))*'Prices&amp;Fuel'!$H66</f>
        <v>1845264.15</v>
      </c>
      <c r="V66" s="14" t="n">
        <f aca="false">T66-U66</f>
        <v>9103.76999999979</v>
      </c>
      <c r="X66" s="7"/>
      <c r="AF66" s="7" t="n">
        <f aca="false">(32000/(1-'Prices&amp;Fuel'!F66))+(25000/(1-'Prices&amp;Fuel'!G66))-AI66</f>
        <v>58611.8251928021</v>
      </c>
      <c r="AG66" s="7" t="n">
        <v>0</v>
      </c>
      <c r="AH66" s="7" t="n">
        <f aca="false">(75000/(1-'Prices&amp;Fuel'!G66))-AK66</f>
        <v>77120.822622108</v>
      </c>
      <c r="AI66" s="7"/>
      <c r="AJ66" s="7"/>
      <c r="AK66" s="7"/>
      <c r="AL66" s="11" t="n">
        <f aca="false">ROUND((132000/(1-'Prices&amp;Fuel'!F66))-AF66-AG66-AH66,0)</f>
        <v>0</v>
      </c>
      <c r="AM66" s="7" t="n">
        <f aca="false">ROUND(IF(AF66&lt;AP66,0,(AF66-AP66-AI66)/2),0)</f>
        <v>0</v>
      </c>
      <c r="AO66" s="7" t="n">
        <f aca="false">ROUND((75000/(1-'Prices&amp;Fuel'!G66)-AV66-AK66)/2,0)</f>
        <v>38560</v>
      </c>
      <c r="AP66" s="7" t="n">
        <f aca="false">IF(80000&gt;AF66,AF66,80000)</f>
        <v>58611.8251928021</v>
      </c>
      <c r="AR66" s="7" t="n">
        <f aca="false">IF(AP66&gt;AF66,0,AF66-AM66-AP66)</f>
        <v>0</v>
      </c>
      <c r="AT66" s="14" t="n">
        <f aca="false">AH66-AO66-AV66</f>
        <v>38560.822622108</v>
      </c>
      <c r="AU66" s="14" t="n">
        <f aca="false">AL66*AX66*'Prices&amp;Fuel'!H66</f>
        <v>0</v>
      </c>
      <c r="AW66" s="68" t="n">
        <f aca="false">AW65</f>
        <v>0.09</v>
      </c>
      <c r="AX66" s="68" t="n">
        <f aca="false">AX65</f>
        <v>0.025</v>
      </c>
      <c r="AY66" s="5" t="n">
        <f aca="false">('Prices&amp;Fuel'!H66*('Prices&amp;Fuel'!B66+AW66)*'Long Term Deals'!AF66)+('Prices&amp;Fuel'!H66*('Prices&amp;Fuel'!C66+'Long Term Deals'!AW66)*'Long Term Deals'!AG66)+(AH66*('Prices&amp;Fuel'!C66+AW66)*'Prices&amp;Fuel'!H66)+(AW66*AL66*'Prices&amp;Fuel'!H66)</f>
        <v>11209727.5064267</v>
      </c>
      <c r="AZ66" s="5" t="n">
        <f aca="false">(AP66*'Prices&amp;Fuel'!H66*'Prices&amp;Fuel'!B66)+(AQ66*'Prices&amp;Fuel'!C66*'Prices&amp;Fuel'!H66)+((AM66+AR66)*('Prices&amp;Fuel'!B66+'Long Term Deals'!AX66)*'Prices&amp;Fuel'!H66)+((AN66+AS66)*('Prices&amp;Fuel'!C66+'Long Term Deals'!AX66)*'Prices&amp;Fuel'!H66)+((AO66+AT66)*('Prices&amp;Fuel'!D66+'Long Term Deals'!AX66)*'Prices&amp;Fuel'!H66)+(AV66*'Prices&amp;Fuel'!H66*'Prices&amp;Fuel'!Q66)+AU66</f>
        <v>10771264.781491</v>
      </c>
      <c r="BA66" s="5" t="n">
        <f aca="false">AY66-AZ66</f>
        <v>438462.724935733</v>
      </c>
      <c r="BB66" s="5" t="n">
        <f aca="false">IF('FP Corp'!T66-((BE66+BF66+BG66)*(1-'Prices&amp;Fuel'!F66))&lt;'Prices&amp;Fuel'!R66,('FP Corp'!T66-(BE66+BF66+BG66)*(1-'Prices&amp;Fuel'!F66)),'Prices&amp;Fuel'!R66)/(1-'Prices&amp;Fuel'!F66)</f>
        <v>4325.96401028278</v>
      </c>
      <c r="BC66" s="9"/>
      <c r="BD66" s="9" t="n">
        <f aca="false">ROUND(IF('FP Corp'!T66/(1-'Prices&amp;Fuel'!F66)-BE66-BF66-BG66-BB66&gt;'Prices&amp;Fuel'!T66,'Prices&amp;Fuel'!T66,'FP Corp'!T66/(1-'Prices&amp;Fuel'!F66)-BE66-BF66-BG66-BB66),9)</f>
        <v>0</v>
      </c>
      <c r="BE66" s="9" t="n">
        <f aca="false">'Prices&amp;Fuel'!U66/(1-'Prices&amp;Fuel'!F66)</f>
        <v>2635.47557840617</v>
      </c>
      <c r="BF66" s="9" t="n">
        <f aca="false">('Prices&amp;Fuel'!V66+'Prices&amp;Fuel'!X66)/(1-'Prices&amp;Fuel'!F66)</f>
        <v>3645.2442159383</v>
      </c>
      <c r="BG66" s="9" t="n">
        <f aca="false">'Prices&amp;Fuel'!W66/(1-'Prices&amp;Fuel'!F66)</f>
        <v>1732.64781491003</v>
      </c>
      <c r="BH66" s="10" t="n">
        <f aca="false">('Prices&amp;Fuel'!C66+'Prices&amp;Fuel'!D66)/2-0.05+('Prices&amp;Fuel'!M66+'Prices&amp;Fuel'!P66)*(1-'Prices&amp;Fuel'!F66)</f>
        <v>3.27392225</v>
      </c>
      <c r="BI66" s="9" t="n">
        <f aca="false">IF(AP66=80000,0,BB66)</f>
        <v>4325.96401028278</v>
      </c>
      <c r="BJ66" s="9"/>
      <c r="BK66" s="10" t="n">
        <f aca="false">(((BB66+BE66)*('Prices&amp;Fuel'!B66+0.025))+(('Prices&amp;Fuel'!D66+0.025)*(BD66+BG66))+(('Prices&amp;Fuel'!C66+0.025)*(BC66+BF66))-(BI66+BJ66)*0.025)/(BB66+BC66+BD66+BE66+BF66+BG66)</f>
        <v>2.57536458333333</v>
      </c>
      <c r="BL66" s="9" t="n">
        <f aca="false">(BB66+BC66+BD66+BE66+BF66+BG66)*BH66*'Prices&amp;Fuel'!H66</f>
        <v>1252338.38251928</v>
      </c>
      <c r="BM66" s="9" t="n">
        <f aca="false">'Prices&amp;Fuel'!X66*('Prices&amp;Fuel'!N66+'Prices&amp;Fuel'!O66)*'Prices&amp;Fuel'!H66</f>
        <v>8956.179</v>
      </c>
      <c r="BN66" s="9" t="n">
        <f aca="false">('Prices&amp;Fuel'!U66+'Prices&amp;Fuel'!V66+'Prices&amp;Fuel'!W66)*('Prices&amp;Fuel'!L66+'Prices&amp;Fuel'!O66)*'Prices&amp;Fuel'!H66</f>
        <v>93233.43</v>
      </c>
      <c r="BO66" s="9" t="n">
        <f aca="false">((BB66+BC66+BD66)*(1-'Prices&amp;Fuel'!G66))*('Prices&amp;Fuel'!M66+'Prices&amp;Fuel'!P66)*'Prices&amp;Fuel'!H66</f>
        <v>100434.1317</v>
      </c>
      <c r="BP66" s="9" t="n">
        <f aca="false">((BD66+BC66+BB66+BE66+BF66+BG66)*BK66*'Prices&amp;Fuel'!H66)+BM66+BN66+BO66</f>
        <v>1187750.3473838</v>
      </c>
      <c r="BQ66" s="5" t="n">
        <f aca="false">BL66-BP66</f>
        <v>64588.0351354755</v>
      </c>
      <c r="CA66" s="5" t="n">
        <f aca="false">(AF66+AG66+AH66+AL66)*0.005*'Prices&amp;Fuel'!H66</f>
        <v>21038.5604113111</v>
      </c>
      <c r="CB66" s="5" t="n">
        <f aca="false">(B66+C66+D66+O66+P66+Q66+X66+Y66+BB66+BC66+BD66+BE66+BF66+BG66+BR66+BS66)*0.005*'Prices&amp;Fuel'!H66</f>
        <v>5803.09640102828</v>
      </c>
      <c r="CC66" s="7" t="n">
        <f aca="false">K66+T66+AB66+AY66+BL66+BX66</f>
        <v>14316433.808946</v>
      </c>
      <c r="CD66" s="7" t="n">
        <f aca="false">L66+U66+AC66+AZ66+BP66+BY66+CA66+CB66</f>
        <v>13831120.9356871</v>
      </c>
      <c r="CE66" s="7" t="n">
        <f aca="false">CC66-CD66</f>
        <v>485312.873258868</v>
      </c>
      <c r="CF66" s="7" t="n">
        <f aca="false">'Index Price Deals'!AR66</f>
        <v>0</v>
      </c>
      <c r="CG66" s="7" t="n">
        <f aca="false">'Index Price Deals'!AS66</f>
        <v>0</v>
      </c>
      <c r="CH66" s="7" t="n">
        <f aca="false">'Index Price Deals'!AT66</f>
        <v>0</v>
      </c>
      <c r="CI66" s="7" t="n">
        <f aca="false">'Index Price Deals'!AU66</f>
        <v>0</v>
      </c>
      <c r="CJ66" s="7" t="n">
        <f aca="false">CC66+CF66</f>
        <v>14316433.808946</v>
      </c>
      <c r="CK66" s="7" t="n">
        <f aca="false">CD66+CH66</f>
        <v>13831120.9356871</v>
      </c>
      <c r="CL66" s="7" t="n">
        <f aca="false">CE66+CI66</f>
        <v>485312.873258868</v>
      </c>
      <c r="CM66" s="7" t="n">
        <f aca="false">SUM(CL55:CL66)</f>
        <v>6484685.42660231</v>
      </c>
      <c r="CN66" s="7" t="n">
        <f aca="false">Transport!U66</f>
        <v>0</v>
      </c>
      <c r="CO66" s="71"/>
      <c r="CQ66" s="7" t="n">
        <f aca="false">(((($B66+$C66+$D66+$O66+$P66+$Q66)*0.5)+BR66+BS66)*(0.005*'Prices&amp;Fuel'!$H66)+'Index Price Deals'!AV66)+(((BB66+BC66+BD66+BE66+BF66+BG66)*(1-'Prices&amp;Fuel'!F66))*0.005*0.5*'Prices&amp;Fuel'!H66)</f>
        <v>2875.25</v>
      </c>
      <c r="CR66" s="7" t="n">
        <f aca="false">(((($B66+$C66+$D66+$O66+$P66+$Q66)*0.5)+X66+Y66)*(0.005*'Prices&amp;Fuel'!$H66)+CA66+'Index Price Deals'!AW66)+(((BB66+BC66+BD66+BE66+BF66+BG66)*(1-'Prices&amp;Fuel'!F66))*0.005*0.5*'Prices&amp;Fuel'!H66)</f>
        <v>23913.8104113111</v>
      </c>
      <c r="CS66" s="11"/>
      <c r="CT66" s="7" t="n">
        <f aca="false">[2]Sheet1!$O79</f>
        <v>-14408.7513453151</v>
      </c>
      <c r="CU66" s="7" t="n">
        <f aca="false">'[3]Long Term Deals'!$Z65</f>
        <v>-34895.0629697055</v>
      </c>
      <c r="CV66" s="70" t="n">
        <f aca="false">CL66-CN66-CT66+CU66+CS66+CO66</f>
        <v>464826.561634478</v>
      </c>
      <c r="CW66" s="14" t="n">
        <f aca="false">((B66+C66+D66+O66+P66+Q66+X66+Y66+AF66+AG66+AH66+BB66+BC66+BD66+BE66+BF66+BG66+BR66+BS66)+('Index Price Deals'!B66+'Index Price Deals'!C66+'Index Price Deals'!D66+'Index Price Deals'!L66+'Index Price Deals'!M66+'Index Price Deals'!N66+'Index Price Deals'!AD66+'Index Price Deals'!AE66+'Index Price Deals'!AF66+'Index Price Deals'!AK66+'Index Price Deals'!AL66+'Index Price Deals'!AM66))*'Prices&amp;Fuel'!H66</f>
        <v>5368331.36246787</v>
      </c>
      <c r="CX66" s="12" t="n">
        <f aca="false">BQ66/(BB66+BC66+BD66+BE66+BF66+BG66)/'Prices&amp;Fuel'!H66</f>
        <v>0.168849097229166</v>
      </c>
      <c r="CZ66" s="13" t="n">
        <f aca="false">(BA66-CT66+CU66)/(AF66+AG66+AH66)/'Prices&amp;Fuel'!H66</f>
        <v>0.0993357922642425</v>
      </c>
      <c r="DB66" s="1" t="n">
        <f aca="false">(O66+P66+Q66)*'Prices&amp;Fuel'!$H66</f>
        <v>778100</v>
      </c>
      <c r="DE66" s="1" t="n">
        <v>132000</v>
      </c>
    </row>
    <row r="67" customFormat="false" ht="12.75" hidden="false" customHeight="false" outlineLevel="0" collapsed="false">
      <c r="A67" s="6" t="n">
        <f aca="false">+A66+365/12</f>
        <v>37634.8333333333</v>
      </c>
      <c r="O67" s="7" t="n">
        <v>9036</v>
      </c>
      <c r="P67" s="7" t="n">
        <v>10794</v>
      </c>
      <c r="Q67" s="7" t="n">
        <v>5270</v>
      </c>
      <c r="R67" s="8" t="n">
        <f aca="false">R66</f>
        <v>2.3832</v>
      </c>
      <c r="S67" s="8" t="n">
        <f aca="false">S66</f>
        <v>2.3715</v>
      </c>
      <c r="T67" s="7" t="n">
        <f aca="false">(($O67*R67)+($P67*R67)+($Q67*R67))*'Prices&amp;Fuel'!$H67</f>
        <v>1854367.92</v>
      </c>
      <c r="U67" s="7" t="n">
        <f aca="false">(($O67*S67)+($P67*S67)+($Q67*S67))*'Prices&amp;Fuel'!$H67</f>
        <v>1845264.15</v>
      </c>
      <c r="V67" s="14" t="n">
        <f aca="false">T67-U67</f>
        <v>9103.76999999979</v>
      </c>
      <c r="X67" s="7"/>
      <c r="AF67" s="7" t="n">
        <f aca="false">(32000/(1-'Prices&amp;Fuel'!F67))+(25000/(1-'Prices&amp;Fuel'!G67))-AI67</f>
        <v>58611.8251928021</v>
      </c>
      <c r="AG67" s="7" t="n">
        <v>0</v>
      </c>
      <c r="AH67" s="7" t="n">
        <f aca="false">(75000/(1-'Prices&amp;Fuel'!G67))-AK67</f>
        <v>77120.822622108</v>
      </c>
      <c r="AI67" s="7"/>
      <c r="AJ67" s="7"/>
      <c r="AK67" s="7"/>
      <c r="AL67" s="11" t="n">
        <f aca="false">ROUND((132000/(1-'Prices&amp;Fuel'!F67))-AF67-AG67-AH67,0)</f>
        <v>0</v>
      </c>
      <c r="AM67" s="7" t="n">
        <f aca="false">ROUND(IF(AF67&lt;AP67,0,(AF67-AP67-AI67)/2),0)</f>
        <v>0</v>
      </c>
      <c r="AO67" s="7" t="n">
        <f aca="false">ROUND((75000/(1-'Prices&amp;Fuel'!G67)-AV67-AK67)/2,0)</f>
        <v>38560</v>
      </c>
      <c r="AP67" s="7" t="n">
        <f aca="false">IF(80000&gt;AF67,AF67,80000)</f>
        <v>58611.8251928021</v>
      </c>
      <c r="AR67" s="7" t="n">
        <f aca="false">IF(AP67&gt;AF67,0,AF67-AM67-AP67)</f>
        <v>0</v>
      </c>
      <c r="AT67" s="14" t="n">
        <f aca="false">AH67-AO67-AV67</f>
        <v>38560.822622108</v>
      </c>
      <c r="AU67" s="14" t="n">
        <f aca="false">AL67*AX67*'Prices&amp;Fuel'!H67</f>
        <v>0</v>
      </c>
      <c r="AW67" s="68" t="n">
        <v>0.08</v>
      </c>
      <c r="AX67" s="68" t="n">
        <f aca="false">AX66</f>
        <v>0.025</v>
      </c>
      <c r="AY67" s="5" t="n">
        <f aca="false">('Prices&amp;Fuel'!H67*('Prices&amp;Fuel'!B67+AW67)*'Long Term Deals'!AF67)+('Prices&amp;Fuel'!H67*('Prices&amp;Fuel'!C67+'Long Term Deals'!AW67)*'Long Term Deals'!AG67)+(AH67*('Prices&amp;Fuel'!C67+AW67)*'Prices&amp;Fuel'!H67)+(AW67*AL67*'Prices&amp;Fuel'!H67)</f>
        <v>9874620.46272494</v>
      </c>
      <c r="AZ67" s="5" t="n">
        <f aca="false">(AP67*'Prices&amp;Fuel'!H67*'Prices&amp;Fuel'!B67)+(AQ67*'Prices&amp;Fuel'!C67*'Prices&amp;Fuel'!H67)+((AM67+AR67)*('Prices&amp;Fuel'!B67+'Long Term Deals'!AX67)*'Prices&amp;Fuel'!H67)+((AN67+AS67)*('Prices&amp;Fuel'!C67+'Long Term Deals'!AX67)*'Prices&amp;Fuel'!H67)+((AO67+AT67)*('Prices&amp;Fuel'!D67+'Long Term Deals'!AX67)*'Prices&amp;Fuel'!H67)+(AV67*'Prices&amp;Fuel'!H67*'Prices&amp;Fuel'!Q67)+AU67</f>
        <v>9478234.85861183</v>
      </c>
      <c r="BA67" s="5" t="n">
        <f aca="false">AY67-AZ67</f>
        <v>396385.604113109</v>
      </c>
      <c r="BB67" s="5" t="n">
        <f aca="false">IF('FP Corp'!T67-((BE67+BF67+BG67)*(1-'Prices&amp;Fuel'!F67))&lt;'Prices&amp;Fuel'!R67,('FP Corp'!T67-(BE67+BF67+BG67)*(1-'Prices&amp;Fuel'!F67)),'Prices&amp;Fuel'!R67)/(1-'Prices&amp;Fuel'!F67)</f>
        <v>4325.96401028278</v>
      </c>
      <c r="BC67" s="9"/>
      <c r="BD67" s="9" t="n">
        <f aca="false">ROUND(IF('FP Corp'!T67/(1-'Prices&amp;Fuel'!F67)-BE67-BF67-BG67-BB67&gt;'Prices&amp;Fuel'!T67,'Prices&amp;Fuel'!T67,'FP Corp'!T67/(1-'Prices&amp;Fuel'!F67)-BE67-BF67-BG67-BB67),9)</f>
        <v>0</v>
      </c>
      <c r="BE67" s="9" t="n">
        <f aca="false">'Prices&amp;Fuel'!U67/(1-'Prices&amp;Fuel'!F67)</f>
        <v>2635.47557840617</v>
      </c>
      <c r="BF67" s="9" t="n">
        <f aca="false">('Prices&amp;Fuel'!V67+'Prices&amp;Fuel'!X67)/(1-'Prices&amp;Fuel'!F67)</f>
        <v>3645.2442159383</v>
      </c>
      <c r="BG67" s="9" t="n">
        <f aca="false">'Prices&amp;Fuel'!W67/(1-'Prices&amp;Fuel'!F67)</f>
        <v>1732.64781491003</v>
      </c>
      <c r="BH67" s="10" t="n">
        <f aca="false">('Prices&amp;Fuel'!C67+'Prices&amp;Fuel'!D67)/2-0.05+('Prices&amp;Fuel'!M67+'Prices&amp;Fuel'!P67)*(1-'Prices&amp;Fuel'!F67)</f>
        <v>2.96662225</v>
      </c>
      <c r="BI67" s="9" t="n">
        <f aca="false">IF(AP67=80000,0,BB67)</f>
        <v>4325.96401028278</v>
      </c>
      <c r="BJ67" s="9"/>
      <c r="BK67" s="10" t="n">
        <f aca="false">(((BB67+BE67)*('Prices&amp;Fuel'!B67+0.025))+(('Prices&amp;Fuel'!D67+0.025)*(BD67+BG67))+(('Prices&amp;Fuel'!C67+0.025)*(BC67+BF67))-(BI67+BJ67)*0.025)/(BB67+BC67+BD67+BE67+BF67+BG67)</f>
        <v>2.26806458333333</v>
      </c>
      <c r="BL67" s="9" t="n">
        <f aca="false">(BB67+BC67+BD67+BE67+BF67+BG67)*BH67*'Prices&amp;Fuel'!H67</f>
        <v>1134790.20771208</v>
      </c>
      <c r="BM67" s="9" t="n">
        <f aca="false">'Prices&amp;Fuel'!X67*('Prices&amp;Fuel'!N67+'Prices&amp;Fuel'!O67)*'Prices&amp;Fuel'!H67</f>
        <v>8908.41393487597</v>
      </c>
      <c r="BN67" s="9" t="n">
        <f aca="false">('Prices&amp;Fuel'!U67+'Prices&amp;Fuel'!V67+'Prices&amp;Fuel'!W67)*('Prices&amp;Fuel'!L67+'Prices&amp;Fuel'!O67)*'Prices&amp;Fuel'!H67</f>
        <v>92736.1977700852</v>
      </c>
      <c r="BO67" s="9" t="n">
        <f aca="false">((BB67+BC67+BD67)*(1-'Prices&amp;Fuel'!G67))*('Prices&amp;Fuel'!M67+'Prices&amp;Fuel'!P67)*'Prices&amp;Fuel'!H67</f>
        <v>100434.1317</v>
      </c>
      <c r="BP67" s="9" t="n">
        <f aca="false">((BD67+BC67+BB67+BE67+BF67+BG67)*BK67*'Prices&amp;Fuel'!H67)+BM67+BN67+BO67</f>
        <v>1069657.17528157</v>
      </c>
      <c r="BQ67" s="5" t="n">
        <f aca="false">BL67-BP67</f>
        <v>65133.0324305147</v>
      </c>
      <c r="CA67" s="5" t="n">
        <f aca="false">(AF67+AG67+AH67+AL67)*0.005*'Prices&amp;Fuel'!H67</f>
        <v>21038.5604113111</v>
      </c>
      <c r="CB67" s="5" t="n">
        <f aca="false">(B67+C67+D67+O67+P67+Q67+X67+Y67+BB67+BC67+BD67+BE67+BF67+BG67+BR67+BS67)*0.005*'Prices&amp;Fuel'!H67</f>
        <v>5803.09640102828</v>
      </c>
      <c r="CC67" s="7" t="n">
        <f aca="false">K67+T67+AB67+AY67+BL67+BX67</f>
        <v>12863778.590437</v>
      </c>
      <c r="CD67" s="7" t="n">
        <f aca="false">L67+U67+AC67+AZ67+BP67+BY67+CA67+CB67</f>
        <v>12419997.8407057</v>
      </c>
      <c r="CE67" s="7" t="n">
        <f aca="false">CC67-CD67</f>
        <v>443780.749731284</v>
      </c>
      <c r="CF67" s="7" t="n">
        <f aca="false">'Index Price Deals'!AR67</f>
        <v>0</v>
      </c>
      <c r="CG67" s="7" t="n">
        <f aca="false">'Index Price Deals'!AS67</f>
        <v>0</v>
      </c>
      <c r="CH67" s="7" t="n">
        <f aca="false">'Index Price Deals'!AT67</f>
        <v>0</v>
      </c>
      <c r="CI67" s="7" t="n">
        <f aca="false">'Index Price Deals'!AU67</f>
        <v>0</v>
      </c>
      <c r="CJ67" s="7" t="n">
        <f aca="false">CC67+CF67</f>
        <v>12863778.590437</v>
      </c>
      <c r="CK67" s="7" t="n">
        <f aca="false">CD67+CH67</f>
        <v>12419997.8407057</v>
      </c>
      <c r="CL67" s="7" t="n">
        <f aca="false">CE67+CI67</f>
        <v>443780.749731284</v>
      </c>
      <c r="CM67" s="69"/>
      <c r="CN67" s="7" t="n">
        <f aca="false">Transport!U67</f>
        <v>0</v>
      </c>
      <c r="CO67" s="71"/>
      <c r="CQ67" s="7" t="n">
        <f aca="false">(((($B67+$C67+$D67+$O67+$P67+$Q67)*0.5)+BR67+BS67)*(0.005*'Prices&amp;Fuel'!$H67)+'Index Price Deals'!AV67)+(((BB67+BC67+BD67+BE67+BF67+BG67)*(1-'Prices&amp;Fuel'!F67))*0.005*0.5*'Prices&amp;Fuel'!H67)</f>
        <v>2875.25</v>
      </c>
      <c r="CR67" s="7" t="n">
        <f aca="false">(((($B67+$C67+$D67+$O67+$P67+$Q67)*0.5)+X67+Y67)*(0.005*'Prices&amp;Fuel'!$H67)+CA67+'Index Price Deals'!AW67)+(((BB67+BC67+BD67+BE67+BF67+BG67)*(1-'Prices&amp;Fuel'!F67))*0.005*0.5*'Prices&amp;Fuel'!H67)</f>
        <v>23913.8104113111</v>
      </c>
      <c r="CS67" s="11"/>
      <c r="CT67" s="7" t="n">
        <f aca="false">[2]Sheet1!$O81</f>
        <v>-56616.0747078731</v>
      </c>
      <c r="CU67" s="7" t="n">
        <f aca="false">'[3]Long Term Deals'!$Z66</f>
        <v>-34895.0629697055</v>
      </c>
      <c r="CV67" s="70" t="n">
        <f aca="false">CL67-CN67-CT67+CU67+CS67+CO67</f>
        <v>465501.761469451</v>
      </c>
      <c r="CW67" s="14" t="n">
        <f aca="false">((B67+C67+D67+O67+P67+Q67+X67+Y67+AF67+AG67+AH67+BB67+BC67+BD67+BE67+BF67+BG67+BR67+BS67)+('Index Price Deals'!B67+'Index Price Deals'!C67+'Index Price Deals'!D67+'Index Price Deals'!L67+'Index Price Deals'!M67+'Index Price Deals'!N67+'Index Price Deals'!AD67+'Index Price Deals'!AE67+'Index Price Deals'!AF67+'Index Price Deals'!AK67+'Index Price Deals'!AL67+'Index Price Deals'!AM67))*'Prices&amp;Fuel'!H67</f>
        <v>5368331.36246787</v>
      </c>
      <c r="CX67" s="12" t="n">
        <f aca="false">BQ67/(BB67+BC67+BD67+BE67+BF67+BG67)/'Prices&amp;Fuel'!H67</f>
        <v>0.170273854942676</v>
      </c>
      <c r="CY67" s="72"/>
      <c r="CZ67" s="13" t="n">
        <f aca="false">(BA67-CT67+CU67)/(AF67+AG67+AH67)/'Prices&amp;Fuel'!H67</f>
        <v>0.0993667360496986</v>
      </c>
      <c r="DB67" s="1" t="n">
        <f aca="false">(O67+P67+Q67)*'Prices&amp;Fuel'!$H67</f>
        <v>778100</v>
      </c>
      <c r="DE67" s="1" t="n">
        <v>132000</v>
      </c>
    </row>
    <row r="68" customFormat="false" ht="12.75" hidden="false" customHeight="false" outlineLevel="0" collapsed="false">
      <c r="A68" s="6" t="n">
        <f aca="false">+A67+365/12</f>
        <v>37665.25</v>
      </c>
      <c r="O68" s="7" t="n">
        <v>9036</v>
      </c>
      <c r="P68" s="7" t="n">
        <v>10794</v>
      </c>
      <c r="Q68" s="7" t="n">
        <v>5270</v>
      </c>
      <c r="R68" s="8" t="n">
        <f aca="false">R67</f>
        <v>2.3832</v>
      </c>
      <c r="S68" s="8" t="n">
        <f aca="false">S67</f>
        <v>2.3715</v>
      </c>
      <c r="T68" s="7" t="n">
        <f aca="false">(($O68*R68)+($P68*R68)+($Q68*R68))*'Prices&amp;Fuel'!$H68</f>
        <v>1674912.96</v>
      </c>
      <c r="U68" s="7" t="n">
        <f aca="false">(($O68*S68)+($P68*S68)+($Q68*S68))*'Prices&amp;Fuel'!$H68</f>
        <v>1666690.2</v>
      </c>
      <c r="V68" s="14" t="n">
        <f aca="false">T68-U68</f>
        <v>8222.76000000001</v>
      </c>
      <c r="X68" s="7"/>
      <c r="AF68" s="7" t="n">
        <f aca="false">(32000/(1-'Prices&amp;Fuel'!F68))+(25000/(1-'Prices&amp;Fuel'!G68))-AI68</f>
        <v>58611.8251928021</v>
      </c>
      <c r="AG68" s="7" t="n">
        <v>0</v>
      </c>
      <c r="AH68" s="7" t="n">
        <f aca="false">(75000/(1-'Prices&amp;Fuel'!G68))-AK68</f>
        <v>77120.822622108</v>
      </c>
      <c r="AI68" s="7"/>
      <c r="AJ68" s="7"/>
      <c r="AK68" s="7"/>
      <c r="AL68" s="11" t="n">
        <f aca="false">ROUND((132000/(1-'Prices&amp;Fuel'!F68))-AF68-AG68-AH68,0)</f>
        <v>0</v>
      </c>
      <c r="AM68" s="7" t="n">
        <f aca="false">ROUND(IF(AF68&lt;AP68,0,(AF68-AP68-AI68)/2),0)</f>
        <v>0</v>
      </c>
      <c r="AO68" s="7" t="n">
        <f aca="false">ROUND((75000/(1-'Prices&amp;Fuel'!G68)-AV68-AK68)/2,0)</f>
        <v>38560</v>
      </c>
      <c r="AP68" s="7" t="n">
        <f aca="false">IF(80000&gt;AF68,AF68,80000)</f>
        <v>58611.8251928021</v>
      </c>
      <c r="AR68" s="7" t="n">
        <f aca="false">IF(AP68&gt;AF68,0,AF68-AM68-AP68)</f>
        <v>0</v>
      </c>
      <c r="AT68" s="14" t="n">
        <f aca="false">AH68-AO68-AV68</f>
        <v>38560.822622108</v>
      </c>
      <c r="AU68" s="14" t="n">
        <f aca="false">AL68*AX68*'Prices&amp;Fuel'!H68</f>
        <v>0</v>
      </c>
      <c r="AW68" s="68" t="n">
        <f aca="false">AW67</f>
        <v>0.08</v>
      </c>
      <c r="AX68" s="68" t="n">
        <f aca="false">AX67</f>
        <v>0.025</v>
      </c>
      <c r="AY68" s="5" t="n">
        <f aca="false">('Prices&amp;Fuel'!H68*('Prices&amp;Fuel'!B68+AW68)*'Long Term Deals'!AF68)+('Prices&amp;Fuel'!H68*('Prices&amp;Fuel'!C68+'Long Term Deals'!AW68)*'Long Term Deals'!AG68)+(AH68*('Prices&amp;Fuel'!C68+AW68)*'Prices&amp;Fuel'!H68)+(AW68*AL68*'Prices&amp;Fuel'!H68)</f>
        <v>9955412.23650386</v>
      </c>
      <c r="AZ68" s="5" t="n">
        <f aca="false">(AP68*'Prices&amp;Fuel'!H68*'Prices&amp;Fuel'!B68)+(AQ68*'Prices&amp;Fuel'!C68*'Prices&amp;Fuel'!H68)+((AM68+AR68)*('Prices&amp;Fuel'!B68+'Long Term Deals'!AX68)*'Prices&amp;Fuel'!H68)+((AN68+AS68)*('Prices&amp;Fuel'!C68+'Long Term Deals'!AX68)*'Prices&amp;Fuel'!H68)+((AO68+AT68)*('Prices&amp;Fuel'!D68+'Long Term Deals'!AX68)*'Prices&amp;Fuel'!H68)+(AV68*'Prices&amp;Fuel'!H68*'Prices&amp;Fuel'!Q68)+AU68</f>
        <v>9597386.52956298</v>
      </c>
      <c r="BA68" s="5" t="n">
        <f aca="false">AY68-AZ68</f>
        <v>358025.706940874</v>
      </c>
      <c r="BB68" s="5" t="n">
        <f aca="false">IF('FP Corp'!T68-((BE68+BF68+BG68)*(1-'Prices&amp;Fuel'!F68))&lt;'Prices&amp;Fuel'!R68,('FP Corp'!T68-(BE68+BF68+BG68)*(1-'Prices&amp;Fuel'!F68)),'Prices&amp;Fuel'!R68)/(1-'Prices&amp;Fuel'!F68)</f>
        <v>4325.96401028278</v>
      </c>
      <c r="BC68" s="9"/>
      <c r="BD68" s="9" t="n">
        <f aca="false">ROUND(IF('FP Corp'!T68/(1-'Prices&amp;Fuel'!F68)-BE68-BF68-BG68-BB68&gt;'Prices&amp;Fuel'!T68,'Prices&amp;Fuel'!T68,'FP Corp'!T68/(1-'Prices&amp;Fuel'!F68)-BE68-BF68-BG68-BB68),9)</f>
        <v>0</v>
      </c>
      <c r="BE68" s="9" t="n">
        <f aca="false">'Prices&amp;Fuel'!U68/(1-'Prices&amp;Fuel'!F68)</f>
        <v>2635.47557840617</v>
      </c>
      <c r="BF68" s="9" t="n">
        <f aca="false">('Prices&amp;Fuel'!V68+'Prices&amp;Fuel'!X68)/(1-'Prices&amp;Fuel'!F68)</f>
        <v>3645.2442159383</v>
      </c>
      <c r="BG68" s="9" t="n">
        <f aca="false">'Prices&amp;Fuel'!W68/(1-'Prices&amp;Fuel'!F68)</f>
        <v>1732.64781491003</v>
      </c>
      <c r="BH68" s="10" t="n">
        <f aca="false">('Prices&amp;Fuel'!C68+'Prices&amp;Fuel'!D68)/2-0.05+('Prices&amp;Fuel'!M68+'Prices&amp;Fuel'!P68)*(1-'Prices&amp;Fuel'!F68)</f>
        <v>3.23932225</v>
      </c>
      <c r="BI68" s="9" t="n">
        <f aca="false">IF(AP68=80000,0,BB68)</f>
        <v>4325.96401028278</v>
      </c>
      <c r="BJ68" s="9"/>
      <c r="BK68" s="10" t="n">
        <f aca="false">(((BB68+BE68)*('Prices&amp;Fuel'!B68+0.025))+(('Prices&amp;Fuel'!D68+0.025)*(BD68+BG68))+(('Prices&amp;Fuel'!C68+0.025)*(BC68+BF68))-(BI68+BJ68)*0.025)/(BB68+BC68+BD68+BE68+BF68+BG68)</f>
        <v>2.54076458333333</v>
      </c>
      <c r="BL68" s="9" t="n">
        <f aca="false">(BB68+BC68+BD68+BE68+BF68+BG68)*BH68*'Prices&amp;Fuel'!H68</f>
        <v>1119190.00102828</v>
      </c>
      <c r="BM68" s="9" t="n">
        <f aca="false">'Prices&amp;Fuel'!X68*('Prices&amp;Fuel'!N68+'Prices&amp;Fuel'!O68)*'Prices&amp;Fuel'!H68</f>
        <v>8046.30936053314</v>
      </c>
      <c r="BN68" s="9" t="n">
        <f aca="false">('Prices&amp;Fuel'!U68+'Prices&amp;Fuel'!V68+'Prices&amp;Fuel'!W68)*('Prices&amp;Fuel'!L68+'Prices&amp;Fuel'!O68)*'Prices&amp;Fuel'!H68</f>
        <v>83761.7270181414</v>
      </c>
      <c r="BO68" s="9" t="n">
        <f aca="false">((BB68+BC68+BD68)*(1-'Prices&amp;Fuel'!G68))*('Prices&amp;Fuel'!M68+'Prices&amp;Fuel'!P68)*'Prices&amp;Fuel'!H68</f>
        <v>90714.6996</v>
      </c>
      <c r="BP68" s="9" t="n">
        <f aca="false">((BD68+BC68+BB68+BE68+BF68+BG68)*BK68*'Prices&amp;Fuel'!H68)+BM68+BN68+BO68</f>
        <v>1060360.16528459</v>
      </c>
      <c r="BQ68" s="5" t="n">
        <f aca="false">BL68-BP68</f>
        <v>58829.8357436908</v>
      </c>
      <c r="CA68" s="5" t="n">
        <f aca="false">(AF68+AG68+AH68+AL68)*0.005*'Prices&amp;Fuel'!H68</f>
        <v>19002.5706940874</v>
      </c>
      <c r="CB68" s="5" t="n">
        <f aca="false">(B68+C68+D68+O68+P68+Q68+X68+Y68+BB68+BC68+BD68+BE68+BF68+BG68+BR68+BS68)*0.005*'Prices&amp;Fuel'!H68</f>
        <v>5241.50642673522</v>
      </c>
      <c r="CC68" s="7" t="n">
        <f aca="false">K68+T68+AB68+AY68+BL68+BX68</f>
        <v>12749515.1975321</v>
      </c>
      <c r="CD68" s="7" t="n">
        <f aca="false">L68+U68+AC68+AZ68+BP68+BY68+CA68+CB68</f>
        <v>12348680.9719684</v>
      </c>
      <c r="CE68" s="7" t="n">
        <f aca="false">CC68-CD68</f>
        <v>400834.225563744</v>
      </c>
      <c r="CF68" s="7" t="n">
        <f aca="false">'Index Price Deals'!AR68</f>
        <v>0</v>
      </c>
      <c r="CG68" s="7" t="n">
        <f aca="false">'Index Price Deals'!AS68</f>
        <v>0</v>
      </c>
      <c r="CH68" s="7" t="n">
        <f aca="false">'Index Price Deals'!AT68</f>
        <v>0</v>
      </c>
      <c r="CI68" s="7" t="n">
        <f aca="false">'Index Price Deals'!AU68</f>
        <v>0</v>
      </c>
      <c r="CJ68" s="7" t="n">
        <f aca="false">CC68+CF68</f>
        <v>12749515.1975321</v>
      </c>
      <c r="CK68" s="7" t="n">
        <f aca="false">CD68+CH68</f>
        <v>12348680.9719684</v>
      </c>
      <c r="CL68" s="7" t="n">
        <f aca="false">CE68+CI68</f>
        <v>400834.225563744</v>
      </c>
      <c r="CM68" s="69"/>
      <c r="CN68" s="7" t="n">
        <f aca="false">Transport!U68</f>
        <v>0</v>
      </c>
      <c r="CO68" s="71"/>
      <c r="CQ68" s="7" t="n">
        <f aca="false">(((($B68+$C68+$D68+$O68+$P68+$Q68)*0.5)+BR68+BS68)*(0.005*'Prices&amp;Fuel'!$H68)+'Index Price Deals'!AV68)+(((BB68+BC68+BD68+BE68+BF68+BG68)*(1-'Prices&amp;Fuel'!F68))*0.005*0.5*'Prices&amp;Fuel'!H68)</f>
        <v>2597</v>
      </c>
      <c r="CR68" s="7" t="n">
        <f aca="false">(((($B68+$C68+$D68+$O68+$P68+$Q68)*0.5)+X68+Y68)*(0.005*'Prices&amp;Fuel'!$H68)+CA68+'Index Price Deals'!AW68)+(((BB68+BC68+BD68+BE68+BF68+BG68)*(1-'Prices&amp;Fuel'!F68))*0.005*0.5*'Prices&amp;Fuel'!H68)</f>
        <v>21599.5706940874</v>
      </c>
      <c r="CS68" s="11"/>
      <c r="CT68" s="7" t="n">
        <f aca="false">[2]Sheet1!$O82</f>
        <v>-51137.0997361434</v>
      </c>
      <c r="CU68" s="7" t="n">
        <f aca="false">'[3]Long Term Deals'!$Z67</f>
        <v>-31518.1213919921</v>
      </c>
      <c r="CV68" s="70" t="n">
        <f aca="false">CL68-CN68-CT68+CU68+CS68+CO68</f>
        <v>420453.203907896</v>
      </c>
      <c r="CW68" s="14" t="n">
        <f aca="false">((B68+C68+D68+O68+P68+Q68+X68+Y68+AF68+AG68+AH68+BB68+BC68+BD68+BE68+BF68+BG68+BR68+BS68)+('Index Price Deals'!B68+'Index Price Deals'!C68+'Index Price Deals'!D68+'Index Price Deals'!L68+'Index Price Deals'!M68+'Index Price Deals'!N68+'Index Price Deals'!AD68+'Index Price Deals'!AE68+'Index Price Deals'!AF68+'Index Price Deals'!AK68+'Index Price Deals'!AL68+'Index Price Deals'!AM68))*'Prices&amp;Fuel'!H68</f>
        <v>4848815.42416452</v>
      </c>
      <c r="CX68" s="12" t="n">
        <f aca="false">BQ68/(BB68+BC68+BD68+BE68+BF68+BG68)/'Prices&amp;Fuel'!H68</f>
        <v>0.170273854942677</v>
      </c>
      <c r="CY68" s="72"/>
      <c r="CZ68" s="13" t="n">
        <f aca="false">(BA68-CT68+CU68)/(AF68+AG68+AH68)/'Prices&amp;Fuel'!H68</f>
        <v>0.099366736049699</v>
      </c>
      <c r="DB68" s="1" t="n">
        <f aca="false">(O68+P68+Q68)*'Prices&amp;Fuel'!$H68</f>
        <v>702800</v>
      </c>
      <c r="DE68" s="1" t="n">
        <v>132000</v>
      </c>
    </row>
    <row r="69" customFormat="false" ht="12.75" hidden="false" customHeight="false" outlineLevel="0" collapsed="false">
      <c r="A69" s="6" t="n">
        <f aca="false">+A68+365/12</f>
        <v>37695.6666666667</v>
      </c>
      <c r="O69" s="7" t="n">
        <v>9036</v>
      </c>
      <c r="P69" s="7" t="n">
        <v>10794</v>
      </c>
      <c r="Q69" s="7" t="n">
        <v>5270</v>
      </c>
      <c r="R69" s="8" t="n">
        <f aca="false">R68</f>
        <v>2.3832</v>
      </c>
      <c r="S69" s="8" t="n">
        <f aca="false">S68</f>
        <v>2.3715</v>
      </c>
      <c r="T69" s="7" t="n">
        <f aca="false">(($O69*R69)+($P69*R69)+($Q69*R69))*'Prices&amp;Fuel'!$H69</f>
        <v>1854367.92</v>
      </c>
      <c r="U69" s="7" t="n">
        <f aca="false">(($O69*S69)+($P69*S69)+($Q69*S69))*'Prices&amp;Fuel'!$H69</f>
        <v>1845264.15</v>
      </c>
      <c r="V69" s="14" t="n">
        <f aca="false">T69-U69</f>
        <v>9103.76999999979</v>
      </c>
      <c r="X69" s="7"/>
      <c r="AF69" s="7" t="n">
        <f aca="false">(32000/(1-'Prices&amp;Fuel'!F69))+(25000/(1-'Prices&amp;Fuel'!G69))-AI69</f>
        <v>58611.8251928021</v>
      </c>
      <c r="AG69" s="7" t="n">
        <v>0</v>
      </c>
      <c r="AH69" s="7" t="n">
        <f aca="false">(75000/(1-'Prices&amp;Fuel'!G69))-AK69</f>
        <v>77120.822622108</v>
      </c>
      <c r="AI69" s="7"/>
      <c r="AJ69" s="7"/>
      <c r="AK69" s="7"/>
      <c r="AL69" s="11" t="n">
        <f aca="false">ROUND((132000/(1-'Prices&amp;Fuel'!F69))-AF69-AG69-AH69,0)</f>
        <v>0</v>
      </c>
      <c r="AM69" s="7" t="n">
        <f aca="false">ROUND(IF(AF69&lt;AP69,0,(AF69-AP69-AI69)/2),0)</f>
        <v>0</v>
      </c>
      <c r="AO69" s="7" t="n">
        <f aca="false">ROUND((75000/(1-'Prices&amp;Fuel'!G69)-AV69-AK69)/2,0)</f>
        <v>38560</v>
      </c>
      <c r="AP69" s="7" t="n">
        <f aca="false">IF(80000&gt;AF69,AF69,80000)</f>
        <v>58611.8251928021</v>
      </c>
      <c r="AR69" s="7" t="n">
        <f aca="false">IF(AP69&gt;AF69,0,AF69-AM69-AP69)</f>
        <v>0</v>
      </c>
      <c r="AT69" s="14" t="n">
        <f aca="false">AH69-AO69-AV69</f>
        <v>38560.822622108</v>
      </c>
      <c r="AU69" s="14" t="n">
        <f aca="false">AL69*AX69*'Prices&amp;Fuel'!H69</f>
        <v>0</v>
      </c>
      <c r="AW69" s="68" t="n">
        <f aca="false">AW68</f>
        <v>0.08</v>
      </c>
      <c r="AX69" s="68" t="n">
        <f aca="false">AX68</f>
        <v>0.025</v>
      </c>
      <c r="AY69" s="5" t="n">
        <f aca="false">('Prices&amp;Fuel'!H69*('Prices&amp;Fuel'!B69+AW69)*'Long Term Deals'!AF69)+('Prices&amp;Fuel'!H69*('Prices&amp;Fuel'!C69+'Long Term Deals'!AW69)*'Long Term Deals'!AG69)+(AH69*('Prices&amp;Fuel'!C69+AW69)*'Prices&amp;Fuel'!H69)+(AW69*AL69*'Prices&amp;Fuel'!H69)</f>
        <v>11022063.5475578</v>
      </c>
      <c r="AZ69" s="5" t="n">
        <f aca="false">(AP69*'Prices&amp;Fuel'!H69*'Prices&amp;Fuel'!B69)+(AQ69*'Prices&amp;Fuel'!C69*'Prices&amp;Fuel'!H69)+((AM69+AR69)*('Prices&amp;Fuel'!B69+'Long Term Deals'!AX69)*'Prices&amp;Fuel'!H69)+((AN69+AS69)*('Prices&amp;Fuel'!C69+'Long Term Deals'!AX69)*'Prices&amp;Fuel'!H69)+((AO69+AT69)*('Prices&amp;Fuel'!D69+'Long Term Deals'!AX69)*'Prices&amp;Fuel'!H69)+(AV69*'Prices&amp;Fuel'!H69*'Prices&amp;Fuel'!Q69)+AU69</f>
        <v>10625677.9434447</v>
      </c>
      <c r="BA69" s="5" t="n">
        <f aca="false">AY69-AZ69</f>
        <v>396385.604113109</v>
      </c>
      <c r="BB69" s="5" t="n">
        <f aca="false">IF('FP Corp'!T69-((BE69+BF69+BG69)*(1-'Prices&amp;Fuel'!F69))&lt;'Prices&amp;Fuel'!R69,('FP Corp'!T69-(BE69+BF69+BG69)*(1-'Prices&amp;Fuel'!F69)),'Prices&amp;Fuel'!R69)/(1-'Prices&amp;Fuel'!F69)</f>
        <v>4325.96401028278</v>
      </c>
      <c r="BC69" s="9"/>
      <c r="BD69" s="9" t="n">
        <f aca="false">ROUND(IF('FP Corp'!T69/(1-'Prices&amp;Fuel'!F69)-BE69-BF69-BG69-BB69&gt;'Prices&amp;Fuel'!T69,'Prices&amp;Fuel'!T69,'FP Corp'!T69/(1-'Prices&amp;Fuel'!F69)-BE69-BF69-BG69-BB69),9)</f>
        <v>0</v>
      </c>
      <c r="BE69" s="9" t="n">
        <f aca="false">'Prices&amp;Fuel'!U69/(1-'Prices&amp;Fuel'!F69)</f>
        <v>2635.47557840617</v>
      </c>
      <c r="BF69" s="9" t="n">
        <f aca="false">('Prices&amp;Fuel'!V69+'Prices&amp;Fuel'!X69)/(1-'Prices&amp;Fuel'!F69)</f>
        <v>3645.2442159383</v>
      </c>
      <c r="BG69" s="9" t="n">
        <f aca="false">'Prices&amp;Fuel'!W69/(1-'Prices&amp;Fuel'!F69)</f>
        <v>1732.64781491003</v>
      </c>
      <c r="BH69" s="10" t="n">
        <f aca="false">('Prices&amp;Fuel'!C69+'Prices&amp;Fuel'!D69)/2-0.05+('Prices&amp;Fuel'!M69+'Prices&amp;Fuel'!P69)*(1-'Prices&amp;Fuel'!F69)</f>
        <v>3.23932225</v>
      </c>
      <c r="BI69" s="9" t="n">
        <f aca="false">IF(AP69=80000,0,BB69)</f>
        <v>4325.96401028278</v>
      </c>
      <c r="BJ69" s="9"/>
      <c r="BK69" s="10" t="n">
        <f aca="false">(((BB69+BE69)*('Prices&amp;Fuel'!B69+0.025))+(('Prices&amp;Fuel'!D69+0.025)*(BD69+BG69))+(('Prices&amp;Fuel'!C69+0.025)*(BC69+BF69))-(BI69+BJ69)*0.025)/(BB69+BC69+BD69+BE69+BF69+BG69)</f>
        <v>2.54076458333333</v>
      </c>
      <c r="BL69" s="9" t="n">
        <f aca="false">(BB69+BC69+BD69+BE69+BF69+BG69)*BH69*'Prices&amp;Fuel'!H69</f>
        <v>1239103.21542416</v>
      </c>
      <c r="BM69" s="9" t="n">
        <f aca="false">'Prices&amp;Fuel'!X69*('Prices&amp;Fuel'!N69+'Prices&amp;Fuel'!O69)*'Prices&amp;Fuel'!H69</f>
        <v>8908.41393487597</v>
      </c>
      <c r="BN69" s="9" t="n">
        <f aca="false">('Prices&amp;Fuel'!U69+'Prices&amp;Fuel'!V69+'Prices&amp;Fuel'!W69)*('Prices&amp;Fuel'!L69+'Prices&amp;Fuel'!O69)*'Prices&amp;Fuel'!H69</f>
        <v>92736.1977700852</v>
      </c>
      <c r="BO69" s="9" t="n">
        <f aca="false">((BB69+BC69+BD69)*(1-'Prices&amp;Fuel'!G69))*('Prices&amp;Fuel'!M69+'Prices&amp;Fuel'!P69)*'Prices&amp;Fuel'!H69</f>
        <v>100434.1317</v>
      </c>
      <c r="BP69" s="9" t="n">
        <f aca="false">((BD69+BC69+BB69+BE69+BF69+BG69)*BK69*'Prices&amp;Fuel'!H69)+BM69+BN69+BO69</f>
        <v>1173970.18299365</v>
      </c>
      <c r="BQ69" s="5" t="n">
        <f aca="false">BL69-BP69</f>
        <v>65133.0324305147</v>
      </c>
      <c r="CA69" s="5" t="n">
        <f aca="false">(AF69+AG69+AH69+AL69)*0.005*'Prices&amp;Fuel'!H69</f>
        <v>21038.5604113111</v>
      </c>
      <c r="CB69" s="5" t="n">
        <f aca="false">(B69+C69+D69+O69+P69+Q69+X69+Y69+BB69+BC69+BD69+BE69+BF69+BG69+BR69+BS69)*0.005*'Prices&amp;Fuel'!H69</f>
        <v>5803.09640102828</v>
      </c>
      <c r="CC69" s="7" t="n">
        <f aca="false">K69+T69+AB69+AY69+BL69+BX69</f>
        <v>14115534.682982</v>
      </c>
      <c r="CD69" s="7" t="n">
        <f aca="false">L69+U69+AC69+AZ69+BP69+BY69+CA69+CB69</f>
        <v>13671753.9332507</v>
      </c>
      <c r="CE69" s="7" t="n">
        <f aca="false">CC69-CD69</f>
        <v>443780.749731284</v>
      </c>
      <c r="CF69" s="7" t="n">
        <f aca="false">'Index Price Deals'!AR69</f>
        <v>0</v>
      </c>
      <c r="CG69" s="7" t="n">
        <f aca="false">'Index Price Deals'!AS69</f>
        <v>0</v>
      </c>
      <c r="CH69" s="7" t="n">
        <f aca="false">'Index Price Deals'!AT69</f>
        <v>0</v>
      </c>
      <c r="CI69" s="7" t="n">
        <f aca="false">'Index Price Deals'!AU69</f>
        <v>0</v>
      </c>
      <c r="CJ69" s="7" t="n">
        <f aca="false">CC69+CF69</f>
        <v>14115534.682982</v>
      </c>
      <c r="CK69" s="7" t="n">
        <f aca="false">CD69+CH69</f>
        <v>13671753.9332507</v>
      </c>
      <c r="CL69" s="7" t="n">
        <f aca="false">CE69+CI69</f>
        <v>443780.749731284</v>
      </c>
      <c r="CM69" s="69"/>
      <c r="CN69" s="7" t="n">
        <f aca="false">Transport!U69</f>
        <v>0</v>
      </c>
      <c r="CO69" s="71"/>
      <c r="CQ69" s="7" t="n">
        <f aca="false">(((($B69+$C69+$D69+$O69+$P69+$Q69)*0.5)+BR69+BS69)*(0.005*'Prices&amp;Fuel'!$H69)+'Index Price Deals'!AV69)+(((BB69+BC69+BD69+BE69+BF69+BG69)*(1-'Prices&amp;Fuel'!F69))*0.005*0.5*'Prices&amp;Fuel'!H69)</f>
        <v>2875.25</v>
      </c>
      <c r="CR69" s="7" t="n">
        <f aca="false">(((($B69+$C69+$D69+$O69+$P69+$Q69)*0.5)+X69+Y69)*(0.005*'Prices&amp;Fuel'!$H69)+CA69+'Index Price Deals'!AW69)+(((BB69+BC69+BD69+BE69+BF69+BG69)*(1-'Prices&amp;Fuel'!F69))*0.005*0.5*'Prices&amp;Fuel'!H69)</f>
        <v>23913.8104113111</v>
      </c>
      <c r="CS69" s="11"/>
      <c r="CT69" s="7" t="n">
        <f aca="false">[2]Sheet1!$O83</f>
        <v>-56616.0747078731</v>
      </c>
      <c r="CU69" s="7" t="n">
        <f aca="false">'[3]Long Term Deals'!$Z68</f>
        <v>-34895.0629697055</v>
      </c>
      <c r="CV69" s="70" t="n">
        <f aca="false">CL69-CN69-CT69+CU69+CS69+CO69</f>
        <v>465501.761469451</v>
      </c>
      <c r="CW69" s="14" t="n">
        <f aca="false">((B69+C69+D69+O69+P69+Q69+X69+Y69+AF69+AG69+AH69+BB69+BC69+BD69+BE69+BF69+BG69+BR69+BS69)+('Index Price Deals'!B69+'Index Price Deals'!C69+'Index Price Deals'!D69+'Index Price Deals'!L69+'Index Price Deals'!M69+'Index Price Deals'!N69+'Index Price Deals'!AD69+'Index Price Deals'!AE69+'Index Price Deals'!AF69+'Index Price Deals'!AK69+'Index Price Deals'!AL69+'Index Price Deals'!AM69))*'Prices&amp;Fuel'!H69</f>
        <v>5368331.36246787</v>
      </c>
      <c r="CX69" s="12" t="n">
        <f aca="false">BQ69/(BB69+BC69+BD69+BE69+BF69+BG69)/'Prices&amp;Fuel'!H69</f>
        <v>0.170273854942676</v>
      </c>
      <c r="CY69" s="72"/>
      <c r="CZ69" s="13" t="n">
        <f aca="false">(BA69-CT69+CU69)/(AF69+AG69+AH69)/'Prices&amp;Fuel'!H69</f>
        <v>0.0993667360496986</v>
      </c>
      <c r="DB69" s="1" t="n">
        <f aca="false">(O69+P69+Q69)*'Prices&amp;Fuel'!$H69</f>
        <v>778100</v>
      </c>
      <c r="DE69" s="1" t="n">
        <v>132000</v>
      </c>
    </row>
    <row r="70" customFormat="false" ht="12.75" hidden="false" customHeight="false" outlineLevel="0" collapsed="false">
      <c r="A70" s="6" t="n">
        <f aca="false">+A69+365/12</f>
        <v>37726.0833333333</v>
      </c>
      <c r="O70" s="7" t="n">
        <v>9036</v>
      </c>
      <c r="P70" s="7" t="n">
        <v>10794</v>
      </c>
      <c r="Q70" s="7" t="n">
        <v>5270</v>
      </c>
      <c r="R70" s="8" t="n">
        <f aca="false">R69</f>
        <v>2.3832</v>
      </c>
      <c r="S70" s="8" t="n">
        <f aca="false">S69</f>
        <v>2.3715</v>
      </c>
      <c r="T70" s="7" t="n">
        <f aca="false">(($O70*R70)+($P70*R70)+($Q70*R70))*'Prices&amp;Fuel'!$H70</f>
        <v>1794549.6</v>
      </c>
      <c r="U70" s="7" t="n">
        <f aca="false">(($O70*S70)+($P70*S70)+($Q70*S70))*'Prices&amp;Fuel'!$H70</f>
        <v>1785739.5</v>
      </c>
      <c r="V70" s="14" t="n">
        <f aca="false">T70-U70</f>
        <v>8810.10000000009</v>
      </c>
      <c r="X70" s="7"/>
      <c r="AF70" s="7" t="n">
        <f aca="false">(32000/(1-'Prices&amp;Fuel'!F70))+(25000/(1-'Prices&amp;Fuel'!G70))-AI70</f>
        <v>58611.8251928021</v>
      </c>
      <c r="AG70" s="7" t="n">
        <v>0</v>
      </c>
      <c r="AH70" s="7" t="n">
        <f aca="false">(75000/(1-'Prices&amp;Fuel'!G70))-AK70</f>
        <v>77120.822622108</v>
      </c>
      <c r="AI70" s="7"/>
      <c r="AJ70" s="7"/>
      <c r="AK70" s="7"/>
      <c r="AL70" s="11" t="n">
        <f aca="false">ROUND((132000/(1-'Prices&amp;Fuel'!F70))-AF70-AG70-AH70,0)</f>
        <v>0</v>
      </c>
      <c r="AM70" s="7" t="n">
        <f aca="false">ROUND(IF(AF70&lt;AP70,0,(AF70-AP70-AI70)/2),0)</f>
        <v>0</v>
      </c>
      <c r="AO70" s="7" t="n">
        <f aca="false">ROUND((75000/(1-'Prices&amp;Fuel'!G70)-AV70-AK70)/2,0)</f>
        <v>38560</v>
      </c>
      <c r="AP70" s="7" t="n">
        <f aca="false">IF(80000&gt;AF70,AF70,80000)</f>
        <v>58611.8251928021</v>
      </c>
      <c r="AR70" s="7" t="n">
        <f aca="false">IF(AP70&gt;AF70,0,AF70-AM70-AP70)</f>
        <v>0</v>
      </c>
      <c r="AT70" s="14" t="n">
        <f aca="false">AH70-AO70-AV70</f>
        <v>38560.822622108</v>
      </c>
      <c r="AU70" s="14" t="n">
        <f aca="false">AL70*AX70*'Prices&amp;Fuel'!H70</f>
        <v>0</v>
      </c>
      <c r="AW70" s="68" t="n">
        <f aca="false">AW69</f>
        <v>0.08</v>
      </c>
      <c r="AX70" s="68" t="n">
        <f aca="false">AX69</f>
        <v>0.025</v>
      </c>
      <c r="AY70" s="5" t="n">
        <f aca="false">('Prices&amp;Fuel'!H70*('Prices&amp;Fuel'!B70+AW70)*'Long Term Deals'!AF70)+('Prices&amp;Fuel'!H70*('Prices&amp;Fuel'!C70+'Long Term Deals'!AW70)*'Long Term Deals'!AG70)+(AH70*('Prices&amp;Fuel'!C70+AW70)*'Prices&amp;Fuel'!H70)+(AW70*AL70*'Prices&amp;Fuel'!H70)</f>
        <v>11776941.9023136</v>
      </c>
      <c r="AZ70" s="5" t="n">
        <f aca="false">(AP70*'Prices&amp;Fuel'!H70*'Prices&amp;Fuel'!B70)+(AQ70*'Prices&amp;Fuel'!C70*'Prices&amp;Fuel'!H70)+((AM70+AR70)*('Prices&amp;Fuel'!B70+'Long Term Deals'!AX70)*'Prices&amp;Fuel'!H70)+((AN70+AS70)*('Prices&amp;Fuel'!C70+'Long Term Deals'!AX70)*'Prices&amp;Fuel'!H70)+((AO70+AT70)*('Prices&amp;Fuel'!D70+'Long Term Deals'!AX70)*'Prices&amp;Fuel'!H70)+(AV70*'Prices&amp;Fuel'!H70*'Prices&amp;Fuel'!Q70)+AU70</f>
        <v>11393342.9305913</v>
      </c>
      <c r="BA70" s="5" t="n">
        <f aca="false">AY70-AZ70</f>
        <v>383598.971722364</v>
      </c>
      <c r="BB70" s="5" t="n">
        <f aca="false">IF('FP Corp'!T70-((BE70+BF70+BG70)*(1-'Prices&amp;Fuel'!F70))&lt;'Prices&amp;Fuel'!R70,('FP Corp'!T70-(BE70+BF70+BG70)*(1-'Prices&amp;Fuel'!F70)),'Prices&amp;Fuel'!R70)/(1-'Prices&amp;Fuel'!F70)</f>
        <v>6278.66323907455</v>
      </c>
      <c r="BC70" s="9"/>
      <c r="BD70" s="9" t="n">
        <f aca="false">ROUND(IF('FP Corp'!T70/(1-'Prices&amp;Fuel'!F70)-BE70-BF70-BG70-BB70&gt;'Prices&amp;Fuel'!T70,'Prices&amp;Fuel'!T70,'FP Corp'!T70/(1-'Prices&amp;Fuel'!F70)-BE70-BF70-BG70-BB70),9)</f>
        <v>0</v>
      </c>
      <c r="BE70" s="9" t="n">
        <f aca="false">'Prices&amp;Fuel'!U70/(1-'Prices&amp;Fuel'!F70)</f>
        <v>1933.16195372751</v>
      </c>
      <c r="BF70" s="9" t="n">
        <f aca="false">('Prices&amp;Fuel'!V70+'Prices&amp;Fuel'!X70)/(1-'Prices&amp;Fuel'!F70)</f>
        <v>2833.93316195373</v>
      </c>
      <c r="BG70" s="9" t="n">
        <f aca="false">'Prices&amp;Fuel'!W70/(1-'Prices&amp;Fuel'!F70)</f>
        <v>1293.57326478149</v>
      </c>
      <c r="BH70" s="10" t="n">
        <f aca="false">('Prices&amp;Fuel'!C70+'Prices&amp;Fuel'!D70)/2-0.05+('Prices&amp;Fuel'!M70+'Prices&amp;Fuel'!P70)*(1-'Prices&amp;Fuel'!F70)</f>
        <v>3.51202225</v>
      </c>
      <c r="BI70" s="9" t="n">
        <f aca="false">IF(AP70=80000,0,BB70)</f>
        <v>6278.66323907455</v>
      </c>
      <c r="BJ70" s="9"/>
      <c r="BK70" s="10" t="n">
        <f aca="false">(((BB70+BE70)*('Prices&amp;Fuel'!B70+0.025))+(('Prices&amp;Fuel'!D70+0.025)*(BD70+BG70))+(('Prices&amp;Fuel'!C70+0.025)*(BC70+BF70))-(BI70+BJ70)*0.025)/(BB70+BC70+BD70+BE70+BF70+BG70)</f>
        <v>2.8052075</v>
      </c>
      <c r="BL70" s="9" t="n">
        <f aca="false">(BB70+BC70+BD70+BE70+BF70+BG70)*BH70*'Prices&amp;Fuel'!H70</f>
        <v>1300080.2159383</v>
      </c>
      <c r="BM70" s="9" t="n">
        <f aca="false">'Prices&amp;Fuel'!X70*('Prices&amp;Fuel'!N70+'Prices&amp;Fuel'!O70)*'Prices&amp;Fuel'!H70</f>
        <v>8621.04574342836</v>
      </c>
      <c r="BN70" s="9" t="n">
        <f aca="false">('Prices&amp;Fuel'!U70+'Prices&amp;Fuel'!V70+'Prices&amp;Fuel'!W70)*('Prices&amp;Fuel'!L70+'Prices&amp;Fuel'!O70)*'Prices&amp;Fuel'!H70</f>
        <v>65774.9185490559</v>
      </c>
      <c r="BO70" s="9" t="n">
        <f aca="false">((BB70+BC70+BD70)*(1-'Prices&amp;Fuel'!G70))*('Prices&amp;Fuel'!M70+'Prices&amp;Fuel'!P70)*'Prices&amp;Fuel'!H70</f>
        <v>141066.918</v>
      </c>
      <c r="BP70" s="9" t="n">
        <f aca="false">((BD70+BC70+BB70+BE70+BF70+BG70)*BK70*'Prices&amp;Fuel'!H70)+BM70+BN70+BO70</f>
        <v>1253894.45041588</v>
      </c>
      <c r="BQ70" s="5" t="n">
        <f aca="false">BL70-BP70</f>
        <v>46185.7655224255</v>
      </c>
      <c r="CA70" s="5" t="n">
        <f aca="false">(AF70+AG70+AH70+AL70)*0.005*'Prices&amp;Fuel'!H70</f>
        <v>20359.8971722365</v>
      </c>
      <c r="CB70" s="5" t="n">
        <f aca="false">(B70+C70+D70+O70+P70+Q70+X70+Y70+BB70+BC70+BD70+BE70+BF70+BG70+BR70+BS70)*0.005*'Prices&amp;Fuel'!H70</f>
        <v>5615.89974293059</v>
      </c>
      <c r="CC70" s="7" t="n">
        <f aca="false">K70+T70+AB70+AY70+BL70+BX70</f>
        <v>14871571.7182519</v>
      </c>
      <c r="CD70" s="7" t="n">
        <f aca="false">L70+U70+AC70+AZ70+BP70+BY70+CA70+CB70</f>
        <v>14458952.6779223</v>
      </c>
      <c r="CE70" s="7" t="n">
        <f aca="false">CC70-CD70</f>
        <v>412619.040329622</v>
      </c>
      <c r="CF70" s="7" t="n">
        <f aca="false">'Index Price Deals'!AR70</f>
        <v>0</v>
      </c>
      <c r="CG70" s="7" t="n">
        <f aca="false">'Index Price Deals'!AS70</f>
        <v>0</v>
      </c>
      <c r="CH70" s="7" t="n">
        <f aca="false">'Index Price Deals'!AT70</f>
        <v>0</v>
      </c>
      <c r="CI70" s="7" t="n">
        <f aca="false">'Index Price Deals'!AU70</f>
        <v>0</v>
      </c>
      <c r="CJ70" s="7" t="n">
        <f aca="false">CC70+CF70</f>
        <v>14871571.7182519</v>
      </c>
      <c r="CK70" s="7" t="n">
        <f aca="false">CD70+CH70</f>
        <v>14458952.6779223</v>
      </c>
      <c r="CL70" s="7" t="n">
        <f aca="false">CE70+CI70</f>
        <v>412619.040329622</v>
      </c>
      <c r="CM70" s="69"/>
      <c r="CN70" s="7" t="n">
        <f aca="false">Transport!U70</f>
        <v>0</v>
      </c>
      <c r="CO70" s="71"/>
      <c r="CQ70" s="7" t="n">
        <f aca="false">(((($B70+$C70+$D70+$O70+$P70+$Q70)*0.5)+BR70+BS70)*(0.005*'Prices&amp;Fuel'!$H70)+'Index Price Deals'!AV70)+(((BB70+BC70+BD70+BE70+BF70+BG70)*(1-'Prices&amp;Fuel'!F70))*0.005*0.5*'Prices&amp;Fuel'!H70)</f>
        <v>2782.5</v>
      </c>
      <c r="CR70" s="7" t="n">
        <f aca="false">(((($B70+$C70+$D70+$O70+$P70+$Q70)*0.5)+X70+Y70)*(0.005*'Prices&amp;Fuel'!$H70)+CA70+'Index Price Deals'!AW70)+(((BB70+BC70+BD70+BE70+BF70+BG70)*(1-'Prices&amp;Fuel'!F70))*0.005*0.5*'Prices&amp;Fuel'!H70)</f>
        <v>23142.3971722365</v>
      </c>
      <c r="CS70" s="11"/>
      <c r="CT70" s="7" t="n">
        <f aca="false">[2]Sheet1!$O84</f>
        <v>-54789.7497172965</v>
      </c>
      <c r="CU70" s="7" t="n">
        <f aca="false">'[3]Long Term Deals'!$Z69</f>
        <v>-33769.4157771343</v>
      </c>
      <c r="CV70" s="70" t="n">
        <f aca="false">CL70-CN70-CT70+CU70+CS70+CO70</f>
        <v>433639.374269784</v>
      </c>
      <c r="CW70" s="14" t="n">
        <f aca="false">((B70+C70+D70+O70+P70+Q70+X70+Y70+AF70+AG70+AH70+BB70+BC70+BD70+BE70+BF70+BG70+BR70+BS70)+('Index Price Deals'!B70+'Index Price Deals'!C70+'Index Price Deals'!D70+'Index Price Deals'!L70+'Index Price Deals'!M70+'Index Price Deals'!N70+'Index Price Deals'!AD70+'Index Price Deals'!AE70+'Index Price Deals'!AF70+'Index Price Deals'!AK70+'Index Price Deals'!AL70+'Index Price Deals'!AM70))*'Prices&amp;Fuel'!H70</f>
        <v>5195159.38303342</v>
      </c>
      <c r="CX70" s="12" t="n">
        <f aca="false">BQ70/(BB70+BC70+BD70+BE70+BF70+BG70)/'Prices&amp;Fuel'!H70</f>
        <v>0.124765713807108</v>
      </c>
      <c r="CY70" s="72"/>
      <c r="CZ70" s="13" t="n">
        <f aca="false">(BA70-CT70+CU70)/(AF70+AG70+AH70)/'Prices&amp;Fuel'!H70</f>
        <v>0.0993667360496988</v>
      </c>
      <c r="DB70" s="1" t="n">
        <f aca="false">(O70+P70+Q70)*'Prices&amp;Fuel'!$H70</f>
        <v>753000</v>
      </c>
      <c r="DE70" s="1" t="n">
        <v>132000</v>
      </c>
    </row>
    <row r="71" customFormat="false" ht="12.75" hidden="false" customHeight="false" outlineLevel="0" collapsed="false">
      <c r="A71" s="6" t="n">
        <f aca="false">+A70+365/12</f>
        <v>37756.5</v>
      </c>
      <c r="O71" s="7" t="n">
        <v>9036</v>
      </c>
      <c r="P71" s="7" t="n">
        <v>10794</v>
      </c>
      <c r="Q71" s="7" t="n">
        <v>5270</v>
      </c>
      <c r="R71" s="8" t="n">
        <f aca="false">R70</f>
        <v>2.3832</v>
      </c>
      <c r="S71" s="8" t="n">
        <f aca="false">S70</f>
        <v>2.3715</v>
      </c>
      <c r="T71" s="7" t="n">
        <f aca="false">(($O71*R71)+($P71*R71)+($Q71*R71))*'Prices&amp;Fuel'!$H71</f>
        <v>1854367.92</v>
      </c>
      <c r="U71" s="7" t="n">
        <f aca="false">(($O71*S71)+($P71*S71)+($Q71*S71))*'Prices&amp;Fuel'!$H71</f>
        <v>1845264.15</v>
      </c>
      <c r="V71" s="14" t="n">
        <f aca="false">T71-U71</f>
        <v>9103.76999999979</v>
      </c>
      <c r="X71" s="7"/>
      <c r="AF71" s="7" t="n">
        <f aca="false">((126000)/(1-'Prices&amp;Fuel'!F71))+(25000/(1-'Prices&amp;Fuel'!G71))-AI71</f>
        <v>155269.922879177</v>
      </c>
      <c r="AG71" s="7" t="n">
        <v>0</v>
      </c>
      <c r="AH71" s="7" t="n">
        <f aca="false">(75000/(1-'Prices&amp;Fuel'!G71))-AK71</f>
        <v>77120.822622108</v>
      </c>
      <c r="AI71" s="7"/>
      <c r="AJ71" s="7"/>
      <c r="AK71" s="7"/>
      <c r="AL71" s="11" t="n">
        <f aca="false">ROUND((226000/(1-'Prices&amp;Fuel'!F71))-AF71-AG71-AH71,0)</f>
        <v>0</v>
      </c>
      <c r="AM71" s="7" t="n">
        <f aca="false">ROUND(IF(AF71&lt;AP71,0,(AF71-AP71-AI71)/2),0)</f>
        <v>37635</v>
      </c>
      <c r="AO71" s="7" t="n">
        <f aca="false">ROUND((75000/(1-'Prices&amp;Fuel'!G71)-AV71-AK71)/2,0)</f>
        <v>38560</v>
      </c>
      <c r="AP71" s="7" t="n">
        <f aca="false">IF(80000&gt;AF71,AF71,80000)</f>
        <v>80000</v>
      </c>
      <c r="AR71" s="7" t="n">
        <f aca="false">IF(AP71&gt;AF71,0,AF71-AM71-AP71)</f>
        <v>37634.9228791774</v>
      </c>
      <c r="AT71" s="14" t="n">
        <f aca="false">AH71-AO71-AV71</f>
        <v>38560.822622108</v>
      </c>
      <c r="AU71" s="14" t="n">
        <f aca="false">AL71*AX71*'Prices&amp;Fuel'!H71</f>
        <v>0</v>
      </c>
      <c r="AW71" s="68" t="n">
        <f aca="false">AW70</f>
        <v>0.08</v>
      </c>
      <c r="AX71" s="68" t="n">
        <f aca="false">AX70</f>
        <v>0.025</v>
      </c>
      <c r="AY71" s="5" t="n">
        <f aca="false">('Prices&amp;Fuel'!H71*('Prices&amp;Fuel'!B71+AW71)*'Long Term Deals'!AF71)+('Prices&amp;Fuel'!H71*('Prices&amp;Fuel'!C71+'Long Term Deals'!AW71)*'Long Term Deals'!AG71)+(AH71*('Prices&amp;Fuel'!C71+AW71)*'Prices&amp;Fuel'!H71)+(AW71*AL71*'Prices&amp;Fuel'!H71)</f>
        <v>22115989.7172237</v>
      </c>
      <c r="AZ71" s="5" t="n">
        <f aca="false">(AP71*'Prices&amp;Fuel'!H71*'Prices&amp;Fuel'!B71)+(AQ71*'Prices&amp;Fuel'!C71*'Prices&amp;Fuel'!H71)+((AM71+AR71)*('Prices&amp;Fuel'!B71+'Long Term Deals'!AX71)*'Prices&amp;Fuel'!H71)+((AN71+AS71)*('Prices&amp;Fuel'!C71+'Long Term Deals'!AX71)*'Prices&amp;Fuel'!H71)+((AO71+AT71)*('Prices&amp;Fuel'!D71+'Long Term Deals'!AX71)*'Prices&amp;Fuel'!H71)+(AV71*'Prices&amp;Fuel'!H71*'Prices&amp;Fuel'!Q71)+AU71</f>
        <v>21538226.2210797</v>
      </c>
      <c r="BA71" s="5" t="n">
        <f aca="false">AY71-AZ71</f>
        <v>577763.49614396</v>
      </c>
      <c r="BB71" s="5" t="n">
        <f aca="false">IF('FP Corp'!T71-((BE71+BF71+BG71)*(1-'Prices&amp;Fuel'!F71))&lt;'Prices&amp;Fuel'!R71,('FP Corp'!T71-(BE71+BF71+BG71)*(1-'Prices&amp;Fuel'!F71)),'Prices&amp;Fuel'!R71)/(1-'Prices&amp;Fuel'!F71)</f>
        <v>8976.86375321337</v>
      </c>
      <c r="BC71" s="9"/>
      <c r="BD71" s="9" t="n">
        <f aca="false">ROUND(IF('FP Corp'!T71/(1-'Prices&amp;Fuel'!F71)-BE71-BF71-BG71-BB71&gt;'Prices&amp;Fuel'!T71,'Prices&amp;Fuel'!T71,'FP Corp'!T71/(1-'Prices&amp;Fuel'!F71)-BE71-BF71-BG71-BB71),9)</f>
        <v>6556.298200514</v>
      </c>
      <c r="BE71" s="9" t="n">
        <f aca="false">'Prices&amp;Fuel'!U71/(1-'Prices&amp;Fuel'!F71)</f>
        <v>1933.16195372751</v>
      </c>
      <c r="BF71" s="9" t="n">
        <f aca="false">('Prices&amp;Fuel'!V71+'Prices&amp;Fuel'!X71)/(1-'Prices&amp;Fuel'!F71)</f>
        <v>3062.21079691517</v>
      </c>
      <c r="BG71" s="9" t="n">
        <f aca="false">'Prices&amp;Fuel'!W71/(1-'Prices&amp;Fuel'!F71)</f>
        <v>1065.29562982005</v>
      </c>
      <c r="BH71" s="10" t="n">
        <f aca="false">('Prices&amp;Fuel'!C71+'Prices&amp;Fuel'!D71)/2-0.05+('Prices&amp;Fuel'!M71+'Prices&amp;Fuel'!P71)*(1-'Prices&amp;Fuel'!F71)</f>
        <v>3.70392225</v>
      </c>
      <c r="BI71" s="9" t="n">
        <f aca="false">IF(AP71=80000,0,BB71)</f>
        <v>0</v>
      </c>
      <c r="BJ71" s="9"/>
      <c r="BK71" s="10" t="n">
        <f aca="false">(((BB71+BE71)*('Prices&amp;Fuel'!B71+0.025))+(('Prices&amp;Fuel'!D71+0.025)*(BD71+BG71))+(('Prices&amp;Fuel'!C71+0.025)*(BC71+BF71))-(BI71+BJ71)*0.025)/(BB71+BC71+BD71+BE71+BF71+BG71)</f>
        <v>3.0070380952381</v>
      </c>
      <c r="BL71" s="9" t="n">
        <f aca="false">(BB71+BC71+BD71+BE71+BF71+BG71)*BH71*'Prices&amp;Fuel'!H71</f>
        <v>2479437.92776348</v>
      </c>
      <c r="BM71" s="9" t="n">
        <f aca="false">'Prices&amp;Fuel'!X71*('Prices&amp;Fuel'!N71+'Prices&amp;Fuel'!O71)*'Prices&amp;Fuel'!H71</f>
        <v>8908.41393487597</v>
      </c>
      <c r="BN71" s="9" t="n">
        <f aca="false">('Prices&amp;Fuel'!U71+'Prices&amp;Fuel'!V71+'Prices&amp;Fuel'!W71)*('Prices&amp;Fuel'!L71+'Prices&amp;Fuel'!O71)*'Prices&amp;Fuel'!H71</f>
        <v>67967.4158340245</v>
      </c>
      <c r="BO71" s="9" t="n">
        <f aca="false">((BB71+BC71+BD71)*(1-'Prices&amp;Fuel'!G71))*('Prices&amp;Fuel'!M71+'Prices&amp;Fuel'!P71)*'Prices&amp;Fuel'!H71</f>
        <v>360627.048599997</v>
      </c>
      <c r="BP71" s="9" t="n">
        <f aca="false">((BD71+BC71+BB71+BE71+BF71+BG71)*BK71*'Prices&amp;Fuel'!H71)+BM71+BN71+BO71</f>
        <v>2450440.46191644</v>
      </c>
      <c r="BQ71" s="5" t="n">
        <f aca="false">BL71-BP71</f>
        <v>28997.4658470382</v>
      </c>
      <c r="CA71" s="5" t="n">
        <f aca="false">(AF71+AG71+AH71+AL71)*0.005*'Prices&amp;Fuel'!H71</f>
        <v>36020.5655526992</v>
      </c>
      <c r="CB71" s="5" t="n">
        <f aca="false">(B71+C71+D71+O71+P71+Q71+X71+Y71+BB71+BC71+BD71+BE71+BF71+BG71+BR71+BS71)*0.005*'Prices&amp;Fuel'!H71</f>
        <v>7237.54370179946</v>
      </c>
      <c r="CC71" s="7" t="n">
        <f aca="false">K71+T71+AB71+AY71+BL71+BX71</f>
        <v>26449795.5649871</v>
      </c>
      <c r="CD71" s="7" t="n">
        <f aca="false">L71+U71+AC71+AZ71+BP71+BY71+CA71+CB71</f>
        <v>25877188.9422506</v>
      </c>
      <c r="CE71" s="7" t="n">
        <f aca="false">CC71-CD71</f>
        <v>572606.622736499</v>
      </c>
      <c r="CF71" s="7" t="n">
        <f aca="false">'Index Price Deals'!AR71</f>
        <v>0</v>
      </c>
      <c r="CG71" s="7" t="n">
        <f aca="false">'Index Price Deals'!AS71</f>
        <v>0</v>
      </c>
      <c r="CH71" s="7" t="n">
        <f aca="false">'Index Price Deals'!AT71</f>
        <v>0</v>
      </c>
      <c r="CI71" s="7" t="n">
        <f aca="false">'Index Price Deals'!AU71</f>
        <v>0</v>
      </c>
      <c r="CJ71" s="7" t="n">
        <f aca="false">CC71+CF71</f>
        <v>26449795.5649871</v>
      </c>
      <c r="CK71" s="7" t="n">
        <f aca="false">CD71+CH71</f>
        <v>25877188.9422506</v>
      </c>
      <c r="CL71" s="7" t="n">
        <f aca="false">CE71+CI71</f>
        <v>572606.622736499</v>
      </c>
      <c r="CM71" s="69"/>
      <c r="CN71" s="7" t="n">
        <f aca="false">Transport!U71</f>
        <v>3.16872756229714E-009</v>
      </c>
      <c r="CO71" s="71"/>
      <c r="CQ71" s="7" t="n">
        <f aca="false">(((($B71+$C71+$D71+$O71+$P71+$Q71)*0.5)+BR71+BS71)*(0.005*'Prices&amp;Fuel'!$H71)+'Index Price Deals'!AV71)+(((BB71+BC71+BD71+BE71+BF71+BG71)*(1-'Prices&amp;Fuel'!F71))*0.005*0.5*'Prices&amp;Fuel'!H71)</f>
        <v>3572.74999999999</v>
      </c>
      <c r="CR71" s="7" t="n">
        <f aca="false">(((($B71+$C71+$D71+$O71+$P71+$Q71)*0.5)+X71+Y71)*(0.005*'Prices&amp;Fuel'!$H71)+CA71+'Index Price Deals'!AW71)+(((BB71+BC71+BD71+BE71+BF71+BG71)*(1-'Prices&amp;Fuel'!F71))*0.005*0.5*'Prices&amp;Fuel'!H71)</f>
        <v>39593.3155526992</v>
      </c>
      <c r="CS71" s="11"/>
      <c r="CT71" s="7" t="n">
        <f aca="false">[2]Sheet1!$O85</f>
        <v>-96933.5824543888</v>
      </c>
      <c r="CU71" s="7" t="n">
        <f aca="false">'[3]Long Term Deals'!$Z70</f>
        <v>-43972.9018835931</v>
      </c>
      <c r="CV71" s="70" t="n">
        <f aca="false">CL71-CN71-CT71+CU71+CS71+CO71</f>
        <v>625567.303307291</v>
      </c>
      <c r="CW71" s="14" t="n">
        <f aca="false">((B71+C71+D71+O71+P71+Q71+X71+Y71+AF71+AG71+AH71+BB71+BC71+BD71+BE71+BF71+BG71+BR71+BS71)+('Index Price Deals'!B71+'Index Price Deals'!C71+'Index Price Deals'!D71+'Index Price Deals'!L71+'Index Price Deals'!M71+'Index Price Deals'!N71+'Index Price Deals'!AD71+'Index Price Deals'!AE71+'Index Price Deals'!AF71+'Index Price Deals'!AK71+'Index Price Deals'!AL71+'Index Price Deals'!AM71))*'Prices&amp;Fuel'!H71</f>
        <v>8651621.85089974</v>
      </c>
      <c r="CX71" s="12" t="n">
        <f aca="false">BQ71/(BB71+BC71+BD71+BE71+BF71+BG71)/'Prices&amp;Fuel'!H71</f>
        <v>0.0433180269373961</v>
      </c>
      <c r="CY71" s="72"/>
      <c r="CZ71" s="13" t="n">
        <f aca="false">(BA71-CT71+CU71)/(AF71+AG71+AH71)/'Prices&amp;Fuel'!H71</f>
        <v>0.0875505654945903</v>
      </c>
      <c r="DB71" s="1" t="n">
        <f aca="false">(O71+P71+Q71)*'Prices&amp;Fuel'!$H71</f>
        <v>778100</v>
      </c>
      <c r="DE71" s="1" t="n">
        <v>226000</v>
      </c>
    </row>
    <row r="72" customFormat="false" ht="12.75" hidden="false" customHeight="false" outlineLevel="0" collapsed="false">
      <c r="A72" s="6" t="n">
        <f aca="false">+A71+365/12</f>
        <v>37786.9166666667</v>
      </c>
      <c r="O72" s="7" t="n">
        <v>9036</v>
      </c>
      <c r="P72" s="7" t="n">
        <v>10794</v>
      </c>
      <c r="Q72" s="7" t="n">
        <v>5270</v>
      </c>
      <c r="R72" s="8" t="n">
        <f aca="false">R71</f>
        <v>2.3832</v>
      </c>
      <c r="S72" s="8" t="n">
        <f aca="false">S71</f>
        <v>2.3715</v>
      </c>
      <c r="T72" s="7" t="n">
        <f aca="false">(($O72*R72)+($P72*R72)+($Q72*R72))*'Prices&amp;Fuel'!$H72</f>
        <v>1794549.6</v>
      </c>
      <c r="U72" s="7" t="n">
        <f aca="false">(($O72*S72)+($P72*S72)+($Q72*S72))*'Prices&amp;Fuel'!$H72</f>
        <v>1785739.5</v>
      </c>
      <c r="V72" s="14" t="n">
        <f aca="false">T72-U72</f>
        <v>8810.10000000009</v>
      </c>
      <c r="X72" s="7"/>
      <c r="AF72" s="7" t="n">
        <f aca="false">((126000)/(1-'Prices&amp;Fuel'!F72))+(25000/(1-'Prices&amp;Fuel'!G72))-AI72</f>
        <v>155269.922879177</v>
      </c>
      <c r="AG72" s="7" t="n">
        <v>0</v>
      </c>
      <c r="AH72" s="7" t="n">
        <f aca="false">(75000/(1-'Prices&amp;Fuel'!G72))-AK72</f>
        <v>77120.822622108</v>
      </c>
      <c r="AI72" s="7"/>
      <c r="AJ72" s="7"/>
      <c r="AK72" s="7"/>
      <c r="AL72" s="11" t="n">
        <f aca="false">ROUND((226000/(1-'Prices&amp;Fuel'!F72))-AF72-AG72-AH72,0)</f>
        <v>0</v>
      </c>
      <c r="AM72" s="7" t="n">
        <f aca="false">ROUND(IF(AF72&lt;AP72,0,(AF72-AP72-AI72)/2),0)</f>
        <v>37635</v>
      </c>
      <c r="AO72" s="7" t="n">
        <f aca="false">ROUND((75000/(1-'Prices&amp;Fuel'!G72)-AV72-AK72)/2,0)</f>
        <v>38560</v>
      </c>
      <c r="AP72" s="7" t="n">
        <f aca="false">IF(80000&gt;AF72,AF72,80000)</f>
        <v>80000</v>
      </c>
      <c r="AR72" s="7" t="n">
        <f aca="false">IF(AP72&gt;AF72,0,AF72-AM72-AP72)</f>
        <v>37634.9228791774</v>
      </c>
      <c r="AT72" s="14" t="n">
        <f aca="false">AH72-AO72-AV72</f>
        <v>38560.822622108</v>
      </c>
      <c r="AU72" s="14" t="n">
        <f aca="false">AL72*AX72*'Prices&amp;Fuel'!H72</f>
        <v>0</v>
      </c>
      <c r="AW72" s="68" t="n">
        <f aca="false">AW71</f>
        <v>0.08</v>
      </c>
      <c r="AX72" s="68" t="n">
        <f aca="false">AX71</f>
        <v>0.025</v>
      </c>
      <c r="AY72" s="5" t="n">
        <f aca="false">('Prices&amp;Fuel'!H72*('Prices&amp;Fuel'!B72+AW72)*'Long Term Deals'!AF72)+('Prices&amp;Fuel'!H72*('Prices&amp;Fuel'!C72+'Long Term Deals'!AW72)*'Long Term Deals'!AG72)+(AH72*('Prices&amp;Fuel'!C72+AW72)*'Prices&amp;Fuel'!H72)+(AW72*AL72*'Prices&amp;Fuel'!H72)</f>
        <v>30626856.5552699</v>
      </c>
      <c r="AZ72" s="5" t="n">
        <f aca="false">(AP72*'Prices&amp;Fuel'!H72*'Prices&amp;Fuel'!B72)+(AQ72*'Prices&amp;Fuel'!C72*'Prices&amp;Fuel'!H72)+((AM72+AR72)*('Prices&amp;Fuel'!B72+'Long Term Deals'!AX72)*'Prices&amp;Fuel'!H72)+((AN72+AS72)*('Prices&amp;Fuel'!C72+'Long Term Deals'!AX72)*'Prices&amp;Fuel'!H72)+((AO72+AT72)*('Prices&amp;Fuel'!D72+'Long Term Deals'!AX72)*'Prices&amp;Fuel'!H72)+(AV72*'Prices&amp;Fuel'!H72*'Prices&amp;Fuel'!Q72)+AU72</f>
        <v>30067730.5912596</v>
      </c>
      <c r="BA72" s="5" t="n">
        <f aca="false">AY72-AZ72</f>
        <v>559125.964010283</v>
      </c>
      <c r="BB72" s="5" t="n">
        <f aca="false">IF('FP Corp'!T72-((BE72+BF72+BG72)*(1-'Prices&amp;Fuel'!F72))&lt;'Prices&amp;Fuel'!R72,('FP Corp'!T72-(BE72+BF72+BG72)*(1-'Prices&amp;Fuel'!F72)),'Prices&amp;Fuel'!R72)/(1-'Prices&amp;Fuel'!F72)</f>
        <v>8976.86375321337</v>
      </c>
      <c r="BC72" s="9"/>
      <c r="BD72" s="9" t="n">
        <f aca="false">ROUND(IF('FP Corp'!T72/(1-'Prices&amp;Fuel'!F72)-BE72-BF72-BG72-BB72&gt;'Prices&amp;Fuel'!T72,'Prices&amp;Fuel'!T72,'FP Corp'!T72/(1-'Prices&amp;Fuel'!F72)-BE72-BF72-BG72-BB72),9)</f>
        <v>6556.298200514</v>
      </c>
      <c r="BE72" s="9" t="n">
        <f aca="false">'Prices&amp;Fuel'!U72/(1-'Prices&amp;Fuel'!F72)</f>
        <v>1933.16195372751</v>
      </c>
      <c r="BF72" s="9" t="n">
        <f aca="false">('Prices&amp;Fuel'!V72+'Prices&amp;Fuel'!X72)/(1-'Prices&amp;Fuel'!F72)</f>
        <v>3062.21079691517</v>
      </c>
      <c r="BG72" s="9" t="n">
        <f aca="false">'Prices&amp;Fuel'!W72/(1-'Prices&amp;Fuel'!F72)</f>
        <v>1065.29562982005</v>
      </c>
      <c r="BH72" s="10" t="n">
        <f aca="false">('Prices&amp;Fuel'!C72+'Prices&amp;Fuel'!D72)/2-0.05+('Prices&amp;Fuel'!M72+'Prices&amp;Fuel'!P72)*(1-'Prices&amp;Fuel'!F72)</f>
        <v>5.02702225</v>
      </c>
      <c r="BI72" s="9" t="n">
        <f aca="false">IF(AP72=80000,0,BB72)</f>
        <v>0</v>
      </c>
      <c r="BJ72" s="9"/>
      <c r="BK72" s="10" t="n">
        <f aca="false">(((BB72+BE72)*('Prices&amp;Fuel'!B72+0.025))+(('Prices&amp;Fuel'!D72+0.025)*(BD72+BG72))+(('Prices&amp;Fuel'!C72+0.025)*(BC72+BF72))-(BI72+BJ72)*0.025)/(BB72+BC72+BD72+BE72+BF72+BG72)</f>
        <v>4.3301380952381</v>
      </c>
      <c r="BL72" s="9" t="n">
        <f aca="false">(BB72+BC72+BD72+BE72+BF72+BG72)*BH72*'Prices&amp;Fuel'!H72</f>
        <v>3256579.96658096</v>
      </c>
      <c r="BM72" s="9" t="n">
        <f aca="false">'Prices&amp;Fuel'!X72*('Prices&amp;Fuel'!N72+'Prices&amp;Fuel'!O72)*'Prices&amp;Fuel'!H72</f>
        <v>8621.04574342836</v>
      </c>
      <c r="BN72" s="9" t="n">
        <f aca="false">('Prices&amp;Fuel'!U72+'Prices&amp;Fuel'!V72+'Prices&amp;Fuel'!W72)*('Prices&amp;Fuel'!L72+'Prices&amp;Fuel'!O72)*'Prices&amp;Fuel'!H72</f>
        <v>65774.9185490559</v>
      </c>
      <c r="BO72" s="9" t="n">
        <f aca="false">((BB72+BC72+BD72)*(1-'Prices&amp;Fuel'!G72))*('Prices&amp;Fuel'!M72+'Prices&amp;Fuel'!P72)*'Prices&amp;Fuel'!H72</f>
        <v>348993.917999997</v>
      </c>
      <c r="BP72" s="9" t="n">
        <f aca="false">((BD72+BC72+BB72+BE72+BF72+BG72)*BK72*'Prices&amp;Fuel'!H72)+BM72+BN72+BO72</f>
        <v>3228517.90285802</v>
      </c>
      <c r="BQ72" s="5" t="n">
        <f aca="false">BL72-BP72</f>
        <v>28062.0637229397</v>
      </c>
      <c r="CA72" s="5" t="n">
        <f aca="false">(AF72+AG72+AH72+AL72)*0.005*'Prices&amp;Fuel'!H72</f>
        <v>34858.6118251928</v>
      </c>
      <c r="CB72" s="5" t="n">
        <f aca="false">(B72+C72+D72+O72+P72+Q72+X72+Y72+BB72+BC72+BD72+BE72+BF72+BG72+BR72+BS72)*0.005*'Prices&amp;Fuel'!H72</f>
        <v>7004.07455012851</v>
      </c>
      <c r="CC72" s="7" t="n">
        <f aca="false">K72+T72+AB72+AY72+BL72+BX72</f>
        <v>35677986.1218509</v>
      </c>
      <c r="CD72" s="7" t="n">
        <f aca="false">L72+U72+AC72+AZ72+BP72+BY72+CA72+CB72</f>
        <v>35123850.680493</v>
      </c>
      <c r="CE72" s="7" t="n">
        <f aca="false">CC72-CD72</f>
        <v>554135.441357903</v>
      </c>
      <c r="CF72" s="7" t="n">
        <f aca="false">'Index Price Deals'!AR72</f>
        <v>0</v>
      </c>
      <c r="CG72" s="7" t="n">
        <f aca="false">'Index Price Deals'!AS72</f>
        <v>0</v>
      </c>
      <c r="CH72" s="7" t="n">
        <f aca="false">'Index Price Deals'!AT72</f>
        <v>0</v>
      </c>
      <c r="CI72" s="7" t="n">
        <f aca="false">'Index Price Deals'!AU72</f>
        <v>0</v>
      </c>
      <c r="CJ72" s="7" t="n">
        <f aca="false">CC72+CF72</f>
        <v>35677986.1218509</v>
      </c>
      <c r="CK72" s="7" t="n">
        <f aca="false">CD72+CH72</f>
        <v>35123850.680493</v>
      </c>
      <c r="CL72" s="7" t="n">
        <f aca="false">CE72+CI72</f>
        <v>554135.441357903</v>
      </c>
      <c r="CM72" s="69"/>
      <c r="CN72" s="7" t="n">
        <f aca="false">Transport!U72</f>
        <v>3.06651054415852E-009</v>
      </c>
      <c r="CO72" s="71"/>
      <c r="CQ72" s="7" t="n">
        <f aca="false">(((($B72+$C72+$D72+$O72+$P72+$Q72)*0.5)+BR72+BS72)*(0.005*'Prices&amp;Fuel'!$H72)+'Index Price Deals'!AV72)+(((BB72+BC72+BD72+BE72+BF72+BG72)*(1-'Prices&amp;Fuel'!F72))*0.005*0.5*'Prices&amp;Fuel'!H72)</f>
        <v>3457.49999999999</v>
      </c>
      <c r="CR72" s="7" t="n">
        <f aca="false">(((($B72+$C72+$D72+$O72+$P72+$Q72)*0.5)+X72+Y72)*(0.005*'Prices&amp;Fuel'!$H72)+CA72+'Index Price Deals'!AW72)+(((BB72+BC72+BD72+BE72+BF72+BG72)*(1-'Prices&amp;Fuel'!F72))*0.005*0.5*'Prices&amp;Fuel'!H72)</f>
        <v>38316.1118251928</v>
      </c>
      <c r="CS72" s="11"/>
      <c r="CT72" s="7" t="n">
        <f aca="false">[2]Sheet1!$O86</f>
        <v>-93806.6926977956</v>
      </c>
      <c r="CU72" s="7" t="n">
        <f aca="false">'[3]Long Term Deals'!$Z71</f>
        <v>-42554.4211776707</v>
      </c>
      <c r="CV72" s="70" t="n">
        <f aca="false">CL72-CN72-CT72+CU72+CS72+CO72</f>
        <v>605387.712878025</v>
      </c>
      <c r="CW72" s="14" t="n">
        <f aca="false">((B72+C72+D72+O72+P72+Q72+X72+Y72+AF72+AG72+AH72+BB72+BC72+BD72+BE72+BF72+BG72+BR72+BS72)+('Index Price Deals'!B72+'Index Price Deals'!C72+'Index Price Deals'!D72+'Index Price Deals'!L72+'Index Price Deals'!M72+'Index Price Deals'!N72+'Index Price Deals'!AD72+'Index Price Deals'!AE72+'Index Price Deals'!AF72+'Index Price Deals'!AK72+'Index Price Deals'!AL72+'Index Price Deals'!AM72))*'Prices&amp;Fuel'!H72</f>
        <v>8372537.27506426</v>
      </c>
      <c r="CX72" s="12" t="n">
        <f aca="false">BQ72/(BB72+BC72+BD72+BE72+BF72+BG72)/'Prices&amp;Fuel'!H72</f>
        <v>0.0433180269373953</v>
      </c>
      <c r="CY72" s="72"/>
      <c r="CZ72" s="13" t="n">
        <f aca="false">(BA72-CT72+CU72)/(AF72+AG72+AH72)/'Prices&amp;Fuel'!H72</f>
        <v>0.0875505654945903</v>
      </c>
      <c r="DB72" s="1" t="n">
        <f aca="false">(O72+P72+Q72)*'Prices&amp;Fuel'!$H72</f>
        <v>753000</v>
      </c>
      <c r="DE72" s="1" t="n">
        <v>226000</v>
      </c>
    </row>
    <row r="73" customFormat="false" ht="12.75" hidden="false" customHeight="false" outlineLevel="0" collapsed="false">
      <c r="A73" s="6" t="n">
        <f aca="false">+A72+365/12</f>
        <v>37817.3333333333</v>
      </c>
      <c r="O73" s="7" t="n">
        <v>9036</v>
      </c>
      <c r="P73" s="7" t="n">
        <v>10794</v>
      </c>
      <c r="Q73" s="7" t="n">
        <v>5270</v>
      </c>
      <c r="R73" s="8" t="n">
        <f aca="false">ROUND(2.034*1.02*1.02*1.02*1.02*1.02*1.02*1.02*1.02*1.02,4)</f>
        <v>2.4308</v>
      </c>
      <c r="S73" s="8" t="n">
        <f aca="false">R73-ROUND(0.01*1.02*1.02*1.02*1.02*1.02*1.02*1.02*1.02*1.02,4)</f>
        <v>2.4188</v>
      </c>
      <c r="T73" s="7" t="n">
        <f aca="false">(($O73*R73)+($P73*R73)+($Q73*R73))*'Prices&amp;Fuel'!$H73</f>
        <v>1891405.48</v>
      </c>
      <c r="U73" s="7" t="n">
        <f aca="false">(($O73*S73)+($P73*S73)+($Q73*S73))*'Prices&amp;Fuel'!$H73</f>
        <v>1882068.28</v>
      </c>
      <c r="V73" s="14" t="n">
        <f aca="false">T73-U73</f>
        <v>9337.19999999972</v>
      </c>
      <c r="X73" s="7"/>
      <c r="AF73" s="7" t="n">
        <f aca="false">((126000)/(1-'Prices&amp;Fuel'!F73))+(25000/(1-'Prices&amp;Fuel'!G73))-AI73</f>
        <v>155269.922879177</v>
      </c>
      <c r="AG73" s="7" t="n">
        <v>0</v>
      </c>
      <c r="AH73" s="7" t="n">
        <f aca="false">(75000/(1-'Prices&amp;Fuel'!G73))-AK73</f>
        <v>77120.822622108</v>
      </c>
      <c r="AI73" s="7"/>
      <c r="AJ73" s="7"/>
      <c r="AK73" s="7"/>
      <c r="AL73" s="11" t="n">
        <f aca="false">ROUND((226000/(1-'Prices&amp;Fuel'!F73))-AF73-AG73-AH73,0)</f>
        <v>0</v>
      </c>
      <c r="AM73" s="7" t="n">
        <f aca="false">ROUND(IF(AF73&lt;AP73,0,(AF73-AP73-AI73)/2),0)</f>
        <v>37635</v>
      </c>
      <c r="AO73" s="7" t="n">
        <f aca="false">ROUND((75000/(1-'Prices&amp;Fuel'!G73)-AV73-AK73)/2,0)</f>
        <v>38560</v>
      </c>
      <c r="AP73" s="7" t="n">
        <f aca="false">IF(80000&gt;AF73,AF73,80000)</f>
        <v>80000</v>
      </c>
      <c r="AR73" s="7" t="n">
        <f aca="false">IF(AP73&gt;AF73,0,AF73-AM73-AP73)</f>
        <v>37634.9228791774</v>
      </c>
      <c r="AT73" s="14" t="n">
        <f aca="false">AH73-AO73-AV73</f>
        <v>38560.822622108</v>
      </c>
      <c r="AU73" s="14" t="n">
        <f aca="false">AL73*AX73*'Prices&amp;Fuel'!H73</f>
        <v>0</v>
      </c>
      <c r="AW73" s="68" t="n">
        <f aca="false">AW72</f>
        <v>0.08</v>
      </c>
      <c r="AX73" s="68" t="n">
        <f aca="false">AX72</f>
        <v>0.025</v>
      </c>
      <c r="AY73" s="5" t="n">
        <f aca="false">('Prices&amp;Fuel'!H73*('Prices&amp;Fuel'!B73+AW73)*'Long Term Deals'!AF73)+('Prices&amp;Fuel'!H73*('Prices&amp;Fuel'!C73+'Long Term Deals'!AW73)*'Long Term Deals'!AG73)+(AH73*('Prices&amp;Fuel'!C73+AW73)*'Prices&amp;Fuel'!H73)+(AW73*AL73*'Prices&amp;Fuel'!H73)</f>
        <v>31574990.2313625</v>
      </c>
      <c r="AZ73" s="5" t="n">
        <f aca="false">(AP73*'Prices&amp;Fuel'!H73*'Prices&amp;Fuel'!B73)+(AQ73*'Prices&amp;Fuel'!C73*'Prices&amp;Fuel'!H73)+((AM73+AR73)*('Prices&amp;Fuel'!B73+'Long Term Deals'!AX73)*'Prices&amp;Fuel'!H73)+((AN73+AS73)*('Prices&amp;Fuel'!C73+'Long Term Deals'!AX73)*'Prices&amp;Fuel'!H73)+((AO73+AT73)*('Prices&amp;Fuel'!D73+'Long Term Deals'!AX73)*'Prices&amp;Fuel'!H73)+(AV73*'Prices&amp;Fuel'!H73*'Prices&amp;Fuel'!Q73)+AU73</f>
        <v>30997226.7352185</v>
      </c>
      <c r="BA73" s="5" t="n">
        <f aca="false">AY73-AZ73</f>
        <v>577763.49614396</v>
      </c>
      <c r="BB73" s="5" t="n">
        <f aca="false">IF('FP Corp'!T73-((BE73+BF73+BG73)*(1-'Prices&amp;Fuel'!F73))&lt;'Prices&amp;Fuel'!R73,('FP Corp'!T73-(BE73+BF73+BG73)*(1-'Prices&amp;Fuel'!F73)),'Prices&amp;Fuel'!R73)/(1-'Prices&amp;Fuel'!F73)</f>
        <v>8976.86375321337</v>
      </c>
      <c r="BC73" s="9"/>
      <c r="BD73" s="9" t="n">
        <f aca="false">ROUND(IF('FP Corp'!T73/(1-'Prices&amp;Fuel'!F73)-BE73-BF73-BG73-BB73&gt;'Prices&amp;Fuel'!T73,'Prices&amp;Fuel'!T73,'FP Corp'!T73/(1-'Prices&amp;Fuel'!F73)-BE73-BF73-BG73-BB73),9)</f>
        <v>6556.298200514</v>
      </c>
      <c r="BE73" s="9" t="n">
        <f aca="false">'Prices&amp;Fuel'!U73/(1-'Prices&amp;Fuel'!F73)</f>
        <v>1933.16195372751</v>
      </c>
      <c r="BF73" s="9" t="n">
        <f aca="false">('Prices&amp;Fuel'!V73+'Prices&amp;Fuel'!X73)/(1-'Prices&amp;Fuel'!F73)</f>
        <v>3062.21079691517</v>
      </c>
      <c r="BG73" s="9" t="n">
        <f aca="false">'Prices&amp;Fuel'!W73/(1-'Prices&amp;Fuel'!F73)</f>
        <v>1065.29562982005</v>
      </c>
      <c r="BH73" s="10" t="n">
        <f aca="false">('Prices&amp;Fuel'!C73+'Prices&amp;Fuel'!D73)/2-0.05+('Prices&amp;Fuel'!M73+'Prices&amp;Fuel'!P73)*(1-'Prices&amp;Fuel'!F73)</f>
        <v>5.01692225</v>
      </c>
      <c r="BI73" s="9" t="n">
        <f aca="false">IF(AP73=80000,0,BB73)</f>
        <v>0</v>
      </c>
      <c r="BJ73" s="9"/>
      <c r="BK73" s="10" t="n">
        <f aca="false">(((BB73+BE73)*('Prices&amp;Fuel'!B73+0.025))+(('Prices&amp;Fuel'!D73+0.025)*(BD73+BG73))+(('Prices&amp;Fuel'!C73+0.025)*(BC73+BF73))-(BI73+BJ73)*0.025)/(BB73+BC73+BD73+BE73+BF73+BG73)</f>
        <v>4.3200380952381</v>
      </c>
      <c r="BL73" s="9" t="n">
        <f aca="false">(BB73+BC73+BD73+BE73+BF73+BG73)*BH73*'Prices&amp;Fuel'!H73</f>
        <v>3358371.60385602</v>
      </c>
      <c r="BM73" s="9" t="n">
        <f aca="false">'Prices&amp;Fuel'!X73*('Prices&amp;Fuel'!N73+'Prices&amp;Fuel'!O73)*'Prices&amp;Fuel'!H73</f>
        <v>8908.41393487597</v>
      </c>
      <c r="BN73" s="9" t="n">
        <f aca="false">('Prices&amp;Fuel'!U73+'Prices&amp;Fuel'!V73+'Prices&amp;Fuel'!W73)*('Prices&amp;Fuel'!L73+'Prices&amp;Fuel'!O73)*'Prices&amp;Fuel'!H73</f>
        <v>67967.4158340245</v>
      </c>
      <c r="BO73" s="9" t="n">
        <f aca="false">((BB73+BC73+BD73)*(1-'Prices&amp;Fuel'!G73))*('Prices&amp;Fuel'!M73+'Prices&amp;Fuel'!P73)*'Prices&amp;Fuel'!H73</f>
        <v>360627.048599997</v>
      </c>
      <c r="BP73" s="9" t="n">
        <f aca="false">((BD73+BC73+BB73+BE73+BF73+BG73)*BK73*'Prices&amp;Fuel'!H73)+BM73+BN73+BO73</f>
        <v>3329374.13800898</v>
      </c>
      <c r="BQ73" s="5" t="n">
        <f aca="false">BL73-BP73</f>
        <v>28997.4658470377</v>
      </c>
      <c r="CA73" s="5" t="n">
        <f aca="false">(AF73+AG73+AH73+AL73)*0.005*'Prices&amp;Fuel'!H73</f>
        <v>36020.5655526992</v>
      </c>
      <c r="CB73" s="5" t="n">
        <f aca="false">(B73+C73+D73+O73+P73+Q73+X73+Y73+BB73+BC73+BD73+BE73+BF73+BG73+BR73+BS73)*0.005*'Prices&amp;Fuel'!H73</f>
        <v>7237.54370179946</v>
      </c>
      <c r="CC73" s="7" t="n">
        <f aca="false">K73+T73+AB73+AY73+BL73+BX73</f>
        <v>36824767.3152185</v>
      </c>
      <c r="CD73" s="7" t="n">
        <f aca="false">L73+U73+AC73+AZ73+BP73+BY73+CA73+CB73</f>
        <v>36251927.262482</v>
      </c>
      <c r="CE73" s="7" t="n">
        <f aca="false">CC73-CD73</f>
        <v>572840.052736498</v>
      </c>
      <c r="CF73" s="7" t="n">
        <f aca="false">'Index Price Deals'!AR73</f>
        <v>0</v>
      </c>
      <c r="CG73" s="7" t="n">
        <f aca="false">'Index Price Deals'!AS73</f>
        <v>0</v>
      </c>
      <c r="CH73" s="7" t="n">
        <f aca="false">'Index Price Deals'!AT73</f>
        <v>0</v>
      </c>
      <c r="CI73" s="7" t="n">
        <f aca="false">'Index Price Deals'!AU73</f>
        <v>0</v>
      </c>
      <c r="CJ73" s="7" t="n">
        <f aca="false">CC73+CF73</f>
        <v>36824767.3152185</v>
      </c>
      <c r="CK73" s="7" t="n">
        <f aca="false">CD73+CH73</f>
        <v>36251927.262482</v>
      </c>
      <c r="CL73" s="7" t="n">
        <f aca="false">CE73+CI73</f>
        <v>572840.052736498</v>
      </c>
      <c r="CM73" s="69"/>
      <c r="CN73" s="7" t="n">
        <f aca="false">Transport!U73</f>
        <v>3.16872756229714E-009</v>
      </c>
      <c r="CO73" s="71"/>
      <c r="CQ73" s="7" t="n">
        <f aca="false">(((($B73+$C73+$D73+$O73+$P73+$Q73)*0.5)+BR73+BS73)*(0.005*'Prices&amp;Fuel'!$H73)+'Index Price Deals'!AV73)+(((BB73+BC73+BD73+BE73+BF73+BG73)*(1-'Prices&amp;Fuel'!F73))*0.005*0.5*'Prices&amp;Fuel'!H73)</f>
        <v>3572.74999999999</v>
      </c>
      <c r="CR73" s="7" t="n">
        <f aca="false">(((($B73+$C73+$D73+$O73+$P73+$Q73)*0.5)+X73+Y73)*(0.005*'Prices&amp;Fuel'!$H73)+CA73+'Index Price Deals'!AW73)+(((BB73+BC73+BD73+BE73+BF73+BG73)*(1-'Prices&amp;Fuel'!F73))*0.005*0.5*'Prices&amp;Fuel'!H73)</f>
        <v>39593.3155526992</v>
      </c>
      <c r="CS73" s="11"/>
      <c r="CT73" s="7" t="n">
        <f aca="false">[2]Sheet1!$O87</f>
        <v>-96933.5824543888</v>
      </c>
      <c r="CU73" s="7" t="n">
        <f aca="false">'[3]Long Term Deals'!$Z72</f>
        <v>-43972.9018835931</v>
      </c>
      <c r="CV73" s="70" t="n">
        <f aca="false">CL73-CN73-CT73+CU73+CS73+CO73</f>
        <v>625800.733307291</v>
      </c>
      <c r="CW73" s="14" t="n">
        <f aca="false">((B73+C73+D73+O73+P73+Q73+X73+Y73+AF73+AG73+AH73+BB73+BC73+BD73+BE73+BF73+BG73+BR73+BS73)+('Index Price Deals'!B73+'Index Price Deals'!C73+'Index Price Deals'!D73+'Index Price Deals'!L73+'Index Price Deals'!M73+'Index Price Deals'!N73+'Index Price Deals'!AD73+'Index Price Deals'!AE73+'Index Price Deals'!AF73+'Index Price Deals'!AK73+'Index Price Deals'!AL73+'Index Price Deals'!AM73))*'Prices&amp;Fuel'!H73</f>
        <v>8651621.85089974</v>
      </c>
      <c r="CX73" s="12" t="n">
        <f aca="false">BQ73/(BB73+BC73+BD73+BE73+BF73+BG73)/'Prices&amp;Fuel'!H73</f>
        <v>0.0433180269373954</v>
      </c>
      <c r="CY73" s="72"/>
      <c r="CZ73" s="13" t="n">
        <f aca="false">(BA73-CT73+CU73)/(AF73+AG73+AH73)/'Prices&amp;Fuel'!H73</f>
        <v>0.0875505654945903</v>
      </c>
      <c r="DB73" s="1" t="n">
        <f aca="false">(O73+P73+Q73)*'Prices&amp;Fuel'!$H73</f>
        <v>778100</v>
      </c>
      <c r="DE73" s="1" t="n">
        <v>226000</v>
      </c>
    </row>
    <row r="74" customFormat="false" ht="12.75" hidden="false" customHeight="false" outlineLevel="0" collapsed="false">
      <c r="A74" s="6" t="n">
        <f aca="false">+A73+365/12</f>
        <v>37847.75</v>
      </c>
      <c r="O74" s="7" t="n">
        <v>9036</v>
      </c>
      <c r="P74" s="7" t="n">
        <v>10794</v>
      </c>
      <c r="Q74" s="7" t="n">
        <v>5270</v>
      </c>
      <c r="R74" s="8" t="n">
        <f aca="false">R73</f>
        <v>2.4308</v>
      </c>
      <c r="S74" s="8" t="n">
        <f aca="false">S73</f>
        <v>2.4188</v>
      </c>
      <c r="T74" s="7" t="n">
        <f aca="false">(($O74*R74)+($P74*R74)+($Q74*R74))*'Prices&amp;Fuel'!$H74</f>
        <v>1891405.48</v>
      </c>
      <c r="U74" s="7" t="n">
        <f aca="false">(($O74*S74)+($P74*S74)+($Q74*S74))*'Prices&amp;Fuel'!$H74</f>
        <v>1882068.28</v>
      </c>
      <c r="V74" s="14" t="n">
        <f aca="false">T74-U74</f>
        <v>9337.19999999972</v>
      </c>
      <c r="X74" s="7"/>
      <c r="AF74" s="7" t="n">
        <f aca="false">((126000)/(1-'Prices&amp;Fuel'!F74))+(25000/(1-'Prices&amp;Fuel'!G74))-AI74</f>
        <v>155269.922879177</v>
      </c>
      <c r="AG74" s="7" t="n">
        <v>0</v>
      </c>
      <c r="AH74" s="7" t="n">
        <f aca="false">(75000/(1-'Prices&amp;Fuel'!G74))-AK74</f>
        <v>77120.822622108</v>
      </c>
      <c r="AI74" s="7"/>
      <c r="AJ74" s="7"/>
      <c r="AK74" s="7"/>
      <c r="AL74" s="11" t="n">
        <f aca="false">ROUND((226000/(1-'Prices&amp;Fuel'!F74))-AF74-AG74-AH74,0)</f>
        <v>0</v>
      </c>
      <c r="AM74" s="7" t="n">
        <f aca="false">ROUND(IF(AF74&lt;AP74,0,(AF74-AP74-AI74)/2),0)</f>
        <v>37635</v>
      </c>
      <c r="AO74" s="7" t="n">
        <f aca="false">ROUND((75000/(1-'Prices&amp;Fuel'!G74)-AV74-AK74)/2,0)</f>
        <v>38560</v>
      </c>
      <c r="AP74" s="7" t="n">
        <f aca="false">IF(80000&gt;AF74,AF74,80000)</f>
        <v>80000</v>
      </c>
      <c r="AR74" s="7" t="n">
        <f aca="false">IF(AP74&gt;AF74,0,AF74-AM74-AP74)</f>
        <v>37634.9228791774</v>
      </c>
      <c r="AT74" s="14" t="n">
        <f aca="false">AH74-AO74-AV74</f>
        <v>38560.822622108</v>
      </c>
      <c r="AU74" s="14" t="n">
        <f aca="false">AL74*AX74*'Prices&amp;Fuel'!H74</f>
        <v>0</v>
      </c>
      <c r="AW74" s="68" t="n">
        <f aca="false">AW73</f>
        <v>0.08</v>
      </c>
      <c r="AX74" s="68" t="n">
        <f aca="false">AX73</f>
        <v>0.025</v>
      </c>
      <c r="AY74" s="5" t="n">
        <f aca="false">('Prices&amp;Fuel'!H74*('Prices&amp;Fuel'!B74+AW74)*'Long Term Deals'!AF74)+('Prices&amp;Fuel'!H74*('Prices&amp;Fuel'!C74+'Long Term Deals'!AW74)*'Long Term Deals'!AG74)+(AH74*('Prices&amp;Fuel'!C74+AW74)*'Prices&amp;Fuel'!H74)+(AW74*AL74*'Prices&amp;Fuel'!H74)</f>
        <v>27645866.940874</v>
      </c>
      <c r="AZ74" s="5" t="n">
        <f aca="false">(AP74*'Prices&amp;Fuel'!H74*'Prices&amp;Fuel'!B74)+(AQ74*'Prices&amp;Fuel'!C74*'Prices&amp;Fuel'!H74)+((AM74+AR74)*('Prices&amp;Fuel'!B74+'Long Term Deals'!AX74)*'Prices&amp;Fuel'!H74)+((AN74+AS74)*('Prices&amp;Fuel'!C74+'Long Term Deals'!AX74)*'Prices&amp;Fuel'!H74)+((AO74+AT74)*('Prices&amp;Fuel'!D74+'Long Term Deals'!AX74)*'Prices&amp;Fuel'!H74)+(AV74*'Prices&amp;Fuel'!H74*'Prices&amp;Fuel'!Q74)+AU74</f>
        <v>27068103.4447301</v>
      </c>
      <c r="BA74" s="5" t="n">
        <f aca="false">AY74-AZ74</f>
        <v>577763.49614396</v>
      </c>
      <c r="BB74" s="5" t="n">
        <f aca="false">IF('FP Corp'!T74-((BE74+BF74+BG74)*(1-'Prices&amp;Fuel'!F74))&lt;'Prices&amp;Fuel'!R74,('FP Corp'!T74-(BE74+BF74+BG74)*(1-'Prices&amp;Fuel'!F74)),'Prices&amp;Fuel'!R74)/(1-'Prices&amp;Fuel'!F74)</f>
        <v>8976.86375321337</v>
      </c>
      <c r="BC74" s="9"/>
      <c r="BD74" s="9" t="n">
        <f aca="false">ROUND(IF('FP Corp'!T74/(1-'Prices&amp;Fuel'!F74)-BE74-BF74-BG74-BB74&gt;'Prices&amp;Fuel'!T74,'Prices&amp;Fuel'!T74,'FP Corp'!T74/(1-'Prices&amp;Fuel'!F74)-BE74-BF74-BG74-BB74),9)</f>
        <v>6556.298200514</v>
      </c>
      <c r="BE74" s="9" t="n">
        <f aca="false">'Prices&amp;Fuel'!U74/(1-'Prices&amp;Fuel'!F74)</f>
        <v>1933.16195372751</v>
      </c>
      <c r="BF74" s="9" t="n">
        <f aca="false">('Prices&amp;Fuel'!V74+'Prices&amp;Fuel'!X74)/(1-'Prices&amp;Fuel'!F74)</f>
        <v>3062.21079691517</v>
      </c>
      <c r="BG74" s="9" t="n">
        <f aca="false">'Prices&amp;Fuel'!W74/(1-'Prices&amp;Fuel'!F74)</f>
        <v>1065.29562982005</v>
      </c>
      <c r="BH74" s="10" t="n">
        <f aca="false">('Prices&amp;Fuel'!C74+'Prices&amp;Fuel'!D74)/2-0.05+('Prices&amp;Fuel'!M74+'Prices&amp;Fuel'!P74)*(1-'Prices&amp;Fuel'!F74)</f>
        <v>4.47152225</v>
      </c>
      <c r="BI74" s="9" t="n">
        <f aca="false">IF(AP74=80000,0,BB74)</f>
        <v>0</v>
      </c>
      <c r="BJ74" s="9"/>
      <c r="BK74" s="10" t="n">
        <f aca="false">(((BB74+BE74)*('Prices&amp;Fuel'!B74+0.025))+(('Prices&amp;Fuel'!D74+0.025)*(BD74+BG74))+(('Prices&amp;Fuel'!C74+0.025)*(BC74+BF74))-(BI74+BJ74)*0.025)/(BB74+BC74+BD74+BE74+BF74+BG74)</f>
        <v>3.7746380952381</v>
      </c>
      <c r="BL74" s="9" t="n">
        <f aca="false">(BB74+BC74+BD74+BE74+BF74+BG74)*BH74*'Prices&amp;Fuel'!H74</f>
        <v>2993276.07686373</v>
      </c>
      <c r="BM74" s="9" t="n">
        <f aca="false">'Prices&amp;Fuel'!X74*('Prices&amp;Fuel'!N74+'Prices&amp;Fuel'!O74)*'Prices&amp;Fuel'!H74</f>
        <v>8908.41393487597</v>
      </c>
      <c r="BN74" s="9" t="n">
        <f aca="false">('Prices&amp;Fuel'!U74+'Prices&amp;Fuel'!V74+'Prices&amp;Fuel'!W74)*('Prices&amp;Fuel'!L74+'Prices&amp;Fuel'!O74)*'Prices&amp;Fuel'!H74</f>
        <v>67967.4158340245</v>
      </c>
      <c r="BO74" s="9" t="n">
        <f aca="false">((BB74+BC74+BD74)*(1-'Prices&amp;Fuel'!G74))*('Prices&amp;Fuel'!M74+'Prices&amp;Fuel'!P74)*'Prices&amp;Fuel'!H74</f>
        <v>360627.048599997</v>
      </c>
      <c r="BP74" s="9" t="n">
        <f aca="false">((BD74+BC74+BB74+BE74+BF74+BG74)*BK74*'Prices&amp;Fuel'!H74)+BM74+BN74+BO74</f>
        <v>2964278.6110167</v>
      </c>
      <c r="BQ74" s="5" t="n">
        <f aca="false">BL74-BP74</f>
        <v>28997.4658470387</v>
      </c>
      <c r="CA74" s="5" t="n">
        <f aca="false">(AF74+AG74+AH74+AL74)*0.005*'Prices&amp;Fuel'!H74</f>
        <v>36020.5655526992</v>
      </c>
      <c r="CB74" s="5" t="n">
        <f aca="false">(B74+C74+D74+O74+P74+Q74+X74+Y74+BB74+BC74+BD74+BE74+BF74+BG74+BR74+BS74)*0.005*'Prices&amp;Fuel'!H74</f>
        <v>7237.54370179946</v>
      </c>
      <c r="CC74" s="7" t="n">
        <f aca="false">K74+T74+AB74+AY74+BL74+BX74</f>
        <v>32530548.4977378</v>
      </c>
      <c r="CD74" s="7" t="n">
        <f aca="false">L74+U74+AC74+AZ74+BP74+BY74+CA74+CB74</f>
        <v>31957708.4450013</v>
      </c>
      <c r="CE74" s="7" t="n">
        <f aca="false">CC74-CD74</f>
        <v>572840.052736498</v>
      </c>
      <c r="CF74" s="7" t="n">
        <f aca="false">'Index Price Deals'!AR74</f>
        <v>0</v>
      </c>
      <c r="CG74" s="7" t="n">
        <f aca="false">'Index Price Deals'!AS74</f>
        <v>0</v>
      </c>
      <c r="CH74" s="7" t="n">
        <f aca="false">'Index Price Deals'!AT74</f>
        <v>0</v>
      </c>
      <c r="CI74" s="7" t="n">
        <f aca="false">'Index Price Deals'!AU74</f>
        <v>0</v>
      </c>
      <c r="CJ74" s="7" t="n">
        <f aca="false">CC74+CF74</f>
        <v>32530548.4977378</v>
      </c>
      <c r="CK74" s="7" t="n">
        <f aca="false">CD74+CH74</f>
        <v>31957708.4450013</v>
      </c>
      <c r="CL74" s="7" t="n">
        <f aca="false">CE74+CI74</f>
        <v>572840.052736498</v>
      </c>
      <c r="CM74" s="69"/>
      <c r="CN74" s="7" t="n">
        <f aca="false">Transport!U74</f>
        <v>3.16872756229714E-009</v>
      </c>
      <c r="CO74" s="71"/>
      <c r="CQ74" s="7" t="n">
        <f aca="false">(((($B74+$C74+$D74+$O74+$P74+$Q74)*0.5)+BR74+BS74)*(0.005*'Prices&amp;Fuel'!$H74)+'Index Price Deals'!AV74)+(((BB74+BC74+BD74+BE74+BF74+BG74)*(1-'Prices&amp;Fuel'!F74))*0.005*0.5*'Prices&amp;Fuel'!H74)</f>
        <v>3572.74999999999</v>
      </c>
      <c r="CR74" s="7" t="n">
        <f aca="false">(((($B74+$C74+$D74+$O74+$P74+$Q74)*0.5)+X74+Y74)*(0.005*'Prices&amp;Fuel'!$H74)+CA74+'Index Price Deals'!AW74)+(((BB74+BC74+BD74+BE74+BF74+BG74)*(1-'Prices&amp;Fuel'!F74))*0.005*0.5*'Prices&amp;Fuel'!H74)</f>
        <v>39593.3155526992</v>
      </c>
      <c r="CS74" s="11"/>
      <c r="CT74" s="7" t="n">
        <f aca="false">[2]Sheet1!$O88</f>
        <v>-96933.5824543888</v>
      </c>
      <c r="CU74" s="7" t="n">
        <f aca="false">'[3]Long Term Deals'!$Z73</f>
        <v>-43972.9018835931</v>
      </c>
      <c r="CV74" s="70" t="n">
        <f aca="false">CL74-CN74-CT74+CU74+CS74+CO74</f>
        <v>625800.733307291</v>
      </c>
      <c r="CW74" s="14" t="n">
        <f aca="false">((B74+C74+D74+O74+P74+Q74+X74+Y74+AF74+AG74+AH74+BB74+BC74+BD74+BE74+BF74+BG74+BR74+BS74)+('Index Price Deals'!B74+'Index Price Deals'!C74+'Index Price Deals'!D74+'Index Price Deals'!L74+'Index Price Deals'!M74+'Index Price Deals'!N74+'Index Price Deals'!AD74+'Index Price Deals'!AE74+'Index Price Deals'!AF74+'Index Price Deals'!AK74+'Index Price Deals'!AL74+'Index Price Deals'!AM74))*'Prices&amp;Fuel'!H74</f>
        <v>8651621.85089974</v>
      </c>
      <c r="CX74" s="12" t="n">
        <f aca="false">BQ74/(BB74+BC74+BD74+BE74+BF74+BG74)/'Prices&amp;Fuel'!H74</f>
        <v>0.0433180269373968</v>
      </c>
      <c r="CY74" s="72"/>
      <c r="CZ74" s="13" t="n">
        <f aca="false">(BA74-CT74+CU74)/(AF74+AG74+AH74)/'Prices&amp;Fuel'!H74</f>
        <v>0.0875505654945903</v>
      </c>
      <c r="DB74" s="1" t="n">
        <f aca="false">(O74+P74+Q74)*'Prices&amp;Fuel'!$H74</f>
        <v>778100</v>
      </c>
      <c r="DE74" s="1" t="n">
        <v>226000</v>
      </c>
    </row>
    <row r="75" customFormat="false" ht="12.75" hidden="false" customHeight="false" outlineLevel="0" collapsed="false">
      <c r="A75" s="6" t="n">
        <f aca="false">+A74+365/12</f>
        <v>37878.1666666667</v>
      </c>
      <c r="O75" s="7" t="n">
        <v>9036</v>
      </c>
      <c r="P75" s="7" t="n">
        <v>10794</v>
      </c>
      <c r="Q75" s="7" t="n">
        <v>5270</v>
      </c>
      <c r="R75" s="8" t="n">
        <f aca="false">R74</f>
        <v>2.4308</v>
      </c>
      <c r="S75" s="8" t="n">
        <f aca="false">S74</f>
        <v>2.4188</v>
      </c>
      <c r="T75" s="7" t="n">
        <f aca="false">(($O75*R75)+($P75*R75)+($Q75*R75))*'Prices&amp;Fuel'!$H75</f>
        <v>1830392.4</v>
      </c>
      <c r="U75" s="7" t="n">
        <f aca="false">(($O75*S75)+($P75*S75)+($Q75*S75))*'Prices&amp;Fuel'!$H75</f>
        <v>1821356.4</v>
      </c>
      <c r="V75" s="14" t="n">
        <f aca="false">T75-U75</f>
        <v>9036</v>
      </c>
      <c r="X75" s="7"/>
      <c r="AF75" s="7" t="n">
        <f aca="false">((126000)/(1-'Prices&amp;Fuel'!F75))+(25000/(1-'Prices&amp;Fuel'!G75))-AI75</f>
        <v>155269.922879177</v>
      </c>
      <c r="AG75" s="7" t="n">
        <v>0</v>
      </c>
      <c r="AH75" s="7" t="n">
        <f aca="false">(75000/(1-'Prices&amp;Fuel'!G75))-AK75</f>
        <v>77120.822622108</v>
      </c>
      <c r="AI75" s="7"/>
      <c r="AJ75" s="7"/>
      <c r="AK75" s="7"/>
      <c r="AL75" s="11" t="n">
        <f aca="false">ROUND((226000/(1-'Prices&amp;Fuel'!F75))-AF75-AG75-AH75,0)</f>
        <v>0</v>
      </c>
      <c r="AM75" s="7" t="n">
        <f aca="false">ROUND(IF(AF75&lt;AP75,0,(AF75-AP75-AI75)/2),0)</f>
        <v>37635</v>
      </c>
      <c r="AO75" s="7" t="n">
        <f aca="false">ROUND((75000/(1-'Prices&amp;Fuel'!G75)-AV75-AK75)/2,0)</f>
        <v>38560</v>
      </c>
      <c r="AP75" s="7" t="n">
        <f aca="false">IF(80000&gt;AF75,AF75,80000)</f>
        <v>80000</v>
      </c>
      <c r="AR75" s="7" t="n">
        <f aca="false">IF(AP75&gt;AF75,0,AF75-AM75-AP75)</f>
        <v>37634.9228791774</v>
      </c>
      <c r="AT75" s="14" t="n">
        <f aca="false">AH75-AO75-AV75</f>
        <v>38560.822622108</v>
      </c>
      <c r="AU75" s="14" t="n">
        <f aca="false">AL75*AX75*'Prices&amp;Fuel'!H75</f>
        <v>0</v>
      </c>
      <c r="AW75" s="68" t="n">
        <f aca="false">AW74</f>
        <v>0.08</v>
      </c>
      <c r="AX75" s="68" t="n">
        <f aca="false">AX74</f>
        <v>0.025</v>
      </c>
      <c r="AY75" s="5" t="n">
        <f aca="false">('Prices&amp;Fuel'!H75*('Prices&amp;Fuel'!B75+AW75)*'Long Term Deals'!AF75)+('Prices&amp;Fuel'!H75*('Prices&amp;Fuel'!C75+'Long Term Deals'!AW75)*'Long Term Deals'!AG75)+(AH75*('Prices&amp;Fuel'!C75+AW75)*'Prices&amp;Fuel'!H75)+(AW75*AL75*'Prices&amp;Fuel'!H75)</f>
        <v>32175973.2647815</v>
      </c>
      <c r="AZ75" s="5" t="n">
        <f aca="false">(AP75*'Prices&amp;Fuel'!H75*'Prices&amp;Fuel'!B75)+(AQ75*'Prices&amp;Fuel'!C75*'Prices&amp;Fuel'!H75)+((AM75+AR75)*('Prices&amp;Fuel'!B75+'Long Term Deals'!AX75)*'Prices&amp;Fuel'!H75)+((AN75+AS75)*('Prices&amp;Fuel'!C75+'Long Term Deals'!AX75)*'Prices&amp;Fuel'!H75)+((AO75+AT75)*('Prices&amp;Fuel'!D75+'Long Term Deals'!AX75)*'Prices&amp;Fuel'!H75)+(AV75*'Prices&amp;Fuel'!H75*'Prices&amp;Fuel'!Q75)+AU75</f>
        <v>31616847.3007712</v>
      </c>
      <c r="BA75" s="5" t="n">
        <f aca="false">AY75-AZ75</f>
        <v>559125.96401028</v>
      </c>
      <c r="BB75" s="5" t="n">
        <f aca="false">IF('FP Corp'!T75-((BE75+BF75+BG75)*(1-'Prices&amp;Fuel'!F75))&lt;'Prices&amp;Fuel'!R75,('FP Corp'!T75-(BE75+BF75+BG75)*(1-'Prices&amp;Fuel'!F75)),'Prices&amp;Fuel'!R75)/(1-'Prices&amp;Fuel'!F75)</f>
        <v>8976.86375321337</v>
      </c>
      <c r="BC75" s="9"/>
      <c r="BD75" s="9" t="n">
        <f aca="false">ROUND(IF('FP Corp'!T75/(1-'Prices&amp;Fuel'!F75)-BE75-BF75-BG75-BB75&gt;'Prices&amp;Fuel'!T75,'Prices&amp;Fuel'!T75,'FP Corp'!T75/(1-'Prices&amp;Fuel'!F75)-BE75-BF75-BG75-BB75),9)</f>
        <v>6556.298200514</v>
      </c>
      <c r="BE75" s="9" t="n">
        <f aca="false">'Prices&amp;Fuel'!U75/(1-'Prices&amp;Fuel'!F75)</f>
        <v>1933.16195372751</v>
      </c>
      <c r="BF75" s="9" t="n">
        <f aca="false">('Prices&amp;Fuel'!V75+'Prices&amp;Fuel'!X75)/(1-'Prices&amp;Fuel'!F75)</f>
        <v>3062.21079691517</v>
      </c>
      <c r="BG75" s="9" t="n">
        <f aca="false">'Prices&amp;Fuel'!W75/(1-'Prices&amp;Fuel'!F75)</f>
        <v>1065.29562982005</v>
      </c>
      <c r="BH75" s="10" t="n">
        <f aca="false">('Prices&amp;Fuel'!C75+'Prices&amp;Fuel'!D75)/2-0.05+('Prices&amp;Fuel'!M75+'Prices&amp;Fuel'!P75)*(1-'Prices&amp;Fuel'!F75)</f>
        <v>5.24922225</v>
      </c>
      <c r="BI75" s="9" t="n">
        <f aca="false">IF(AP75=80000,0,BB75)</f>
        <v>0</v>
      </c>
      <c r="BJ75" s="9"/>
      <c r="BK75" s="10" t="n">
        <f aca="false">(((BB75+BE75)*('Prices&amp;Fuel'!B75+0.025))+(('Prices&amp;Fuel'!D75+0.025)*(BD75+BG75))+(('Prices&amp;Fuel'!C75+0.025)*(BC75+BF75))-(BI75+BJ75)*0.025)/(BB75+BC75+BD75+BE75+BF75+BG75)</f>
        <v>4.5523380952381</v>
      </c>
      <c r="BL75" s="9" t="n">
        <f aca="false">(BB75+BC75+BD75+BE75+BF75+BG75)*BH75*'Prices&amp;Fuel'!H75</f>
        <v>3400524.43958867</v>
      </c>
      <c r="BM75" s="9" t="n">
        <f aca="false">'Prices&amp;Fuel'!X75*('Prices&amp;Fuel'!N75+'Prices&amp;Fuel'!O75)*'Prices&amp;Fuel'!H75</f>
        <v>8621.04574342836</v>
      </c>
      <c r="BN75" s="9" t="n">
        <f aca="false">('Prices&amp;Fuel'!U75+'Prices&amp;Fuel'!V75+'Prices&amp;Fuel'!W75)*('Prices&amp;Fuel'!L75+'Prices&amp;Fuel'!O75)*'Prices&amp;Fuel'!H75</f>
        <v>65774.9185490559</v>
      </c>
      <c r="BO75" s="9" t="n">
        <f aca="false">((BB75+BC75+BD75)*(1-'Prices&amp;Fuel'!G75))*('Prices&amp;Fuel'!M75+'Prices&amp;Fuel'!P75)*'Prices&amp;Fuel'!H75</f>
        <v>348993.917999997</v>
      </c>
      <c r="BP75" s="9" t="n">
        <f aca="false">((BD75+BC75+BB75+BE75+BF75+BG75)*BK75*'Prices&amp;Fuel'!H75)+BM75+BN75+BO75</f>
        <v>3372462.37586573</v>
      </c>
      <c r="BQ75" s="5" t="n">
        <f aca="false">BL75-BP75</f>
        <v>28062.0637229397</v>
      </c>
      <c r="CA75" s="5" t="n">
        <f aca="false">(AF75+AG75+AH75+AL75)*0.005*'Prices&amp;Fuel'!H75</f>
        <v>34858.6118251928</v>
      </c>
      <c r="CB75" s="5" t="n">
        <f aca="false">(B75+C75+D75+O75+P75+Q75+X75+Y75+BB75+BC75+BD75+BE75+BF75+BG75+BR75+BS75)*0.005*'Prices&amp;Fuel'!H75</f>
        <v>7004.07455012851</v>
      </c>
      <c r="CC75" s="7" t="n">
        <f aca="false">K75+T75+AB75+AY75+BL75+BX75</f>
        <v>37406890.1043702</v>
      </c>
      <c r="CD75" s="7" t="n">
        <f aca="false">L75+U75+AC75+AZ75+BP75+BY75+CA75+CB75</f>
        <v>36852528.7630123</v>
      </c>
      <c r="CE75" s="7" t="n">
        <f aca="false">CC75-CD75</f>
        <v>554361.341357902</v>
      </c>
      <c r="CF75" s="7" t="n">
        <f aca="false">'Index Price Deals'!AR75</f>
        <v>0</v>
      </c>
      <c r="CG75" s="7" t="n">
        <f aca="false">'Index Price Deals'!AS75</f>
        <v>0</v>
      </c>
      <c r="CH75" s="7" t="n">
        <f aca="false">'Index Price Deals'!AT75</f>
        <v>0</v>
      </c>
      <c r="CI75" s="7" t="n">
        <f aca="false">'Index Price Deals'!AU75</f>
        <v>0</v>
      </c>
      <c r="CJ75" s="7" t="n">
        <f aca="false">CC75+CF75</f>
        <v>37406890.1043702</v>
      </c>
      <c r="CK75" s="7" t="n">
        <f aca="false">CD75+CH75</f>
        <v>36852528.7630123</v>
      </c>
      <c r="CL75" s="7" t="n">
        <f aca="false">CE75+CI75</f>
        <v>554361.341357902</v>
      </c>
      <c r="CM75" s="69"/>
      <c r="CN75" s="7" t="n">
        <f aca="false">Transport!U75</f>
        <v>3.06651054415852E-009</v>
      </c>
      <c r="CO75" s="71"/>
      <c r="CQ75" s="7" t="n">
        <f aca="false">(((($B75+$C75+$D75+$O75+$P75+$Q75)*0.5)+BR75+BS75)*(0.005*'Prices&amp;Fuel'!$H75)+'Index Price Deals'!AV75)+(((BB75+BC75+BD75+BE75+BF75+BG75)*(1-'Prices&amp;Fuel'!F75))*0.005*0.5*'Prices&amp;Fuel'!H75)</f>
        <v>3457.49999999999</v>
      </c>
      <c r="CR75" s="7" t="n">
        <f aca="false">(((($B75+$C75+$D75+$O75+$P75+$Q75)*0.5)+X75+Y75)*(0.005*'Prices&amp;Fuel'!$H75)+CA75+'Index Price Deals'!AW75)+(((BB75+BC75+BD75+BE75+BF75+BG75)*(1-'Prices&amp;Fuel'!F75))*0.005*0.5*'Prices&amp;Fuel'!H75)</f>
        <v>38316.1118251928</v>
      </c>
      <c r="CS75" s="11"/>
      <c r="CT75" s="7" t="n">
        <f aca="false">[2]Sheet1!$O89</f>
        <v>-93806.6926977956</v>
      </c>
      <c r="CU75" s="7" t="n">
        <f aca="false">'[3]Long Term Deals'!$Z74</f>
        <v>-42554.4211776707</v>
      </c>
      <c r="CV75" s="70" t="n">
        <f aca="false">CL75-CN75-CT75+CU75+CS75+CO75</f>
        <v>605613.612878024</v>
      </c>
      <c r="CW75" s="14" t="n">
        <f aca="false">((B75+C75+D75+O75+P75+Q75+X75+Y75+AF75+AG75+AH75+BB75+BC75+BD75+BE75+BF75+BG75+BR75+BS75)+('Index Price Deals'!B75+'Index Price Deals'!C75+'Index Price Deals'!D75+'Index Price Deals'!L75+'Index Price Deals'!M75+'Index Price Deals'!N75+'Index Price Deals'!AD75+'Index Price Deals'!AE75+'Index Price Deals'!AF75+'Index Price Deals'!AK75+'Index Price Deals'!AL75+'Index Price Deals'!AM75))*'Prices&amp;Fuel'!H75</f>
        <v>8372537.27506426</v>
      </c>
      <c r="CX75" s="12" t="n">
        <f aca="false">BQ75/(BB75+BC75+BD75+BE75+BF75+BG75)/'Prices&amp;Fuel'!H75</f>
        <v>0.0433180269373953</v>
      </c>
      <c r="CY75" s="72"/>
      <c r="CZ75" s="13" t="n">
        <f aca="false">(BA75-CT75+CU75)/(AF75+AG75+AH75)/'Prices&amp;Fuel'!H75</f>
        <v>0.0875505654945897</v>
      </c>
      <c r="DB75" s="1" t="n">
        <f aca="false">(O75+P75+Q75)*'Prices&amp;Fuel'!$H75</f>
        <v>753000</v>
      </c>
      <c r="DE75" s="1" t="n">
        <v>226000</v>
      </c>
    </row>
    <row r="76" customFormat="false" ht="12.75" hidden="false" customHeight="false" outlineLevel="0" collapsed="false">
      <c r="A76" s="6" t="n">
        <f aca="false">+A75+365/12</f>
        <v>37908.5833333333</v>
      </c>
      <c r="O76" s="7" t="n">
        <v>9036</v>
      </c>
      <c r="P76" s="7" t="n">
        <v>10794</v>
      </c>
      <c r="Q76" s="7" t="n">
        <v>5270</v>
      </c>
      <c r="R76" s="8" t="n">
        <f aca="false">R75</f>
        <v>2.4308</v>
      </c>
      <c r="S76" s="8" t="n">
        <f aca="false">S75</f>
        <v>2.4188</v>
      </c>
      <c r="T76" s="7" t="n">
        <f aca="false">(($O76*R76)+($P76*R76)+($Q76*R76))*'Prices&amp;Fuel'!$H76</f>
        <v>1891405.48</v>
      </c>
      <c r="U76" s="7" t="n">
        <f aca="false">(($O76*S76)+($P76*S76)+($Q76*S76))*'Prices&amp;Fuel'!$H76</f>
        <v>1882068.28</v>
      </c>
      <c r="V76" s="14" t="n">
        <f aca="false">T76-U76</f>
        <v>9337.19999999972</v>
      </c>
      <c r="X76" s="7"/>
      <c r="AF76" s="7" t="n">
        <f aca="false">(32000/(1-'Prices&amp;Fuel'!F76))+(25000/(1-'Prices&amp;Fuel'!G76))-AI76</f>
        <v>58611.8251928021</v>
      </c>
      <c r="AG76" s="7" t="n">
        <v>0</v>
      </c>
      <c r="AH76" s="7" t="n">
        <f aca="false">(75000/(1-'Prices&amp;Fuel'!G76))-AK76</f>
        <v>77120.822622108</v>
      </c>
      <c r="AI76" s="7"/>
      <c r="AJ76" s="7"/>
      <c r="AK76" s="7"/>
      <c r="AL76" s="11" t="n">
        <f aca="false">ROUND((132000/(1-'Prices&amp;Fuel'!F76))-AF76-AG76-AH76,0)</f>
        <v>0</v>
      </c>
      <c r="AM76" s="7" t="n">
        <f aca="false">ROUND(IF(AF76&lt;AP76,0,(AF76-AP76-AI76)/2),0)</f>
        <v>0</v>
      </c>
      <c r="AO76" s="7" t="n">
        <f aca="false">ROUND((75000/(1-'Prices&amp;Fuel'!G76)-AV76-AK76)/2,0)</f>
        <v>38560</v>
      </c>
      <c r="AP76" s="7" t="n">
        <f aca="false">IF(80000&gt;AF76,AF76,80000)</f>
        <v>58611.8251928021</v>
      </c>
      <c r="AR76" s="7" t="n">
        <f aca="false">IF(AP76&gt;AF76,0,AF76-AM76-AP76)</f>
        <v>0</v>
      </c>
      <c r="AT76" s="14" t="n">
        <f aca="false">AH76-AO76-AV76</f>
        <v>38560.822622108</v>
      </c>
      <c r="AU76" s="14" t="n">
        <f aca="false">AL76*AX76*'Prices&amp;Fuel'!H76</f>
        <v>0</v>
      </c>
      <c r="AW76" s="68" t="n">
        <f aca="false">AW75</f>
        <v>0.08</v>
      </c>
      <c r="AX76" s="68" t="n">
        <f aca="false">AX75</f>
        <v>0.025</v>
      </c>
      <c r="AY76" s="5" t="n">
        <f aca="false">('Prices&amp;Fuel'!H76*('Prices&amp;Fuel'!B76+AW76)*'Long Term Deals'!AF76)+('Prices&amp;Fuel'!H76*('Prices&amp;Fuel'!C76+'Long Term Deals'!AW76)*'Long Term Deals'!AG76)+(AH76*('Prices&amp;Fuel'!C76+AW76)*'Prices&amp;Fuel'!H76)+(AW76*AL76*'Prices&amp;Fuel'!H76)</f>
        <v>22369000.7197943</v>
      </c>
      <c r="AZ76" s="5" t="n">
        <f aca="false">(AP76*'Prices&amp;Fuel'!H76*'Prices&amp;Fuel'!B76)+(AQ76*'Prices&amp;Fuel'!C76*'Prices&amp;Fuel'!H76)+((AM76+AR76)*('Prices&amp;Fuel'!B76+'Long Term Deals'!AX76)*'Prices&amp;Fuel'!H76)+((AN76+AS76)*('Prices&amp;Fuel'!C76+'Long Term Deals'!AX76)*'Prices&amp;Fuel'!H76)+((AO76+AT76)*('Prices&amp;Fuel'!D76+'Long Term Deals'!AX76)*'Prices&amp;Fuel'!H76)+(AV76*'Prices&amp;Fuel'!H76*'Prices&amp;Fuel'!Q76)+AU76</f>
        <v>21972615.1156812</v>
      </c>
      <c r="BA76" s="5" t="n">
        <f aca="false">AY76-AZ76</f>
        <v>396385.604113109</v>
      </c>
      <c r="BB76" s="5" t="n">
        <f aca="false">IF('FP Corp'!T76-((BE76+BF76+BG76)*(1-'Prices&amp;Fuel'!F76))&lt;'Prices&amp;Fuel'!R76,('FP Corp'!T76-(BE76+BF76+BG76)*(1-'Prices&amp;Fuel'!F76)),'Prices&amp;Fuel'!R76)/(1-'Prices&amp;Fuel'!F76)</f>
        <v>8976.86375321337</v>
      </c>
      <c r="BC76" s="9"/>
      <c r="BD76" s="9" t="n">
        <f aca="false">ROUND(IF('FP Corp'!T76/(1-'Prices&amp;Fuel'!F76)-BE76-BF76-BG76-BB76&gt;'Prices&amp;Fuel'!T76,'Prices&amp;Fuel'!T76,'FP Corp'!T76/(1-'Prices&amp;Fuel'!F76)-BE76-BF76-BG76-BB76),9)</f>
        <v>3514.652956298</v>
      </c>
      <c r="BE76" s="9" t="n">
        <f aca="false">'Prices&amp;Fuel'!U76/(1-'Prices&amp;Fuel'!F76)</f>
        <v>2910.02570694087</v>
      </c>
      <c r="BF76" s="9" t="n">
        <f aca="false">('Prices&amp;Fuel'!V76+'Prices&amp;Fuel'!X76)/(1-'Prices&amp;Fuel'!F76)</f>
        <v>4628.27763496144</v>
      </c>
      <c r="BG76" s="9" t="n">
        <f aca="false">'Prices&amp;Fuel'!W76/(1-'Prices&amp;Fuel'!F76)</f>
        <v>1564.01028277635</v>
      </c>
      <c r="BH76" s="10" t="n">
        <f aca="false">('Prices&amp;Fuel'!C76+'Prices&amp;Fuel'!D76)/2-0.05+('Prices&amp;Fuel'!M76+'Prices&amp;Fuel'!P76)*(1-'Prices&amp;Fuel'!F76)</f>
        <v>5.93602225</v>
      </c>
      <c r="BI76" s="9" t="n">
        <f aca="false">IF(AP76=80000,0,BB76)</f>
        <v>8976.86375321337</v>
      </c>
      <c r="BJ76" s="9"/>
      <c r="BK76" s="10" t="n">
        <f aca="false">(((BB76+BE76)*('Prices&amp;Fuel'!B76+0.025))+(('Prices&amp;Fuel'!D76+0.025)*(BD76+BG76))+(('Prices&amp;Fuel'!C76+0.025)*(BC76+BF76))-(BI76+BJ76)*0.025)/(BB76+BC76+BD76+BE76+BF76+BG76)</f>
        <v>5.23191904761905</v>
      </c>
      <c r="BL76" s="9" t="n">
        <f aca="false">(BB76+BC76+BD76+BE76+BF76+BG76)*BH76*'Prices&amp;Fuel'!H76</f>
        <v>3973625.17712079</v>
      </c>
      <c r="BM76" s="9" t="n">
        <f aca="false">'Prices&amp;Fuel'!X76*('Prices&amp;Fuel'!N76+'Prices&amp;Fuel'!O76)*'Prices&amp;Fuel'!H76</f>
        <v>13056.1088562384</v>
      </c>
      <c r="BN76" s="9" t="n">
        <f aca="false">('Prices&amp;Fuel'!U76+'Prices&amp;Fuel'!V76+'Prices&amp;Fuel'!W76)*('Prices&amp;Fuel'!L76+'Prices&amp;Fuel'!O76)*'Prices&amp;Fuel'!H76</f>
        <v>102401.109520807</v>
      </c>
      <c r="BO76" s="9" t="n">
        <f aca="false">((BB76+BC76+BD76)*(1-'Prices&amp;Fuel'!G76))*('Prices&amp;Fuel'!M76+'Prices&amp;Fuel'!P76)*'Prices&amp;Fuel'!H76</f>
        <v>290010.418799995</v>
      </c>
      <c r="BP76" s="9" t="n">
        <f aca="false">((BD76+BC76+BB76+BE76+BF76+BG76)*BK76*'Prices&amp;Fuel'!H76)+BM76+BN76+BO76</f>
        <v>3907759.97650863</v>
      </c>
      <c r="BQ76" s="5" t="n">
        <f aca="false">BL76-BP76</f>
        <v>65865.2006121576</v>
      </c>
      <c r="CA76" s="5" t="n">
        <f aca="false">(AF76+AG76+AH76+AL76)*0.005*'Prices&amp;Fuel'!H76</f>
        <v>21038.5604113111</v>
      </c>
      <c r="CB76" s="5" t="n">
        <f aca="false">(B76+C76+D76+O76+P76+Q76+X76+Y76+BB76+BC76+BD76+BE76+BF76+BG76+BR76+BS76)*0.005*'Prices&amp;Fuel'!H76</f>
        <v>7237.54370179946</v>
      </c>
      <c r="CC76" s="7" t="n">
        <f aca="false">K76+T76+AB76+AY76+BL76+BX76</f>
        <v>28234031.3769151</v>
      </c>
      <c r="CD76" s="7" t="n">
        <f aca="false">L76+U76+AC76+AZ76+BP76+BY76+CA76+CB76</f>
        <v>27790719.476303</v>
      </c>
      <c r="CE76" s="7" t="n">
        <f aca="false">CC76-CD76</f>
        <v>443311.900612157</v>
      </c>
      <c r="CF76" s="7" t="n">
        <f aca="false">'Index Price Deals'!AR76</f>
        <v>0</v>
      </c>
      <c r="CG76" s="7" t="n">
        <f aca="false">'Index Price Deals'!AS76</f>
        <v>0</v>
      </c>
      <c r="CH76" s="7" t="n">
        <f aca="false">'Index Price Deals'!AT76</f>
        <v>0</v>
      </c>
      <c r="CI76" s="7" t="n">
        <f aca="false">'Index Price Deals'!AU76</f>
        <v>0</v>
      </c>
      <c r="CJ76" s="7" t="n">
        <f aca="false">CC76+CF76</f>
        <v>28234031.3769151</v>
      </c>
      <c r="CK76" s="7" t="n">
        <f aca="false">CD76+CH76</f>
        <v>27790719.476303</v>
      </c>
      <c r="CL76" s="7" t="n">
        <f aca="false">CE76+CI76</f>
        <v>443311.900612157</v>
      </c>
      <c r="CM76" s="69"/>
      <c r="CN76" s="7" t="n">
        <f aca="false">Transport!U76</f>
        <v>4.41954107373022E-009</v>
      </c>
      <c r="CO76" s="71"/>
      <c r="CQ76" s="7" t="n">
        <f aca="false">(((($B76+$C76+$D76+$O76+$P76+$Q76)*0.5)+BR76+BS76)*(0.005*'Prices&amp;Fuel'!$H76)+'Index Price Deals'!AV76)+(((BB76+BC76+BD76+BE76+BF76+BG76)*(1-'Prices&amp;Fuel'!F76))*0.005*0.5*'Prices&amp;Fuel'!H76)</f>
        <v>3572.74999999999</v>
      </c>
      <c r="CR76" s="7" t="n">
        <f aca="false">(((($B76+$C76+$D76+$O76+$P76+$Q76)*0.5)+X76+Y76)*(0.005*'Prices&amp;Fuel'!$H76)+CA76+'Index Price Deals'!AW76)+(((BB76+BC76+BD76+BE76+BF76+BG76)*(1-'Prices&amp;Fuel'!F76))*0.005*0.5*'Prices&amp;Fuel'!H76)</f>
        <v>24611.310411311</v>
      </c>
      <c r="CS76" s="11"/>
      <c r="CT76" s="7" t="n">
        <f aca="false">[2]Sheet1!$O90</f>
        <v>-56616.0747078731</v>
      </c>
      <c r="CU76" s="7" t="n">
        <f aca="false">'[3]Long Term Deals'!$Z75</f>
        <v>-34895.0629697055</v>
      </c>
      <c r="CV76" s="70" t="n">
        <f aca="false">CL76-CN76-CT76+CU76+CS76+CO76</f>
        <v>465032.91235032</v>
      </c>
      <c r="CW76" s="14" t="n">
        <f aca="false">((B76+C76+D76+O76+P76+Q76+X76+Y76+AF76+AG76+AH76+BB76+BC76+BD76+BE76+BF76+BG76+BR76+BS76)+('Index Price Deals'!B76+'Index Price Deals'!C76+'Index Price Deals'!D76+'Index Price Deals'!L76+'Index Price Deals'!M76+'Index Price Deals'!N76+'Index Price Deals'!AD76+'Index Price Deals'!AE76+'Index Price Deals'!AF76+'Index Price Deals'!AK76+'Index Price Deals'!AL76+'Index Price Deals'!AM76))*'Prices&amp;Fuel'!H76</f>
        <v>5655220.8226221</v>
      </c>
      <c r="CX76" s="12" t="n">
        <f aca="false">BQ76/(BB76+BC76+BD76+BE76+BF76+BG76)/'Prices&amp;Fuel'!H76</f>
        <v>0.0983930992247678</v>
      </c>
      <c r="CY76" s="72"/>
      <c r="CZ76" s="13" t="n">
        <f aca="false">(BA76-CT76+CU76)/(AF76+AG76+AH76)/'Prices&amp;Fuel'!H76</f>
        <v>0.0993667360496986</v>
      </c>
      <c r="DB76" s="1" t="n">
        <f aca="false">(O76+P76+Q76)*'Prices&amp;Fuel'!$H76</f>
        <v>778100</v>
      </c>
      <c r="DE76" s="1" t="n">
        <v>132000</v>
      </c>
    </row>
    <row r="77" customFormat="false" ht="12.75" hidden="false" customHeight="false" outlineLevel="0" collapsed="false">
      <c r="A77" s="6" t="n">
        <f aca="false">+A76+365/12</f>
        <v>37939</v>
      </c>
      <c r="O77" s="7" t="n">
        <v>9036</v>
      </c>
      <c r="P77" s="7" t="n">
        <v>10794</v>
      </c>
      <c r="Q77" s="7" t="n">
        <v>5270</v>
      </c>
      <c r="R77" s="8" t="n">
        <f aca="false">R76</f>
        <v>2.4308</v>
      </c>
      <c r="S77" s="8" t="n">
        <f aca="false">S76</f>
        <v>2.4188</v>
      </c>
      <c r="T77" s="7" t="n">
        <f aca="false">(($O77*R77)+($P77*R77)+($Q77*R77))*'Prices&amp;Fuel'!$H77</f>
        <v>1830392.4</v>
      </c>
      <c r="U77" s="7" t="n">
        <f aca="false">(($O77*S77)+($P77*S77)+($Q77*S77))*'Prices&amp;Fuel'!$H77</f>
        <v>1821356.4</v>
      </c>
      <c r="V77" s="14" t="n">
        <f aca="false">T77-U77</f>
        <v>9036</v>
      </c>
      <c r="X77" s="7"/>
      <c r="AF77" s="7" t="n">
        <f aca="false">(32000/(1-'Prices&amp;Fuel'!F77))+(25000/(1-'Prices&amp;Fuel'!G77))-AI77</f>
        <v>58611.8251928021</v>
      </c>
      <c r="AG77" s="7" t="n">
        <v>0</v>
      </c>
      <c r="AH77" s="7" t="n">
        <f aca="false">(75000/(1-'Prices&amp;Fuel'!G77))-AK77</f>
        <v>77120.822622108</v>
      </c>
      <c r="AI77" s="7"/>
      <c r="AJ77" s="7"/>
      <c r="AK77" s="7"/>
      <c r="AL77" s="11" t="n">
        <f aca="false">ROUND((132000/(1-'Prices&amp;Fuel'!F77))-AF77-AG77-AH77,0)</f>
        <v>0</v>
      </c>
      <c r="AM77" s="7" t="n">
        <f aca="false">ROUND(IF(AF77&lt;AP77,0,(AF77-AP77-AI77)/2),0)</f>
        <v>0</v>
      </c>
      <c r="AO77" s="7" t="n">
        <f aca="false">ROUND((75000/(1-'Prices&amp;Fuel'!G77)-AV77-AK77)/2,0)</f>
        <v>38560</v>
      </c>
      <c r="AP77" s="7" t="n">
        <f aca="false">IF(80000&gt;AF77,AF77,80000)</f>
        <v>58611.8251928021</v>
      </c>
      <c r="AR77" s="7" t="n">
        <f aca="false">IF(AP77&gt;AF77,0,AF77-AM77-AP77)</f>
        <v>0</v>
      </c>
      <c r="AT77" s="14" t="n">
        <f aca="false">AH77-AO77-AV77</f>
        <v>38560.822622108</v>
      </c>
      <c r="AU77" s="14" t="n">
        <f aca="false">AL77*AX77*'Prices&amp;Fuel'!H77</f>
        <v>0</v>
      </c>
      <c r="AW77" s="68" t="n">
        <f aca="false">AW76</f>
        <v>0.08</v>
      </c>
      <c r="AX77" s="68" t="n">
        <f aca="false">AX76</f>
        <v>0.025</v>
      </c>
      <c r="AY77" s="5" t="n">
        <f aca="false">('Prices&amp;Fuel'!H77*('Prices&amp;Fuel'!B77+AW77)*'Long Term Deals'!AF77)+('Prices&amp;Fuel'!H77*('Prices&amp;Fuel'!C77+'Long Term Deals'!AW77)*'Long Term Deals'!AG77)+(AH77*('Prices&amp;Fuel'!C77+AW77)*'Prices&amp;Fuel'!H77)+(AW77*AL77*'Prices&amp;Fuel'!H77)</f>
        <v>14532450.3856041</v>
      </c>
      <c r="AZ77" s="5" t="n">
        <f aca="false">(AP77*'Prices&amp;Fuel'!H77*'Prices&amp;Fuel'!B77)+(AQ77*'Prices&amp;Fuel'!C77*'Prices&amp;Fuel'!H77)+((AM77+AR77)*('Prices&amp;Fuel'!B77+'Long Term Deals'!AX77)*'Prices&amp;Fuel'!H77)+((AN77+AS77)*('Prices&amp;Fuel'!C77+'Long Term Deals'!AX77)*'Prices&amp;Fuel'!H77)+((AO77+AT77)*('Prices&amp;Fuel'!D77+'Long Term Deals'!AX77)*'Prices&amp;Fuel'!H77)+(AV77*'Prices&amp;Fuel'!H77*'Prices&amp;Fuel'!Q77)+AU77</f>
        <v>14148851.4138818</v>
      </c>
      <c r="BA77" s="5" t="n">
        <f aca="false">AY77-AZ77</f>
        <v>383598.971722364</v>
      </c>
      <c r="BB77" s="5" t="n">
        <f aca="false">IF('FP Corp'!T77-((BE77+BF77+BG77)*(1-'Prices&amp;Fuel'!F77))&lt;'Prices&amp;Fuel'!R77,('FP Corp'!T77-(BE77+BF77+BG77)*(1-'Prices&amp;Fuel'!F77)),'Prices&amp;Fuel'!R77)/(1-'Prices&amp;Fuel'!F77)</f>
        <v>4325.96401028278</v>
      </c>
      <c r="BC77" s="9"/>
      <c r="BD77" s="9" t="n">
        <f aca="false">ROUND(IF('FP Corp'!T77/(1-'Prices&amp;Fuel'!F77)-BE77-BF77-BG77-BB77&gt;'Prices&amp;Fuel'!T77,'Prices&amp;Fuel'!T77,'FP Corp'!T77/(1-'Prices&amp;Fuel'!F77)-BE77-BF77-BG77-BB77),9)</f>
        <v>0</v>
      </c>
      <c r="BE77" s="9" t="n">
        <f aca="false">'Prices&amp;Fuel'!U77/(1-'Prices&amp;Fuel'!F77)</f>
        <v>2635.47557840617</v>
      </c>
      <c r="BF77" s="9" t="n">
        <f aca="false">('Prices&amp;Fuel'!V77+'Prices&amp;Fuel'!X77)/(1-'Prices&amp;Fuel'!F77)</f>
        <v>3645.2442159383</v>
      </c>
      <c r="BG77" s="9" t="n">
        <f aca="false">'Prices&amp;Fuel'!W77/(1-'Prices&amp;Fuel'!F77)</f>
        <v>1732.64781491003</v>
      </c>
      <c r="BH77" s="10" t="n">
        <f aca="false">('Prices&amp;Fuel'!C77+'Prices&amp;Fuel'!D77)/2-0.05+('Prices&amp;Fuel'!M77+'Prices&amp;Fuel'!P77)*(1-'Prices&amp;Fuel'!F77)</f>
        <v>4.18872225</v>
      </c>
      <c r="BI77" s="9" t="n">
        <f aca="false">IF(AP77=80000,0,BB77)</f>
        <v>4325.96401028278</v>
      </c>
      <c r="BJ77" s="9"/>
      <c r="BK77" s="10" t="n">
        <f aca="false">(((BB77+BE77)*('Prices&amp;Fuel'!B77+0.025))+(('Prices&amp;Fuel'!D77+0.025)*(BD77+BG77))+(('Prices&amp;Fuel'!C77+0.025)*(BC77+BF77))-(BI77+BJ77)*0.025)/(BB77+BC77+BD77+BE77+BF77+BG77)</f>
        <v>3.49016458333333</v>
      </c>
      <c r="BL77" s="9" t="n">
        <f aca="false">(BB77+BC77+BD77+BE77+BF77+BG77)*BH77*'Prices&amp;Fuel'!H77</f>
        <v>1550580.98714653</v>
      </c>
      <c r="BM77" s="9" t="n">
        <f aca="false">'Prices&amp;Fuel'!X77*('Prices&amp;Fuel'!N77+'Prices&amp;Fuel'!O77)*'Prices&amp;Fuel'!H77</f>
        <v>8621.04574342836</v>
      </c>
      <c r="BN77" s="9" t="n">
        <f aca="false">('Prices&amp;Fuel'!U77+'Prices&amp;Fuel'!V77+'Prices&amp;Fuel'!W77)*('Prices&amp;Fuel'!L77+'Prices&amp;Fuel'!O77)*'Prices&amp;Fuel'!H77</f>
        <v>89744.7075194372</v>
      </c>
      <c r="BO77" s="9" t="n">
        <f aca="false">((BB77+BC77+BD77)*(1-'Prices&amp;Fuel'!G77))*('Prices&amp;Fuel'!M77+'Prices&amp;Fuel'!P77)*'Prices&amp;Fuel'!H77</f>
        <v>97194.321</v>
      </c>
      <c r="BP77" s="9" t="n">
        <f aca="false">((BD77+BC77+BB77+BE77+BF77+BG77)*BK77*'Prices&amp;Fuel'!H77)+BM77+BN77+BO77</f>
        <v>1487549.02027829</v>
      </c>
      <c r="BQ77" s="5" t="n">
        <f aca="false">BL77-BP77</f>
        <v>63031.9668682399</v>
      </c>
      <c r="CA77" s="5" t="n">
        <f aca="false">(AF77+AG77+AH77+AL77)*0.005*'Prices&amp;Fuel'!H77</f>
        <v>20359.8971722365</v>
      </c>
      <c r="CB77" s="5" t="n">
        <f aca="false">(B77+C77+D77+O77+P77+Q77+X77+Y77+BB77+BC77+BD77+BE77+BF77+BG77+BR77+BS77)*0.005*'Prices&amp;Fuel'!H77</f>
        <v>5615.89974293059</v>
      </c>
      <c r="CC77" s="7" t="n">
        <f aca="false">K77+T77+AB77+AY77+BL77+BX77</f>
        <v>17913423.7727506</v>
      </c>
      <c r="CD77" s="7" t="n">
        <f aca="false">L77+U77+AC77+AZ77+BP77+BY77+CA77+CB77</f>
        <v>17483732.6310752</v>
      </c>
      <c r="CE77" s="7" t="n">
        <f aca="false">CC77-CD77</f>
        <v>429691.141675439</v>
      </c>
      <c r="CF77" s="7" t="n">
        <f aca="false">'Index Price Deals'!AR77</f>
        <v>0</v>
      </c>
      <c r="CG77" s="7" t="n">
        <f aca="false">'Index Price Deals'!AS77</f>
        <v>0</v>
      </c>
      <c r="CH77" s="7" t="n">
        <f aca="false">'Index Price Deals'!AT77</f>
        <v>0</v>
      </c>
      <c r="CI77" s="7" t="n">
        <f aca="false">'Index Price Deals'!AU77</f>
        <v>0</v>
      </c>
      <c r="CJ77" s="7" t="n">
        <f aca="false">CC77+CF77</f>
        <v>17913423.7727506</v>
      </c>
      <c r="CK77" s="7" t="n">
        <f aca="false">CD77+CH77</f>
        <v>17483732.6310752</v>
      </c>
      <c r="CL77" s="7" t="n">
        <f aca="false">CE77+CI77</f>
        <v>429691.141675439</v>
      </c>
      <c r="CM77" s="69"/>
      <c r="CN77" s="7" t="n">
        <f aca="false">Transport!U77</f>
        <v>0</v>
      </c>
      <c r="CO77" s="71"/>
      <c r="CQ77" s="7" t="n">
        <f aca="false">(((($B77+$C77+$D77+$O77+$P77+$Q77)*0.5)+BR77+BS77)*(0.005*'Prices&amp;Fuel'!$H77)+'Index Price Deals'!AV77)+(((BB77+BC77+BD77+BE77+BF77+BG77)*(1-'Prices&amp;Fuel'!F77))*0.005*0.5*'Prices&amp;Fuel'!H77)</f>
        <v>2782.5</v>
      </c>
      <c r="CR77" s="7" t="n">
        <f aca="false">(((($B77+$C77+$D77+$O77+$P77+$Q77)*0.5)+X77+Y77)*(0.005*'Prices&amp;Fuel'!$H77)+CA77+'Index Price Deals'!AW77)+(((BB77+BC77+BD77+BE77+BF77+BG77)*(1-'Prices&amp;Fuel'!F77))*0.005*0.5*'Prices&amp;Fuel'!H77)</f>
        <v>23142.3971722365</v>
      </c>
      <c r="CS77" s="11"/>
      <c r="CT77" s="7" t="n">
        <f aca="false">[2]Sheet1!$O91</f>
        <v>-54789.7497172965</v>
      </c>
      <c r="CU77" s="7" t="n">
        <f aca="false">'[3]Long Term Deals'!$Z76</f>
        <v>-33769.4157771343</v>
      </c>
      <c r="CV77" s="70" t="n">
        <f aca="false">CL77-CN77-CT77+CU77+CS77+CO77</f>
        <v>450711.475615601</v>
      </c>
      <c r="CW77" s="14" t="n">
        <f aca="false">((B77+C77+D77+O77+P77+Q77+X77+Y77+AF77+AG77+AH77+BB77+BC77+BD77+BE77+BF77+BG77+BR77+BS77)+('Index Price Deals'!B77+'Index Price Deals'!C77+'Index Price Deals'!D77+'Index Price Deals'!L77+'Index Price Deals'!M77+'Index Price Deals'!N77+'Index Price Deals'!AD77+'Index Price Deals'!AE77+'Index Price Deals'!AF77+'Index Price Deals'!AK77+'Index Price Deals'!AL77+'Index Price Deals'!AM77))*'Prices&amp;Fuel'!H77</f>
        <v>5195159.38303342</v>
      </c>
      <c r="CX77" s="12" t="n">
        <f aca="false">BQ77/(BB77+BC77+BD77+BE77+BF77+BG77)/'Prices&amp;Fuel'!H77</f>
        <v>0.170273854942676</v>
      </c>
      <c r="CY77" s="72"/>
      <c r="CZ77" s="13" t="n">
        <f aca="false">(BA77-CT77+CU77)/(AF77+AG77+AH77)/'Prices&amp;Fuel'!H77</f>
        <v>0.0993667360496988</v>
      </c>
      <c r="DB77" s="1" t="n">
        <f aca="false">(O77+P77+Q77)*'Prices&amp;Fuel'!$H77</f>
        <v>753000</v>
      </c>
      <c r="DE77" s="1" t="n">
        <v>132000</v>
      </c>
    </row>
    <row r="78" customFormat="false" ht="12.75" hidden="false" customHeight="false" outlineLevel="0" collapsed="false">
      <c r="A78" s="6" t="n">
        <f aca="false">+A77+365/12</f>
        <v>37969.4166666667</v>
      </c>
      <c r="O78" s="7" t="n">
        <v>9036</v>
      </c>
      <c r="P78" s="7" t="n">
        <v>10794</v>
      </c>
      <c r="Q78" s="7" t="n">
        <v>5270</v>
      </c>
      <c r="R78" s="8" t="n">
        <f aca="false">R77</f>
        <v>2.4308</v>
      </c>
      <c r="S78" s="8" t="n">
        <f aca="false">S77</f>
        <v>2.4188</v>
      </c>
      <c r="T78" s="7" t="n">
        <f aca="false">(($O78*R78)+($P78*R78)+($Q78*R78))*'Prices&amp;Fuel'!$H78</f>
        <v>1891405.48</v>
      </c>
      <c r="U78" s="7" t="n">
        <f aca="false">(($O78*S78)+($P78*S78)+($Q78*S78))*'Prices&amp;Fuel'!$H78</f>
        <v>1882068.28</v>
      </c>
      <c r="V78" s="14" t="n">
        <f aca="false">T78-U78</f>
        <v>9337.19999999972</v>
      </c>
      <c r="X78" s="7"/>
      <c r="AF78" s="7" t="n">
        <f aca="false">(32000/(1-'Prices&amp;Fuel'!F78))+(25000/(1-'Prices&amp;Fuel'!G78))-AI78</f>
        <v>58611.8251928021</v>
      </c>
      <c r="AG78" s="7" t="n">
        <v>0</v>
      </c>
      <c r="AH78" s="7" t="n">
        <f aca="false">(75000/(1-'Prices&amp;Fuel'!G78))-AK78</f>
        <v>77120.822622108</v>
      </c>
      <c r="AI78" s="7"/>
      <c r="AJ78" s="7"/>
      <c r="AK78" s="7"/>
      <c r="AL78" s="11" t="n">
        <f aca="false">ROUND((132000/(1-'Prices&amp;Fuel'!F78))-AF78-AG78-AH78,0)</f>
        <v>0</v>
      </c>
      <c r="AM78" s="7" t="n">
        <f aca="false">ROUND(IF(AF78&lt;AP78,0,(AF78-AP78-AI78)/2),0)</f>
        <v>0</v>
      </c>
      <c r="AO78" s="7" t="n">
        <f aca="false">ROUND((75000/(1-'Prices&amp;Fuel'!G78)-AV78-AK78)/2,0)</f>
        <v>38560</v>
      </c>
      <c r="AP78" s="7" t="n">
        <f aca="false">IF(80000&gt;AF78,AF78,80000)</f>
        <v>58611.8251928021</v>
      </c>
      <c r="AR78" s="7" t="n">
        <f aca="false">IF(AP78&gt;AF78,0,AF78-AM78-AP78)</f>
        <v>0</v>
      </c>
      <c r="AT78" s="14" t="n">
        <f aca="false">AH78-AO78-AV78</f>
        <v>38560.822622108</v>
      </c>
      <c r="AU78" s="14" t="n">
        <f aca="false">AL78*AX78*'Prices&amp;Fuel'!H78</f>
        <v>0</v>
      </c>
      <c r="AW78" s="68" t="n">
        <f aca="false">AW77</f>
        <v>0.08</v>
      </c>
      <c r="AX78" s="68" t="n">
        <f aca="false">AX77</f>
        <v>0.025</v>
      </c>
      <c r="AY78" s="5" t="n">
        <f aca="false">('Prices&amp;Fuel'!H78*('Prices&amp;Fuel'!B78+AW78)*'Long Term Deals'!AF78)+('Prices&amp;Fuel'!H78*('Prices&amp;Fuel'!C78+'Long Term Deals'!AW78)*'Long Term Deals'!AG78)+(AH78*('Prices&amp;Fuel'!C78+AW78)*'Prices&amp;Fuel'!H78)+(AW78*AL78*'Prices&amp;Fuel'!H78)</f>
        <v>11277050.8997429</v>
      </c>
      <c r="AZ78" s="5" t="n">
        <f aca="false">(AP78*'Prices&amp;Fuel'!H78*'Prices&amp;Fuel'!B78)+(AQ78*'Prices&amp;Fuel'!C78*'Prices&amp;Fuel'!H78)+((AM78+AR78)*('Prices&amp;Fuel'!B78+'Long Term Deals'!AX78)*'Prices&amp;Fuel'!H78)+((AN78+AS78)*('Prices&amp;Fuel'!C78+'Long Term Deals'!AX78)*'Prices&amp;Fuel'!H78)+((AO78+AT78)*('Prices&amp;Fuel'!D78+'Long Term Deals'!AX78)*'Prices&amp;Fuel'!H78)+(AV78*'Prices&amp;Fuel'!H78*'Prices&amp;Fuel'!Q78)+AU78</f>
        <v>10880665.2956298</v>
      </c>
      <c r="BA78" s="5" t="n">
        <f aca="false">AY78-AZ78</f>
        <v>396385.604113111</v>
      </c>
      <c r="BB78" s="5" t="n">
        <f aca="false">IF('FP Corp'!T78-((BE78+BF78+BG78)*(1-'Prices&amp;Fuel'!F78))&lt;'Prices&amp;Fuel'!R78,('FP Corp'!T78-(BE78+BF78+BG78)*(1-'Prices&amp;Fuel'!F78)),'Prices&amp;Fuel'!R78)/(1-'Prices&amp;Fuel'!F78)</f>
        <v>4325.96401028278</v>
      </c>
      <c r="BC78" s="9"/>
      <c r="BD78" s="9" t="n">
        <f aca="false">ROUND(IF('FP Corp'!T78/(1-'Prices&amp;Fuel'!F78)-BE78-BF78-BG78-BB78&gt;'Prices&amp;Fuel'!T78,'Prices&amp;Fuel'!T78,'FP Corp'!T78/(1-'Prices&amp;Fuel'!F78)-BE78-BF78-BG78-BB78),9)</f>
        <v>0</v>
      </c>
      <c r="BE78" s="9" t="n">
        <f aca="false">'Prices&amp;Fuel'!U78/(1-'Prices&amp;Fuel'!F78)</f>
        <v>2635.47557840617</v>
      </c>
      <c r="BF78" s="9" t="n">
        <f aca="false">('Prices&amp;Fuel'!V78+'Prices&amp;Fuel'!X78)/(1-'Prices&amp;Fuel'!F78)</f>
        <v>3645.2442159383</v>
      </c>
      <c r="BG78" s="9" t="n">
        <f aca="false">'Prices&amp;Fuel'!W78/(1-'Prices&amp;Fuel'!F78)</f>
        <v>1732.64781491003</v>
      </c>
      <c r="BH78" s="10" t="n">
        <f aca="false">('Prices&amp;Fuel'!C78+'Prices&amp;Fuel'!D78)/2-0.05+('Prices&amp;Fuel'!M78+'Prices&amp;Fuel'!P78)*(1-'Prices&amp;Fuel'!F78)</f>
        <v>3.29992225</v>
      </c>
      <c r="BI78" s="9" t="n">
        <f aca="false">IF(AP78=80000,0,BB78)</f>
        <v>4325.96401028278</v>
      </c>
      <c r="BJ78" s="9"/>
      <c r="BK78" s="10" t="n">
        <f aca="false">(((BB78+BE78)*('Prices&amp;Fuel'!B78+0.025))+(('Prices&amp;Fuel'!D78+0.025)*(BD78+BG78))+(('Prices&amp;Fuel'!C78+0.025)*(BC78+BF78))-(BI78+BJ78)*0.025)/(BB78+BC78+BD78+BE78+BF78+BG78)</f>
        <v>2.60136458333333</v>
      </c>
      <c r="BL78" s="9" t="n">
        <f aca="false">(BB78+BC78+BD78+BE78+BF78+BG78)*BH78*'Prices&amp;Fuel'!H78</f>
        <v>1262283.88380463</v>
      </c>
      <c r="BM78" s="9" t="n">
        <f aca="false">'Prices&amp;Fuel'!X78*('Prices&amp;Fuel'!N78+'Prices&amp;Fuel'!O78)*'Prices&amp;Fuel'!H78</f>
        <v>8908.41393487597</v>
      </c>
      <c r="BN78" s="9" t="n">
        <f aca="false">('Prices&amp;Fuel'!U78+'Prices&amp;Fuel'!V78+'Prices&amp;Fuel'!W78)*('Prices&amp;Fuel'!L78+'Prices&amp;Fuel'!O78)*'Prices&amp;Fuel'!H78</f>
        <v>92736.1977700852</v>
      </c>
      <c r="BO78" s="9" t="n">
        <f aca="false">((BB78+BC78+BD78)*(1-'Prices&amp;Fuel'!G78))*('Prices&amp;Fuel'!M78+'Prices&amp;Fuel'!P78)*'Prices&amp;Fuel'!H78</f>
        <v>100434.1317</v>
      </c>
      <c r="BP78" s="9" t="n">
        <f aca="false">((BD78+BC78+BB78+BE78+BF78+BG78)*BK78*'Prices&amp;Fuel'!H78)+BM78+BN78+BO78</f>
        <v>1197150.85137411</v>
      </c>
      <c r="BQ78" s="5" t="n">
        <f aca="false">BL78-BP78</f>
        <v>65133.0324305149</v>
      </c>
      <c r="CA78" s="5" t="n">
        <f aca="false">(AF78+AG78+AH78+AL78)*0.005*'Prices&amp;Fuel'!H78</f>
        <v>21038.5604113111</v>
      </c>
      <c r="CB78" s="5" t="n">
        <f aca="false">(B78+C78+D78+O78+P78+Q78+X78+Y78+BB78+BC78+BD78+BE78+BF78+BG78+BR78+BS78)*0.005*'Prices&amp;Fuel'!H78</f>
        <v>5803.09640102828</v>
      </c>
      <c r="CC78" s="7" t="n">
        <f aca="false">K78+T78+AB78+AY78+BL78+BX78</f>
        <v>14430740.2635476</v>
      </c>
      <c r="CD78" s="7" t="n">
        <f aca="false">L78+U78+AC78+AZ78+BP78+BY78+CA78+CB78</f>
        <v>13986726.0838163</v>
      </c>
      <c r="CE78" s="7" t="n">
        <f aca="false">CC78-CD78</f>
        <v>444014.179731287</v>
      </c>
      <c r="CF78" s="7" t="n">
        <f aca="false">'Index Price Deals'!AR78</f>
        <v>0</v>
      </c>
      <c r="CG78" s="7" t="n">
        <f aca="false">'Index Price Deals'!AS78</f>
        <v>0</v>
      </c>
      <c r="CH78" s="7" t="n">
        <f aca="false">'Index Price Deals'!AT78</f>
        <v>0</v>
      </c>
      <c r="CI78" s="7" t="n">
        <f aca="false">'Index Price Deals'!AU78</f>
        <v>0</v>
      </c>
      <c r="CJ78" s="7" t="n">
        <f aca="false">CC78+CF78</f>
        <v>14430740.2635476</v>
      </c>
      <c r="CK78" s="7" t="n">
        <f aca="false">CD78+CH78</f>
        <v>13986726.0838163</v>
      </c>
      <c r="CL78" s="7" t="n">
        <f aca="false">CE78+CI78</f>
        <v>444014.179731287</v>
      </c>
      <c r="CM78" s="7" t="n">
        <f aca="false">SUM(CL67:CL78)</f>
        <v>5844815.49830012</v>
      </c>
      <c r="CN78" s="7" t="n">
        <f aca="false">Transport!U78</f>
        <v>0</v>
      </c>
      <c r="CO78" s="71"/>
      <c r="CQ78" s="7" t="n">
        <f aca="false">(((($B78+$C78+$D78+$O78+$P78+$Q78)*0.5)+BR78+BS78)*(0.005*'Prices&amp;Fuel'!$H78)+'Index Price Deals'!AV78)+(((BB78+BC78+BD78+BE78+BF78+BG78)*(1-'Prices&amp;Fuel'!F78))*0.005*0.5*'Prices&amp;Fuel'!H78)</f>
        <v>2875.25</v>
      </c>
      <c r="CR78" s="7" t="n">
        <f aca="false">(((($B78+$C78+$D78+$O78+$P78+$Q78)*0.5)+X78+Y78)*(0.005*'Prices&amp;Fuel'!$H78)+CA78+'Index Price Deals'!AW78)+(((BB78+BC78+BD78+BE78+BF78+BG78)*(1-'Prices&amp;Fuel'!F78))*0.005*0.5*'Prices&amp;Fuel'!H78)</f>
        <v>23913.8104113111</v>
      </c>
      <c r="CS78" s="11"/>
      <c r="CT78" s="7" t="n">
        <f aca="false">[2]Sheet1!$O92</f>
        <v>-56616.0747078731</v>
      </c>
      <c r="CU78" s="7" t="n">
        <f aca="false">'[3]Long Term Deals'!$Z77</f>
        <v>-34895.0629697055</v>
      </c>
      <c r="CV78" s="70" t="n">
        <f aca="false">CL78-CN78-CT78+CU78+CS78+CO78</f>
        <v>465735.191469455</v>
      </c>
      <c r="CW78" s="14" t="n">
        <f aca="false">((B78+C78+D78+O78+P78+Q78+X78+Y78+AF78+AG78+AH78+BB78+BC78+BD78+BE78+BF78+BG78+BR78+BS78)+('Index Price Deals'!B78+'Index Price Deals'!C78+'Index Price Deals'!D78+'Index Price Deals'!L78+'Index Price Deals'!M78+'Index Price Deals'!N78+'Index Price Deals'!AD78+'Index Price Deals'!AE78+'Index Price Deals'!AF78+'Index Price Deals'!AK78+'Index Price Deals'!AL78+'Index Price Deals'!AM78))*'Prices&amp;Fuel'!H78</f>
        <v>5368331.36246787</v>
      </c>
      <c r="CX78" s="12" t="n">
        <f aca="false">BQ78/(BB78+BC78+BD78+BE78+BF78+BG78)/'Prices&amp;Fuel'!H78</f>
        <v>0.170273854942677</v>
      </c>
      <c r="CY78" s="72"/>
      <c r="CZ78" s="13" t="n">
        <f aca="false">(BA78-CT78+CU78)/(AF78+AG78+AH78)/'Prices&amp;Fuel'!H78</f>
        <v>0.0993667360496991</v>
      </c>
      <c r="DB78" s="1" t="n">
        <f aca="false">(O78+P78+Q78)*'Prices&amp;Fuel'!$H78</f>
        <v>778100</v>
      </c>
      <c r="DE78" s="1" t="n">
        <v>132000</v>
      </c>
    </row>
    <row r="79" customFormat="false" ht="12.75" hidden="false" customHeight="false" outlineLevel="0" collapsed="false">
      <c r="A79" s="6" t="n">
        <f aca="false">+A78+365/12</f>
        <v>37999.8333333333</v>
      </c>
      <c r="O79" s="7" t="n">
        <v>9036</v>
      </c>
      <c r="P79" s="7" t="n">
        <v>10794</v>
      </c>
      <c r="Q79" s="7" t="n">
        <v>5270</v>
      </c>
      <c r="R79" s="8" t="n">
        <f aca="false">R78</f>
        <v>2.4308</v>
      </c>
      <c r="S79" s="8" t="n">
        <f aca="false">S78</f>
        <v>2.4188</v>
      </c>
      <c r="T79" s="7" t="n">
        <f aca="false">(($O79*R79)+($P79*R79)+($Q79*R79))*'Prices&amp;Fuel'!$H79</f>
        <v>1891405.48</v>
      </c>
      <c r="U79" s="7" t="n">
        <f aca="false">(($O79*S79)+($P79*S79)+($Q79*S79))*'Prices&amp;Fuel'!$H79</f>
        <v>1882068.28</v>
      </c>
      <c r="V79" s="14" t="n">
        <f aca="false">T79-U79</f>
        <v>9337.19999999972</v>
      </c>
      <c r="AF79" s="7" t="n">
        <f aca="false">(32000/(1-'Prices&amp;Fuel'!F79))+(25000/(1-'Prices&amp;Fuel'!G79))-AI79</f>
        <v>58611.8251928021</v>
      </c>
      <c r="AG79" s="7" t="n">
        <v>0</v>
      </c>
      <c r="AH79" s="7" t="n">
        <f aca="false">(75000/(1-'Prices&amp;Fuel'!G79))-AK79</f>
        <v>77120.822622108</v>
      </c>
      <c r="AI79" s="7"/>
      <c r="AJ79" s="7"/>
      <c r="AK79" s="7"/>
      <c r="AL79" s="11" t="n">
        <f aca="false">ROUND((132000/(1-'Prices&amp;Fuel'!F79))-AF79-AG79-AH79,0)</f>
        <v>0</v>
      </c>
      <c r="AM79" s="7" t="n">
        <f aca="false">ROUND(IF(AF79&lt;AP79,0,(AF79-AP79-AI79)/2),0)</f>
        <v>0</v>
      </c>
      <c r="AO79" s="7" t="n">
        <f aca="false">ROUND((75000/(1-'Prices&amp;Fuel'!G79)-AV79-AK79)/2,0)</f>
        <v>38560</v>
      </c>
      <c r="AP79" s="7" t="n">
        <f aca="false">IF(80000&gt;AF79,AF79,80000)</f>
        <v>58611.8251928021</v>
      </c>
      <c r="AR79" s="7" t="n">
        <f aca="false">IF(AP79&gt;AF79,0,AF79-AM79-AP79)</f>
        <v>0</v>
      </c>
      <c r="AT79" s="14" t="n">
        <f aca="false">AH79-AO79-AV79</f>
        <v>38560.822622108</v>
      </c>
      <c r="AU79" s="14" t="n">
        <f aca="false">AL79*AX79*'Prices&amp;Fuel'!H79</f>
        <v>0</v>
      </c>
      <c r="AW79" s="68" t="n">
        <v>0.07</v>
      </c>
      <c r="AX79" s="68" t="n">
        <f aca="false">AX78</f>
        <v>0.025</v>
      </c>
      <c r="AY79" s="5" t="n">
        <f aca="false">('Prices&amp;Fuel'!H79*('Prices&amp;Fuel'!B79+AW79)*'Long Term Deals'!AF79)+('Prices&amp;Fuel'!H79*('Prices&amp;Fuel'!C79+'Long Term Deals'!AW79)*'Long Term Deals'!AG79)+(AH79*('Prices&amp;Fuel'!C79+AW79)*'Prices&amp;Fuel'!H79)+(AW79*AL79*'Prices&amp;Fuel'!H79)</f>
        <v>9929013.55681234</v>
      </c>
      <c r="AZ79" s="5" t="n">
        <f aca="false">(AP79*'Prices&amp;Fuel'!H79*'Prices&amp;Fuel'!B79)+(AQ79*'Prices&amp;Fuel'!C79*'Prices&amp;Fuel'!H79)+((AM79+AR79)*('Prices&amp;Fuel'!B79+'Long Term Deals'!AX79)*'Prices&amp;Fuel'!H79)+((AN79+AS79)*('Prices&amp;Fuel'!C79+'Long Term Deals'!AX79)*'Prices&amp;Fuel'!H79)+((AO79+AT79)*('Prices&amp;Fuel'!D79+'Long Term Deals'!AX79)*'Prices&amp;Fuel'!H79)+(AV79*'Prices&amp;Fuel'!H79*'Prices&amp;Fuel'!Q79)+AU79</f>
        <v>9574705.07352185</v>
      </c>
      <c r="BA79" s="5" t="n">
        <f aca="false">AY79-AZ79</f>
        <v>354308.483290488</v>
      </c>
      <c r="BB79" s="5" t="n">
        <f aca="false">IF('FP Corp'!T79-((BE79+BF79+BG79)*(1-'Prices&amp;Fuel'!F79))&lt;'Prices&amp;Fuel'!R79,('FP Corp'!T79-(BE79+BF79+BG79)*(1-'Prices&amp;Fuel'!F79)),'Prices&amp;Fuel'!R79)/(1-'Prices&amp;Fuel'!F79)</f>
        <v>4325.96401028278</v>
      </c>
      <c r="BC79" s="9"/>
      <c r="BD79" s="9" t="n">
        <f aca="false">ROUND(IF('FP Corp'!T79/(1-'Prices&amp;Fuel'!F79)-BE79-BF79-BG79-BB79&gt;'Prices&amp;Fuel'!T79,'Prices&amp;Fuel'!T79,'FP Corp'!T79/(1-'Prices&amp;Fuel'!F79)-BE79-BF79-BG79-BB79),9)</f>
        <v>0</v>
      </c>
      <c r="BE79" s="9" t="n">
        <f aca="false">'Prices&amp;Fuel'!U79/(1-'Prices&amp;Fuel'!F79)</f>
        <v>2635.47557840617</v>
      </c>
      <c r="BF79" s="9" t="n">
        <f aca="false">('Prices&amp;Fuel'!V79+'Prices&amp;Fuel'!X79)/(1-'Prices&amp;Fuel'!F79)</f>
        <v>3645.2442159383</v>
      </c>
      <c r="BG79" s="9" t="n">
        <f aca="false">'Prices&amp;Fuel'!W79/(1-'Prices&amp;Fuel'!F79)</f>
        <v>1732.64781491003</v>
      </c>
      <c r="BH79" s="10" t="n">
        <f aca="false">('Prices&amp;Fuel'!C79+'Prices&amp;Fuel'!D79)/2-0.05+('Prices&amp;Fuel'!M79+'Prices&amp;Fuel'!P79)*(1-'Prices&amp;Fuel'!F79)</f>
        <v>2.98507575</v>
      </c>
      <c r="BI79" s="9" t="n">
        <f aca="false">IF(AP79=80000,0,BB79)</f>
        <v>4325.96401028278</v>
      </c>
      <c r="BJ79" s="9"/>
      <c r="BK79" s="10" t="n">
        <f aca="false">(((BB79+BE79)*('Prices&amp;Fuel'!B79+0.025))+(('Prices&amp;Fuel'!D79+0.025)*(BD79+BG79))+(('Prices&amp;Fuel'!C79+0.025)*(BC79+BF79))-(BI79+BJ79)*0.025)/(BB79+BC79+BD79+BE79+BF79+BG79)</f>
        <v>2.29099158333333</v>
      </c>
      <c r="BL79" s="9" t="n">
        <f aca="false">(BB79+BC79+BD79+BE79+BF79+BG79)*BH79*'Prices&amp;Fuel'!H79</f>
        <v>1141849.02724936</v>
      </c>
      <c r="BM79" s="9" t="n">
        <f aca="false">'Prices&amp;Fuel'!X79*('Prices&amp;Fuel'!N79+'Prices&amp;Fuel'!O79)*'Prices&amp;Fuel'!H79</f>
        <v>8908.41393487597</v>
      </c>
      <c r="BN79" s="9" t="n">
        <f aca="false">('Prices&amp;Fuel'!U79+'Prices&amp;Fuel'!V79+'Prices&amp;Fuel'!W79)*('Prices&amp;Fuel'!L79+'Prices&amp;Fuel'!O79)*'Prices&amp;Fuel'!H79</f>
        <v>92736.1977700852</v>
      </c>
      <c r="BO79" s="9" t="n">
        <f aca="false">((BB79+BC79+BD79)*(1-'Prices&amp;Fuel'!G79))*('Prices&amp;Fuel'!M79+'Prices&amp;Fuel'!P79)*'Prices&amp;Fuel'!H79</f>
        <v>99834.2135</v>
      </c>
      <c r="BP79" s="9" t="n">
        <f aca="false">((BD79+BC79+BB79+BE79+BF79+BG79)*BK79*'Prices&amp;Fuel'!H79)+BM79+BN79+BO79</f>
        <v>1077827.27661884</v>
      </c>
      <c r="BQ79" s="5" t="n">
        <f aca="false">BL79-BP79</f>
        <v>64021.7506305145</v>
      </c>
      <c r="CA79" s="5" t="n">
        <f aca="false">(AF79+AG79+AH79+AL79)*0.005*'Prices&amp;Fuel'!H79</f>
        <v>21038.5604113111</v>
      </c>
      <c r="CB79" s="5" t="n">
        <f aca="false">(B79+C79+D79+O79+P79+Q79+X79+Y79+BB79+BC79+BD79+BE79+BF79+BG79+BR79+BS79)*0.005*'Prices&amp;Fuel'!H79</f>
        <v>5803.09640102828</v>
      </c>
      <c r="CC79" s="7" t="n">
        <f aca="false">K79+T79+AB79+AY79+BL79+BX79</f>
        <v>12962268.0640617</v>
      </c>
      <c r="CD79" s="7" t="n">
        <f aca="false">L79+U79+AC79+AZ79+BP79+BY79+CA79+CB79</f>
        <v>12561442.286953</v>
      </c>
      <c r="CE79" s="7" t="n">
        <f aca="false">CC79-CD79</f>
        <v>400825.777108664</v>
      </c>
      <c r="CF79" s="7" t="n">
        <f aca="false">'Index Price Deals'!AR79</f>
        <v>0</v>
      </c>
      <c r="CG79" s="7" t="n">
        <f aca="false">'Index Price Deals'!AS79</f>
        <v>0</v>
      </c>
      <c r="CH79" s="7" t="n">
        <f aca="false">'Index Price Deals'!AT79</f>
        <v>0</v>
      </c>
      <c r="CI79" s="7" t="n">
        <f aca="false">'Index Price Deals'!AU79</f>
        <v>0</v>
      </c>
      <c r="CJ79" s="7" t="n">
        <f aca="false">CC79+CF79</f>
        <v>12962268.0640617</v>
      </c>
      <c r="CK79" s="7" t="n">
        <f aca="false">CD79+CH79</f>
        <v>12561442.286953</v>
      </c>
      <c r="CL79" s="7" t="n">
        <f aca="false">CE79+CI79</f>
        <v>400825.777108664</v>
      </c>
      <c r="CM79" s="69"/>
      <c r="CN79" s="7" t="n">
        <f aca="false">Transport!U79</f>
        <v>0</v>
      </c>
      <c r="CO79" s="71"/>
      <c r="CQ79" s="7" t="n">
        <f aca="false">(((($B79+$C79+$D79+$O79+$P79+$Q79)*0.5)+BR79+BS79)*(0.005*'Prices&amp;Fuel'!$H79)+'Index Price Deals'!AV79)+(((BB79+BC79+BD79+BE79+BF79+BG79)*(1-'Prices&amp;Fuel'!F79))*0.005*0.5*'Prices&amp;Fuel'!H79)</f>
        <v>2875.25</v>
      </c>
      <c r="CR79" s="7" t="n">
        <f aca="false">(((($B79+$C79+$D79+$O79+$P79+$Q79)*0.5)+X79+Y79)*(0.005*'Prices&amp;Fuel'!$H79)+CA79+'Index Price Deals'!AW79)+(((BB79+BC79+BD79+BE79+BF79+BG79)*(1-'Prices&amp;Fuel'!F79))*0.005*0.5*'Prices&amp;Fuel'!H79)</f>
        <v>23913.8104113111</v>
      </c>
      <c r="CS79" s="11"/>
      <c r="CT79" s="7" t="n">
        <f aca="false">[2]Sheet1!$O94</f>
        <v>-98823.3980704311</v>
      </c>
      <c r="CU79" s="7" t="n">
        <f aca="false">'[3]Long Term Deals'!$Z78</f>
        <v>-34895.0629697055</v>
      </c>
      <c r="CV79" s="70" t="n">
        <f aca="false">CL79-CN79-CT79+CU79+CS79+CO79</f>
        <v>464754.112209389</v>
      </c>
      <c r="CW79" s="14" t="n">
        <f aca="false">((B79+C79+D79+O79+P79+Q79+X79+Y79+AF79+AG79+AH79+BB79+BC79+BD79+BE79+BF79+BG79+BR79+BS79)+('Index Price Deals'!B79+'Index Price Deals'!C79+'Index Price Deals'!D79+'Index Price Deals'!L79+'Index Price Deals'!M79+'Index Price Deals'!N79+'Index Price Deals'!AD79+'Index Price Deals'!AE79+'Index Price Deals'!AF79+'Index Price Deals'!AK79+'Index Price Deals'!AL79+'Index Price Deals'!AM79))*'Prices&amp;Fuel'!H79</f>
        <v>5368331.36246787</v>
      </c>
      <c r="DB79" s="1" t="n">
        <f aca="false">(O79+P79+Q79)*'Prices&amp;Fuel'!$H79</f>
        <v>778100</v>
      </c>
      <c r="DE79" s="1" t="n">
        <v>132000</v>
      </c>
    </row>
    <row r="80" customFormat="false" ht="12.75" hidden="false" customHeight="false" outlineLevel="0" collapsed="false">
      <c r="A80" s="6" t="n">
        <f aca="false">+A79+365/12</f>
        <v>38030.25</v>
      </c>
      <c r="O80" s="7" t="n">
        <v>9036</v>
      </c>
      <c r="P80" s="7" t="n">
        <v>10794</v>
      </c>
      <c r="Q80" s="7" t="n">
        <v>5270</v>
      </c>
      <c r="R80" s="8" t="n">
        <f aca="false">R79</f>
        <v>2.4308</v>
      </c>
      <c r="S80" s="8" t="n">
        <f aca="false">S79</f>
        <v>2.4188</v>
      </c>
      <c r="T80" s="7" t="n">
        <f aca="false">(($O80*R80)+($P80*R80)+($Q80*R80))*'Prices&amp;Fuel'!$H80</f>
        <v>1769379.32</v>
      </c>
      <c r="U80" s="7" t="n">
        <f aca="false">(($O80*S80)+($P80*S80)+($Q80*S80))*'Prices&amp;Fuel'!$H80</f>
        <v>1760644.52</v>
      </c>
      <c r="V80" s="14" t="n">
        <f aca="false">T80-U80</f>
        <v>8734.80000000005</v>
      </c>
      <c r="AF80" s="7" t="n">
        <f aca="false">(32000/(1-'Prices&amp;Fuel'!F80))+(25000/(1-'Prices&amp;Fuel'!G80))-AI80</f>
        <v>58611.8251928021</v>
      </c>
      <c r="AG80" s="7" t="n">
        <v>0</v>
      </c>
      <c r="AH80" s="7" t="n">
        <f aca="false">(75000/(1-'Prices&amp;Fuel'!G80))-AK80</f>
        <v>77120.822622108</v>
      </c>
      <c r="AI80" s="7"/>
      <c r="AJ80" s="7"/>
      <c r="AK80" s="7"/>
      <c r="AL80" s="11" t="n">
        <f aca="false">ROUND((132000/(1-'Prices&amp;Fuel'!F80))-AF80-AG80-AH80,0)</f>
        <v>0</v>
      </c>
      <c r="AM80" s="7" t="n">
        <f aca="false">ROUND(IF(AF80&lt;AP80,0,(AF80-AP80-AI80)/2),0)</f>
        <v>0</v>
      </c>
      <c r="AO80" s="7" t="n">
        <f aca="false">ROUND((75000/(1-'Prices&amp;Fuel'!G80)-AV80-AK80)/2,0)</f>
        <v>38560</v>
      </c>
      <c r="AP80" s="7" t="n">
        <f aca="false">IF(80000&gt;AF80,AF80,80000)</f>
        <v>58611.8251928021</v>
      </c>
      <c r="AR80" s="7" t="n">
        <f aca="false">IF(AP80&gt;AF80,0,AF80-AM80-AP80)</f>
        <v>0</v>
      </c>
      <c r="AT80" s="14" t="n">
        <f aca="false">AH80-AO80-AV80</f>
        <v>38560.822622108</v>
      </c>
      <c r="AU80" s="14" t="n">
        <f aca="false">AL80*AX80*'Prices&amp;Fuel'!H80</f>
        <v>0</v>
      </c>
      <c r="AW80" s="68" t="n">
        <f aca="false">AW79</f>
        <v>0.07</v>
      </c>
      <c r="AX80" s="68" t="n">
        <f aca="false">AX79</f>
        <v>0.025</v>
      </c>
      <c r="AY80" s="5" t="n">
        <f aca="false">('Prices&amp;Fuel'!H80*('Prices&amp;Fuel'!B80+AW80)*'Long Term Deals'!AF80)+('Prices&amp;Fuel'!H80*('Prices&amp;Fuel'!C80+'Long Term Deals'!AW80)*'Long Term Deals'!AG80)+(AH80*('Prices&amp;Fuel'!C80+AW80)*'Prices&amp;Fuel'!H80)+(AW80*AL80*'Prices&amp;Fuel'!H80)</f>
        <v>10372580.6807198</v>
      </c>
      <c r="AZ80" s="5" t="n">
        <f aca="false">(AP80*'Prices&amp;Fuel'!H80*'Prices&amp;Fuel'!B80)+(AQ80*'Prices&amp;Fuel'!C80*'Prices&amp;Fuel'!H80)+((AM80+AR80)*('Prices&amp;Fuel'!B80+'Long Term Deals'!AX80)*'Prices&amp;Fuel'!H80)+((AN80+AS80)*('Prices&amp;Fuel'!C80+'Long Term Deals'!AX80)*'Prices&amp;Fuel'!H80)+((AO80+AT80)*('Prices&amp;Fuel'!D80+'Long Term Deals'!AX80)*'Prices&amp;Fuel'!H80)+(AV80*'Prices&amp;Fuel'!H80*'Prices&amp;Fuel'!Q80)+AU80</f>
        <v>10041130.8092545</v>
      </c>
      <c r="BA80" s="5" t="n">
        <f aca="false">AY80-AZ80</f>
        <v>331449.871465294</v>
      </c>
      <c r="BB80" s="5" t="n">
        <f aca="false">IF('FP Corp'!T80-((BE80+BF80+BG80)*(1-'Prices&amp;Fuel'!F80))&lt;'Prices&amp;Fuel'!R80,('FP Corp'!T80-(BE80+BF80+BG80)*(1-'Prices&amp;Fuel'!F80)),'Prices&amp;Fuel'!R80)/(1-'Prices&amp;Fuel'!F80)</f>
        <v>4325.96401028278</v>
      </c>
      <c r="BC80" s="9"/>
      <c r="BD80" s="9" t="n">
        <f aca="false">ROUND(IF('FP Corp'!T80/(1-'Prices&amp;Fuel'!F80)-BE80-BF80-BG80-BB80&gt;'Prices&amp;Fuel'!T80,'Prices&amp;Fuel'!T80,'FP Corp'!T80/(1-'Prices&amp;Fuel'!F80)-BE80-BF80-BG80-BB80),9)</f>
        <v>0</v>
      </c>
      <c r="BE80" s="9" t="n">
        <f aca="false">'Prices&amp;Fuel'!U80/(1-'Prices&amp;Fuel'!F80)</f>
        <v>2635.47557840617</v>
      </c>
      <c r="BF80" s="9" t="n">
        <f aca="false">('Prices&amp;Fuel'!V80+'Prices&amp;Fuel'!X80)/(1-'Prices&amp;Fuel'!F80)</f>
        <v>3645.2442159383</v>
      </c>
      <c r="BG80" s="9" t="n">
        <f aca="false">'Prices&amp;Fuel'!W80/(1-'Prices&amp;Fuel'!F80)</f>
        <v>1732.64781491003</v>
      </c>
      <c r="BH80" s="10" t="n">
        <f aca="false">('Prices&amp;Fuel'!C80+'Prices&amp;Fuel'!D80)/2-0.05+('Prices&amp;Fuel'!M80+'Prices&amp;Fuel'!P80)*(1-'Prices&amp;Fuel'!F80)</f>
        <v>3.26050275</v>
      </c>
      <c r="BI80" s="9" t="n">
        <f aca="false">IF(AP80=80000,0,BB80)</f>
        <v>4325.96401028278</v>
      </c>
      <c r="BJ80" s="9"/>
      <c r="BK80" s="10" t="n">
        <f aca="false">(((BB80+BE80)*('Prices&amp;Fuel'!B80+0.025))+(('Prices&amp;Fuel'!D80+0.025)*(BD80+BG80))+(('Prices&amp;Fuel'!C80+0.025)*(BC80+BF80))-(BI80+BJ80)*0.025)/(BB80+BC80+BD80+BE80+BF80+BG80)</f>
        <v>2.56641858333333</v>
      </c>
      <c r="BL80" s="9" t="n">
        <f aca="false">(BB80+BC80+BD80+BE80+BF80+BG80)*BH80*'Prices&amp;Fuel'!H80</f>
        <v>1166740.31568123</v>
      </c>
      <c r="BM80" s="9" t="n">
        <f aca="false">'Prices&amp;Fuel'!X80*('Prices&amp;Fuel'!N80+'Prices&amp;Fuel'!O80)*'Prices&amp;Fuel'!H80</f>
        <v>8333.67755198075</v>
      </c>
      <c r="BN80" s="9" t="n">
        <f aca="false">('Prices&amp;Fuel'!U80+'Prices&amp;Fuel'!V80+'Prices&amp;Fuel'!W80)*('Prices&amp;Fuel'!L80+'Prices&amp;Fuel'!O80)*'Prices&amp;Fuel'!H80</f>
        <v>86753.2172687894</v>
      </c>
      <c r="BO80" s="9" t="n">
        <f aca="false">((BB80+BC80+BD80)*(1-'Prices&amp;Fuel'!G80))*('Prices&amp;Fuel'!M80+'Prices&amp;Fuel'!P80)*'Prices&amp;Fuel'!H80</f>
        <v>93393.2965</v>
      </c>
      <c r="BP80" s="9" t="n">
        <f aca="false">((BD80+BC80+BB80+BE80+BF80+BG80)*BK80*'Prices&amp;Fuel'!H80)+BM80+BN80+BO80</f>
        <v>1106849.00057527</v>
      </c>
      <c r="BQ80" s="5" t="n">
        <f aca="false">BL80-BP80</f>
        <v>59891.3151059654</v>
      </c>
      <c r="CA80" s="5" t="n">
        <f aca="false">(AF80+AG80+AH80+AL80)*0.005*'Prices&amp;Fuel'!H80</f>
        <v>19681.233933162</v>
      </c>
      <c r="CB80" s="5" t="n">
        <f aca="false">(B80+C80+D80+O80+P80+Q80+X80+Y80+BB80+BC80+BD80+BE80+BF80+BG80+BR80+BS80)*0.005*'Prices&amp;Fuel'!H80</f>
        <v>5428.70308483291</v>
      </c>
      <c r="CC80" s="7" t="n">
        <f aca="false">K80+T80+AB80+AY80+BL80+BX80</f>
        <v>13308700.316401</v>
      </c>
      <c r="CD80" s="7" t="n">
        <f aca="false">L80+U80+AC80+AZ80+BP80+BY80+CA80+CB80</f>
        <v>12933734.2668478</v>
      </c>
      <c r="CE80" s="7" t="n">
        <f aca="false">CC80-CD80</f>
        <v>374966.049553266</v>
      </c>
      <c r="CF80" s="7" t="n">
        <f aca="false">'Index Price Deals'!AR80</f>
        <v>0</v>
      </c>
      <c r="CG80" s="7" t="n">
        <f aca="false">'Index Price Deals'!AS80</f>
        <v>0</v>
      </c>
      <c r="CH80" s="7" t="n">
        <f aca="false">'Index Price Deals'!AT80</f>
        <v>0</v>
      </c>
      <c r="CI80" s="7" t="n">
        <f aca="false">'Index Price Deals'!AU80</f>
        <v>0</v>
      </c>
      <c r="CJ80" s="7" t="n">
        <f aca="false">CC80+CF80</f>
        <v>13308700.316401</v>
      </c>
      <c r="CK80" s="7" t="n">
        <f aca="false">CD80+CH80</f>
        <v>12933734.2668478</v>
      </c>
      <c r="CL80" s="7" t="n">
        <f aca="false">CE80+CI80</f>
        <v>374966.049553266</v>
      </c>
      <c r="CM80" s="69"/>
      <c r="CN80" s="7" t="n">
        <f aca="false">Transport!U80</f>
        <v>0</v>
      </c>
      <c r="CO80" s="71"/>
      <c r="CQ80" s="7" t="n">
        <f aca="false">(((($B80+$C80+$D80+$O80+$P80+$Q80)*0.5)+BR80+BS80)*(0.005*'Prices&amp;Fuel'!$H80)+'Index Price Deals'!AV80)+(((BB80+BC80+BD80+BE80+BF80+BG80)*(1-'Prices&amp;Fuel'!F80))*0.005*0.5*'Prices&amp;Fuel'!H80)</f>
        <v>2689.75</v>
      </c>
      <c r="CR80" s="7" t="n">
        <f aca="false">(((($B80+$C80+$D80+$O80+$P80+$Q80)*0.5)+X80+Y80)*(0.005*'Prices&amp;Fuel'!$H80)+CA80+'Index Price Deals'!AW80)+(((BB80+BC80+BD80+BE80+BF80+BG80)*(1-'Prices&amp;Fuel'!F80))*0.005*0.5*'Prices&amp;Fuel'!H80)</f>
        <v>22370.983933162</v>
      </c>
      <c r="CS80" s="11"/>
      <c r="CT80" s="7" t="n">
        <f aca="false">[2]Sheet1!$O95</f>
        <v>-92447.6949691129</v>
      </c>
      <c r="CU80" s="7" t="n">
        <f aca="false">'[3]Long Term Deals'!$Z79</f>
        <v>-32643.7685845632</v>
      </c>
      <c r="CV80" s="70" t="n">
        <f aca="false">CL80-CN80-CT80+CU80+CS80+CO80</f>
        <v>434769.975937816</v>
      </c>
      <c r="CW80" s="14" t="n">
        <f aca="false">((B80+C80+D80+O80+P80+Q80+X80+Y80+AF80+AG80+AH80+BB80+BC80+BD80+BE80+BF80+BG80+BR80+BS80)+('Index Price Deals'!B80+'Index Price Deals'!C80+'Index Price Deals'!D80+'Index Price Deals'!L80+'Index Price Deals'!M80+'Index Price Deals'!N80+'Index Price Deals'!AD80+'Index Price Deals'!AE80+'Index Price Deals'!AF80+'Index Price Deals'!AK80+'Index Price Deals'!AL80+'Index Price Deals'!AM80))*'Prices&amp;Fuel'!H80</f>
        <v>5021987.40359897</v>
      </c>
      <c r="DB80" s="1" t="n">
        <f aca="false">(O80+P80+Q80)*'Prices&amp;Fuel'!$H80</f>
        <v>727900</v>
      </c>
      <c r="DE80" s="1" t="n">
        <v>132000</v>
      </c>
    </row>
    <row r="81" customFormat="false" ht="12.75" hidden="false" customHeight="false" outlineLevel="0" collapsed="false">
      <c r="A81" s="6" t="n">
        <f aca="false">+A80+365/12</f>
        <v>38060.6666666667</v>
      </c>
      <c r="O81" s="7" t="n">
        <v>9036</v>
      </c>
      <c r="P81" s="7" t="n">
        <v>10794</v>
      </c>
      <c r="Q81" s="7" t="n">
        <v>5270</v>
      </c>
      <c r="R81" s="8" t="n">
        <f aca="false">R80</f>
        <v>2.4308</v>
      </c>
      <c r="S81" s="8" t="n">
        <f aca="false">S80</f>
        <v>2.4188</v>
      </c>
      <c r="T81" s="7" t="n">
        <f aca="false">(($O81*R81)+($P81*R81)+($Q81*R81))*'Prices&amp;Fuel'!$H81</f>
        <v>1891405.48</v>
      </c>
      <c r="U81" s="7" t="n">
        <f aca="false">(($O81*S81)+($P81*S81)+($Q81*S81))*'Prices&amp;Fuel'!$H81</f>
        <v>1882068.28</v>
      </c>
      <c r="V81" s="14" t="n">
        <f aca="false">T81-U81</f>
        <v>9337.19999999972</v>
      </c>
      <c r="AF81" s="7" t="n">
        <f aca="false">(32000/(1-'Prices&amp;Fuel'!F81))+(25000/(1-'Prices&amp;Fuel'!G81))-AI81</f>
        <v>58611.8251928021</v>
      </c>
      <c r="AG81" s="7" t="n">
        <v>0</v>
      </c>
      <c r="AH81" s="7" t="n">
        <f aca="false">(75000/(1-'Prices&amp;Fuel'!G81))-AK81</f>
        <v>77120.822622108</v>
      </c>
      <c r="AI81" s="7"/>
      <c r="AJ81" s="7"/>
      <c r="AK81" s="7"/>
      <c r="AL81" s="11" t="n">
        <f aca="false">ROUND((132000/(1-'Prices&amp;Fuel'!F81))-AF81-AG81-AH81,0)</f>
        <v>0</v>
      </c>
      <c r="AM81" s="7" t="n">
        <f aca="false">ROUND(IF(AF81&lt;AP81,0,(AF81-AP81-AI81)/2),0)</f>
        <v>0</v>
      </c>
      <c r="AO81" s="7" t="n">
        <f aca="false">ROUND((75000/(1-'Prices&amp;Fuel'!G81)-AV81-AK81)/2,0)</f>
        <v>38560</v>
      </c>
      <c r="AP81" s="7" t="n">
        <f aca="false">IF(80000&gt;AF81,AF81,80000)</f>
        <v>58611.8251928021</v>
      </c>
      <c r="AR81" s="7" t="n">
        <f aca="false">IF(AP81&gt;AF81,0,AF81-AM81-AP81)</f>
        <v>0</v>
      </c>
      <c r="AT81" s="14" t="n">
        <f aca="false">AH81-AO81-AV81</f>
        <v>38560.822622108</v>
      </c>
      <c r="AU81" s="14" t="n">
        <f aca="false">AL81*AX81*'Prices&amp;Fuel'!H81</f>
        <v>0</v>
      </c>
      <c r="AW81" s="68" t="n">
        <f aca="false">AW80</f>
        <v>0.07</v>
      </c>
      <c r="AX81" s="68" t="n">
        <f aca="false">AX80</f>
        <v>0.025</v>
      </c>
      <c r="AY81" s="5" t="n">
        <f aca="false">('Prices&amp;Fuel'!H81*('Prices&amp;Fuel'!B81+AW81)*'Long Term Deals'!AF81)+('Prices&amp;Fuel'!H81*('Prices&amp;Fuel'!C81+'Long Term Deals'!AW81)*'Long Term Deals'!AG81)+(AH81*('Prices&amp;Fuel'!C81+AW81)*'Prices&amp;Fuel'!H81)+(AW81*AL81*'Prices&amp;Fuel'!H81)</f>
        <v>11087931.0724936</v>
      </c>
      <c r="AZ81" s="5" t="n">
        <f aca="false">(AP81*'Prices&amp;Fuel'!H81*'Prices&amp;Fuel'!B81)+(AQ81*'Prices&amp;Fuel'!C81*'Prices&amp;Fuel'!H81)+((AM81+AR81)*('Prices&amp;Fuel'!B81+'Long Term Deals'!AX81)*'Prices&amp;Fuel'!H81)+((AN81+AS81)*('Prices&amp;Fuel'!C81+'Long Term Deals'!AX81)*'Prices&amp;Fuel'!H81)+((AO81+AT81)*('Prices&amp;Fuel'!D81+'Long Term Deals'!AX81)*'Prices&amp;Fuel'!H81)+(AV81*'Prices&amp;Fuel'!H81*'Prices&amp;Fuel'!Q81)+AU81</f>
        <v>10733622.5892031</v>
      </c>
      <c r="BA81" s="5" t="n">
        <f aca="false">AY81-AZ81</f>
        <v>354308.483290486</v>
      </c>
      <c r="BB81" s="5" t="n">
        <f aca="false">IF('FP Corp'!T81-((BE81+BF81+BG81)*(1-'Prices&amp;Fuel'!F81))&lt;'Prices&amp;Fuel'!R81,('FP Corp'!T81-(BE81+BF81+BG81)*(1-'Prices&amp;Fuel'!F81)),'Prices&amp;Fuel'!R81)/(1-'Prices&amp;Fuel'!F81)</f>
        <v>4325.96401028278</v>
      </c>
      <c r="BC81" s="9"/>
      <c r="BD81" s="9" t="n">
        <f aca="false">ROUND(IF('FP Corp'!T81/(1-'Prices&amp;Fuel'!F81)-BE81-BF81-BG81-BB81&gt;'Prices&amp;Fuel'!T81,'Prices&amp;Fuel'!T81,'FP Corp'!T81/(1-'Prices&amp;Fuel'!F81)-BE81-BF81-BG81-BB81),9)</f>
        <v>0</v>
      </c>
      <c r="BE81" s="9" t="n">
        <f aca="false">'Prices&amp;Fuel'!U81/(1-'Prices&amp;Fuel'!F81)</f>
        <v>2635.47557840617</v>
      </c>
      <c r="BF81" s="9" t="n">
        <f aca="false">('Prices&amp;Fuel'!V81+'Prices&amp;Fuel'!X81)/(1-'Prices&amp;Fuel'!F81)</f>
        <v>3645.2442159383</v>
      </c>
      <c r="BG81" s="9" t="n">
        <f aca="false">'Prices&amp;Fuel'!W81/(1-'Prices&amp;Fuel'!F81)</f>
        <v>1732.64781491003</v>
      </c>
      <c r="BH81" s="10" t="n">
        <f aca="false">('Prices&amp;Fuel'!C81+'Prices&amp;Fuel'!D81)/2-0.05+('Prices&amp;Fuel'!M81+'Prices&amp;Fuel'!P81)*(1-'Prices&amp;Fuel'!F81)</f>
        <v>3.26050275</v>
      </c>
      <c r="BI81" s="9" t="n">
        <f aca="false">IF(AP81=80000,0,BB81)</f>
        <v>4325.96401028278</v>
      </c>
      <c r="BJ81" s="9"/>
      <c r="BK81" s="10" t="n">
        <f aca="false">(((BB81+BE81)*('Prices&amp;Fuel'!B81+0.025))+(('Prices&amp;Fuel'!D81+0.025)*(BD81+BG81))+(('Prices&amp;Fuel'!C81+0.025)*(BC81+BF81))-(BI81+BJ81)*0.025)/(BB81+BC81+BD81+BE81+BF81+BG81)</f>
        <v>2.56641858333333</v>
      </c>
      <c r="BL81" s="9" t="n">
        <f aca="false">(BB81+BC81+BD81+BE81+BF81+BG81)*BH81*'Prices&amp;Fuel'!H81</f>
        <v>1247205.16503856</v>
      </c>
      <c r="BM81" s="9" t="n">
        <f aca="false">'Prices&amp;Fuel'!X81*('Prices&amp;Fuel'!N81+'Prices&amp;Fuel'!O81)*'Prices&amp;Fuel'!H81</f>
        <v>8908.41393487597</v>
      </c>
      <c r="BN81" s="9" t="n">
        <f aca="false">('Prices&amp;Fuel'!U81+'Prices&amp;Fuel'!V81+'Prices&amp;Fuel'!W81)*('Prices&amp;Fuel'!L81+'Prices&amp;Fuel'!O81)*'Prices&amp;Fuel'!H81</f>
        <v>92736.1977700852</v>
      </c>
      <c r="BO81" s="9" t="n">
        <f aca="false">((BB81+BC81+BD81)*(1-'Prices&amp;Fuel'!G81))*('Prices&amp;Fuel'!M81+'Prices&amp;Fuel'!P81)*'Prices&amp;Fuel'!H81</f>
        <v>99834.2135</v>
      </c>
      <c r="BP81" s="9" t="n">
        <f aca="false">((BD81+BC81+BB81+BE81+BF81+BG81)*BK81*'Prices&amp;Fuel'!H81)+BM81+BN81+BO81</f>
        <v>1183183.41440805</v>
      </c>
      <c r="BQ81" s="5" t="n">
        <f aca="false">BL81-BP81</f>
        <v>64021.7506305145</v>
      </c>
      <c r="CA81" s="5" t="n">
        <f aca="false">(AF81+AG81+AH81+AL81)*0.005*'Prices&amp;Fuel'!H81</f>
        <v>21038.5604113111</v>
      </c>
      <c r="CB81" s="5" t="n">
        <f aca="false">(B81+C81+D81+O81+P81+Q81+X81+Y81+BB81+BC81+BD81+BE81+BF81+BG81+BR81+BS81)*0.005*'Prices&amp;Fuel'!H81</f>
        <v>5803.09640102828</v>
      </c>
      <c r="CC81" s="7" t="n">
        <f aca="false">K81+T81+AB81+AY81+BL81+BX81</f>
        <v>14226541.7175321</v>
      </c>
      <c r="CD81" s="7" t="n">
        <f aca="false">L81+U81+AC81+AZ81+BP81+BY81+CA81+CB81</f>
        <v>13825715.9404235</v>
      </c>
      <c r="CE81" s="7" t="n">
        <f aca="false">CC81-CD81</f>
        <v>400825.777108658</v>
      </c>
      <c r="CF81" s="7" t="n">
        <f aca="false">'Index Price Deals'!AR81</f>
        <v>0</v>
      </c>
      <c r="CG81" s="7" t="n">
        <f aca="false">'Index Price Deals'!AS81</f>
        <v>0</v>
      </c>
      <c r="CH81" s="7" t="n">
        <f aca="false">'Index Price Deals'!AT81</f>
        <v>0</v>
      </c>
      <c r="CI81" s="7" t="n">
        <f aca="false">'Index Price Deals'!AU81</f>
        <v>0</v>
      </c>
      <c r="CJ81" s="7" t="n">
        <f aca="false">CC81+CF81</f>
        <v>14226541.7175321</v>
      </c>
      <c r="CK81" s="7" t="n">
        <f aca="false">CD81+CH81</f>
        <v>13825715.9404235</v>
      </c>
      <c r="CL81" s="7" t="n">
        <f aca="false">CE81+CI81</f>
        <v>400825.777108658</v>
      </c>
      <c r="CM81" s="69"/>
      <c r="CN81" s="7" t="n">
        <f aca="false">Transport!U81</f>
        <v>0</v>
      </c>
      <c r="CO81" s="71"/>
      <c r="CQ81" s="7" t="n">
        <f aca="false">(((($B81+$C81+$D81+$O81+$P81+$Q81)*0.5)+BR81+BS81)*(0.005*'Prices&amp;Fuel'!$H81)+'Index Price Deals'!AV81)+(((BB81+BC81+BD81+BE81+BF81+BG81)*(1-'Prices&amp;Fuel'!F81))*0.005*0.5*'Prices&amp;Fuel'!H81)</f>
        <v>2875.25</v>
      </c>
      <c r="CR81" s="7" t="n">
        <f aca="false">(((($B81+$C81+$D81+$O81+$P81+$Q81)*0.5)+X81+Y81)*(0.005*'Prices&amp;Fuel'!$H81)+CA81+'Index Price Deals'!AW81)+(((BB81+BC81+BD81+BE81+BF81+BG81)*(1-'Prices&amp;Fuel'!F81))*0.005*0.5*'Prices&amp;Fuel'!H81)</f>
        <v>23913.8104113111</v>
      </c>
      <c r="CS81" s="11"/>
      <c r="CT81" s="7" t="n">
        <f aca="false">[2]Sheet1!$O96</f>
        <v>-98823.3980704311</v>
      </c>
      <c r="CU81" s="7" t="n">
        <f aca="false">'[3]Long Term Deals'!$Z80</f>
        <v>-34895.0629697055</v>
      </c>
      <c r="CV81" s="70" t="n">
        <f aca="false">CL81-CN81-CT81+CU81+CS81+CO81</f>
        <v>464754.112209384</v>
      </c>
      <c r="CW81" s="14" t="n">
        <f aca="false">((B81+C81+D81+O81+P81+Q81+X81+Y81+AF81+AG81+AH81+BB81+BC81+BD81+BE81+BF81+BG81+BR81+BS81)+('Index Price Deals'!B81+'Index Price Deals'!C81+'Index Price Deals'!D81+'Index Price Deals'!L81+'Index Price Deals'!M81+'Index Price Deals'!N81+'Index Price Deals'!AD81+'Index Price Deals'!AE81+'Index Price Deals'!AF81+'Index Price Deals'!AK81+'Index Price Deals'!AL81+'Index Price Deals'!AM81))*'Prices&amp;Fuel'!H81</f>
        <v>5368331.36246787</v>
      </c>
      <c r="DB81" s="1" t="n">
        <f aca="false">(O81+P81+Q81)*'Prices&amp;Fuel'!$H81</f>
        <v>778100</v>
      </c>
      <c r="DE81" s="1" t="n">
        <v>132000</v>
      </c>
    </row>
    <row r="82" customFormat="false" ht="12.75" hidden="false" customHeight="false" outlineLevel="0" collapsed="false">
      <c r="A82" s="6" t="n">
        <f aca="false">+A81+365/12</f>
        <v>38091.0833333333</v>
      </c>
      <c r="O82" s="7" t="n">
        <v>9036</v>
      </c>
      <c r="P82" s="7" t="n">
        <v>10794</v>
      </c>
      <c r="Q82" s="7" t="n">
        <v>5270</v>
      </c>
      <c r="R82" s="8" t="n">
        <f aca="false">R81</f>
        <v>2.4308</v>
      </c>
      <c r="S82" s="8" t="n">
        <f aca="false">S81</f>
        <v>2.4188</v>
      </c>
      <c r="T82" s="7" t="n">
        <f aca="false">(($O82*R82)+($P82*R82)+($Q82*R82))*'Prices&amp;Fuel'!$H82</f>
        <v>1830392.4</v>
      </c>
      <c r="U82" s="7" t="n">
        <f aca="false">(($O82*S82)+($P82*S82)+($Q82*S82))*'Prices&amp;Fuel'!$H82</f>
        <v>1821356.4</v>
      </c>
      <c r="V82" s="14" t="n">
        <f aca="false">T82-U82</f>
        <v>9036</v>
      </c>
      <c r="AF82" s="7" t="n">
        <f aca="false">(32000/(1-'Prices&amp;Fuel'!F82))+(25000/(1-'Prices&amp;Fuel'!G82))-AI82</f>
        <v>58611.8251928021</v>
      </c>
      <c r="AG82" s="7" t="n">
        <v>0</v>
      </c>
      <c r="AH82" s="7" t="n">
        <f aca="false">(75000/(1-'Prices&amp;Fuel'!G82))-AK82</f>
        <v>77120.822622108</v>
      </c>
      <c r="AI82" s="7"/>
      <c r="AJ82" s="7"/>
      <c r="AK82" s="7"/>
      <c r="AL82" s="11" t="n">
        <f aca="false">ROUND((132000/(1-'Prices&amp;Fuel'!F82))-AF82-AG82-AH82,0)</f>
        <v>0</v>
      </c>
      <c r="AM82" s="7" t="n">
        <f aca="false">ROUND(IF(AF82&lt;AP82,0,(AF82-AP82-AI82)/2),0)</f>
        <v>0</v>
      </c>
      <c r="AO82" s="7" t="n">
        <f aca="false">ROUND((75000/(1-'Prices&amp;Fuel'!G82)-AV82-AK82)/2,0)</f>
        <v>38560</v>
      </c>
      <c r="AP82" s="7" t="n">
        <f aca="false">IF(80000&gt;AF82,AF82,80000)</f>
        <v>58611.8251928021</v>
      </c>
      <c r="AR82" s="7" t="n">
        <f aca="false">IF(AP82&gt;AF82,0,AF82-AM82-AP82)</f>
        <v>0</v>
      </c>
      <c r="AT82" s="14" t="n">
        <f aca="false">AH82-AO82-AV82</f>
        <v>38560.822622108</v>
      </c>
      <c r="AU82" s="14" t="n">
        <f aca="false">AL82*AX82*'Prices&amp;Fuel'!H82</f>
        <v>0</v>
      </c>
      <c r="AW82" s="68" t="n">
        <f aca="false">AW81</f>
        <v>0.07</v>
      </c>
      <c r="AX82" s="68" t="n">
        <f aca="false">AX81</f>
        <v>0.025</v>
      </c>
      <c r="AY82" s="5" t="n">
        <f aca="false">('Prices&amp;Fuel'!H82*('Prices&amp;Fuel'!B82+AW82)*'Long Term Deals'!AF82)+('Prices&amp;Fuel'!H82*('Prices&amp;Fuel'!C82+'Long Term Deals'!AW82)*'Long Term Deals'!AG82)+(AH82*('Prices&amp;Fuel'!C82+AW82)*'Prices&amp;Fuel'!H82)+(AW82*AL82*'Prices&amp;Fuel'!H82)</f>
        <v>11851788.9562982</v>
      </c>
      <c r="AZ82" s="5" t="n">
        <f aca="false">(AP82*'Prices&amp;Fuel'!H82*'Prices&amp;Fuel'!B82)+(AQ82*'Prices&amp;Fuel'!C82*'Prices&amp;Fuel'!H82)+((AM82+AR82)*('Prices&amp;Fuel'!B82+'Long Term Deals'!AX82)*'Prices&amp;Fuel'!H82)+((AN82+AS82)*('Prices&amp;Fuel'!C82+'Long Term Deals'!AX82)*'Prices&amp;Fuel'!H82)+((AO82+AT82)*('Prices&amp;Fuel'!D82+'Long Term Deals'!AX82)*'Prices&amp;Fuel'!H82)+(AV82*'Prices&amp;Fuel'!H82*'Prices&amp;Fuel'!Q82)+AU82</f>
        <v>11508909.7789203</v>
      </c>
      <c r="BA82" s="5" t="n">
        <f aca="false">AY82-AZ82</f>
        <v>342879.177377891</v>
      </c>
      <c r="BB82" s="5" t="n">
        <f aca="false">IF('FP Corp'!T82-((BE82+BF82+BG82)*(1-'Prices&amp;Fuel'!F82))&lt;'Prices&amp;Fuel'!R82,('FP Corp'!T82-(BE82+BF82+BG82)*(1-'Prices&amp;Fuel'!F82)),'Prices&amp;Fuel'!R82)/(1-'Prices&amp;Fuel'!F82)</f>
        <v>6278.66323907455</v>
      </c>
      <c r="BC82" s="9"/>
      <c r="BD82" s="9" t="n">
        <f aca="false">ROUND(IF('FP Corp'!T82/(1-'Prices&amp;Fuel'!F82)-BE82-BF82-BG82-BB82&gt;'Prices&amp;Fuel'!T82,'Prices&amp;Fuel'!T82,'FP Corp'!T82/(1-'Prices&amp;Fuel'!F82)-BE82-BF82-BG82-BB82),9)</f>
        <v>0</v>
      </c>
      <c r="BE82" s="9" t="n">
        <f aca="false">'Prices&amp;Fuel'!U82/(1-'Prices&amp;Fuel'!F82)</f>
        <v>1933.16195372751</v>
      </c>
      <c r="BF82" s="9" t="n">
        <f aca="false">('Prices&amp;Fuel'!V82+'Prices&amp;Fuel'!X82)/(1-'Prices&amp;Fuel'!F82)</f>
        <v>2833.93316195373</v>
      </c>
      <c r="BG82" s="9" t="n">
        <f aca="false">'Prices&amp;Fuel'!W82/(1-'Prices&amp;Fuel'!F82)</f>
        <v>1293.57326478149</v>
      </c>
      <c r="BH82" s="10" t="n">
        <f aca="false">('Prices&amp;Fuel'!C82+'Prices&amp;Fuel'!D82)/2-0.05+('Prices&amp;Fuel'!M82+'Prices&amp;Fuel'!P82)*(1-'Prices&amp;Fuel'!F82)</f>
        <v>3.53592975</v>
      </c>
      <c r="BI82" s="9" t="n">
        <f aca="false">IF(AP82=80000,0,BB82)</f>
        <v>6278.66323907455</v>
      </c>
      <c r="BJ82" s="9"/>
      <c r="BK82" s="10" t="n">
        <f aca="false">(((BB82+BE82)*('Prices&amp;Fuel'!B82+0.025))+(('Prices&amp;Fuel'!D82+0.025)*(BD82+BG82))+(('Prices&amp;Fuel'!C82+0.025)*(BC82+BF82))-(BI82+BJ82)*0.025)/(BB82+BC82+BD82+BE82+BF82+BG82)</f>
        <v>2.8335885</v>
      </c>
      <c r="BL82" s="9" t="n">
        <f aca="false">(BB82+BC82+BD82+BE82+BF82+BG82)*BH82*'Prices&amp;Fuel'!H82</f>
        <v>1308930.29305913</v>
      </c>
      <c r="BM82" s="9" t="n">
        <f aca="false">'Prices&amp;Fuel'!X82*('Prices&amp;Fuel'!N82+'Prices&amp;Fuel'!O82)*'Prices&amp;Fuel'!H82</f>
        <v>8621.04574342836</v>
      </c>
      <c r="BN82" s="9" t="n">
        <f aca="false">('Prices&amp;Fuel'!U82+'Prices&amp;Fuel'!V82+'Prices&amp;Fuel'!W82)*('Prices&amp;Fuel'!L82+'Prices&amp;Fuel'!O82)*'Prices&amp;Fuel'!H82</f>
        <v>65774.9185490559</v>
      </c>
      <c r="BO82" s="9" t="n">
        <f aca="false">((BB82+BC82+BD82)*(1-'Prices&amp;Fuel'!G82))*('Prices&amp;Fuel'!M82+'Prices&amp;Fuel'!P82)*'Prices&amp;Fuel'!H82</f>
        <v>140224.29</v>
      </c>
      <c r="BP82" s="9" t="n">
        <f aca="false">((BD82+BC82+BB82+BE82+BF82+BG82)*BK82*'Prices&amp;Fuel'!H82)+BM82+BN82+BO82</f>
        <v>1263557.8995367</v>
      </c>
      <c r="BQ82" s="5" t="n">
        <f aca="false">BL82-BP82</f>
        <v>45372.3935224258</v>
      </c>
      <c r="CA82" s="5" t="n">
        <f aca="false">(AF82+AG82+AH82+AL82)*0.005*'Prices&amp;Fuel'!H82</f>
        <v>20359.8971722365</v>
      </c>
      <c r="CB82" s="5" t="n">
        <f aca="false">(B82+C82+D82+O82+P82+Q82+X82+Y82+BB82+BC82+BD82+BE82+BF82+BG82+BR82+BS82)*0.005*'Prices&amp;Fuel'!H82</f>
        <v>5615.89974293059</v>
      </c>
      <c r="CC82" s="7" t="n">
        <f aca="false">K82+T82+AB82+AY82+BL82+BX82</f>
        <v>14991111.6493573</v>
      </c>
      <c r="CD82" s="7" t="n">
        <f aca="false">L82+U82+AC82+AZ82+BP82+BY82+CA82+CB82</f>
        <v>14619799.8753722</v>
      </c>
      <c r="CE82" s="7" t="n">
        <f aca="false">CC82-CD82</f>
        <v>371311.773985148</v>
      </c>
      <c r="CF82" s="7" t="n">
        <f aca="false">'Index Price Deals'!AR82</f>
        <v>0</v>
      </c>
      <c r="CG82" s="7" t="n">
        <f aca="false">'Index Price Deals'!AS82</f>
        <v>0</v>
      </c>
      <c r="CH82" s="7" t="n">
        <f aca="false">'Index Price Deals'!AT82</f>
        <v>0</v>
      </c>
      <c r="CI82" s="7" t="n">
        <f aca="false">'Index Price Deals'!AU82</f>
        <v>0</v>
      </c>
      <c r="CJ82" s="7" t="n">
        <f aca="false">CC82+CF82</f>
        <v>14991111.6493573</v>
      </c>
      <c r="CK82" s="7" t="n">
        <f aca="false">CD82+CH82</f>
        <v>14619799.8753722</v>
      </c>
      <c r="CL82" s="7" t="n">
        <f aca="false">CE82+CI82</f>
        <v>371311.773985148</v>
      </c>
      <c r="CM82" s="69"/>
      <c r="CN82" s="7" t="n">
        <f aca="false">Transport!U82</f>
        <v>0</v>
      </c>
      <c r="CO82" s="71"/>
      <c r="CQ82" s="7" t="n">
        <f aca="false">(((($B82+$C82+$D82+$O82+$P82+$Q82)*0.5)+BR82+BS82)*(0.005*'Prices&amp;Fuel'!$H82)+'Index Price Deals'!AV82)+(((BB82+BC82+BD82+BE82+BF82+BG82)*(1-'Prices&amp;Fuel'!F82))*0.005*0.5*'Prices&amp;Fuel'!H82)</f>
        <v>2782.5</v>
      </c>
      <c r="CR82" s="7" t="n">
        <f aca="false">(((($B82+$C82+$D82+$O82+$P82+$Q82)*0.5)+X82+Y82)*(0.005*'Prices&amp;Fuel'!$H82)+CA82+'Index Price Deals'!AW82)+(((BB82+BC82+BD82+BE82+BF82+BG82)*(1-'Prices&amp;Fuel'!F82))*0.005*0.5*'Prices&amp;Fuel'!H82)</f>
        <v>23142.3971722365</v>
      </c>
      <c r="CS82" s="11"/>
      <c r="CT82" s="7" t="n">
        <f aca="false">[2]Sheet1!$O97</f>
        <v>-95635.546519772</v>
      </c>
      <c r="CU82" s="7" t="n">
        <f aca="false">'[3]Long Term Deals'!$Z81</f>
        <v>-33769.4157771343</v>
      </c>
      <c r="CV82" s="70" t="n">
        <f aca="false">CL82-CN82-CT82+CU82+CS82+CO82</f>
        <v>433177.904727785</v>
      </c>
      <c r="CW82" s="14" t="n">
        <f aca="false">((B82+C82+D82+O82+P82+Q82+X82+Y82+AF82+AG82+AH82+BB82+BC82+BD82+BE82+BF82+BG82+BR82+BS82)+('Index Price Deals'!B82+'Index Price Deals'!C82+'Index Price Deals'!D82+'Index Price Deals'!L82+'Index Price Deals'!M82+'Index Price Deals'!N82+'Index Price Deals'!AD82+'Index Price Deals'!AE82+'Index Price Deals'!AF82+'Index Price Deals'!AK82+'Index Price Deals'!AL82+'Index Price Deals'!AM82))*'Prices&amp;Fuel'!H82</f>
        <v>5195159.38303342</v>
      </c>
      <c r="DB82" s="1" t="n">
        <f aca="false">(O82+P82+Q82)*'Prices&amp;Fuel'!$H82</f>
        <v>753000</v>
      </c>
      <c r="DE82" s="1" t="n">
        <v>132000</v>
      </c>
    </row>
    <row r="83" customFormat="false" ht="12.75" hidden="false" customHeight="false" outlineLevel="0" collapsed="false">
      <c r="A83" s="6" t="n">
        <f aca="false">+A82+365/12</f>
        <v>38121.5</v>
      </c>
      <c r="O83" s="7" t="n">
        <v>9036</v>
      </c>
      <c r="P83" s="7" t="n">
        <v>10794</v>
      </c>
      <c r="Q83" s="7" t="n">
        <v>5270</v>
      </c>
      <c r="R83" s="8" t="n">
        <f aca="false">R82</f>
        <v>2.4308</v>
      </c>
      <c r="S83" s="8" t="n">
        <f aca="false">S82</f>
        <v>2.4188</v>
      </c>
      <c r="T83" s="7" t="n">
        <f aca="false">(($O83*R83)+($P83*R83)+($Q83*R83))*'Prices&amp;Fuel'!$H83</f>
        <v>1891405.48</v>
      </c>
      <c r="U83" s="7" t="n">
        <f aca="false">(($O83*S83)+($P83*S83)+($Q83*S83))*'Prices&amp;Fuel'!$H83</f>
        <v>1882068.28</v>
      </c>
      <c r="V83" s="14" t="n">
        <f aca="false">T83-U83</f>
        <v>9337.19999999972</v>
      </c>
      <c r="AF83" s="7" t="n">
        <f aca="false">((126000)/(1-'Prices&amp;Fuel'!F83))+(25000/(1-'Prices&amp;Fuel'!G83))-AI83</f>
        <v>155269.922879177</v>
      </c>
      <c r="AG83" s="7" t="n">
        <v>0</v>
      </c>
      <c r="AH83" s="7" t="n">
        <f aca="false">(75000/(1-'Prices&amp;Fuel'!G83))-AK83</f>
        <v>77120.822622108</v>
      </c>
      <c r="AI83" s="7"/>
      <c r="AJ83" s="7"/>
      <c r="AK83" s="7"/>
      <c r="AL83" s="11" t="n">
        <f aca="false">ROUND((226000/(1-'Prices&amp;Fuel'!F83))-AF83-AG83-AH83,0)</f>
        <v>0</v>
      </c>
      <c r="AM83" s="7" t="n">
        <f aca="false">ROUND(IF(AF83&lt;AP83,0,(AF83-AP83-AI83)/2),0)</f>
        <v>37635</v>
      </c>
      <c r="AO83" s="7" t="n">
        <f aca="false">ROUND((75000/(1-'Prices&amp;Fuel'!G83)-AV83-AK83)/2,0)</f>
        <v>38560</v>
      </c>
      <c r="AP83" s="7" t="n">
        <f aca="false">IF(80000&gt;AF83,AF83,80000)</f>
        <v>80000</v>
      </c>
      <c r="AR83" s="7" t="n">
        <f aca="false">IF(AP83&gt;AF83,0,AF83-AM83-AP83)</f>
        <v>37634.9228791774</v>
      </c>
      <c r="AT83" s="14" t="n">
        <f aca="false">AH83-AO83-AV83</f>
        <v>38560.822622108</v>
      </c>
      <c r="AU83" s="14" t="n">
        <f aca="false">AL83*AX83*'Prices&amp;Fuel'!H83</f>
        <v>0</v>
      </c>
      <c r="AW83" s="68" t="n">
        <f aca="false">AW82</f>
        <v>0.07</v>
      </c>
      <c r="AX83" s="68" t="n">
        <f aca="false">AX82</f>
        <v>0.025</v>
      </c>
      <c r="AY83" s="5" t="n">
        <f aca="false">('Prices&amp;Fuel'!H83*('Prices&amp;Fuel'!B83+AW83)*'Long Term Deals'!AF83)+('Prices&amp;Fuel'!H83*('Prices&amp;Fuel'!C83+'Long Term Deals'!AW83)*'Long Term Deals'!AG83)+(AH83*('Prices&amp;Fuel'!C83+AW83)*'Prices&amp;Fuel'!H83)+(AW83*AL83*'Prices&amp;Fuel'!H83)</f>
        <v>22262233.2133676</v>
      </c>
      <c r="AZ83" s="5" t="n">
        <f aca="false">(AP83*'Prices&amp;Fuel'!H83*'Prices&amp;Fuel'!B83)+(AQ83*'Prices&amp;Fuel'!C83*'Prices&amp;Fuel'!H83)+((AM83+AR83)*('Prices&amp;Fuel'!B83+'Long Term Deals'!AX83)*'Prices&amp;Fuel'!H83)+((AN83+AS83)*('Prices&amp;Fuel'!C83+'Long Term Deals'!AX83)*'Prices&amp;Fuel'!H83)+((AO83+AT83)*('Prices&amp;Fuel'!D83+'Long Term Deals'!AX83)*'Prices&amp;Fuel'!H83)+(AV83*'Prices&amp;Fuel'!H83*'Prices&amp;Fuel'!Q83)+AU83</f>
        <v>21756510.8483291</v>
      </c>
      <c r="BA83" s="5" t="n">
        <f aca="false">AY83-AZ83</f>
        <v>505722.365038555</v>
      </c>
      <c r="BB83" s="5" t="n">
        <f aca="false">IF('FP Corp'!T83-((BE83+BF83+BG83)*(1-'Prices&amp;Fuel'!F83))&lt;'Prices&amp;Fuel'!R83,('FP Corp'!T83-(BE83+BF83+BG83)*(1-'Prices&amp;Fuel'!F83)),'Prices&amp;Fuel'!R83)/(1-'Prices&amp;Fuel'!F83)</f>
        <v>8976.86375321337</v>
      </c>
      <c r="BC83" s="9"/>
      <c r="BD83" s="9" t="n">
        <f aca="false">ROUND(IF('FP Corp'!T83/(1-'Prices&amp;Fuel'!F83)-BE83-BF83-BG83-BB83&gt;'Prices&amp;Fuel'!T83,'Prices&amp;Fuel'!T83,'FP Corp'!T83/(1-'Prices&amp;Fuel'!F83)-BE83-BF83-BG83-BB83),9)</f>
        <v>6556.298200514</v>
      </c>
      <c r="BE83" s="9" t="n">
        <f aca="false">'Prices&amp;Fuel'!U83/(1-'Prices&amp;Fuel'!F83)</f>
        <v>1933.16195372751</v>
      </c>
      <c r="BF83" s="9" t="n">
        <f aca="false">('Prices&amp;Fuel'!V83+'Prices&amp;Fuel'!X83)/(1-'Prices&amp;Fuel'!F83)</f>
        <v>3062.21079691517</v>
      </c>
      <c r="BG83" s="9" t="n">
        <f aca="false">'Prices&amp;Fuel'!W83/(1-'Prices&amp;Fuel'!F83)</f>
        <v>1065.29562982005</v>
      </c>
      <c r="BH83" s="10" t="n">
        <f aca="false">('Prices&amp;Fuel'!C83+'Prices&amp;Fuel'!D83)/2-0.05+('Prices&amp;Fuel'!M83+'Prices&amp;Fuel'!P83)*(1-'Prices&amp;Fuel'!F83)</f>
        <v>3.72974875</v>
      </c>
      <c r="BI83" s="9" t="n">
        <f aca="false">IF(AP83=80000,0,BB83)</f>
        <v>0</v>
      </c>
      <c r="BJ83" s="9"/>
      <c r="BK83" s="10" t="n">
        <f aca="false">(((BB83+BE83)*('Prices&amp;Fuel'!B83+0.025))+(('Prices&amp;Fuel'!D83+0.025)*(BD83+BG83))+(('Prices&amp;Fuel'!C83+0.025)*(BC83+BF83))-(BI83+BJ83)*0.025)/(BB83+BC83+BD83+BE83+BF83+BG83)</f>
        <v>3.0373380952381</v>
      </c>
      <c r="BL83" s="9" t="n">
        <f aca="false">(BB83+BC83+BD83+BE83+BF83+BG83)*BH83*'Prices&amp;Fuel'!H83</f>
        <v>2496726.41259639</v>
      </c>
      <c r="BM83" s="9" t="n">
        <f aca="false">'Prices&amp;Fuel'!X83*('Prices&amp;Fuel'!N83+'Prices&amp;Fuel'!O83)*'Prices&amp;Fuel'!H83</f>
        <v>8908.41393487597</v>
      </c>
      <c r="BN83" s="9" t="n">
        <f aca="false">('Prices&amp;Fuel'!U83+'Prices&amp;Fuel'!V83+'Prices&amp;Fuel'!W83)*('Prices&amp;Fuel'!L83+'Prices&amp;Fuel'!O83)*'Prices&amp;Fuel'!H83</f>
        <v>67967.4158340245</v>
      </c>
      <c r="BO83" s="9" t="n">
        <f aca="false">((BB83+BC83+BD83)*(1-'Prices&amp;Fuel'!G83))*('Prices&amp;Fuel'!M83+'Prices&amp;Fuel'!P83)*'Prices&amp;Fuel'!H83</f>
        <v>358472.932999997</v>
      </c>
      <c r="BP83" s="9" t="n">
        <f aca="false">((BD83+BC83+BB83+BE83+BF83+BG83)*BK83*'Prices&amp;Fuel'!H83)+BM83+BN83+BO83</f>
        <v>2468569.43114935</v>
      </c>
      <c r="BQ83" s="5" t="n">
        <f aca="false">BL83-BP83</f>
        <v>28156.9814470382</v>
      </c>
      <c r="CA83" s="5" t="n">
        <f aca="false">(AF83+AG83+AH83+AL83)*0.005*'Prices&amp;Fuel'!H83</f>
        <v>36020.5655526992</v>
      </c>
      <c r="CB83" s="5" t="n">
        <f aca="false">(B83+C83+D83+O83+P83+Q83+X83+Y83+BB83+BC83+BD83+BE83+BF83+BG83+BR83+BS83)*0.005*'Prices&amp;Fuel'!H83</f>
        <v>7237.54370179946</v>
      </c>
      <c r="CC83" s="7" t="n">
        <f aca="false">K83+T83+AB83+AY83+BL83+BX83</f>
        <v>26650365.105964</v>
      </c>
      <c r="CD83" s="7" t="n">
        <f aca="false">L83+U83+AC83+AZ83+BP83+BY83+CA83+CB83</f>
        <v>26150406.6687329</v>
      </c>
      <c r="CE83" s="7" t="n">
        <f aca="false">CC83-CD83</f>
        <v>499958.437231094</v>
      </c>
      <c r="CF83" s="7" t="n">
        <f aca="false">'Index Price Deals'!AR83</f>
        <v>0</v>
      </c>
      <c r="CG83" s="7" t="n">
        <f aca="false">'Index Price Deals'!AS83</f>
        <v>0</v>
      </c>
      <c r="CH83" s="7" t="n">
        <f aca="false">'Index Price Deals'!AT83</f>
        <v>0</v>
      </c>
      <c r="CI83" s="7" t="n">
        <f aca="false">'Index Price Deals'!AU83</f>
        <v>0</v>
      </c>
      <c r="CJ83" s="7" t="n">
        <f aca="false">CC83+CF83</f>
        <v>26650365.105964</v>
      </c>
      <c r="CK83" s="7" t="n">
        <f aca="false">CD83+CH83</f>
        <v>26150406.6687329</v>
      </c>
      <c r="CL83" s="7" t="n">
        <f aca="false">CE83+CI83</f>
        <v>499958.437231094</v>
      </c>
      <c r="CM83" s="69"/>
      <c r="CN83" s="7" t="n">
        <f aca="false">Transport!U83</f>
        <v>3.14901408273727E-009</v>
      </c>
      <c r="CO83" s="71"/>
      <c r="CQ83" s="7" t="n">
        <f aca="false">(((($B83+$C83+$D83+$O83+$P83+$Q83)*0.5)+BR83+BS83)*(0.005*'Prices&amp;Fuel'!$H83)+'Index Price Deals'!AV83)+(((BB83+BC83+BD83+BE83+BF83+BG83)*(1-'Prices&amp;Fuel'!F83))*0.005*0.5*'Prices&amp;Fuel'!H83)</f>
        <v>3572.74999999999</v>
      </c>
      <c r="CR83" s="7" t="n">
        <f aca="false">(((($B83+$C83+$D83+$O83+$P83+$Q83)*0.5)+X83+Y83)*(0.005*'Prices&amp;Fuel'!$H83)+CA83+'Index Price Deals'!AW83)+(((BB83+BC83+BD83+BE83+BF83+BG83)*(1-'Prices&amp;Fuel'!F83))*0.005*0.5*'Prices&amp;Fuel'!H83)</f>
        <v>39593.3155526992</v>
      </c>
      <c r="CS83" s="11"/>
      <c r="CT83" s="7" t="n">
        <f aca="false">[2]Sheet1!$O98</f>
        <v>-169197.636090284</v>
      </c>
      <c r="CU83" s="7" t="n">
        <f aca="false">'[3]Long Term Deals'!$Z82</f>
        <v>-43972.9018835931</v>
      </c>
      <c r="CV83" s="70" t="n">
        <f aca="false">CL83-CN83-CT83+CU83+CS83+CO83</f>
        <v>625183.171437781</v>
      </c>
      <c r="CW83" s="14" t="n">
        <f aca="false">((B83+C83+D83+O83+P83+Q83+X83+Y83+AF83+AG83+AH83+BB83+BC83+BD83+BE83+BF83+BG83+BR83+BS83)+('Index Price Deals'!B83+'Index Price Deals'!C83+'Index Price Deals'!D83+'Index Price Deals'!L83+'Index Price Deals'!M83+'Index Price Deals'!N83+'Index Price Deals'!AD83+'Index Price Deals'!AE83+'Index Price Deals'!AF83+'Index Price Deals'!AK83+'Index Price Deals'!AL83+'Index Price Deals'!AM83))*'Prices&amp;Fuel'!H83</f>
        <v>8651621.85089974</v>
      </c>
      <c r="DB83" s="1" t="n">
        <f aca="false">(O83+P83+Q83)*'Prices&amp;Fuel'!$H83</f>
        <v>778100</v>
      </c>
      <c r="DE83" s="1" t="n">
        <v>226000</v>
      </c>
    </row>
    <row r="84" customFormat="false" ht="12.75" hidden="false" customHeight="false" outlineLevel="0" collapsed="false">
      <c r="A84" s="6" t="n">
        <f aca="false">+A83+365/12</f>
        <v>38151.9166666667</v>
      </c>
      <c r="O84" s="7" t="n">
        <v>9036</v>
      </c>
      <c r="P84" s="7" t="n">
        <v>10794</v>
      </c>
      <c r="Q84" s="7" t="n">
        <v>5270</v>
      </c>
      <c r="R84" s="8" t="n">
        <f aca="false">R83</f>
        <v>2.4308</v>
      </c>
      <c r="S84" s="8" t="n">
        <f aca="false">S83</f>
        <v>2.4188</v>
      </c>
      <c r="T84" s="7" t="n">
        <f aca="false">(($O84*R84)+($P84*R84)+($Q84*R84))*'Prices&amp;Fuel'!$H84</f>
        <v>1830392.4</v>
      </c>
      <c r="U84" s="7" t="n">
        <f aca="false">(($O84*S84)+($P84*S84)+($Q84*S84))*'Prices&amp;Fuel'!$H84</f>
        <v>1821356.4</v>
      </c>
      <c r="V84" s="14" t="n">
        <f aca="false">T84-U84</f>
        <v>9036</v>
      </c>
      <c r="AF84" s="7" t="n">
        <f aca="false">((126000)/(1-'Prices&amp;Fuel'!F84))+(25000/(1-'Prices&amp;Fuel'!G84))-AI84</f>
        <v>155269.922879177</v>
      </c>
      <c r="AG84" s="7" t="n">
        <v>0</v>
      </c>
      <c r="AH84" s="7" t="n">
        <f aca="false">(75000/(1-'Prices&amp;Fuel'!G84))-AK84</f>
        <v>77120.822622108</v>
      </c>
      <c r="AI84" s="7"/>
      <c r="AJ84" s="7"/>
      <c r="AK84" s="7"/>
      <c r="AL84" s="11" t="n">
        <f aca="false">ROUND((226000/(1-'Prices&amp;Fuel'!F84))-AF84-AG84-AH84,0)</f>
        <v>0</v>
      </c>
      <c r="AM84" s="7" t="n">
        <f aca="false">ROUND(IF(AF84&lt;AP84,0,(AF84-AP84-AI84)/2),0)</f>
        <v>37635</v>
      </c>
      <c r="AO84" s="7" t="n">
        <f aca="false">ROUND((75000/(1-'Prices&amp;Fuel'!G84)-AV84-AK84)/2,0)</f>
        <v>38560</v>
      </c>
      <c r="AP84" s="7" t="n">
        <f aca="false">IF(80000&gt;AF84,AF84,80000)</f>
        <v>80000</v>
      </c>
      <c r="AR84" s="7" t="n">
        <f aca="false">IF(AP84&gt;AF84,0,AF84-AM84-AP84)</f>
        <v>37634.9228791774</v>
      </c>
      <c r="AT84" s="14" t="n">
        <f aca="false">AH84-AO84-AV84</f>
        <v>38560.822622108</v>
      </c>
      <c r="AU84" s="14" t="n">
        <f aca="false">AL84*AX84*'Prices&amp;Fuel'!H84</f>
        <v>0</v>
      </c>
      <c r="AW84" s="68" t="n">
        <f aca="false">AW83</f>
        <v>0.07</v>
      </c>
      <c r="AX84" s="68" t="n">
        <f aca="false">AX83</f>
        <v>0.025</v>
      </c>
      <c r="AY84" s="5" t="n">
        <f aca="false">('Prices&amp;Fuel'!H84*('Prices&amp;Fuel'!B84+AW84)*'Long Term Deals'!AF84)+('Prices&amp;Fuel'!H84*('Prices&amp;Fuel'!C84+'Long Term Deals'!AW84)*'Long Term Deals'!AG84)+(AH84*('Prices&amp;Fuel'!C84+AW84)*'Prices&amp;Fuel'!H84)+(AW84*AL84*'Prices&amp;Fuel'!H84)</f>
        <v>30860625.377892</v>
      </c>
      <c r="AZ84" s="5" t="n">
        <f aca="false">(AP84*'Prices&amp;Fuel'!H84*'Prices&amp;Fuel'!B84)+(AQ84*'Prices&amp;Fuel'!C84*'Prices&amp;Fuel'!H84)+((AM84+AR84)*('Prices&amp;Fuel'!B84+'Long Term Deals'!AX84)*'Prices&amp;Fuel'!H84)+((AN84+AS84)*('Prices&amp;Fuel'!C84+'Long Term Deals'!AX84)*'Prices&amp;Fuel'!H84)+((AO84+AT84)*('Prices&amp;Fuel'!D84+'Long Term Deals'!AX84)*'Prices&amp;Fuel'!H84)+(AV84*'Prices&amp;Fuel'!H84*'Prices&amp;Fuel'!Q84)+AU84</f>
        <v>30371216.6375321</v>
      </c>
      <c r="BA84" s="5" t="n">
        <f aca="false">AY84-AZ84</f>
        <v>489408.740359895</v>
      </c>
      <c r="BB84" s="5" t="n">
        <f aca="false">IF('FP Corp'!T84-((BE84+BF84+BG84)*(1-'Prices&amp;Fuel'!F84))&lt;'Prices&amp;Fuel'!R84,('FP Corp'!T84-(BE84+BF84+BG84)*(1-'Prices&amp;Fuel'!F84)),'Prices&amp;Fuel'!R84)/(1-'Prices&amp;Fuel'!F84)</f>
        <v>8976.86375321337</v>
      </c>
      <c r="BC84" s="9"/>
      <c r="BD84" s="9" t="n">
        <f aca="false">ROUND(IF('FP Corp'!T84/(1-'Prices&amp;Fuel'!F84)-BE84-BF84-BG84-BB84&gt;'Prices&amp;Fuel'!T84,'Prices&amp;Fuel'!T84,'FP Corp'!T84/(1-'Prices&amp;Fuel'!F84)-BE84-BF84-BG84-BB84),9)</f>
        <v>6556.298200514</v>
      </c>
      <c r="BE84" s="9" t="n">
        <f aca="false">'Prices&amp;Fuel'!U84/(1-'Prices&amp;Fuel'!F84)</f>
        <v>1933.16195372751</v>
      </c>
      <c r="BF84" s="9" t="n">
        <f aca="false">('Prices&amp;Fuel'!V84+'Prices&amp;Fuel'!X84)/(1-'Prices&amp;Fuel'!F84)</f>
        <v>3062.21079691517</v>
      </c>
      <c r="BG84" s="9" t="n">
        <f aca="false">'Prices&amp;Fuel'!W84/(1-'Prices&amp;Fuel'!F84)</f>
        <v>1065.29562982005</v>
      </c>
      <c r="BH84" s="10" t="n">
        <f aca="false">('Prices&amp;Fuel'!C84+'Prices&amp;Fuel'!D84)/2-0.05+('Prices&amp;Fuel'!M84+'Prices&amp;Fuel'!P84)*(1-'Prices&amp;Fuel'!F84)</f>
        <v>5.06607975</v>
      </c>
      <c r="BI84" s="9" t="n">
        <f aca="false">IF(AP84=80000,0,BB84)</f>
        <v>0</v>
      </c>
      <c r="BJ84" s="9"/>
      <c r="BK84" s="10" t="n">
        <f aca="false">(((BB84+BE84)*('Prices&amp;Fuel'!B84+0.025))+(('Prices&amp;Fuel'!D84+0.025)*(BD84+BG84))+(('Prices&amp;Fuel'!C84+0.025)*(BC84+BF84))-(BI84+BJ84)*0.025)/(BB84+BC84+BD84+BE84+BF84+BG84)</f>
        <v>4.3736690952381</v>
      </c>
      <c r="BL84" s="9" t="n">
        <f aca="false">(BB84+BC84+BD84+BE84+BF84+BG84)*BH84*'Prices&amp;Fuel'!H84</f>
        <v>3281881.99742928</v>
      </c>
      <c r="BM84" s="9" t="n">
        <f aca="false">'Prices&amp;Fuel'!X84*('Prices&amp;Fuel'!N84+'Prices&amp;Fuel'!O84)*'Prices&amp;Fuel'!H84</f>
        <v>8621.04574342836</v>
      </c>
      <c r="BN84" s="9" t="n">
        <f aca="false">('Prices&amp;Fuel'!U84+'Prices&amp;Fuel'!V84+'Prices&amp;Fuel'!W84)*('Prices&amp;Fuel'!L84+'Prices&amp;Fuel'!O84)*'Prices&amp;Fuel'!H84</f>
        <v>65774.9185490559</v>
      </c>
      <c r="BO84" s="9" t="n">
        <f aca="false">((BB84+BC84+BD84)*(1-'Prices&amp;Fuel'!G84))*('Prices&amp;Fuel'!M84+'Prices&amp;Fuel'!P84)*'Prices&amp;Fuel'!H84</f>
        <v>346909.289999997</v>
      </c>
      <c r="BP84" s="9" t="n">
        <f aca="false">((BD84+BC84+BB84+BE84+BF84+BG84)*BK84*'Prices&amp;Fuel'!H84)+BM84+BN84+BO84</f>
        <v>3254633.30570634</v>
      </c>
      <c r="BQ84" s="5" t="n">
        <f aca="false">BL84-BP84</f>
        <v>27248.6917229397</v>
      </c>
      <c r="CA84" s="5" t="n">
        <f aca="false">(AF84+AG84+AH84+AL84)*0.005*'Prices&amp;Fuel'!H84</f>
        <v>34858.6118251928</v>
      </c>
      <c r="CB84" s="5" t="n">
        <f aca="false">(B84+C84+D84+O84+P84+Q84+X84+Y84+BB84+BC84+BD84+BE84+BF84+BG84+BR84+BS84)*0.005*'Prices&amp;Fuel'!H84</f>
        <v>7004.07455012851</v>
      </c>
      <c r="CC84" s="7" t="n">
        <f aca="false">K84+T84+AB84+AY84+BL84+BX84</f>
        <v>35972899.7753213</v>
      </c>
      <c r="CD84" s="7" t="n">
        <f aca="false">L84+U84+AC84+AZ84+BP84+BY84+CA84+CB84</f>
        <v>35489069.0296138</v>
      </c>
      <c r="CE84" s="7" t="n">
        <f aca="false">CC84-CD84</f>
        <v>483830.745707512</v>
      </c>
      <c r="CF84" s="7" t="n">
        <f aca="false">'Index Price Deals'!AR84</f>
        <v>0</v>
      </c>
      <c r="CG84" s="7" t="n">
        <f aca="false">'Index Price Deals'!AS84</f>
        <v>0</v>
      </c>
      <c r="CH84" s="7" t="n">
        <f aca="false">'Index Price Deals'!AT84</f>
        <v>0</v>
      </c>
      <c r="CI84" s="7" t="n">
        <f aca="false">'Index Price Deals'!AU84</f>
        <v>0</v>
      </c>
      <c r="CJ84" s="7" t="n">
        <f aca="false">CC84+CF84</f>
        <v>35972899.7753213</v>
      </c>
      <c r="CK84" s="7" t="n">
        <f aca="false">CD84+CH84</f>
        <v>35489069.0296138</v>
      </c>
      <c r="CL84" s="7" t="n">
        <f aca="false">CE84+CI84</f>
        <v>483830.745707512</v>
      </c>
      <c r="CM84" s="69"/>
      <c r="CN84" s="7" t="n">
        <f aca="false">Transport!U84</f>
        <v>3.04743298329413E-009</v>
      </c>
      <c r="CO84" s="71"/>
      <c r="CQ84" s="7" t="n">
        <f aca="false">(((($B84+$C84+$D84+$O84+$P84+$Q84)*0.5)+BR84+BS84)*(0.005*'Prices&amp;Fuel'!$H84)+'Index Price Deals'!AV84)+(((BB84+BC84+BD84+BE84+BF84+BG84)*(1-'Prices&amp;Fuel'!F84))*0.005*0.5*'Prices&amp;Fuel'!H84)</f>
        <v>3457.49999999999</v>
      </c>
      <c r="CR84" s="7" t="n">
        <f aca="false">(((($B84+$C84+$D84+$O84+$P84+$Q84)*0.5)+X84+Y84)*(0.005*'Prices&amp;Fuel'!$H84)+CA84+'Index Price Deals'!AW84)+(((BB84+BC84+BD84+BE84+BF84+BG84)*(1-'Prices&amp;Fuel'!F84))*0.005*0.5*'Prices&amp;Fuel'!H84)</f>
        <v>38316.1118251928</v>
      </c>
      <c r="CS84" s="11"/>
      <c r="CT84" s="7" t="n">
        <f aca="false">[2]Sheet1!$O99</f>
        <v>-163739.647829307</v>
      </c>
      <c r="CU84" s="7" t="n">
        <f aca="false">'[3]Long Term Deals'!$Z83</f>
        <v>-42554.4211776707</v>
      </c>
      <c r="CV84" s="70" t="n">
        <f aca="false">CL84-CN84-CT84+CU84+CS84+CO84</f>
        <v>605015.972359145</v>
      </c>
      <c r="CW84" s="14" t="n">
        <f aca="false">((B84+C84+D84+O84+P84+Q84+X84+Y84+AF84+AG84+AH84+BB84+BC84+BD84+BE84+BF84+BG84+BR84+BS84)+('Index Price Deals'!B84+'Index Price Deals'!C84+'Index Price Deals'!D84+'Index Price Deals'!L84+'Index Price Deals'!M84+'Index Price Deals'!N84+'Index Price Deals'!AD84+'Index Price Deals'!AE84+'Index Price Deals'!AF84+'Index Price Deals'!AK84+'Index Price Deals'!AL84+'Index Price Deals'!AM84))*'Prices&amp;Fuel'!H84</f>
        <v>8372537.27506426</v>
      </c>
      <c r="DB84" s="1" t="n">
        <f aca="false">(O84+P84+Q84)*'Prices&amp;Fuel'!$H84</f>
        <v>753000</v>
      </c>
      <c r="DE84" s="1" t="n">
        <v>226000</v>
      </c>
    </row>
    <row r="85" customFormat="false" ht="12.75" hidden="false" customHeight="false" outlineLevel="0" collapsed="false">
      <c r="A85" s="6" t="n">
        <f aca="false">+A84+365/12</f>
        <v>38182.3333333333</v>
      </c>
      <c r="O85" s="7" t="n">
        <v>9036</v>
      </c>
      <c r="P85" s="7" t="n">
        <v>10794</v>
      </c>
      <c r="Q85" s="7" t="n">
        <v>5270</v>
      </c>
      <c r="R85" s="8" t="n">
        <v>3.075</v>
      </c>
      <c r="S85" s="8" t="n">
        <f aca="false">R85-ROUND(0.01*1.02*1.02*1.02*1.02*1.02*1.02*1.02*1.02*1.02*1.02,4)</f>
        <v>3.0628</v>
      </c>
      <c r="T85" s="7" t="n">
        <f aca="false">(($O85*R85)+($P85*R85)+($Q85*R85))*'Prices&amp;Fuel'!$H85</f>
        <v>2392657.5</v>
      </c>
      <c r="U85" s="7" t="n">
        <f aca="false">(($O85*S85)+($P85*S85)+($Q85*S85))*'Prices&amp;Fuel'!$H85</f>
        <v>2383164.68</v>
      </c>
      <c r="V85" s="14" t="n">
        <f aca="false">T85-U85</f>
        <v>9492.81999999983</v>
      </c>
      <c r="AF85" s="7" t="n">
        <f aca="false">((126000)/(1-'Prices&amp;Fuel'!F85))+(25000/(1-'Prices&amp;Fuel'!G85))-AI85</f>
        <v>155269.922879177</v>
      </c>
      <c r="AG85" s="7" t="n">
        <v>0</v>
      </c>
      <c r="AH85" s="7" t="n">
        <f aca="false">(75000/(1-'Prices&amp;Fuel'!G85))-AK85</f>
        <v>77120.822622108</v>
      </c>
      <c r="AI85" s="7"/>
      <c r="AJ85" s="7"/>
      <c r="AK85" s="7"/>
      <c r="AL85" s="11" t="n">
        <f aca="false">ROUND((226000/(1-'Prices&amp;Fuel'!F85))-AF85-AG85-AH85,0)</f>
        <v>0</v>
      </c>
      <c r="AM85" s="7" t="n">
        <f aca="false">ROUND(IF(AF85&lt;AP85,0,(AF85-AP85-AI85)/2),0)</f>
        <v>37635</v>
      </c>
      <c r="AO85" s="7" t="n">
        <f aca="false">ROUND((75000/(1-'Prices&amp;Fuel'!G85)-AV85-AK85)/2,0)</f>
        <v>38560</v>
      </c>
      <c r="AP85" s="7" t="n">
        <f aca="false">IF(80000&gt;AF85,AF85,80000)</f>
        <v>80000</v>
      </c>
      <c r="AR85" s="7" t="n">
        <f aca="false">IF(AP85&gt;AF85,0,AF85-AM85-AP85)</f>
        <v>37634.9228791774</v>
      </c>
      <c r="AT85" s="14" t="n">
        <f aca="false">AH85-AO85-AV85</f>
        <v>38560.822622108</v>
      </c>
      <c r="AU85" s="14" t="n">
        <f aca="false">AL85*AX85*'Prices&amp;Fuel'!H85</f>
        <v>0</v>
      </c>
      <c r="AW85" s="68" t="n">
        <f aca="false">AW84</f>
        <v>0.07</v>
      </c>
      <c r="AX85" s="68" t="n">
        <f aca="false">AX84</f>
        <v>0.025</v>
      </c>
      <c r="AY85" s="5" t="n">
        <f aca="false">('Prices&amp;Fuel'!H85*('Prices&amp;Fuel'!B85+AW85)*'Long Term Deals'!AF85)+('Prices&amp;Fuel'!H85*('Prices&amp;Fuel'!C85+'Long Term Deals'!AW85)*'Long Term Deals'!AG85)+(AH85*('Prices&amp;Fuel'!C85+AW85)*'Prices&amp;Fuel'!H85)+(AW85*AL85*'Prices&amp;Fuel'!H85)</f>
        <v>31815823.7326478</v>
      </c>
      <c r="AZ85" s="5" t="n">
        <f aca="false">(AP85*'Prices&amp;Fuel'!H85*'Prices&amp;Fuel'!B85)+(AQ85*'Prices&amp;Fuel'!C85*'Prices&amp;Fuel'!H85)+((AM85+AR85)*('Prices&amp;Fuel'!B85+'Long Term Deals'!AX85)*'Prices&amp;Fuel'!H85)+((AN85+AS85)*('Prices&amp;Fuel'!C85+'Long Term Deals'!AX85)*'Prices&amp;Fuel'!H85)+((AO85+AT85)*('Prices&amp;Fuel'!D85+'Long Term Deals'!AX85)*'Prices&amp;Fuel'!H85)+(AV85*'Prices&amp;Fuel'!H85*'Prices&amp;Fuel'!Q85)+AU85</f>
        <v>31310101.3676093</v>
      </c>
      <c r="BA85" s="5" t="n">
        <f aca="false">AY85-AZ85</f>
        <v>505722.365038559</v>
      </c>
      <c r="BB85" s="5" t="n">
        <f aca="false">IF('FP Corp'!T85-((BE85+BF85+BG85)*(1-'Prices&amp;Fuel'!F85))&lt;'Prices&amp;Fuel'!R85,('FP Corp'!T85-(BE85+BF85+BG85)*(1-'Prices&amp;Fuel'!F85)),'Prices&amp;Fuel'!R85)/(1-'Prices&amp;Fuel'!F85)</f>
        <v>8976.86375321337</v>
      </c>
      <c r="BC85" s="9"/>
      <c r="BD85" s="9" t="n">
        <f aca="false">ROUND(IF('FP Corp'!T85/(1-'Prices&amp;Fuel'!F85)-BE85-BF85-BG85-BB85&gt;'Prices&amp;Fuel'!T85,'Prices&amp;Fuel'!T85,'FP Corp'!T85/(1-'Prices&amp;Fuel'!F85)-BE85-BF85-BG85-BB85),9)</f>
        <v>6556.298200514</v>
      </c>
      <c r="BE85" s="9" t="n">
        <f aca="false">'Prices&amp;Fuel'!U85/(1-'Prices&amp;Fuel'!F85)</f>
        <v>1933.16195372751</v>
      </c>
      <c r="BF85" s="9" t="n">
        <f aca="false">('Prices&amp;Fuel'!V85+'Prices&amp;Fuel'!X85)/(1-'Prices&amp;Fuel'!F85)</f>
        <v>3062.21079691517</v>
      </c>
      <c r="BG85" s="9" t="n">
        <f aca="false">'Prices&amp;Fuel'!W85/(1-'Prices&amp;Fuel'!F85)</f>
        <v>1065.29562982005</v>
      </c>
      <c r="BH85" s="10" t="n">
        <f aca="false">('Prices&amp;Fuel'!C85+'Prices&amp;Fuel'!D85)/2-0.05+('Prices&amp;Fuel'!M85+'Prices&amp;Fuel'!P85)*(1-'Prices&amp;Fuel'!F85)</f>
        <v>5.05587875</v>
      </c>
      <c r="BI85" s="9" t="n">
        <f aca="false">IF(AP85=80000,0,BB85)</f>
        <v>0</v>
      </c>
      <c r="BJ85" s="9"/>
      <c r="BK85" s="10" t="n">
        <f aca="false">(((BB85+BE85)*('Prices&amp;Fuel'!B85+0.025))+(('Prices&amp;Fuel'!D85+0.025)*(BD85+BG85))+(('Prices&amp;Fuel'!C85+0.025)*(BC85+BF85))-(BI85+BJ85)*0.025)/(BB85+BC85+BD85+BE85+BF85+BG85)</f>
        <v>4.3634680952381</v>
      </c>
      <c r="BL85" s="9" t="n">
        <f aca="false">(BB85+BC85+BD85+BE85+BF85+BG85)*BH85*'Prices&amp;Fuel'!H85</f>
        <v>3384449.42544985</v>
      </c>
      <c r="BM85" s="9" t="n">
        <f aca="false">'Prices&amp;Fuel'!X85*('Prices&amp;Fuel'!N85+'Prices&amp;Fuel'!O85)*'Prices&amp;Fuel'!H85</f>
        <v>8908.41393487597</v>
      </c>
      <c r="BN85" s="9" t="n">
        <f aca="false">('Prices&amp;Fuel'!U85+'Prices&amp;Fuel'!V85+'Prices&amp;Fuel'!W85)*('Prices&amp;Fuel'!L85+'Prices&amp;Fuel'!O85)*'Prices&amp;Fuel'!H85</f>
        <v>67967.4158340245</v>
      </c>
      <c r="BO85" s="9" t="n">
        <f aca="false">((BB85+BC85+BD85)*(1-'Prices&amp;Fuel'!G85))*('Prices&amp;Fuel'!M85+'Prices&amp;Fuel'!P85)*'Prices&amp;Fuel'!H85</f>
        <v>358472.932999997</v>
      </c>
      <c r="BP85" s="9" t="n">
        <f aca="false">((BD85+BC85+BB85+BE85+BF85+BG85)*BK85*'Prices&amp;Fuel'!H85)+BM85+BN85+BO85</f>
        <v>3356292.44400281</v>
      </c>
      <c r="BQ85" s="5" t="n">
        <f aca="false">BL85-BP85</f>
        <v>28156.9814470387</v>
      </c>
      <c r="CA85" s="5" t="n">
        <f aca="false">(AF85+AG85+AH85+AL85)*0.005*'Prices&amp;Fuel'!H85</f>
        <v>36020.5655526992</v>
      </c>
      <c r="CB85" s="5" t="n">
        <f aca="false">(B85+C85+D85+O85+P85+Q85+X85+Y85+BB85+BC85+BD85+BE85+BF85+BG85+BR85+BS85)*0.005*'Prices&amp;Fuel'!H85</f>
        <v>7237.54370179946</v>
      </c>
      <c r="CC85" s="7" t="n">
        <f aca="false">K85+T85+AB85+AY85+BL85+BX85</f>
        <v>37592930.6580977</v>
      </c>
      <c r="CD85" s="7" t="n">
        <f aca="false">L85+U85+AC85+AZ85+BP85+BY85+CA85+CB85</f>
        <v>37092816.6008666</v>
      </c>
      <c r="CE85" s="7" t="n">
        <f aca="false">CC85-CD85</f>
        <v>500114.057231098</v>
      </c>
      <c r="CF85" s="7" t="n">
        <f aca="false">'Index Price Deals'!AR85</f>
        <v>0</v>
      </c>
      <c r="CG85" s="7" t="n">
        <f aca="false">'Index Price Deals'!AS85</f>
        <v>0</v>
      </c>
      <c r="CH85" s="7" t="n">
        <f aca="false">'Index Price Deals'!AT85</f>
        <v>0</v>
      </c>
      <c r="CI85" s="7" t="n">
        <f aca="false">'Index Price Deals'!AU85</f>
        <v>0</v>
      </c>
      <c r="CJ85" s="7" t="n">
        <f aca="false">CC85+CF85</f>
        <v>37592930.6580977</v>
      </c>
      <c r="CK85" s="7" t="n">
        <f aca="false">CD85+CH85</f>
        <v>37092816.6008666</v>
      </c>
      <c r="CL85" s="7" t="n">
        <f aca="false">CE85+CI85</f>
        <v>500114.057231098</v>
      </c>
      <c r="CM85" s="69"/>
      <c r="CN85" s="7" t="n">
        <f aca="false">Transport!U85</f>
        <v>3.14901408273727E-009</v>
      </c>
      <c r="CO85" s="71"/>
      <c r="CQ85" s="7" t="n">
        <f aca="false">(((($B85+$C85+$D85+$O85+$P85+$Q85)*0.5)+BR85+BS85)*(0.005*'Prices&amp;Fuel'!$H85)+'Index Price Deals'!AV85)+(((BB85+BC85+BD85+BE85+BF85+BG85)*(1-'Prices&amp;Fuel'!F85))*0.005*0.5*'Prices&amp;Fuel'!H85)</f>
        <v>3572.74999999999</v>
      </c>
      <c r="CR85" s="7" t="n">
        <f aca="false">(((($B85+$C85+$D85+$O85+$P85+$Q85)*0.5)+X85+Y85)*(0.005*'Prices&amp;Fuel'!$H85)+CA85+'Index Price Deals'!AW85)+(((BB85+BC85+BD85+BE85+BF85+BG85)*(1-'Prices&amp;Fuel'!F85))*0.005*0.5*'Prices&amp;Fuel'!H85)</f>
        <v>39593.3155526992</v>
      </c>
      <c r="CS85" s="11"/>
      <c r="CT85" s="7" t="n">
        <f aca="false">[2]Sheet1!$O100</f>
        <v>-169197.636090284</v>
      </c>
      <c r="CU85" s="7" t="n">
        <f aca="false">'[3]Long Term Deals'!$Z84</f>
        <v>-43972.9018835931</v>
      </c>
      <c r="CV85" s="70" t="n">
        <f aca="false">CL85-CN85-CT85+CU85+CS85+CO85</f>
        <v>625338.791437786</v>
      </c>
      <c r="CW85" s="14" t="n">
        <f aca="false">((B85+C85+D85+O85+P85+Q85+X85+Y85+AF85+AG85+AH85+BB85+BC85+BD85+BE85+BF85+BG85+BR85+BS85)+('Index Price Deals'!B85+'Index Price Deals'!C85+'Index Price Deals'!D85+'Index Price Deals'!L85+'Index Price Deals'!M85+'Index Price Deals'!N85+'Index Price Deals'!AD85+'Index Price Deals'!AE85+'Index Price Deals'!AF85+'Index Price Deals'!AK85+'Index Price Deals'!AL85+'Index Price Deals'!AM85))*'Prices&amp;Fuel'!H85</f>
        <v>8651621.85089974</v>
      </c>
      <c r="DB85" s="1" t="n">
        <f aca="false">(O85+P85+Q85)*'Prices&amp;Fuel'!$H85</f>
        <v>778100</v>
      </c>
      <c r="DE85" s="1" t="n">
        <v>226000</v>
      </c>
    </row>
    <row r="86" customFormat="false" ht="12.75" hidden="false" customHeight="false" outlineLevel="0" collapsed="false">
      <c r="A86" s="6" t="n">
        <f aca="false">+A85+365/12</f>
        <v>38212.75</v>
      </c>
      <c r="O86" s="7" t="n">
        <v>9036</v>
      </c>
      <c r="P86" s="7" t="n">
        <v>10794</v>
      </c>
      <c r="Q86" s="7" t="n">
        <v>5270</v>
      </c>
      <c r="R86" s="8" t="n">
        <f aca="false">R85</f>
        <v>3.075</v>
      </c>
      <c r="S86" s="8" t="n">
        <f aca="false">S85</f>
        <v>3.0628</v>
      </c>
      <c r="T86" s="7" t="n">
        <f aca="false">(($O86*R86)+($P86*R86)+($Q86*R86))*'Prices&amp;Fuel'!$H86</f>
        <v>2392657.5</v>
      </c>
      <c r="U86" s="7" t="n">
        <f aca="false">(($O86*S86)+($P86*S86)+($Q86*S86))*'Prices&amp;Fuel'!$H86</f>
        <v>2383164.68</v>
      </c>
      <c r="V86" s="14" t="n">
        <f aca="false">T86-U86</f>
        <v>9492.81999999983</v>
      </c>
      <c r="AF86" s="7" t="n">
        <f aca="false">((126000)/(1-'Prices&amp;Fuel'!F86))+(25000/(1-'Prices&amp;Fuel'!G86))-AI86</f>
        <v>155269.922879177</v>
      </c>
      <c r="AG86" s="7" t="n">
        <v>0</v>
      </c>
      <c r="AH86" s="7" t="n">
        <f aca="false">(75000/(1-'Prices&amp;Fuel'!G86))-AK86</f>
        <v>77120.822622108</v>
      </c>
      <c r="AI86" s="7"/>
      <c r="AJ86" s="7"/>
      <c r="AK86" s="7"/>
      <c r="AL86" s="11" t="n">
        <f aca="false">ROUND((226000/(1-'Prices&amp;Fuel'!F86))-AF86-AG86-AH86,0)</f>
        <v>0</v>
      </c>
      <c r="AM86" s="7" t="n">
        <f aca="false">ROUND(IF(AF86&lt;AP86,0,(AF86-AP86-AI86)/2),0)</f>
        <v>37635</v>
      </c>
      <c r="AO86" s="7" t="n">
        <f aca="false">ROUND((75000/(1-'Prices&amp;Fuel'!G86)-AV86-AK86)/2,0)</f>
        <v>38560</v>
      </c>
      <c r="AP86" s="7" t="n">
        <f aca="false">IF(80000&gt;AF86,AF86,80000)</f>
        <v>80000</v>
      </c>
      <c r="AR86" s="7" t="n">
        <f aca="false">IF(AP86&gt;AF86,0,AF86-AM86-AP86)</f>
        <v>37634.9228791774</v>
      </c>
      <c r="AT86" s="14" t="n">
        <f aca="false">AH86-AO86-AV86</f>
        <v>38560.822622108</v>
      </c>
      <c r="AU86" s="14" t="n">
        <f aca="false">AL86*AX86*'Prices&amp;Fuel'!H86</f>
        <v>0</v>
      </c>
      <c r="AW86" s="68" t="n">
        <f aca="false">AW85</f>
        <v>0.07</v>
      </c>
      <c r="AX86" s="68" t="n">
        <f aca="false">AX85</f>
        <v>0.025</v>
      </c>
      <c r="AY86" s="5" t="n">
        <f aca="false">('Prices&amp;Fuel'!H86*('Prices&amp;Fuel'!B86+AW86)*'Long Term Deals'!AF86)+('Prices&amp;Fuel'!H86*('Prices&amp;Fuel'!C86+'Long Term Deals'!AW86)*'Long Term Deals'!AG86)+(AH86*('Prices&amp;Fuel'!C86+AW86)*'Prices&amp;Fuel'!H86)+(AW86*AL86*'Prices&amp;Fuel'!H86)</f>
        <v>27847409.2092545</v>
      </c>
      <c r="AZ86" s="5" t="n">
        <f aca="false">(AP86*'Prices&amp;Fuel'!H86*'Prices&amp;Fuel'!B86)+(AQ86*'Prices&amp;Fuel'!C86*'Prices&amp;Fuel'!H86)+((AM86+AR86)*('Prices&amp;Fuel'!B86+'Long Term Deals'!AX86)*'Prices&amp;Fuel'!H86)+((AN86+AS86)*('Prices&amp;Fuel'!C86+'Long Term Deals'!AX86)*'Prices&amp;Fuel'!H86)+((AO86+AT86)*('Prices&amp;Fuel'!D86+'Long Term Deals'!AX86)*'Prices&amp;Fuel'!H86)+(AV86*'Prices&amp;Fuel'!H86*'Prices&amp;Fuel'!Q86)+AU86</f>
        <v>27341686.8442159</v>
      </c>
      <c r="BA86" s="5" t="n">
        <f aca="false">AY86-AZ86</f>
        <v>505722.365038563</v>
      </c>
      <c r="BB86" s="5" t="n">
        <f aca="false">IF('FP Corp'!T86-((BE86+BF86+BG86)*(1-'Prices&amp;Fuel'!F86))&lt;'Prices&amp;Fuel'!R86,('FP Corp'!T86-(BE86+BF86+BG86)*(1-'Prices&amp;Fuel'!F86)),'Prices&amp;Fuel'!R86)/(1-'Prices&amp;Fuel'!F86)</f>
        <v>8976.86375321337</v>
      </c>
      <c r="BC86" s="9"/>
      <c r="BD86" s="9" t="n">
        <f aca="false">ROUND(IF('FP Corp'!T86/(1-'Prices&amp;Fuel'!F86)-BE86-BF86-BG86-BB86&gt;'Prices&amp;Fuel'!T86,'Prices&amp;Fuel'!T86,'FP Corp'!T86/(1-'Prices&amp;Fuel'!F86)-BE86-BF86-BG86-BB86),9)</f>
        <v>6556.298200514</v>
      </c>
      <c r="BE86" s="9" t="n">
        <f aca="false">'Prices&amp;Fuel'!U86/(1-'Prices&amp;Fuel'!F86)</f>
        <v>1933.16195372751</v>
      </c>
      <c r="BF86" s="9" t="n">
        <f aca="false">('Prices&amp;Fuel'!V86+'Prices&amp;Fuel'!X86)/(1-'Prices&amp;Fuel'!F86)</f>
        <v>3062.21079691517</v>
      </c>
      <c r="BG86" s="9" t="n">
        <f aca="false">'Prices&amp;Fuel'!W86/(1-'Prices&amp;Fuel'!F86)</f>
        <v>1065.29562982005</v>
      </c>
      <c r="BH86" s="10" t="n">
        <f aca="false">('Prices&amp;Fuel'!C86+'Prices&amp;Fuel'!D86)/2-0.05+('Prices&amp;Fuel'!M86+'Prices&amp;Fuel'!P86)*(1-'Prices&amp;Fuel'!F86)</f>
        <v>4.50502475</v>
      </c>
      <c r="BI86" s="9" t="n">
        <f aca="false">IF(AP86=80000,0,BB86)</f>
        <v>0</v>
      </c>
      <c r="BJ86" s="9"/>
      <c r="BK86" s="10" t="n">
        <f aca="false">(((BB86+BE86)*('Prices&amp;Fuel'!B86+0.025))+(('Prices&amp;Fuel'!D86+0.025)*(BD86+BG86))+(('Prices&amp;Fuel'!C86+0.025)*(BC86+BF86))-(BI86+BJ86)*0.025)/(BB86+BC86+BD86+BE86+BF86+BG86)</f>
        <v>3.8126140952381</v>
      </c>
      <c r="BL86" s="9" t="n">
        <f aca="false">(BB86+BC86+BD86+BE86+BF86+BG86)*BH86*'Prices&amp;Fuel'!H86</f>
        <v>3015702.94318764</v>
      </c>
      <c r="BM86" s="9" t="n">
        <f aca="false">'Prices&amp;Fuel'!X86*('Prices&amp;Fuel'!N86+'Prices&amp;Fuel'!O86)*'Prices&amp;Fuel'!H86</f>
        <v>8908.41393487597</v>
      </c>
      <c r="BN86" s="9" t="n">
        <f aca="false">('Prices&amp;Fuel'!U86+'Prices&amp;Fuel'!V86+'Prices&amp;Fuel'!W86)*('Prices&amp;Fuel'!L86+'Prices&amp;Fuel'!O86)*'Prices&amp;Fuel'!H86</f>
        <v>67967.4158340245</v>
      </c>
      <c r="BO86" s="9" t="n">
        <f aca="false">((BB86+BC86+BD86)*(1-'Prices&amp;Fuel'!G86))*('Prices&amp;Fuel'!M86+'Prices&amp;Fuel'!P86)*'Prices&amp;Fuel'!H86</f>
        <v>358472.932999997</v>
      </c>
      <c r="BP86" s="9" t="n">
        <f aca="false">((BD86+BC86+BB86+BE86+BF86+BG86)*BK86*'Prices&amp;Fuel'!H86)+BM86+BN86+BO86</f>
        <v>2987545.9617406</v>
      </c>
      <c r="BQ86" s="5" t="n">
        <f aca="false">BL86-BP86</f>
        <v>28156.9814470382</v>
      </c>
      <c r="CA86" s="5" t="n">
        <f aca="false">(AF86+AG86+AH86+AL86)*0.005*'Prices&amp;Fuel'!H86</f>
        <v>36020.5655526992</v>
      </c>
      <c r="CB86" s="5" t="n">
        <f aca="false">(B86+C86+D86+O86+P86+Q86+X86+Y86+BB86+BC86+BD86+BE86+BF86+BG86+BR86+BS86)*0.005*'Prices&amp;Fuel'!H86</f>
        <v>7237.54370179946</v>
      </c>
      <c r="CC86" s="7" t="n">
        <f aca="false">K86+T86+AB86+AY86+BL86+BX86</f>
        <v>33255769.6524421</v>
      </c>
      <c r="CD86" s="7" t="n">
        <f aca="false">L86+U86+AC86+AZ86+BP86+BY86+CA86+CB86</f>
        <v>32755655.595211</v>
      </c>
      <c r="CE86" s="7" t="n">
        <f aca="false">CC86-CD86</f>
        <v>500114.057231106</v>
      </c>
      <c r="CF86" s="7" t="n">
        <f aca="false">'Index Price Deals'!AR86</f>
        <v>0</v>
      </c>
      <c r="CG86" s="7" t="n">
        <f aca="false">'Index Price Deals'!AS86</f>
        <v>0</v>
      </c>
      <c r="CH86" s="7" t="n">
        <f aca="false">'Index Price Deals'!AT86</f>
        <v>0</v>
      </c>
      <c r="CI86" s="7" t="n">
        <f aca="false">'Index Price Deals'!AU86</f>
        <v>0</v>
      </c>
      <c r="CJ86" s="7" t="n">
        <f aca="false">CC86+CF86</f>
        <v>33255769.6524421</v>
      </c>
      <c r="CK86" s="7" t="n">
        <f aca="false">CD86+CH86</f>
        <v>32755655.595211</v>
      </c>
      <c r="CL86" s="7" t="n">
        <f aca="false">CE86+CI86</f>
        <v>500114.057231106</v>
      </c>
      <c r="CM86" s="69"/>
      <c r="CN86" s="7" t="n">
        <f aca="false">Transport!U86</f>
        <v>3.14901408273727E-009</v>
      </c>
      <c r="CO86" s="71"/>
      <c r="CQ86" s="7" t="n">
        <f aca="false">(((($B86+$C86+$D86+$O86+$P86+$Q86)*0.5)+BR86+BS86)*(0.005*'Prices&amp;Fuel'!$H86)+'Index Price Deals'!AV86)+(((BB86+BC86+BD86+BE86+BF86+BG86)*(1-'Prices&amp;Fuel'!F86))*0.005*0.5*'Prices&amp;Fuel'!H86)</f>
        <v>3572.74999999999</v>
      </c>
      <c r="CR86" s="7" t="n">
        <f aca="false">(((($B86+$C86+$D86+$O86+$P86+$Q86)*0.5)+X86+Y86)*(0.005*'Prices&amp;Fuel'!$H86)+CA86+'Index Price Deals'!AW86)+(((BB86+BC86+BD86+BE86+BF86+BG86)*(1-'Prices&amp;Fuel'!F86))*0.005*0.5*'Prices&amp;Fuel'!H86)</f>
        <v>39593.3155526992</v>
      </c>
      <c r="CS86" s="11"/>
      <c r="CT86" s="7" t="n">
        <f aca="false">[2]Sheet1!$O101</f>
        <v>-169197.636090284</v>
      </c>
      <c r="CU86" s="7" t="n">
        <f aca="false">'[3]Long Term Deals'!$Z85</f>
        <v>-43972.9018835931</v>
      </c>
      <c r="CV86" s="70" t="n">
        <f aca="false">CL86-CN86-CT86+CU86+CS86+CO86</f>
        <v>625338.791437793</v>
      </c>
      <c r="CW86" s="14" t="n">
        <f aca="false">((B86+C86+D86+O86+P86+Q86+X86+Y86+AF86+AG86+AH86+BB86+BC86+BD86+BE86+BF86+BG86+BR86+BS86)+('Index Price Deals'!B86+'Index Price Deals'!C86+'Index Price Deals'!D86+'Index Price Deals'!L86+'Index Price Deals'!M86+'Index Price Deals'!N86+'Index Price Deals'!AD86+'Index Price Deals'!AE86+'Index Price Deals'!AF86+'Index Price Deals'!AK86+'Index Price Deals'!AL86+'Index Price Deals'!AM86))*'Prices&amp;Fuel'!H86</f>
        <v>8651621.85089974</v>
      </c>
      <c r="DB86" s="1" t="n">
        <f aca="false">(O86+P86+Q86)*'Prices&amp;Fuel'!$H86</f>
        <v>778100</v>
      </c>
      <c r="DE86" s="1" t="n">
        <v>226000</v>
      </c>
    </row>
    <row r="87" customFormat="false" ht="12.75" hidden="false" customHeight="false" outlineLevel="0" collapsed="false">
      <c r="A87" s="6" t="n">
        <f aca="false">+A86+365/12</f>
        <v>38243.1666666667</v>
      </c>
      <c r="O87" s="7" t="n">
        <v>9036</v>
      </c>
      <c r="P87" s="7" t="n">
        <v>10794</v>
      </c>
      <c r="Q87" s="7" t="n">
        <v>5270</v>
      </c>
      <c r="R87" s="8" t="n">
        <f aca="false">R86</f>
        <v>3.075</v>
      </c>
      <c r="S87" s="8" t="n">
        <f aca="false">S86</f>
        <v>3.0628</v>
      </c>
      <c r="T87" s="7" t="n">
        <f aca="false">(($O87*R87)+($P87*R87)+($Q87*R87))*'Prices&amp;Fuel'!$H87</f>
        <v>2315475</v>
      </c>
      <c r="U87" s="7" t="n">
        <f aca="false">(($O87*S87)+($P87*S87)+($Q87*S87))*'Prices&amp;Fuel'!$H87</f>
        <v>2306288.4</v>
      </c>
      <c r="V87" s="14" t="n">
        <f aca="false">T87-U87</f>
        <v>9186.60000000009</v>
      </c>
      <c r="AF87" s="7" t="n">
        <f aca="false">((126000)/(1-'Prices&amp;Fuel'!F87))+(25000/(1-'Prices&amp;Fuel'!G87))-AI87</f>
        <v>155269.922879177</v>
      </c>
      <c r="AG87" s="7" t="n">
        <v>0</v>
      </c>
      <c r="AH87" s="7" t="n">
        <f aca="false">(75000/(1-'Prices&amp;Fuel'!G87))-AK87</f>
        <v>77120.822622108</v>
      </c>
      <c r="AI87" s="7"/>
      <c r="AJ87" s="7"/>
      <c r="AK87" s="7"/>
      <c r="AL87" s="11" t="n">
        <f aca="false">ROUND((226000/(1-'Prices&amp;Fuel'!F87))-AF87-AG87-AH87,0)</f>
        <v>0</v>
      </c>
      <c r="AM87" s="7" t="n">
        <f aca="false">ROUND(IF(AF87&lt;AP87,0,(AF87-AP87-AI87)/2),0)</f>
        <v>37635</v>
      </c>
      <c r="AO87" s="7" t="n">
        <f aca="false">ROUND((75000/(1-'Prices&amp;Fuel'!G87)-AV87-AK87)/2,0)</f>
        <v>38560</v>
      </c>
      <c r="AP87" s="7" t="n">
        <f aca="false">IF(80000&gt;AF87,AF87,80000)</f>
        <v>80000</v>
      </c>
      <c r="AR87" s="7" t="n">
        <f aca="false">IF(AP87&gt;AF87,0,AF87-AM87-AP87)</f>
        <v>37634.9228791774</v>
      </c>
      <c r="AT87" s="14" t="n">
        <f aca="false">AH87-AO87-AV87</f>
        <v>38560.822622108</v>
      </c>
      <c r="AU87" s="14" t="n">
        <f aca="false">AL87*AX87*'Prices&amp;Fuel'!H87</f>
        <v>0</v>
      </c>
      <c r="AW87" s="68" t="n">
        <f aca="false">AW86</f>
        <v>0.07</v>
      </c>
      <c r="AX87" s="68" t="n">
        <f aca="false">AX86</f>
        <v>0.025</v>
      </c>
      <c r="AY87" s="5" t="n">
        <f aca="false">('Prices&amp;Fuel'!H87*('Prices&amp;Fuel'!B87+AW87)*'Long Term Deals'!AF87)+('Prices&amp;Fuel'!H87*('Prices&amp;Fuel'!C87+'Long Term Deals'!AW87)*'Long Term Deals'!AG87)+(AH87*('Prices&amp;Fuel'!C87+AW87)*'Prices&amp;Fuel'!H87)+(AW87*AL87*'Prices&amp;Fuel'!H87)</f>
        <v>32425233.2544987</v>
      </c>
      <c r="AZ87" s="5" t="n">
        <f aca="false">(AP87*'Prices&amp;Fuel'!H87*'Prices&amp;Fuel'!B87)+(AQ87*'Prices&amp;Fuel'!C87*'Prices&amp;Fuel'!H87)+((AM87+AR87)*('Prices&amp;Fuel'!B87+'Long Term Deals'!AX87)*'Prices&amp;Fuel'!H87)+((AN87+AS87)*('Prices&amp;Fuel'!C87+'Long Term Deals'!AX87)*'Prices&amp;Fuel'!H87)+((AO87+AT87)*('Prices&amp;Fuel'!D87+'Long Term Deals'!AX87)*'Prices&amp;Fuel'!H87)+(AV87*'Prices&amp;Fuel'!H87*'Prices&amp;Fuel'!Q87)+AU87</f>
        <v>31935824.5141388</v>
      </c>
      <c r="BA87" s="5" t="n">
        <f aca="false">AY87-AZ87</f>
        <v>489408.740359895</v>
      </c>
      <c r="BB87" s="5" t="n">
        <f aca="false">IF('FP Corp'!T87-((BE87+BF87+BG87)*(1-'Prices&amp;Fuel'!F87))&lt;'Prices&amp;Fuel'!R87,('FP Corp'!T87-(BE87+BF87+BG87)*(1-'Prices&amp;Fuel'!F87)),'Prices&amp;Fuel'!R87)/(1-'Prices&amp;Fuel'!F87)</f>
        <v>8976.86375321337</v>
      </c>
      <c r="BC87" s="9"/>
      <c r="BD87" s="9" t="n">
        <f aca="false">ROUND(IF('FP Corp'!T87/(1-'Prices&amp;Fuel'!F87)-BE87-BF87-BG87-BB87&gt;'Prices&amp;Fuel'!T87,'Prices&amp;Fuel'!T87,'FP Corp'!T87/(1-'Prices&amp;Fuel'!F87)-BE87-BF87-BG87-BB87),9)</f>
        <v>6556.298200514</v>
      </c>
      <c r="BE87" s="9" t="n">
        <f aca="false">'Prices&amp;Fuel'!U87/(1-'Prices&amp;Fuel'!F87)</f>
        <v>1933.16195372751</v>
      </c>
      <c r="BF87" s="9" t="n">
        <f aca="false">('Prices&amp;Fuel'!V87+'Prices&amp;Fuel'!X87)/(1-'Prices&amp;Fuel'!F87)</f>
        <v>3062.21079691517</v>
      </c>
      <c r="BG87" s="9" t="n">
        <f aca="false">'Prices&amp;Fuel'!W87/(1-'Prices&amp;Fuel'!F87)</f>
        <v>1065.29562982005</v>
      </c>
      <c r="BH87" s="10" t="n">
        <f aca="false">('Prices&amp;Fuel'!C87+'Prices&amp;Fuel'!D87)/2-0.05+('Prices&amp;Fuel'!M87+'Prices&amp;Fuel'!P87)*(1-'Prices&amp;Fuel'!F87)</f>
        <v>5.29050175</v>
      </c>
      <c r="BI87" s="9" t="n">
        <f aca="false">IF(AP87=80000,0,BB87)</f>
        <v>0</v>
      </c>
      <c r="BJ87" s="9"/>
      <c r="BK87" s="10" t="n">
        <f aca="false">(((BB87+BE87)*('Prices&amp;Fuel'!B87+0.025))+(('Prices&amp;Fuel'!D87+0.025)*(BD87+BG87))+(('Prices&amp;Fuel'!C87+0.025)*(BC87+BF87))-(BI87+BJ87)*0.025)/(BB87+BC87+BD87+BE87+BF87+BG87)</f>
        <v>4.5980910952381</v>
      </c>
      <c r="BL87" s="9" t="n">
        <f aca="false">(BB87+BC87+BD87+BE87+BF87+BG87)*BH87*'Prices&amp;Fuel'!H87</f>
        <v>3427265.91516707</v>
      </c>
      <c r="BM87" s="9" t="n">
        <f aca="false">'Prices&amp;Fuel'!X87*('Prices&amp;Fuel'!N87+'Prices&amp;Fuel'!O87)*'Prices&amp;Fuel'!H87</f>
        <v>8621.04574342836</v>
      </c>
      <c r="BN87" s="9" t="n">
        <f aca="false">('Prices&amp;Fuel'!U87+'Prices&amp;Fuel'!V87+'Prices&amp;Fuel'!W87)*('Prices&amp;Fuel'!L87+'Prices&amp;Fuel'!O87)*'Prices&amp;Fuel'!H87</f>
        <v>65774.9185490559</v>
      </c>
      <c r="BO87" s="9" t="n">
        <f aca="false">((BB87+BC87+BD87)*(1-'Prices&amp;Fuel'!G87))*('Prices&amp;Fuel'!M87+'Prices&amp;Fuel'!P87)*'Prices&amp;Fuel'!H87</f>
        <v>346909.289999997</v>
      </c>
      <c r="BP87" s="9" t="n">
        <f aca="false">((BD87+BC87+BB87+BE87+BF87+BG87)*BK87*'Prices&amp;Fuel'!H87)+BM87+BN87+BO87</f>
        <v>3400017.22344413</v>
      </c>
      <c r="BQ87" s="5" t="n">
        <f aca="false">BL87-BP87</f>
        <v>27248.6917229407</v>
      </c>
      <c r="CA87" s="5" t="n">
        <f aca="false">(AF87+AG87+AH87+AL87)*0.005*'Prices&amp;Fuel'!H87</f>
        <v>34858.6118251928</v>
      </c>
      <c r="CB87" s="5" t="n">
        <f aca="false">(B87+C87+D87+O87+P87+Q87+X87+Y87+BB87+BC87+BD87+BE87+BF87+BG87+BR87+BS87)*0.005*'Prices&amp;Fuel'!H87</f>
        <v>7004.07455012851</v>
      </c>
      <c r="CC87" s="7" t="n">
        <f aca="false">K87+T87+AB87+AY87+BL87+BX87</f>
        <v>38167974.1696658</v>
      </c>
      <c r="CD87" s="7" t="n">
        <f aca="false">L87+U87+AC87+AZ87+BP87+BY87+CA87+CB87</f>
        <v>37683992.8239583</v>
      </c>
      <c r="CE87" s="7" t="n">
        <f aca="false">CC87-CD87</f>
        <v>483981.345707513</v>
      </c>
      <c r="CF87" s="7" t="n">
        <f aca="false">'Index Price Deals'!AR87</f>
        <v>0</v>
      </c>
      <c r="CG87" s="7" t="n">
        <f aca="false">'Index Price Deals'!AS87</f>
        <v>0</v>
      </c>
      <c r="CH87" s="7" t="n">
        <f aca="false">'Index Price Deals'!AT87</f>
        <v>0</v>
      </c>
      <c r="CI87" s="7" t="n">
        <f aca="false">'Index Price Deals'!AU87</f>
        <v>0</v>
      </c>
      <c r="CJ87" s="7" t="n">
        <f aca="false">CC87+CF87</f>
        <v>38167974.1696658</v>
      </c>
      <c r="CK87" s="7" t="n">
        <f aca="false">CD87+CH87</f>
        <v>37683992.8239583</v>
      </c>
      <c r="CL87" s="7" t="n">
        <f aca="false">CE87+CI87</f>
        <v>483981.345707513</v>
      </c>
      <c r="CM87" s="69"/>
      <c r="CN87" s="7" t="n">
        <f aca="false">Transport!U87</f>
        <v>3.04743298329413E-009</v>
      </c>
      <c r="CO87" s="71"/>
      <c r="CQ87" s="7" t="n">
        <f aca="false">(((($B87+$C87+$D87+$O87+$P87+$Q87)*0.5)+BR87+BS87)*(0.005*'Prices&amp;Fuel'!$H87)+'Index Price Deals'!AV87)+(((BB87+BC87+BD87+BE87+BF87+BG87)*(1-'Prices&amp;Fuel'!F87))*0.005*0.5*'Prices&amp;Fuel'!H87)</f>
        <v>3457.49999999999</v>
      </c>
      <c r="CR87" s="7" t="n">
        <f aca="false">(((($B87+$C87+$D87+$O87+$P87+$Q87)*0.5)+X87+Y87)*(0.005*'Prices&amp;Fuel'!$H87)+CA87+'Index Price Deals'!AW87)+(((BB87+BC87+BD87+BE87+BF87+BG87)*(1-'Prices&amp;Fuel'!F87))*0.005*0.5*'Prices&amp;Fuel'!H87)</f>
        <v>38316.1118251928</v>
      </c>
      <c r="CS87" s="11"/>
      <c r="CT87" s="7" t="n">
        <f aca="false">[2]Sheet1!$O102</f>
        <v>-163739.647829307</v>
      </c>
      <c r="CU87" s="7" t="n">
        <f aca="false">'[3]Long Term Deals'!$Z86</f>
        <v>-42554.4211776707</v>
      </c>
      <c r="CV87" s="70" t="n">
        <f aca="false">CL87-CN87-CT87+CU87+CS87+CO87</f>
        <v>605166.572359146</v>
      </c>
      <c r="CW87" s="14" t="n">
        <f aca="false">((B87+C87+D87+O87+P87+Q87+X87+Y87+AF87+AG87+AH87+BB87+BC87+BD87+BE87+BF87+BG87+BR87+BS87)+('Index Price Deals'!B87+'Index Price Deals'!C87+'Index Price Deals'!D87+'Index Price Deals'!L87+'Index Price Deals'!M87+'Index Price Deals'!N87+'Index Price Deals'!AD87+'Index Price Deals'!AE87+'Index Price Deals'!AF87+'Index Price Deals'!AK87+'Index Price Deals'!AL87+'Index Price Deals'!AM87))*'Prices&amp;Fuel'!H87</f>
        <v>8372537.27506426</v>
      </c>
      <c r="DB87" s="1" t="n">
        <f aca="false">(O87+P87+Q87)*'Prices&amp;Fuel'!$H87</f>
        <v>753000</v>
      </c>
      <c r="DE87" s="1" t="n">
        <v>226000</v>
      </c>
    </row>
    <row r="88" customFormat="false" ht="12.75" hidden="false" customHeight="false" outlineLevel="0" collapsed="false">
      <c r="A88" s="6" t="n">
        <f aca="false">+A87+365/12</f>
        <v>38273.5833333333</v>
      </c>
      <c r="O88" s="7" t="n">
        <v>9036</v>
      </c>
      <c r="P88" s="7" t="n">
        <v>10794</v>
      </c>
      <c r="Q88" s="7" t="n">
        <v>5270</v>
      </c>
      <c r="R88" s="8" t="n">
        <f aca="false">R87</f>
        <v>3.075</v>
      </c>
      <c r="S88" s="8" t="n">
        <f aca="false">S87</f>
        <v>3.0628</v>
      </c>
      <c r="T88" s="7" t="n">
        <f aca="false">(($O88*R88)+($P88*R88)+($Q88*R88))*'Prices&amp;Fuel'!$H88</f>
        <v>2392657.5</v>
      </c>
      <c r="U88" s="7" t="n">
        <f aca="false">(($O88*S88)+($P88*S88)+($Q88*S88))*'Prices&amp;Fuel'!$H88</f>
        <v>2383164.68</v>
      </c>
      <c r="V88" s="14" t="n">
        <f aca="false">T88-U88</f>
        <v>9492.81999999983</v>
      </c>
      <c r="AF88" s="7" t="n">
        <f aca="false">(32000/(1-'Prices&amp;Fuel'!F88))+(25000/(1-'Prices&amp;Fuel'!G88))-AI88</f>
        <v>58611.8251928021</v>
      </c>
      <c r="AG88" s="7" t="n">
        <v>0</v>
      </c>
      <c r="AH88" s="7" t="n">
        <f aca="false">(75000/(1-'Prices&amp;Fuel'!G88))-AK88</f>
        <v>77120.822622108</v>
      </c>
      <c r="AI88" s="7"/>
      <c r="AJ88" s="7"/>
      <c r="AK88" s="7"/>
      <c r="AL88" s="11" t="n">
        <f aca="false">ROUND((132000/(1-'Prices&amp;Fuel'!F88))-AF88-AG88-AH88,0)</f>
        <v>0</v>
      </c>
      <c r="AM88" s="7" t="n">
        <f aca="false">ROUND(IF(AF88&lt;AP88,0,(AF88-AP88-AI88)/2),0)</f>
        <v>0</v>
      </c>
      <c r="AO88" s="7" t="n">
        <f aca="false">ROUND((75000/(1-'Prices&amp;Fuel'!G88)-AV88-AK88)/2,0)</f>
        <v>38560</v>
      </c>
      <c r="AP88" s="7" t="n">
        <f aca="false">IF(80000&gt;AF88,AF88,80000)</f>
        <v>58611.8251928021</v>
      </c>
      <c r="AR88" s="7" t="n">
        <f aca="false">IF(AP88&gt;AF88,0,AF88-AM88-AP88)</f>
        <v>0</v>
      </c>
      <c r="AT88" s="14" t="n">
        <f aca="false">AH88-AO88-AV88</f>
        <v>38560.822622108</v>
      </c>
      <c r="AU88" s="14" t="n">
        <f aca="false">AL88*AX88*'Prices&amp;Fuel'!H88</f>
        <v>0</v>
      </c>
      <c r="AW88" s="68" t="n">
        <f aca="false">AW87</f>
        <v>0.07</v>
      </c>
      <c r="AX88" s="68" t="n">
        <f aca="false">AX87</f>
        <v>0.025</v>
      </c>
      <c r="AY88" s="5" t="n">
        <f aca="false">('Prices&amp;Fuel'!H88*('Prices&amp;Fuel'!B88+AW88)*'Long Term Deals'!AF88)+('Prices&amp;Fuel'!H88*('Prices&amp;Fuel'!C88+'Long Term Deals'!AW88)*'Long Term Deals'!AG88)+(AH88*('Prices&amp;Fuel'!C88+AW88)*'Prices&amp;Fuel'!H88)+(AW88*AL88*'Prices&amp;Fuel'!H88)</f>
        <v>22548337.6164524</v>
      </c>
      <c r="AZ88" s="5" t="n">
        <f aca="false">(AP88*'Prices&amp;Fuel'!H88*'Prices&amp;Fuel'!B88)+(AQ88*'Prices&amp;Fuel'!C88*'Prices&amp;Fuel'!H88)+((AM88+AR88)*('Prices&amp;Fuel'!B88+'Long Term Deals'!AX88)*'Prices&amp;Fuel'!H88)+((AN88+AS88)*('Prices&amp;Fuel'!C88+'Long Term Deals'!AX88)*'Prices&amp;Fuel'!H88)+((AO88+AT88)*('Prices&amp;Fuel'!D88+'Long Term Deals'!AX88)*'Prices&amp;Fuel'!H88)+(AV88*'Prices&amp;Fuel'!H88*'Prices&amp;Fuel'!Q88)+AU88</f>
        <v>22194029.133162</v>
      </c>
      <c r="BA88" s="5" t="n">
        <f aca="false">AY88-AZ88</f>
        <v>354308.48329049</v>
      </c>
      <c r="BB88" s="5" t="n">
        <f aca="false">IF('FP Corp'!T88-((BE88+BF88+BG88)*(1-'Prices&amp;Fuel'!F88))&lt;'Prices&amp;Fuel'!R88,('FP Corp'!T88-(BE88+BF88+BG88)*(1-'Prices&amp;Fuel'!F88)),'Prices&amp;Fuel'!R88)/(1-'Prices&amp;Fuel'!F88)</f>
        <v>8976.86375321337</v>
      </c>
      <c r="BC88" s="9"/>
      <c r="BD88" s="9" t="n">
        <f aca="false">ROUND(IF('FP Corp'!T88/(1-'Prices&amp;Fuel'!F88)-BE88-BF88-BG88-BB88&gt;'Prices&amp;Fuel'!T88,'Prices&amp;Fuel'!T88,'FP Corp'!T88/(1-'Prices&amp;Fuel'!F88)-BE88-BF88-BG88-BB88),9)</f>
        <v>3514.652956298</v>
      </c>
      <c r="BE88" s="9" t="n">
        <f aca="false">'Prices&amp;Fuel'!U88/(1-'Prices&amp;Fuel'!F88)</f>
        <v>2910.02570694087</v>
      </c>
      <c r="BF88" s="9" t="n">
        <f aca="false">('Prices&amp;Fuel'!V88+'Prices&amp;Fuel'!X88)/(1-'Prices&amp;Fuel'!F88)</f>
        <v>4628.27763496144</v>
      </c>
      <c r="BG88" s="9" t="n">
        <f aca="false">'Prices&amp;Fuel'!W88/(1-'Prices&amp;Fuel'!F88)</f>
        <v>1564.01028277635</v>
      </c>
      <c r="BH88" s="10" t="n">
        <f aca="false">('Prices&amp;Fuel'!C88+'Prices&amp;Fuel'!D88)/2-0.05+('Prices&amp;Fuel'!M88+'Prices&amp;Fuel'!P88)*(1-'Prices&amp;Fuel'!F88)</f>
        <v>5.98416975</v>
      </c>
      <c r="BI88" s="9" t="n">
        <f aca="false">IF(AP88=80000,0,BB88)</f>
        <v>8976.86375321337</v>
      </c>
      <c r="BJ88" s="9"/>
      <c r="BK88" s="10" t="n">
        <f aca="false">(((BB88+BE88)*('Prices&amp;Fuel'!B88+0.025))+(('Prices&amp;Fuel'!D88+0.025)*(BD88+BG88))+(('Prices&amp;Fuel'!C88+0.025)*(BC88+BF88))-(BI88+BJ88)*0.025)/(BB88+BC88+BD88+BE88+BF88+BG88)</f>
        <v>5.28454004761905</v>
      </c>
      <c r="BL88" s="9" t="n">
        <f aca="false">(BB88+BC88+BD88+BE88+BF88+BG88)*BH88*'Prices&amp;Fuel'!H88</f>
        <v>4005855.53444726</v>
      </c>
      <c r="BM88" s="9" t="n">
        <f aca="false">'Prices&amp;Fuel'!X88*('Prices&amp;Fuel'!N88+'Prices&amp;Fuel'!O88)*'Prices&amp;Fuel'!H88</f>
        <v>13056.1088562384</v>
      </c>
      <c r="BN88" s="9" t="n">
        <f aca="false">('Prices&amp;Fuel'!U88+'Prices&amp;Fuel'!V88+'Prices&amp;Fuel'!W88)*('Prices&amp;Fuel'!L88+'Prices&amp;Fuel'!O88)*'Prices&amp;Fuel'!H88</f>
        <v>102401.109520807</v>
      </c>
      <c r="BO88" s="9" t="n">
        <f aca="false">((BB88+BC88+BD88)*(1-'Prices&amp;Fuel'!G88))*('Prices&amp;Fuel'!M88+'Prices&amp;Fuel'!P88)*'Prices&amp;Fuel'!H88</f>
        <v>288278.113999995</v>
      </c>
      <c r="BP88" s="9" t="n">
        <f aca="false">((BD88+BC88+BB88+BE88+BF88+BG88)*BK88*'Prices&amp;Fuel'!H88)+BM88+BN88+BO88</f>
        <v>3941252.62903511</v>
      </c>
      <c r="BQ88" s="5" t="n">
        <f aca="false">BL88-BP88</f>
        <v>64602.905412158</v>
      </c>
      <c r="CA88" s="5" t="n">
        <f aca="false">(AF88+AG88+AH88+AL88)*0.005*'Prices&amp;Fuel'!H88</f>
        <v>21038.5604113111</v>
      </c>
      <c r="CB88" s="5" t="n">
        <f aca="false">(B88+C88+D88+O88+P88+Q88+X88+Y88+BB88+BC88+BD88+BE88+BF88+BG88+BR88+BS88)*0.005*'Prices&amp;Fuel'!H88</f>
        <v>7237.54370179946</v>
      </c>
      <c r="CC88" s="7" t="n">
        <f aca="false">K88+T88+AB88+AY88+BL88+BX88</f>
        <v>28946850.6508997</v>
      </c>
      <c r="CD88" s="7" t="n">
        <f aca="false">L88+U88+AC88+AZ88+BP88+BY88+CA88+CB88</f>
        <v>28546722.5463102</v>
      </c>
      <c r="CE88" s="7" t="n">
        <f aca="false">CC88-CD88</f>
        <v>400128.104589541</v>
      </c>
      <c r="CF88" s="7" t="n">
        <f aca="false">'Index Price Deals'!AR88</f>
        <v>0</v>
      </c>
      <c r="CG88" s="7" t="n">
        <f aca="false">'Index Price Deals'!AS88</f>
        <v>0</v>
      </c>
      <c r="CH88" s="7" t="n">
        <f aca="false">'Index Price Deals'!AT88</f>
        <v>0</v>
      </c>
      <c r="CI88" s="7" t="n">
        <f aca="false">'Index Price Deals'!AU88</f>
        <v>0</v>
      </c>
      <c r="CJ88" s="7" t="n">
        <f aca="false">CC88+CF88</f>
        <v>28946850.6508997</v>
      </c>
      <c r="CK88" s="7" t="n">
        <f aca="false">CD88+CH88</f>
        <v>28546722.5463102</v>
      </c>
      <c r="CL88" s="7" t="n">
        <f aca="false">CE88+CI88</f>
        <v>400128.104589541</v>
      </c>
      <c r="CM88" s="69"/>
      <c r="CN88" s="7" t="n">
        <f aca="false">Transport!U88</f>
        <v>4.39204595750198E-009</v>
      </c>
      <c r="CO88" s="71"/>
      <c r="CQ88" s="7" t="n">
        <f aca="false">(((($B88+$C88+$D88+$O88+$P88+$Q88)*0.5)+BR88+BS88)*(0.005*'Prices&amp;Fuel'!$H88)+'Index Price Deals'!AV88)+(((BB88+BC88+BD88+BE88+BF88+BG88)*(1-'Prices&amp;Fuel'!F88))*0.005*0.5*'Prices&amp;Fuel'!H88)</f>
        <v>3572.74999999999</v>
      </c>
      <c r="CR88" s="7" t="n">
        <f aca="false">(((($B88+$C88+$D88+$O88+$P88+$Q88)*0.5)+X88+Y88)*(0.005*'Prices&amp;Fuel'!$H88)+CA88+'Index Price Deals'!AW88)+(((BB88+BC88+BD88+BE88+BF88+BG88)*(1-'Prices&amp;Fuel'!F88))*0.005*0.5*'Prices&amp;Fuel'!H88)</f>
        <v>24611.310411311</v>
      </c>
      <c r="CS88" s="11"/>
      <c r="CT88" s="7" t="n">
        <f aca="false">[2]Sheet1!$O103</f>
        <v>-98823.3980704311</v>
      </c>
      <c r="CU88" s="7" t="n">
        <f aca="false">'[3]Long Term Deals'!$Z87</f>
        <v>-34895.0629697055</v>
      </c>
      <c r="CV88" s="70" t="n">
        <f aca="false">CL88-CN88-CT88+CU88+CS88+CO88</f>
        <v>464056.439690262</v>
      </c>
      <c r="CW88" s="14" t="n">
        <f aca="false">((B88+C88+D88+O88+P88+Q88+X88+Y88+AF88+AG88+AH88+BB88+BC88+BD88+BE88+BF88+BG88+BR88+BS88)+('Index Price Deals'!B88+'Index Price Deals'!C88+'Index Price Deals'!D88+'Index Price Deals'!L88+'Index Price Deals'!M88+'Index Price Deals'!N88+'Index Price Deals'!AD88+'Index Price Deals'!AE88+'Index Price Deals'!AF88+'Index Price Deals'!AK88+'Index Price Deals'!AL88+'Index Price Deals'!AM88))*'Prices&amp;Fuel'!H88</f>
        <v>5655220.8226221</v>
      </c>
      <c r="DB88" s="1" t="n">
        <f aca="false">(O88+P88+Q88)*'Prices&amp;Fuel'!$H88</f>
        <v>778100</v>
      </c>
      <c r="DE88" s="1" t="n">
        <v>132000</v>
      </c>
    </row>
    <row r="89" customFormat="false" ht="12.75" hidden="false" customHeight="false" outlineLevel="0" collapsed="false">
      <c r="A89" s="6" t="n">
        <f aca="false">+A88+365/12</f>
        <v>38304</v>
      </c>
      <c r="O89" s="7" t="n">
        <v>9036</v>
      </c>
      <c r="P89" s="7" t="n">
        <v>10794</v>
      </c>
      <c r="Q89" s="7" t="n">
        <v>5270</v>
      </c>
      <c r="R89" s="8" t="n">
        <f aca="false">R88</f>
        <v>3.075</v>
      </c>
      <c r="S89" s="8" t="n">
        <f aca="false">S88</f>
        <v>3.0628</v>
      </c>
      <c r="T89" s="7" t="n">
        <f aca="false">(($O89*R89)+($P89*R89)+($Q89*R89))*'Prices&amp;Fuel'!$H89</f>
        <v>2315475</v>
      </c>
      <c r="U89" s="7" t="n">
        <f aca="false">(($O89*S89)+($P89*S89)+($Q89*S89))*'Prices&amp;Fuel'!$H89</f>
        <v>2306288.4</v>
      </c>
      <c r="V89" s="14" t="n">
        <f aca="false">T89-U89</f>
        <v>9186.60000000009</v>
      </c>
      <c r="AF89" s="7" t="n">
        <f aca="false">(32000/(1-'Prices&amp;Fuel'!F89))+(25000/(1-'Prices&amp;Fuel'!G89))-AI89</f>
        <v>58611.8251928021</v>
      </c>
      <c r="AG89" s="7" t="n">
        <v>0</v>
      </c>
      <c r="AH89" s="7" t="n">
        <f aca="false">(75000/(1-'Prices&amp;Fuel'!G89))-AK89</f>
        <v>77120.822622108</v>
      </c>
      <c r="AI89" s="7"/>
      <c r="AJ89" s="7"/>
      <c r="AK89" s="7"/>
      <c r="AL89" s="11" t="n">
        <f aca="false">ROUND((132000/(1-'Prices&amp;Fuel'!F89))-AF89-AG89-AH89,0)</f>
        <v>0</v>
      </c>
      <c r="AM89" s="7" t="n">
        <f aca="false">ROUND(IF(AF89&lt;AP89,0,(AF89-AP89-AI89)/2),0)</f>
        <v>0</v>
      </c>
      <c r="AO89" s="7" t="n">
        <f aca="false">ROUND((75000/(1-'Prices&amp;Fuel'!G89)-AV89-AK89)/2,0)</f>
        <v>38560</v>
      </c>
      <c r="AP89" s="7" t="n">
        <f aca="false">IF(80000&gt;AF89,AF89,80000)</f>
        <v>58611.8251928021</v>
      </c>
      <c r="AR89" s="7" t="n">
        <f aca="false">IF(AP89&gt;AF89,0,AF89-AM89-AP89)</f>
        <v>0</v>
      </c>
      <c r="AT89" s="14" t="n">
        <f aca="false">AH89-AO89-AV89</f>
        <v>38560.822622108</v>
      </c>
      <c r="AU89" s="14" t="n">
        <f aca="false">AL89*AX89*'Prices&amp;Fuel'!H89</f>
        <v>0</v>
      </c>
      <c r="AW89" s="68" t="n">
        <f aca="false">AW88</f>
        <v>0.07</v>
      </c>
      <c r="AX89" s="68" t="n">
        <f aca="false">AX88</f>
        <v>0.025</v>
      </c>
      <c r="AY89" s="5" t="n">
        <f aca="false">('Prices&amp;Fuel'!H89*('Prices&amp;Fuel'!B89+AW89)*'Long Term Deals'!AF89)+('Prices&amp;Fuel'!H89*('Prices&amp;Fuel'!C89+'Long Term Deals'!AW89)*'Long Term Deals'!AG89)+(AH89*('Prices&amp;Fuel'!C89+AW89)*'Prices&amp;Fuel'!H89)+(AW89*AL89*'Prices&amp;Fuel'!H89)</f>
        <v>14634852.5244216</v>
      </c>
      <c r="AZ89" s="5" t="n">
        <f aca="false">(AP89*'Prices&amp;Fuel'!H89*'Prices&amp;Fuel'!B89)+(AQ89*'Prices&amp;Fuel'!C89*'Prices&amp;Fuel'!H89)+((AM89+AR89)*('Prices&amp;Fuel'!B89+'Long Term Deals'!AX89)*'Prices&amp;Fuel'!H89)+((AN89+AS89)*('Prices&amp;Fuel'!C89+'Long Term Deals'!AX89)*'Prices&amp;Fuel'!H89)+((AO89+AT89)*('Prices&amp;Fuel'!D89+'Long Term Deals'!AX89)*'Prices&amp;Fuel'!H89)+(AV89*'Prices&amp;Fuel'!H89*'Prices&amp;Fuel'!Q89)+AU89</f>
        <v>14291973.3470437</v>
      </c>
      <c r="BA89" s="5" t="n">
        <f aca="false">AY89-AZ89</f>
        <v>342879.177377893</v>
      </c>
      <c r="BB89" s="5" t="n">
        <f aca="false">IF('FP Corp'!T89-((BE89+BF89+BG89)*(1-'Prices&amp;Fuel'!F89))&lt;'Prices&amp;Fuel'!R89,('FP Corp'!T89-(BE89+BF89+BG89)*(1-'Prices&amp;Fuel'!F89)),'Prices&amp;Fuel'!R89)/(1-'Prices&amp;Fuel'!F89)</f>
        <v>4325.96401028278</v>
      </c>
      <c r="BC89" s="9"/>
      <c r="BD89" s="9" t="n">
        <f aca="false">ROUND(IF('FP Corp'!T89/(1-'Prices&amp;Fuel'!F89)-BE89-BF89-BG89-BB89&gt;'Prices&amp;Fuel'!T89,'Prices&amp;Fuel'!T89,'FP Corp'!T89/(1-'Prices&amp;Fuel'!F89)-BE89-BF89-BG89-BB89),9)</f>
        <v>0</v>
      </c>
      <c r="BE89" s="9" t="n">
        <f aca="false">'Prices&amp;Fuel'!U89/(1-'Prices&amp;Fuel'!F89)</f>
        <v>2635.47557840617</v>
      </c>
      <c r="BF89" s="9" t="n">
        <f aca="false">('Prices&amp;Fuel'!V89+'Prices&amp;Fuel'!X89)/(1-'Prices&amp;Fuel'!F89)</f>
        <v>3645.2442159383</v>
      </c>
      <c r="BG89" s="9" t="n">
        <f aca="false">'Prices&amp;Fuel'!W89/(1-'Prices&amp;Fuel'!F89)</f>
        <v>1732.64781491003</v>
      </c>
      <c r="BH89" s="10" t="n">
        <f aca="false">('Prices&amp;Fuel'!C89+'Prices&amp;Fuel'!D89)/2-0.05+('Prices&amp;Fuel'!M89+'Prices&amp;Fuel'!P89)*(1-'Prices&amp;Fuel'!F89)</f>
        <v>4.21939675</v>
      </c>
      <c r="BI89" s="9" t="n">
        <f aca="false">IF(AP89=80000,0,BB89)</f>
        <v>4325.96401028278</v>
      </c>
      <c r="BJ89" s="9"/>
      <c r="BK89" s="10" t="n">
        <f aca="false">(((BB89+BE89)*('Prices&amp;Fuel'!B89+0.025))+(('Prices&amp;Fuel'!D89+0.025)*(BD89+BG89))+(('Prices&amp;Fuel'!C89+0.025)*(BC89+BF89))-(BI89+BJ89)*0.025)/(BB89+BC89+BD89+BE89+BF89+BG89)</f>
        <v>3.52531258333333</v>
      </c>
      <c r="BL89" s="9" t="n">
        <f aca="false">(BB89+BC89+BD89+BE89+BF89+BG89)*BH89*'Prices&amp;Fuel'!H89</f>
        <v>1561936.07197943</v>
      </c>
      <c r="BM89" s="9" t="n">
        <f aca="false">'Prices&amp;Fuel'!X89*('Prices&amp;Fuel'!N89+'Prices&amp;Fuel'!O89)*'Prices&amp;Fuel'!H89</f>
        <v>8621.04574342836</v>
      </c>
      <c r="BN89" s="9" t="n">
        <f aca="false">('Prices&amp;Fuel'!U89+'Prices&amp;Fuel'!V89+'Prices&amp;Fuel'!W89)*('Prices&amp;Fuel'!L89+'Prices&amp;Fuel'!O89)*'Prices&amp;Fuel'!H89</f>
        <v>89744.7075194372</v>
      </c>
      <c r="BO89" s="9" t="n">
        <f aca="false">((BB89+BC89+BD89)*(1-'Prices&amp;Fuel'!G89))*('Prices&amp;Fuel'!M89+'Prices&amp;Fuel'!P89)*'Prices&amp;Fuel'!H89</f>
        <v>96613.755</v>
      </c>
      <c r="BP89" s="9" t="n">
        <f aca="false">((BD89+BC89+BB89+BE89+BF89+BG89)*BK89*'Prices&amp;Fuel'!H89)+BM89+BN89+BO89</f>
        <v>1499979.53911119</v>
      </c>
      <c r="BQ89" s="5" t="n">
        <f aca="false">BL89-BP89</f>
        <v>61956.5328682398</v>
      </c>
      <c r="CA89" s="5" t="n">
        <f aca="false">(AF89+AG89+AH89+AL89)*0.005*'Prices&amp;Fuel'!H89</f>
        <v>20359.8971722365</v>
      </c>
      <c r="CB89" s="5" t="n">
        <f aca="false">(B89+C89+D89+O89+P89+Q89+X89+Y89+BB89+BC89+BD89+BE89+BF89+BG89+BR89+BS89)*0.005*'Prices&amp;Fuel'!H89</f>
        <v>5615.89974293059</v>
      </c>
      <c r="CC89" s="7" t="n">
        <f aca="false">K89+T89+AB89+AY89+BL89+BX89</f>
        <v>18512263.596401</v>
      </c>
      <c r="CD89" s="7" t="n">
        <f aca="false">L89+U89+AC89+AZ89+BP89+BY89+CA89+CB89</f>
        <v>18124217.0830701</v>
      </c>
      <c r="CE89" s="7" t="n">
        <f aca="false">CC89-CD89</f>
        <v>388046.513330963</v>
      </c>
      <c r="CF89" s="7" t="n">
        <f aca="false">'Index Price Deals'!AR89</f>
        <v>0</v>
      </c>
      <c r="CG89" s="7" t="n">
        <f aca="false">'Index Price Deals'!AS89</f>
        <v>0</v>
      </c>
      <c r="CH89" s="7" t="n">
        <f aca="false">'Index Price Deals'!AT89</f>
        <v>0</v>
      </c>
      <c r="CI89" s="7" t="n">
        <f aca="false">'Index Price Deals'!AU89</f>
        <v>0</v>
      </c>
      <c r="CJ89" s="7" t="n">
        <f aca="false">CC89+CF89</f>
        <v>18512263.596401</v>
      </c>
      <c r="CK89" s="7" t="n">
        <f aca="false">CD89+CH89</f>
        <v>18124217.0830701</v>
      </c>
      <c r="CL89" s="7" t="n">
        <f aca="false">CE89+CI89</f>
        <v>388046.513330963</v>
      </c>
      <c r="CM89" s="69"/>
      <c r="CN89" s="7" t="n">
        <f aca="false">Transport!U89</f>
        <v>0</v>
      </c>
      <c r="CO89" s="71"/>
      <c r="CQ89" s="7" t="n">
        <f aca="false">(((($B89+$C89+$D89+$O89+$P89+$Q89)*0.5)+BR89+BS89)*(0.005*'Prices&amp;Fuel'!$H89)+'Index Price Deals'!AV89)+(((BB89+BC89+BD89+BE89+BF89+BG89)*(1-'Prices&amp;Fuel'!F89))*0.005*0.5*'Prices&amp;Fuel'!H89)</f>
        <v>2782.5</v>
      </c>
      <c r="CR89" s="7" t="n">
        <f aca="false">(((($B89+$C89+$D89+$O89+$P89+$Q89)*0.5)+X89+Y89)*(0.005*'Prices&amp;Fuel'!$H89)+CA89+'Index Price Deals'!AW89)+(((BB89+BC89+BD89+BE89+BF89+BG89)*(1-'Prices&amp;Fuel'!F89))*0.005*0.5*'Prices&amp;Fuel'!H89)</f>
        <v>23142.3971722365</v>
      </c>
      <c r="CS89" s="11"/>
      <c r="CT89" s="7" t="n">
        <f aca="false">[2]Sheet1!$O104</f>
        <v>-95635.546519772</v>
      </c>
      <c r="CU89" s="7" t="n">
        <f aca="false">'[3]Long Term Deals'!$Z88</f>
        <v>-33769.4157771343</v>
      </c>
      <c r="CV89" s="70" t="n">
        <f aca="false">CL89-CN89-CT89+CU89+CS89+CO89</f>
        <v>449912.6440736</v>
      </c>
      <c r="CW89" s="14" t="n">
        <f aca="false">((B89+C89+D89+O89+P89+Q89+X89+Y89+AF89+AG89+AH89+BB89+BC89+BD89+BE89+BF89+BG89+BR89+BS89)+('Index Price Deals'!B89+'Index Price Deals'!C89+'Index Price Deals'!D89+'Index Price Deals'!L89+'Index Price Deals'!M89+'Index Price Deals'!N89+'Index Price Deals'!AD89+'Index Price Deals'!AE89+'Index Price Deals'!AF89+'Index Price Deals'!AK89+'Index Price Deals'!AL89+'Index Price Deals'!AM89))*'Prices&amp;Fuel'!H89</f>
        <v>5195159.38303342</v>
      </c>
      <c r="DB89" s="1" t="n">
        <f aca="false">(O89+P89+Q89)*'Prices&amp;Fuel'!$H89</f>
        <v>753000</v>
      </c>
      <c r="DE89" s="1" t="n">
        <v>132000</v>
      </c>
    </row>
    <row r="90" customFormat="false" ht="12.75" hidden="false" customHeight="false" outlineLevel="0" collapsed="false">
      <c r="A90" s="6" t="n">
        <f aca="false">+A89+365/12</f>
        <v>38334.4166666667</v>
      </c>
      <c r="O90" s="7" t="n">
        <v>9036</v>
      </c>
      <c r="P90" s="7" t="n">
        <v>10794</v>
      </c>
      <c r="Q90" s="7" t="n">
        <v>5270</v>
      </c>
      <c r="R90" s="8" t="n">
        <f aca="false">R89</f>
        <v>3.075</v>
      </c>
      <c r="S90" s="8" t="n">
        <f aca="false">S89</f>
        <v>3.0628</v>
      </c>
      <c r="T90" s="7" t="n">
        <f aca="false">(($O90*R90)+($P90*R90)+($Q90*R90))*'Prices&amp;Fuel'!$H90</f>
        <v>2392657.5</v>
      </c>
      <c r="U90" s="7" t="n">
        <f aca="false">(($O90*S90)+($P90*S90)+($Q90*S90))*'Prices&amp;Fuel'!$H90</f>
        <v>2383164.68</v>
      </c>
      <c r="V90" s="14" t="n">
        <f aca="false">T90-U90</f>
        <v>9492.81999999983</v>
      </c>
      <c r="AF90" s="7" t="n">
        <f aca="false">(32000/(1-'Prices&amp;Fuel'!F90))+(25000/(1-'Prices&amp;Fuel'!G90))-AI90</f>
        <v>58611.8251928021</v>
      </c>
      <c r="AG90" s="7" t="n">
        <v>0</v>
      </c>
      <c r="AH90" s="7" t="n">
        <f aca="false">(75000/(1-'Prices&amp;Fuel'!G90))-AK90</f>
        <v>77120.822622108</v>
      </c>
      <c r="AI90" s="7"/>
      <c r="AJ90" s="7"/>
      <c r="AK90" s="7"/>
      <c r="AL90" s="11" t="n">
        <f aca="false">ROUND((132000/(1-'Prices&amp;Fuel'!F90))-AF90-AG90-AH90,0)</f>
        <v>0</v>
      </c>
      <c r="AM90" s="7" t="n">
        <f aca="false">ROUND(IF(AF90&lt;AP90,0,(AF90-AP90-AI90)/2),0)</f>
        <v>0</v>
      </c>
      <c r="AO90" s="7" t="n">
        <f aca="false">ROUND((75000/(1-'Prices&amp;Fuel'!G90)-AV90-AK90)/2,0)</f>
        <v>38560</v>
      </c>
      <c r="AP90" s="7" t="n">
        <f aca="false">IF(80000&gt;AF90,AF90,80000)</f>
        <v>58611.8251928021</v>
      </c>
      <c r="AR90" s="7" t="n">
        <f aca="false">IF(AP90&gt;AF90,0,AF90-AM90-AP90)</f>
        <v>0</v>
      </c>
      <c r="AT90" s="14" t="n">
        <f aca="false">AH90-AO90-AV90</f>
        <v>38560.822622108</v>
      </c>
      <c r="AU90" s="14" t="n">
        <f aca="false">AL90*AX90*'Prices&amp;Fuel'!H90</f>
        <v>0</v>
      </c>
      <c r="AW90" s="68" t="n">
        <f aca="false">AW89</f>
        <v>0.07</v>
      </c>
      <c r="AX90" s="68" t="n">
        <f aca="false">AX89</f>
        <v>0.025</v>
      </c>
      <c r="AY90" s="5" t="n">
        <f aca="false">('Prices&amp;Fuel'!H90*('Prices&amp;Fuel'!B90+AW90)*'Long Term Deals'!AF90)+('Prices&amp;Fuel'!H90*('Prices&amp;Fuel'!C90+'Long Term Deals'!AW90)*'Long Term Deals'!AG90)+(AH90*('Prices&amp;Fuel'!C90+AW90)*'Prices&amp;Fuel'!H90)+(AW90*AL90*'Prices&amp;Fuel'!H90)</f>
        <v>11345468.2982005</v>
      </c>
      <c r="AZ90" s="5" t="n">
        <f aca="false">(AP90*'Prices&amp;Fuel'!H90*'Prices&amp;Fuel'!B90)+(AQ90*'Prices&amp;Fuel'!C90*'Prices&amp;Fuel'!H90)+((AM90+AR90)*('Prices&amp;Fuel'!B90+'Long Term Deals'!AX90)*'Prices&amp;Fuel'!H90)+((AN90+AS90)*('Prices&amp;Fuel'!C90+'Long Term Deals'!AX90)*'Prices&amp;Fuel'!H90)+((AO90+AT90)*('Prices&amp;Fuel'!D90+'Long Term Deals'!AX90)*'Prices&amp;Fuel'!H90)+(AV90*'Prices&amp;Fuel'!H90*'Prices&amp;Fuel'!Q90)+AU90</f>
        <v>10991159.81491</v>
      </c>
      <c r="BA90" s="5" t="n">
        <f aca="false">AY90-AZ90</f>
        <v>354308.483290488</v>
      </c>
      <c r="BB90" s="5" t="n">
        <f aca="false">IF('FP Corp'!T90-((BE90+BF90+BG90)*(1-'Prices&amp;Fuel'!F90))&lt;'Prices&amp;Fuel'!R90,('FP Corp'!T90-(BE90+BF90+BG90)*(1-'Prices&amp;Fuel'!F90)),'Prices&amp;Fuel'!R90)/(1-'Prices&amp;Fuel'!F90)</f>
        <v>4325.96401028278</v>
      </c>
      <c r="BC90" s="9"/>
      <c r="BD90" s="9" t="n">
        <f aca="false">ROUND(IF('FP Corp'!T90/(1-'Prices&amp;Fuel'!F90)-BE90-BF90-BG90-BB90&gt;'Prices&amp;Fuel'!T90,'Prices&amp;Fuel'!T90,'FP Corp'!T90/(1-'Prices&amp;Fuel'!F90)-BE90-BF90-BG90-BB90),9)</f>
        <v>0</v>
      </c>
      <c r="BE90" s="9" t="n">
        <f aca="false">'Prices&amp;Fuel'!U90/(1-'Prices&amp;Fuel'!F90)</f>
        <v>2635.47557840617</v>
      </c>
      <c r="BF90" s="9" t="n">
        <f aca="false">('Prices&amp;Fuel'!V90+'Prices&amp;Fuel'!X90)/(1-'Prices&amp;Fuel'!F90)</f>
        <v>3645.2442159383</v>
      </c>
      <c r="BG90" s="9" t="n">
        <f aca="false">'Prices&amp;Fuel'!W90/(1-'Prices&amp;Fuel'!F90)</f>
        <v>1732.64781491003</v>
      </c>
      <c r="BH90" s="10" t="n">
        <f aca="false">('Prices&amp;Fuel'!C90+'Prices&amp;Fuel'!D90)/2-0.05+('Prices&amp;Fuel'!M90+'Prices&amp;Fuel'!P90)*(1-'Prices&amp;Fuel'!F90)</f>
        <v>3.32170875</v>
      </c>
      <c r="BI90" s="9" t="n">
        <f aca="false">IF(AP90=80000,0,BB90)</f>
        <v>4325.96401028278</v>
      </c>
      <c r="BJ90" s="9"/>
      <c r="BK90" s="10" t="n">
        <f aca="false">(((BB90+BE90)*('Prices&amp;Fuel'!B90+0.025))+(('Prices&amp;Fuel'!D90+0.025)*(BD90+BG90))+(('Prices&amp;Fuel'!C90+0.025)*(BC90+BF90))-(BI90+BJ90)*0.025)/(BB90+BC90+BD90+BE90+BF90+BG90)</f>
        <v>2.62762458333333</v>
      </c>
      <c r="BL90" s="9" t="n">
        <f aca="false">(BB90+BC90+BD90+BE90+BF90+BG90)*BH90*'Prices&amp;Fuel'!H90</f>
        <v>1270617.64010283</v>
      </c>
      <c r="BM90" s="9" t="n">
        <f aca="false">'Prices&amp;Fuel'!X90*('Prices&amp;Fuel'!N90+'Prices&amp;Fuel'!O90)*'Prices&amp;Fuel'!H90</f>
        <v>8908.41393487597</v>
      </c>
      <c r="BN90" s="9" t="n">
        <f aca="false">('Prices&amp;Fuel'!U90+'Prices&amp;Fuel'!V90+'Prices&amp;Fuel'!W90)*('Prices&amp;Fuel'!L90+'Prices&amp;Fuel'!O90)*'Prices&amp;Fuel'!H90</f>
        <v>92736.1977700852</v>
      </c>
      <c r="BO90" s="9" t="n">
        <f aca="false">((BB90+BC90+BD90)*(1-'Prices&amp;Fuel'!G90))*('Prices&amp;Fuel'!M90+'Prices&amp;Fuel'!P90)*'Prices&amp;Fuel'!H90</f>
        <v>99834.2135</v>
      </c>
      <c r="BP90" s="9" t="n">
        <f aca="false">((BD90+BC90+BB90+BE90+BF90+BG90)*BK90*'Prices&amp;Fuel'!H90)+BM90+BN90+BO90</f>
        <v>1206595.88947231</v>
      </c>
      <c r="BQ90" s="5" t="n">
        <f aca="false">BL90-BP90</f>
        <v>64021.7506305147</v>
      </c>
      <c r="CA90" s="5" t="n">
        <f aca="false">(AF90+AG90+AH90+AL90)*0.005*'Prices&amp;Fuel'!H90</f>
        <v>21038.5604113111</v>
      </c>
      <c r="CB90" s="5" t="n">
        <f aca="false">(B90+C90+D90+O90+P90+Q90+X90+Y90+BB90+BC90+BD90+BE90+BF90+BG90+BR90+BS90)*0.005*'Prices&amp;Fuel'!H90</f>
        <v>5803.09640102828</v>
      </c>
      <c r="CC90" s="7" t="n">
        <f aca="false">K90+T90+AB90+AY90+BL90+BX90</f>
        <v>15008743.4383033</v>
      </c>
      <c r="CD90" s="7" t="n">
        <f aca="false">L90+U90+AC90+AZ90+BP90+BY90+CA90+CB90</f>
        <v>14607762.0411947</v>
      </c>
      <c r="CE90" s="7" t="n">
        <f aca="false">CC90-CD90</f>
        <v>400981.397108663</v>
      </c>
      <c r="CF90" s="7" t="n">
        <f aca="false">'Index Price Deals'!AR90</f>
        <v>0</v>
      </c>
      <c r="CG90" s="7" t="n">
        <f aca="false">'Index Price Deals'!AS90</f>
        <v>0</v>
      </c>
      <c r="CH90" s="7" t="n">
        <f aca="false">'Index Price Deals'!AT90</f>
        <v>0</v>
      </c>
      <c r="CI90" s="7" t="n">
        <f aca="false">'Index Price Deals'!AU90</f>
        <v>0</v>
      </c>
      <c r="CJ90" s="7" t="n">
        <f aca="false">CC90+CF90</f>
        <v>15008743.4383033</v>
      </c>
      <c r="CK90" s="7" t="n">
        <f aca="false">CD90+CH90</f>
        <v>14607762.0411947</v>
      </c>
      <c r="CL90" s="7" t="n">
        <f aca="false">CE90+CI90</f>
        <v>400981.397108663</v>
      </c>
      <c r="CM90" s="7" t="n">
        <f aca="false">SUM(CL79:CL90)</f>
        <v>5205084.03589322</v>
      </c>
      <c r="CN90" s="7" t="n">
        <f aca="false">Transport!U90</f>
        <v>0</v>
      </c>
      <c r="CO90" s="71"/>
      <c r="CQ90" s="7" t="n">
        <f aca="false">(((($B90+$C90+$D90+$O90+$P90+$Q90)*0.5)+BR90+BS90)*(0.005*'Prices&amp;Fuel'!$H90)+'Index Price Deals'!AV90)+(((BB90+BC90+BD90+BE90+BF90+BG90)*(1-'Prices&amp;Fuel'!F90))*0.005*0.5*'Prices&amp;Fuel'!H90)</f>
        <v>2875.25</v>
      </c>
      <c r="CR90" s="7" t="n">
        <f aca="false">(((($B90+$C90+$D90+$O90+$P90+$Q90)*0.5)+X90+Y90)*(0.005*'Prices&amp;Fuel'!$H90)+CA90+'Index Price Deals'!AW90)+(((BB90+BC90+BD90+BE90+BF90+BG90)*(1-'Prices&amp;Fuel'!F90))*0.005*0.5*'Prices&amp;Fuel'!H90)</f>
        <v>23913.8104113111</v>
      </c>
      <c r="CS90" s="11"/>
      <c r="CT90" s="7" t="n">
        <f aca="false">[2]Sheet1!$O105</f>
        <v>-98823.3980704311</v>
      </c>
      <c r="CU90" s="7" t="n">
        <f aca="false">'[3]Long Term Deals'!$Z89</f>
        <v>-34895.0629697055</v>
      </c>
      <c r="CV90" s="70" t="n">
        <f aca="false">CL90-CN90-CT90+CU90+CS90+CO90</f>
        <v>464909.732209388</v>
      </c>
      <c r="CW90" s="14" t="n">
        <f aca="false">((B90+C90+D90+O90+P90+Q90+X90+Y90+AF90+AG90+AH90+BB90+BC90+BD90+BE90+BF90+BG90+BR90+BS90)+('Index Price Deals'!B90+'Index Price Deals'!C90+'Index Price Deals'!D90+'Index Price Deals'!L90+'Index Price Deals'!M90+'Index Price Deals'!N90+'Index Price Deals'!AD90+'Index Price Deals'!AE90+'Index Price Deals'!AF90+'Index Price Deals'!AK90+'Index Price Deals'!AL90+'Index Price Deals'!AM90))*'Prices&amp;Fuel'!H90</f>
        <v>5368331.36246787</v>
      </c>
      <c r="DB90" s="1" t="n">
        <f aca="false">(O90+P90+Q90)*'Prices&amp;Fuel'!$H90</f>
        <v>778100</v>
      </c>
      <c r="DE90" s="1" t="n">
        <v>132000</v>
      </c>
    </row>
    <row r="91" customFormat="false" ht="12.75" hidden="false" customHeight="false" outlineLevel="0" collapsed="false">
      <c r="A91" s="6" t="n">
        <f aca="false">+A90+365/12</f>
        <v>38364.8333333333</v>
      </c>
      <c r="O91" s="7" t="n">
        <v>9036</v>
      </c>
      <c r="P91" s="7" t="n">
        <v>10794</v>
      </c>
      <c r="Q91" s="7" t="n">
        <v>5270</v>
      </c>
      <c r="R91" s="8" t="n">
        <f aca="false">R90</f>
        <v>3.075</v>
      </c>
      <c r="S91" s="8" t="n">
        <f aca="false">S90</f>
        <v>3.0628</v>
      </c>
      <c r="T91" s="7" t="n">
        <f aca="false">(($O91*R91)+($P91*R91)+($Q91*R91))*'Prices&amp;Fuel'!$H91</f>
        <v>2392657.5</v>
      </c>
      <c r="U91" s="7" t="n">
        <f aca="false">(($O91*S91)+($P91*S91)+($Q91*S91))*'Prices&amp;Fuel'!$H91</f>
        <v>2383164.68</v>
      </c>
      <c r="V91" s="14" t="n">
        <f aca="false">T91-U91</f>
        <v>9492.81999999983</v>
      </c>
      <c r="AF91" s="7" t="n">
        <f aca="false">(32000/(1-'Prices&amp;Fuel'!F91))+(25000/(1-'Prices&amp;Fuel'!G91))-AI91</f>
        <v>58611.8251928021</v>
      </c>
      <c r="AG91" s="7" t="n">
        <v>0</v>
      </c>
      <c r="AH91" s="7" t="n">
        <f aca="false">(75000/(1-'Prices&amp;Fuel'!G91))-AK91</f>
        <v>77120.822622108</v>
      </c>
      <c r="AI91" s="7"/>
      <c r="AJ91" s="7"/>
      <c r="AK91" s="7"/>
      <c r="AL91" s="11" t="n">
        <f aca="false">ROUND((132000/(1-'Prices&amp;Fuel'!F91))-AF91-AG91-AH91,0)</f>
        <v>0</v>
      </c>
      <c r="AM91" s="7" t="n">
        <f aca="false">ROUND(IF(AF91&lt;AP91,0,(AF91-AP91-AI91)/2),0)</f>
        <v>0</v>
      </c>
      <c r="AO91" s="7" t="n">
        <f aca="false">ROUND((75000/(1-'Prices&amp;Fuel'!G91)-AV91-AK91)/2,0)</f>
        <v>38560</v>
      </c>
      <c r="AP91" s="7" t="n">
        <f aca="false">IF(80000&gt;AF91,AF91,80000)</f>
        <v>58611.8251928021</v>
      </c>
      <c r="AR91" s="7" t="n">
        <f aca="false">IF(AP91&gt;AF91,0,AF91-AM91-AP91)</f>
        <v>0</v>
      </c>
      <c r="AT91" s="14" t="n">
        <f aca="false">AH91-AO91-AV91</f>
        <v>38560.822622108</v>
      </c>
      <c r="AU91" s="14" t="n">
        <f aca="false">AL91*AX91*'Prices&amp;Fuel'!H91</f>
        <v>0</v>
      </c>
      <c r="AW91" s="68" t="n">
        <v>0.06</v>
      </c>
      <c r="AX91" s="68" t="n">
        <f aca="false">AX90</f>
        <v>0.025</v>
      </c>
      <c r="AY91" s="5" t="n">
        <f aca="false">('Prices&amp;Fuel'!H91*('Prices&amp;Fuel'!B91+AW91)*'Long Term Deals'!AF91)+('Prices&amp;Fuel'!H91*('Prices&amp;Fuel'!C91+'Long Term Deals'!AW91)*'Long Term Deals'!AG91)+(AH91*('Prices&amp;Fuel'!C91+AW91)*'Prices&amp;Fuel'!H91)+(AW91*AL91*'Prices&amp;Fuel'!H91)</f>
        <v>9984371.35304885</v>
      </c>
      <c r="AZ91" s="5" t="n">
        <f aca="false">(AP91*'Prices&amp;Fuel'!H91*'Prices&amp;Fuel'!B91)+(AQ91*'Prices&amp;Fuel'!C91*'Prices&amp;Fuel'!H91)+((AM91+AR91)*('Prices&amp;Fuel'!B91+'Long Term Deals'!AX91)*'Prices&amp;Fuel'!H91)+((AN91+AS91)*('Prices&amp;Fuel'!C91+'Long Term Deals'!AX91)*'Prices&amp;Fuel'!H91)+((AO91+AT91)*('Prices&amp;Fuel'!D91+'Long Term Deals'!AX91)*'Prices&amp;Fuel'!H91)+(AV91*'Prices&amp;Fuel'!H91*'Prices&amp;Fuel'!Q91)+AU91</f>
        <v>9672139.99058098</v>
      </c>
      <c r="BA91" s="5" t="n">
        <f aca="false">AY91-AZ91</f>
        <v>312231.362467868</v>
      </c>
      <c r="BB91" s="5" t="n">
        <f aca="false">IF('FP Corp'!T91-((BE91+BF91+BG91)*(1-'Prices&amp;Fuel'!F91))&lt;'Prices&amp;Fuel'!R91,('FP Corp'!T91-(BE91+BF91+BG91)*(1-'Prices&amp;Fuel'!F91)),'Prices&amp;Fuel'!R91)/(1-'Prices&amp;Fuel'!F91)</f>
        <v>4325.96401028278</v>
      </c>
      <c r="BC91" s="9"/>
      <c r="BD91" s="9" t="n">
        <f aca="false">ROUND(IF('FP Corp'!T91/(1-'Prices&amp;Fuel'!F91)-BE91-BF91-BG91-BB91&gt;'Prices&amp;Fuel'!T91,'Prices&amp;Fuel'!T91,'FP Corp'!T91/(1-'Prices&amp;Fuel'!F91)-BE91-BF91-BG91-BB91),9)</f>
        <v>0</v>
      </c>
      <c r="BE91" s="9" t="n">
        <f aca="false">'Prices&amp;Fuel'!U91/(1-'Prices&amp;Fuel'!F91)</f>
        <v>2635.47557840617</v>
      </c>
      <c r="BF91" s="9" t="n">
        <f aca="false">('Prices&amp;Fuel'!V91+'Prices&amp;Fuel'!X91)/(1-'Prices&amp;Fuel'!F91)</f>
        <v>3645.2442159383</v>
      </c>
      <c r="BG91" s="9" t="n">
        <f aca="false">'Prices&amp;Fuel'!W91/(1-'Prices&amp;Fuel'!F91)</f>
        <v>1732.64781491003</v>
      </c>
      <c r="BH91" s="10" t="n">
        <f aca="false">('Prices&amp;Fuel'!C91+'Prices&amp;Fuel'!D91)/2-0.05+('Prices&amp;Fuel'!M91+'Prices&amp;Fuel'!P91)*(1-'Prices&amp;Fuel'!F91)</f>
        <v>3.00823202</v>
      </c>
      <c r="BI91" s="9" t="n">
        <f aca="false">IF(AP91=80000,0,BB91)</f>
        <v>4325.96401028278</v>
      </c>
      <c r="BJ91" s="9"/>
      <c r="BK91" s="10" t="n">
        <f aca="false">(((BB91+BE91)*('Prices&amp;Fuel'!B91+0.025))+(('Prices&amp;Fuel'!D91+0.025)*(BD91+BG91))+(('Prices&amp;Fuel'!C91+0.025)*(BC91+BF91))-(BI91+BJ91)*0.025)/(BB91+BC91+BD91+BE91+BF91+BG91)</f>
        <v>2.31414785333333</v>
      </c>
      <c r="BL91" s="9" t="n">
        <f aca="false">(BB91+BC91+BD91+BE91+BF91+BG91)*BH91*'Prices&amp;Fuel'!H91</f>
        <v>1150706.74698201</v>
      </c>
      <c r="BM91" s="9" t="n">
        <f aca="false">'Prices&amp;Fuel'!X91*('Prices&amp;Fuel'!N91+'Prices&amp;Fuel'!O91)*'Prices&amp;Fuel'!H91</f>
        <v>9438.64041395779</v>
      </c>
      <c r="BN91" s="9" t="n">
        <f aca="false">('Prices&amp;Fuel'!U91+'Prices&amp;Fuel'!V91+'Prices&amp;Fuel'!W91)*('Prices&amp;Fuel'!L91+'Prices&amp;Fuel'!O91)*'Prices&amp;Fuel'!H91</f>
        <v>98255.8321277305</v>
      </c>
      <c r="BO91" s="9" t="n">
        <f aca="false">((BB91+BC91+BD91)*(1-'Prices&amp;Fuel'!G91))*('Prices&amp;Fuel'!M91+'Prices&amp;Fuel'!P91)*'Prices&amp;Fuel'!H91</f>
        <v>99834.2135</v>
      </c>
      <c r="BP91" s="9" t="n">
        <f aca="false">((BD91+BC91+BB91+BE91+BF91+BG91)*BK91*'Prices&amp;Fuel'!H91)+BM91+BN91+BO91</f>
        <v>1092734.85718822</v>
      </c>
      <c r="BQ91" s="5" t="n">
        <f aca="false">BL91-BP91</f>
        <v>57971.8897937876</v>
      </c>
      <c r="CA91" s="5" t="n">
        <f aca="false">(AF91+AG91+AH91+AL91)*0.005*'Prices&amp;Fuel'!H91</f>
        <v>21038.5604113111</v>
      </c>
      <c r="CB91" s="5" t="n">
        <f aca="false">(B91+C91+D91+O91+P91+Q91+X91+Y91+BB91+BC91+BD91+BE91+BF91+BG91+BR91+BS91)*0.005*'Prices&amp;Fuel'!H91</f>
        <v>5803.09640102828</v>
      </c>
      <c r="CC91" s="7" t="n">
        <f aca="false">K91+T91+AB91+AY91+BL91+BX91</f>
        <v>13527735.6000309</v>
      </c>
      <c r="CD91" s="7" t="n">
        <f aca="false">L91+U91+AC91+AZ91+BP91+BY91+CA91+CB91</f>
        <v>13174881.1845815</v>
      </c>
      <c r="CE91" s="7" t="n">
        <f aca="false">CC91-CD91</f>
        <v>352854.415449316</v>
      </c>
      <c r="CF91" s="7" t="n">
        <f aca="false">'Index Price Deals'!AR91</f>
        <v>0</v>
      </c>
      <c r="CG91" s="7" t="n">
        <f aca="false">'Index Price Deals'!AS91</f>
        <v>0</v>
      </c>
      <c r="CH91" s="7" t="n">
        <f aca="false">'Index Price Deals'!AT91</f>
        <v>0</v>
      </c>
      <c r="CI91" s="7" t="n">
        <f aca="false">'Index Price Deals'!AU91</f>
        <v>0</v>
      </c>
      <c r="CJ91" s="7" t="n">
        <f aca="false">CC91+CF91</f>
        <v>13527735.6000309</v>
      </c>
      <c r="CK91" s="7" t="n">
        <f aca="false">CD91+CH91</f>
        <v>13174881.1845815</v>
      </c>
      <c r="CL91" s="7" t="n">
        <f aca="false">CE91+CI91</f>
        <v>352854.415449316</v>
      </c>
      <c r="CM91" s="69"/>
      <c r="CN91" s="7" t="n">
        <f aca="false">Transport!U91</f>
        <v>0</v>
      </c>
      <c r="CO91" s="71"/>
      <c r="CQ91" s="7" t="n">
        <f aca="false">(((($B91+$C91+$D91+$O91+$P91+$Q91)*0.5)+BR91+BS91)*(0.005*'Prices&amp;Fuel'!$H91)+'Index Price Deals'!AV91)+(((BB91+BC91+BD91+BE91+BF91+BG91)*(1-'Prices&amp;Fuel'!F91))*0.005*0.5*'Prices&amp;Fuel'!H91)</f>
        <v>2875.25</v>
      </c>
      <c r="CR91" s="7" t="n">
        <f aca="false">(((($B91+$C91+$D91+$O91+$P91+$Q91)*0.5)+X91+Y91)*(0.005*'Prices&amp;Fuel'!$H91)+CA91+'Index Price Deals'!AW91)+(((BB91+BC91+BD91+BE91+BF91+BG91)*(1-'Prices&amp;Fuel'!F91))*0.005*0.5*'Prices&amp;Fuel'!H91)</f>
        <v>23913.8104113111</v>
      </c>
      <c r="CS91" s="11"/>
      <c r="CT91" s="7" t="n">
        <f aca="false">[2]Sheet1!$O107</f>
        <v>-141030.721432989</v>
      </c>
      <c r="CU91" s="7" t="n">
        <f aca="false">'[3]Long Term Deals'!$Z90</f>
        <v>-34895.0629697055</v>
      </c>
      <c r="CV91" s="70" t="n">
        <f aca="false">CL91-CN91-CT91+CU91+CS91+CO91</f>
        <v>458990.073912599</v>
      </c>
      <c r="CW91" s="14" t="n">
        <f aca="false">((B91+C91+D91+O91+P91+Q91+X91+Y91+AF91+AG91+AH91+BB91+BC91+BD91+BE91+BF91+BG91+BR91+BS91)+('Index Price Deals'!B91+'Index Price Deals'!C91+'Index Price Deals'!D91+'Index Price Deals'!L91+'Index Price Deals'!M91+'Index Price Deals'!N91+'Index Price Deals'!AD91+'Index Price Deals'!AE91+'Index Price Deals'!AF91+'Index Price Deals'!AK91+'Index Price Deals'!AL91+'Index Price Deals'!AM91))*'Prices&amp;Fuel'!H91</f>
        <v>5368331.36246787</v>
      </c>
      <c r="DB91" s="1" t="n">
        <f aca="false">(O91+P91+Q91)*'Prices&amp;Fuel'!$H91</f>
        <v>778100</v>
      </c>
      <c r="DE91" s="1" t="n">
        <v>132000</v>
      </c>
    </row>
    <row r="92" customFormat="false" ht="12.75" hidden="false" customHeight="false" outlineLevel="0" collapsed="false">
      <c r="A92" s="6" t="n">
        <f aca="false">+A91+365/12</f>
        <v>38395.25</v>
      </c>
      <c r="O92" s="7" t="n">
        <v>9036</v>
      </c>
      <c r="P92" s="7" t="n">
        <v>10794</v>
      </c>
      <c r="Q92" s="7" t="n">
        <v>5270</v>
      </c>
      <c r="R92" s="8" t="n">
        <f aca="false">R91</f>
        <v>3.075</v>
      </c>
      <c r="S92" s="8" t="n">
        <f aca="false">S91</f>
        <v>3.0628</v>
      </c>
      <c r="T92" s="7" t="n">
        <f aca="false">(($O92*R92)+($P92*R92)+($Q92*R92))*'Prices&amp;Fuel'!$H92</f>
        <v>2161110</v>
      </c>
      <c r="U92" s="7" t="n">
        <f aca="false">(($O92*S92)+($P92*S92)+($Q92*S92))*'Prices&amp;Fuel'!$H92</f>
        <v>2152535.84</v>
      </c>
      <c r="V92" s="14" t="n">
        <f aca="false">T92-U92</f>
        <v>8574.16000000015</v>
      </c>
      <c r="AF92" s="7" t="n">
        <f aca="false">(32000/(1-'Prices&amp;Fuel'!F92))+(25000/(1-'Prices&amp;Fuel'!G92))-AI92</f>
        <v>58611.8251928021</v>
      </c>
      <c r="AG92" s="7" t="n">
        <v>0</v>
      </c>
      <c r="AH92" s="7" t="n">
        <f aca="false">(75000/(1-'Prices&amp;Fuel'!G92))-AK92</f>
        <v>77120.822622108</v>
      </c>
      <c r="AI92" s="7"/>
      <c r="AJ92" s="7"/>
      <c r="AK92" s="7"/>
      <c r="AL92" s="11" t="n">
        <f aca="false">ROUND((132000/(1-'Prices&amp;Fuel'!F92))-AF92-AG92-AH92,0)</f>
        <v>0</v>
      </c>
      <c r="AM92" s="7" t="n">
        <f aca="false">ROUND(IF(AF92&lt;AP92,0,(AF92-AP92-AI92)/2),0)</f>
        <v>0</v>
      </c>
      <c r="AO92" s="7" t="n">
        <f aca="false">ROUND((75000/(1-'Prices&amp;Fuel'!G92)-AV92-AK92)/2,0)</f>
        <v>38560</v>
      </c>
      <c r="AP92" s="7" t="n">
        <f aca="false">IF(80000&gt;AF92,AF92,80000)</f>
        <v>58611.8251928021</v>
      </c>
      <c r="AR92" s="7" t="n">
        <f aca="false">IF(AP92&gt;AF92,0,AF92-AM92-AP92)</f>
        <v>0</v>
      </c>
      <c r="AT92" s="14" t="n">
        <f aca="false">AH92-AO92-AV92</f>
        <v>38560.822622108</v>
      </c>
      <c r="AU92" s="14" t="n">
        <f aca="false">AL92*AX92*'Prices&amp;Fuel'!H92</f>
        <v>0</v>
      </c>
      <c r="AW92" s="68" t="n">
        <f aca="false">AW91</f>
        <v>0.06</v>
      </c>
      <c r="AX92" s="68" t="n">
        <f aca="false">AX91</f>
        <v>0.025</v>
      </c>
      <c r="AY92" s="5" t="n">
        <f aca="false">('Prices&amp;Fuel'!H92*('Prices&amp;Fuel'!B92+AW92)*'Long Term Deals'!AF92)+('Prices&amp;Fuel'!H92*('Prices&amp;Fuel'!C92+'Long Term Deals'!AW92)*'Long Term Deals'!AG92)+(AH92*('Prices&amp;Fuel'!C92+AW92)*'Prices&amp;Fuel'!H92)+(AW92*AL92*'Prices&amp;Fuel'!H92)</f>
        <v>10075373.7170591</v>
      </c>
      <c r="AZ92" s="5" t="n">
        <f aca="false">(AP92*'Prices&amp;Fuel'!H92*'Prices&amp;Fuel'!B92)+(AQ92*'Prices&amp;Fuel'!C92*'Prices&amp;Fuel'!H92)+((AM92+AR92)*('Prices&amp;Fuel'!B92+'Long Term Deals'!AX92)*'Prices&amp;Fuel'!H92)+((AN92+AS92)*('Prices&amp;Fuel'!C92+'Long Term Deals'!AX92)*'Prices&amp;Fuel'!H92)+((AO92+AT92)*('Prices&amp;Fuel'!D92+'Long Term Deals'!AX92)*'Prices&amp;Fuel'!H92)+(AV92*'Prices&amp;Fuel'!H92*'Prices&amp;Fuel'!Q92)+AU92</f>
        <v>9793358.2928946</v>
      </c>
      <c r="BA92" s="5" t="n">
        <f aca="false">AY92-AZ92</f>
        <v>282015.424164524</v>
      </c>
      <c r="BB92" s="5" t="n">
        <f aca="false">IF('FP Corp'!T92-((BE92+BF92+BG92)*(1-'Prices&amp;Fuel'!F92))&lt;'Prices&amp;Fuel'!R92,('FP Corp'!T92-(BE92+BF92+BG92)*(1-'Prices&amp;Fuel'!F92)),'Prices&amp;Fuel'!R92)/(1-'Prices&amp;Fuel'!F92)</f>
        <v>4325.96401028278</v>
      </c>
      <c r="BC92" s="9"/>
      <c r="BD92" s="9" t="n">
        <f aca="false">ROUND(IF('FP Corp'!T92/(1-'Prices&amp;Fuel'!F92)-BE92-BF92-BG92-BB92&gt;'Prices&amp;Fuel'!T92,'Prices&amp;Fuel'!T92,'FP Corp'!T92/(1-'Prices&amp;Fuel'!F92)-BE92-BF92-BG92-BB92),9)</f>
        <v>0</v>
      </c>
      <c r="BE92" s="9" t="n">
        <f aca="false">'Prices&amp;Fuel'!U92/(1-'Prices&amp;Fuel'!F92)</f>
        <v>2635.47557840617</v>
      </c>
      <c r="BF92" s="9" t="n">
        <f aca="false">('Prices&amp;Fuel'!V92+'Prices&amp;Fuel'!X92)/(1-'Prices&amp;Fuel'!F92)</f>
        <v>3645.2442159383</v>
      </c>
      <c r="BG92" s="9" t="n">
        <f aca="false">'Prices&amp;Fuel'!W92/(1-'Prices&amp;Fuel'!F92)</f>
        <v>1732.64781491003</v>
      </c>
      <c r="BH92" s="10" t="n">
        <f aca="false">('Prices&amp;Fuel'!C92+'Prices&amp;Fuel'!D92)/2-0.05+('Prices&amp;Fuel'!M92+'Prices&amp;Fuel'!P92)*(1-'Prices&amp;Fuel'!F92)</f>
        <v>3.28641329</v>
      </c>
      <c r="BI92" s="9" t="n">
        <f aca="false">IF(AP92=80000,0,BB92)</f>
        <v>4325.96401028278</v>
      </c>
      <c r="BJ92" s="9"/>
      <c r="BK92" s="10" t="n">
        <f aca="false">(((BB92+BE92)*('Prices&amp;Fuel'!B92+0.025))+(('Prices&amp;Fuel'!D92+0.025)*(BD92+BG92))+(('Prices&amp;Fuel'!C92+0.025)*(BC92+BF92))-(BI92+BJ92)*0.025)/(BB92+BC92+BD92+BE92+BF92+BG92)</f>
        <v>2.59232912333333</v>
      </c>
      <c r="BL92" s="9" t="n">
        <f aca="false">(BB92+BC92+BD92+BE92+BF92+BG92)*BH92*'Prices&amp;Fuel'!H92</f>
        <v>1135460.01587661</v>
      </c>
      <c r="BM92" s="9" t="n">
        <f aca="false">'Prices&amp;Fuel'!X92*('Prices&amp;Fuel'!N92+'Prices&amp;Fuel'!O92)*'Prices&amp;Fuel'!H92</f>
        <v>8525.22359970381</v>
      </c>
      <c r="BN92" s="9" t="n">
        <f aca="false">('Prices&amp;Fuel'!U92+'Prices&amp;Fuel'!V92+'Prices&amp;Fuel'!W92)*('Prices&amp;Fuel'!L92+'Prices&amp;Fuel'!O92)*'Prices&amp;Fuel'!H92</f>
        <v>88747.2032121437</v>
      </c>
      <c r="BO92" s="9" t="n">
        <f aca="false">((BB92+BC92+BD92)*(1-'Prices&amp;Fuel'!G92))*('Prices&amp;Fuel'!M92+'Prices&amp;Fuel'!P92)*'Prices&amp;Fuel'!H92</f>
        <v>90172.838</v>
      </c>
      <c r="BP92" s="9" t="n">
        <f aca="false">((BD92+BC92+BB92+BE92+BF92+BG92)*BK92*'Prices&amp;Fuel'!H92)+BM92+BN92+BO92</f>
        <v>1083098.30896609</v>
      </c>
      <c r="BQ92" s="5" t="n">
        <f aca="false">BL92-BP92</f>
        <v>52361.7069105178</v>
      </c>
      <c r="CA92" s="5" t="n">
        <f aca="false">(AF92+AG92+AH92+AL92)*0.005*'Prices&amp;Fuel'!H92</f>
        <v>19002.5706940874</v>
      </c>
      <c r="CB92" s="5" t="n">
        <f aca="false">(B92+C92+D92+O92+P92+Q92+X92+Y92+BB92+BC92+BD92+BE92+BF92+BG92+BR92+BS92)*0.005*'Prices&amp;Fuel'!H92</f>
        <v>5241.50642673522</v>
      </c>
      <c r="CC92" s="7" t="n">
        <f aca="false">K92+T92+AB92+AY92+BL92+BX92</f>
        <v>13371943.7329357</v>
      </c>
      <c r="CD92" s="7" t="n">
        <f aca="false">L92+U92+AC92+AZ92+BP92+BY92+CA92+CB92</f>
        <v>13053236.5189815</v>
      </c>
      <c r="CE92" s="7" t="n">
        <f aca="false">CC92-CD92</f>
        <v>318707.21395422</v>
      </c>
      <c r="CF92" s="7" t="n">
        <f aca="false">'Index Price Deals'!AR92</f>
        <v>0</v>
      </c>
      <c r="CG92" s="7" t="n">
        <f aca="false">'Index Price Deals'!AS92</f>
        <v>0</v>
      </c>
      <c r="CH92" s="7" t="n">
        <f aca="false">'Index Price Deals'!AT92</f>
        <v>0</v>
      </c>
      <c r="CI92" s="7" t="n">
        <f aca="false">'Index Price Deals'!AU92</f>
        <v>0</v>
      </c>
      <c r="CJ92" s="7" t="n">
        <f aca="false">CC92+CF92</f>
        <v>13371943.7329357</v>
      </c>
      <c r="CK92" s="7" t="n">
        <f aca="false">CD92+CH92</f>
        <v>13053236.5189815</v>
      </c>
      <c r="CL92" s="7" t="n">
        <f aca="false">CE92+CI92</f>
        <v>318707.21395422</v>
      </c>
      <c r="CM92" s="69"/>
      <c r="CN92" s="7" t="n">
        <f aca="false">Transport!U92</f>
        <v>0</v>
      </c>
      <c r="CO92" s="71"/>
      <c r="CQ92" s="7" t="n">
        <f aca="false">(((($B92+$C92+$D92+$O92+$P92+$Q92)*0.5)+BR92+BS92)*(0.005*'Prices&amp;Fuel'!$H92)+'Index Price Deals'!AV92)+(((BB92+BC92+BD92+BE92+BF92+BG92)*(1-'Prices&amp;Fuel'!F92))*0.005*0.5*'Prices&amp;Fuel'!H92)</f>
        <v>2597</v>
      </c>
      <c r="CR92" s="7" t="n">
        <f aca="false">(((($B92+$C92+$D92+$O92+$P92+$Q92)*0.5)+X92+Y92)*(0.005*'Prices&amp;Fuel'!$H92)+CA92+'Index Price Deals'!AW92)+(((BB92+BC92+BD92+BE92+BF92+BG92)*(1-'Prices&amp;Fuel'!F92))*0.005*0.5*'Prices&amp;Fuel'!H92)</f>
        <v>21599.5706940874</v>
      </c>
      <c r="CS92" s="11"/>
      <c r="CT92" s="7" t="n">
        <f aca="false">[2]Sheet1!$O108</f>
        <v>-127382.587100764</v>
      </c>
      <c r="CU92" s="7" t="n">
        <f aca="false">'[3]Long Term Deals'!$Z91</f>
        <v>-31518.1213919921</v>
      </c>
      <c r="CV92" s="70" t="n">
        <f aca="false">CL92-CN92-CT92+CU92+CS92+CO92</f>
        <v>414571.679662992</v>
      </c>
      <c r="CW92" s="14" t="n">
        <f aca="false">((B92+C92+D92+O92+P92+Q92+X92+Y92+AF92+AG92+AH92+BB92+BC92+BD92+BE92+BF92+BG92+BR92+BS92)+('Index Price Deals'!B92+'Index Price Deals'!C92+'Index Price Deals'!D92+'Index Price Deals'!L92+'Index Price Deals'!M92+'Index Price Deals'!N92+'Index Price Deals'!AD92+'Index Price Deals'!AE92+'Index Price Deals'!AF92+'Index Price Deals'!AK92+'Index Price Deals'!AL92+'Index Price Deals'!AM92))*'Prices&amp;Fuel'!H92</f>
        <v>4848815.42416452</v>
      </c>
      <c r="DB92" s="1" t="n">
        <f aca="false">(O92+P92+Q92)*'Prices&amp;Fuel'!$H92</f>
        <v>702800</v>
      </c>
      <c r="DE92" s="1" t="n">
        <v>132000</v>
      </c>
    </row>
    <row r="93" customFormat="false" ht="12.75" hidden="false" customHeight="false" outlineLevel="0" collapsed="false">
      <c r="A93" s="6" t="n">
        <f aca="false">+A92+365/12</f>
        <v>38425.6666666667</v>
      </c>
      <c r="O93" s="7" t="n">
        <v>9036</v>
      </c>
      <c r="P93" s="7" t="n">
        <v>10794</v>
      </c>
      <c r="Q93" s="7" t="n">
        <v>5270</v>
      </c>
      <c r="R93" s="8" t="n">
        <f aca="false">R92</f>
        <v>3.075</v>
      </c>
      <c r="S93" s="8" t="n">
        <f aca="false">S92</f>
        <v>3.0628</v>
      </c>
      <c r="T93" s="7" t="n">
        <f aca="false">(($O93*R93)+($P93*R93)+($Q93*R93))*'Prices&amp;Fuel'!$H93</f>
        <v>2392657.5</v>
      </c>
      <c r="U93" s="7" t="n">
        <f aca="false">(($O93*S93)+($P93*S93)+($Q93*S93))*'Prices&amp;Fuel'!$H93</f>
        <v>2383164.68</v>
      </c>
      <c r="V93" s="14" t="n">
        <f aca="false">T93-U93</f>
        <v>9492.81999999983</v>
      </c>
      <c r="AF93" s="7" t="n">
        <f aca="false">(32000/(1-'Prices&amp;Fuel'!F93))+(25000/(1-'Prices&amp;Fuel'!G93))-AI93</f>
        <v>58611.8251928021</v>
      </c>
      <c r="AG93" s="7" t="n">
        <v>0</v>
      </c>
      <c r="AH93" s="7" t="n">
        <f aca="false">(75000/(1-'Prices&amp;Fuel'!G93))-AK93</f>
        <v>77120.822622108</v>
      </c>
      <c r="AI93" s="7"/>
      <c r="AJ93" s="7"/>
      <c r="AK93" s="7"/>
      <c r="AL93" s="11" t="n">
        <f aca="false">ROUND((132000/(1-'Prices&amp;Fuel'!F93))-AF93-AG93-AH93,0)</f>
        <v>0</v>
      </c>
      <c r="AM93" s="7" t="n">
        <f aca="false">ROUND(IF(AF93&lt;AP93,0,(AF93-AP93-AI93)/2),0)</f>
        <v>0</v>
      </c>
      <c r="AO93" s="7" t="n">
        <f aca="false">ROUND((75000/(1-'Prices&amp;Fuel'!G93)-AV93-AK93)/2,0)</f>
        <v>38560</v>
      </c>
      <c r="AP93" s="7" t="n">
        <f aca="false">IF(80000&gt;AF93,AF93,80000)</f>
        <v>58611.8251928021</v>
      </c>
      <c r="AR93" s="7" t="n">
        <f aca="false">IF(AP93&gt;AF93,0,AF93-AM93-AP93)</f>
        <v>0</v>
      </c>
      <c r="AT93" s="14" t="n">
        <f aca="false">AH93-AO93-AV93</f>
        <v>38560.822622108</v>
      </c>
      <c r="AU93" s="14" t="n">
        <f aca="false">AL93*AX93*'Prices&amp;Fuel'!H93</f>
        <v>0</v>
      </c>
      <c r="AW93" s="68" t="n">
        <f aca="false">AW92</f>
        <v>0.06</v>
      </c>
      <c r="AX93" s="68" t="n">
        <f aca="false">AX92</f>
        <v>0.025</v>
      </c>
      <c r="AY93" s="5" t="n">
        <f aca="false">('Prices&amp;Fuel'!H93*('Prices&amp;Fuel'!B93+AW93)*'Long Term Deals'!AF93)+('Prices&amp;Fuel'!H93*('Prices&amp;Fuel'!C93+'Long Term Deals'!AW93)*'Long Term Deals'!AG93)+(AH93*('Prices&amp;Fuel'!C93+AW93)*'Prices&amp;Fuel'!H93)+(AW93*AL93*'Prices&amp;Fuel'!H93)</f>
        <v>11154878.0438869</v>
      </c>
      <c r="AZ93" s="5" t="n">
        <f aca="false">(AP93*'Prices&amp;Fuel'!H93*'Prices&amp;Fuel'!B93)+(AQ93*'Prices&amp;Fuel'!C93*'Prices&amp;Fuel'!H93)+((AM93+AR93)*('Prices&amp;Fuel'!B93+'Long Term Deals'!AX93)*'Prices&amp;Fuel'!H93)+((AN93+AS93)*('Prices&amp;Fuel'!C93+'Long Term Deals'!AX93)*'Prices&amp;Fuel'!H93)+((AO93+AT93)*('Prices&amp;Fuel'!D93+'Long Term Deals'!AX93)*'Prices&amp;Fuel'!H93)+(AV93*'Prices&amp;Fuel'!H93*'Prices&amp;Fuel'!Q93)+AU93</f>
        <v>10842646.681419</v>
      </c>
      <c r="BA93" s="5" t="n">
        <f aca="false">AY93-AZ93</f>
        <v>312231.362467866</v>
      </c>
      <c r="BB93" s="5" t="n">
        <f aca="false">IF('FP Corp'!T93-((BE93+BF93+BG93)*(1-'Prices&amp;Fuel'!F93))&lt;'Prices&amp;Fuel'!R93,('FP Corp'!T93-(BE93+BF93+BG93)*(1-'Prices&amp;Fuel'!F93)),'Prices&amp;Fuel'!R93)/(1-'Prices&amp;Fuel'!F93)</f>
        <v>4325.96401028278</v>
      </c>
      <c r="BC93" s="9"/>
      <c r="BD93" s="9" t="n">
        <f aca="false">ROUND(IF('FP Corp'!T93/(1-'Prices&amp;Fuel'!F93)-BE93-BF93-BG93-BB93&gt;'Prices&amp;Fuel'!T93,'Prices&amp;Fuel'!T93,'FP Corp'!T93/(1-'Prices&amp;Fuel'!F93)-BE93-BF93-BG93-BB93),9)</f>
        <v>0</v>
      </c>
      <c r="BE93" s="9" t="n">
        <f aca="false">'Prices&amp;Fuel'!U93/(1-'Prices&amp;Fuel'!F93)</f>
        <v>2635.47557840617</v>
      </c>
      <c r="BF93" s="9" t="n">
        <f aca="false">('Prices&amp;Fuel'!V93+'Prices&amp;Fuel'!X93)/(1-'Prices&amp;Fuel'!F93)</f>
        <v>3645.2442159383</v>
      </c>
      <c r="BG93" s="9" t="n">
        <f aca="false">'Prices&amp;Fuel'!W93/(1-'Prices&amp;Fuel'!F93)</f>
        <v>1732.64781491003</v>
      </c>
      <c r="BH93" s="10" t="n">
        <f aca="false">('Prices&amp;Fuel'!C93+'Prices&amp;Fuel'!D93)/2-0.05+('Prices&amp;Fuel'!M93+'Prices&amp;Fuel'!P93)*(1-'Prices&amp;Fuel'!F93)</f>
        <v>3.28641329</v>
      </c>
      <c r="BI93" s="9" t="n">
        <f aca="false">IF(AP93=80000,0,BB93)</f>
        <v>4325.96401028278</v>
      </c>
      <c r="BJ93" s="9"/>
      <c r="BK93" s="10" t="n">
        <f aca="false">(((BB93+BE93)*('Prices&amp;Fuel'!B93+0.025))+(('Prices&amp;Fuel'!D93+0.025)*(BD93+BG93))+(('Prices&amp;Fuel'!C93+0.025)*(BC93+BF93))-(BI93+BJ93)*0.025)/(BB93+BC93+BD93+BE93+BF93+BG93)</f>
        <v>2.59232912333333</v>
      </c>
      <c r="BL93" s="9" t="n">
        <f aca="false">(BB93+BC93+BD93+BE93+BF93+BG93)*BH93*'Prices&amp;Fuel'!H93</f>
        <v>1257116.4461491</v>
      </c>
      <c r="BM93" s="9" t="n">
        <f aca="false">'Prices&amp;Fuel'!X93*('Prices&amp;Fuel'!N93+'Prices&amp;Fuel'!O93)*'Prices&amp;Fuel'!H93</f>
        <v>9438.64041395779</v>
      </c>
      <c r="BN93" s="9" t="n">
        <f aca="false">('Prices&amp;Fuel'!U93+'Prices&amp;Fuel'!V93+'Prices&amp;Fuel'!W93)*('Prices&amp;Fuel'!L93+'Prices&amp;Fuel'!O93)*'Prices&amp;Fuel'!H93</f>
        <v>98255.8321277305</v>
      </c>
      <c r="BO93" s="9" t="n">
        <f aca="false">((BB93+BC93+BD93)*(1-'Prices&amp;Fuel'!G93))*('Prices&amp;Fuel'!M93+'Prices&amp;Fuel'!P93)*'Prices&amp;Fuel'!H93</f>
        <v>99834.2135</v>
      </c>
      <c r="BP93" s="9" t="n">
        <f aca="false">((BD93+BC93+BB93+BE93+BF93+BG93)*BK93*'Prices&amp;Fuel'!H93)+BM93+BN93+BO93</f>
        <v>1199144.55635531</v>
      </c>
      <c r="BQ93" s="5" t="n">
        <f aca="false">BL93-BP93</f>
        <v>57971.8897937874</v>
      </c>
      <c r="CA93" s="5" t="n">
        <f aca="false">(AF93+AG93+AH93+AL93)*0.005*'Prices&amp;Fuel'!H93</f>
        <v>21038.5604113111</v>
      </c>
      <c r="CB93" s="5" t="n">
        <f aca="false">(B93+C93+D93+O93+P93+Q93+X93+Y93+BB93+BC93+BD93+BE93+BF93+BG93+BR93+BS93)*0.005*'Prices&amp;Fuel'!H93</f>
        <v>5803.09640102828</v>
      </c>
      <c r="CC93" s="7" t="n">
        <f aca="false">K93+T93+AB93+AY93+BL93+BX93</f>
        <v>14804651.990036</v>
      </c>
      <c r="CD93" s="7" t="n">
        <f aca="false">L93+U93+AC93+AZ93+BP93+BY93+CA93+CB93</f>
        <v>14451797.5745867</v>
      </c>
      <c r="CE93" s="7" t="n">
        <f aca="false">CC93-CD93</f>
        <v>352854.415449314</v>
      </c>
      <c r="CF93" s="7" t="n">
        <f aca="false">'Index Price Deals'!AR93</f>
        <v>0</v>
      </c>
      <c r="CG93" s="7" t="n">
        <f aca="false">'Index Price Deals'!AS93</f>
        <v>0</v>
      </c>
      <c r="CH93" s="7" t="n">
        <f aca="false">'Index Price Deals'!AT93</f>
        <v>0</v>
      </c>
      <c r="CI93" s="7" t="n">
        <f aca="false">'Index Price Deals'!AU93</f>
        <v>0</v>
      </c>
      <c r="CJ93" s="7" t="n">
        <f aca="false">CC93+CF93</f>
        <v>14804651.990036</v>
      </c>
      <c r="CK93" s="7" t="n">
        <f aca="false">CD93+CH93</f>
        <v>14451797.5745867</v>
      </c>
      <c r="CL93" s="7" t="n">
        <f aca="false">CE93+CI93</f>
        <v>352854.415449314</v>
      </c>
      <c r="CM93" s="69"/>
      <c r="CN93" s="7" t="n">
        <f aca="false">Transport!U93</f>
        <v>0</v>
      </c>
      <c r="CO93" s="71"/>
      <c r="CQ93" s="7" t="n">
        <f aca="false">(((($B93+$C93+$D93+$O93+$P93+$Q93)*0.5)+BR93+BS93)*(0.005*'Prices&amp;Fuel'!$H93)+'Index Price Deals'!AV93)+(((BB93+BC93+BD93+BE93+BF93+BG93)*(1-'Prices&amp;Fuel'!F93))*0.005*0.5*'Prices&amp;Fuel'!H93)</f>
        <v>2875.25</v>
      </c>
      <c r="CR93" s="7" t="n">
        <f aca="false">(((($B93+$C93+$D93+$O93+$P93+$Q93)*0.5)+X93+Y93)*(0.005*'Prices&amp;Fuel'!$H93)+CA93+'Index Price Deals'!AW93)+(((BB93+BC93+BD93+BE93+BF93+BG93)*(1-'Prices&amp;Fuel'!F93))*0.005*0.5*'Prices&amp;Fuel'!H93)</f>
        <v>23913.8104113111</v>
      </c>
      <c r="CS93" s="11"/>
      <c r="CT93" s="7" t="n">
        <f aca="false">[2]Sheet1!$O109</f>
        <v>-141030.721432989</v>
      </c>
      <c r="CU93" s="7" t="n">
        <f aca="false">'[3]Long Term Deals'!$Z92</f>
        <v>-34895.0629697055</v>
      </c>
      <c r="CV93" s="70" t="n">
        <f aca="false">CL93-CN93-CT93+CU93+CS93+CO93</f>
        <v>458990.073912597</v>
      </c>
      <c r="CW93" s="14" t="n">
        <f aca="false">((B93+C93+D93+O93+P93+Q93+X93+Y93+AF93+AG93+AH93+BB93+BC93+BD93+BE93+BF93+BG93+BR93+BS93)+('Index Price Deals'!B93+'Index Price Deals'!C93+'Index Price Deals'!D93+'Index Price Deals'!L93+'Index Price Deals'!M93+'Index Price Deals'!N93+'Index Price Deals'!AD93+'Index Price Deals'!AE93+'Index Price Deals'!AF93+'Index Price Deals'!AK93+'Index Price Deals'!AL93+'Index Price Deals'!AM93))*'Prices&amp;Fuel'!H93</f>
        <v>5368331.36246787</v>
      </c>
      <c r="DB93" s="1" t="n">
        <f aca="false">(O93+P93+Q93)*'Prices&amp;Fuel'!$H93</f>
        <v>778100</v>
      </c>
      <c r="DE93" s="1" t="n">
        <v>132000</v>
      </c>
    </row>
    <row r="94" customFormat="false" ht="12.75" hidden="false" customHeight="false" outlineLevel="0" collapsed="false">
      <c r="A94" s="6" t="n">
        <f aca="false">+A93+365/12</f>
        <v>38456.0833333333</v>
      </c>
      <c r="O94" s="7" t="n">
        <v>9036</v>
      </c>
      <c r="P94" s="7" t="n">
        <v>10794</v>
      </c>
      <c r="Q94" s="7" t="n">
        <v>5270</v>
      </c>
      <c r="R94" s="8" t="n">
        <f aca="false">R93</f>
        <v>3.075</v>
      </c>
      <c r="S94" s="8" t="n">
        <f aca="false">S93</f>
        <v>3.0628</v>
      </c>
      <c r="T94" s="7" t="n">
        <f aca="false">(($O94*R94)+($P94*R94)+($Q94*R94))*'Prices&amp;Fuel'!$H94</f>
        <v>2315475</v>
      </c>
      <c r="U94" s="7" t="n">
        <f aca="false">(($O94*S94)+($P94*S94)+($Q94*S94))*'Prices&amp;Fuel'!$H94</f>
        <v>2306288.4</v>
      </c>
      <c r="V94" s="14" t="n">
        <f aca="false">T94-U94</f>
        <v>9186.60000000009</v>
      </c>
      <c r="AF94" s="7" t="n">
        <f aca="false">(32000/(1-'Prices&amp;Fuel'!F94))+(25000/(1-'Prices&amp;Fuel'!G94))-AI94</f>
        <v>58611.8251928021</v>
      </c>
      <c r="AG94" s="7" t="n">
        <v>0</v>
      </c>
      <c r="AH94" s="7" t="n">
        <f aca="false">(75000/(1-'Prices&amp;Fuel'!G94))-AK94</f>
        <v>77120.822622108</v>
      </c>
      <c r="AI94" s="7"/>
      <c r="AJ94" s="7"/>
      <c r="AK94" s="7"/>
      <c r="AL94" s="11" t="n">
        <f aca="false">ROUND((132000/(1-'Prices&amp;Fuel'!F94))-AF94-AG94-AH94,0)</f>
        <v>0</v>
      </c>
      <c r="AM94" s="7" t="n">
        <f aca="false">ROUND(IF(AF94&lt;AP94,0,(AF94-AP94-AI94)/2),0)</f>
        <v>0</v>
      </c>
      <c r="AO94" s="7" t="n">
        <f aca="false">ROUND((75000/(1-'Prices&amp;Fuel'!G94)-AV94-AK94)/2,0)</f>
        <v>38560</v>
      </c>
      <c r="AP94" s="7" t="n">
        <f aca="false">IF(80000&gt;AF94,AF94,80000)</f>
        <v>58611.8251928021</v>
      </c>
      <c r="AR94" s="7" t="n">
        <f aca="false">IF(AP94&gt;AF94,0,AF94-AM94-AP94)</f>
        <v>0</v>
      </c>
      <c r="AT94" s="14" t="n">
        <f aca="false">AH94-AO94-AV94</f>
        <v>38560.822622108</v>
      </c>
      <c r="AU94" s="14" t="n">
        <f aca="false">AL94*AX94*'Prices&amp;Fuel'!H94</f>
        <v>0</v>
      </c>
      <c r="AW94" s="68" t="n">
        <f aca="false">AW93</f>
        <v>0.06</v>
      </c>
      <c r="AX94" s="68" t="n">
        <f aca="false">AX93</f>
        <v>0.025</v>
      </c>
      <c r="AY94" s="5" t="n">
        <f aca="false">('Prices&amp;Fuel'!H94*('Prices&amp;Fuel'!B94+AW94)*'Long Term Deals'!AF94)+('Prices&amp;Fuel'!H94*('Prices&amp;Fuel'!C94+'Long Term Deals'!AW94)*'Long Term Deals'!AG94)+(AH94*('Prices&amp;Fuel'!C94+AW94)*'Prices&amp;Fuel'!H94)+(AW94*AL94*'Prices&amp;Fuel'!H94)</f>
        <v>11927791.6787661</v>
      </c>
      <c r="AZ94" s="5" t="n">
        <f aca="false">(AP94*'Prices&amp;Fuel'!H94*'Prices&amp;Fuel'!B94)+(AQ94*'Prices&amp;Fuel'!C94*'Prices&amp;Fuel'!H94)+((AM94+AR94)*('Prices&amp;Fuel'!B94+'Long Term Deals'!AX94)*'Prices&amp;Fuel'!H94)+((AN94+AS94)*('Prices&amp;Fuel'!C94+'Long Term Deals'!AX94)*'Prices&amp;Fuel'!H94)+((AO94+AT94)*('Prices&amp;Fuel'!D94+'Long Term Deals'!AX94)*'Prices&amp;Fuel'!H94)+(AV94*'Prices&amp;Fuel'!H94*'Prices&amp;Fuel'!Q94)+AU94</f>
        <v>11625632.2957327</v>
      </c>
      <c r="BA94" s="5" t="n">
        <f aca="false">AY94-AZ94</f>
        <v>302159.383033419</v>
      </c>
      <c r="BB94" s="5" t="n">
        <f aca="false">IF('FP Corp'!T94-((BE94+BF94+BG94)*(1-'Prices&amp;Fuel'!F94))&lt;'Prices&amp;Fuel'!R94,('FP Corp'!T94-(BE94+BF94+BG94)*(1-'Prices&amp;Fuel'!F94)),'Prices&amp;Fuel'!R94)/(1-'Prices&amp;Fuel'!F94)</f>
        <v>6278.66323907455</v>
      </c>
      <c r="BC94" s="9"/>
      <c r="BD94" s="9" t="n">
        <f aca="false">ROUND(IF('FP Corp'!T94/(1-'Prices&amp;Fuel'!F94)-BE94-BF94-BG94-BB94&gt;'Prices&amp;Fuel'!T94,'Prices&amp;Fuel'!T94,'FP Corp'!T94/(1-'Prices&amp;Fuel'!F94)-BE94-BF94-BG94-BB94),9)</f>
        <v>0</v>
      </c>
      <c r="BE94" s="9" t="n">
        <f aca="false">'Prices&amp;Fuel'!U94/(1-'Prices&amp;Fuel'!F94)</f>
        <v>1933.16195372751</v>
      </c>
      <c r="BF94" s="9" t="n">
        <f aca="false">('Prices&amp;Fuel'!V94+'Prices&amp;Fuel'!X94)/(1-'Prices&amp;Fuel'!F94)</f>
        <v>2833.93316195373</v>
      </c>
      <c r="BG94" s="9" t="n">
        <f aca="false">'Prices&amp;Fuel'!W94/(1-'Prices&amp;Fuel'!F94)</f>
        <v>1293.57326478149</v>
      </c>
      <c r="BH94" s="10" t="n">
        <f aca="false">('Prices&amp;Fuel'!C94+'Prices&amp;Fuel'!D94)/2-0.05+('Prices&amp;Fuel'!M94+'Prices&amp;Fuel'!P94)*(1-'Prices&amp;Fuel'!F94)</f>
        <v>3.56459456</v>
      </c>
      <c r="BI94" s="9" t="n">
        <f aca="false">IF(AP94=80000,0,BB94)</f>
        <v>6278.66323907455</v>
      </c>
      <c r="BJ94" s="9"/>
      <c r="BK94" s="10" t="n">
        <f aca="false">(((BB94+BE94)*('Prices&amp;Fuel'!B94+0.025))+(('Prices&amp;Fuel'!D94+0.025)*(BD94+BG94))+(('Prices&amp;Fuel'!C94+0.025)*(BC94+BF94))-(BI94+BJ94)*0.025)/(BB94+BC94+BD94+BE94+BF94+BG94)</f>
        <v>2.86225331</v>
      </c>
      <c r="BL94" s="9" t="n">
        <f aca="false">(BB94+BC94+BD94+BE94+BF94+BG94)*BH94*'Prices&amp;Fuel'!H94</f>
        <v>1319541.43095116</v>
      </c>
      <c r="BM94" s="9" t="n">
        <f aca="false">'Prices&amp;Fuel'!X94*('Prices&amp;Fuel'!N94+'Prices&amp;Fuel'!O94)*'Prices&amp;Fuel'!H94</f>
        <v>9134.1681425398</v>
      </c>
      <c r="BN94" s="9" t="n">
        <f aca="false">('Prices&amp;Fuel'!U94+'Prices&amp;Fuel'!V94+'Prices&amp;Fuel'!W94)*('Prices&amp;Fuel'!L94+'Prices&amp;Fuel'!O94)*'Prices&amp;Fuel'!H94</f>
        <v>69689.8245838578</v>
      </c>
      <c r="BO94" s="9" t="n">
        <f aca="false">((BB94+BC94+BD94)*(1-'Prices&amp;Fuel'!G94))*('Prices&amp;Fuel'!M94+'Prices&amp;Fuel'!P94)*'Prices&amp;Fuel'!H94</f>
        <v>140224.29</v>
      </c>
      <c r="BP94" s="9" t="n">
        <f aca="false">((BD94+BC94+BB94+BE94+BF94+BG94)*BK94*'Prices&amp;Fuel'!H94)+BM94+BN94+BO94</f>
        <v>1278597.06586264</v>
      </c>
      <c r="BQ94" s="5" t="n">
        <f aca="false">BL94-BP94</f>
        <v>40944.3650885127</v>
      </c>
      <c r="CA94" s="5" t="n">
        <f aca="false">(AF94+AG94+AH94+AL94)*0.005*'Prices&amp;Fuel'!H94</f>
        <v>20359.8971722365</v>
      </c>
      <c r="CB94" s="5" t="n">
        <f aca="false">(B94+C94+D94+O94+P94+Q94+X94+Y94+BB94+BC94+BD94+BE94+BF94+BG94+BR94+BS94)*0.005*'Prices&amp;Fuel'!H94</f>
        <v>5615.89974293059</v>
      </c>
      <c r="CC94" s="7" t="n">
        <f aca="false">K94+T94+AB94+AY94+BL94+BX94</f>
        <v>15562808.1097172</v>
      </c>
      <c r="CD94" s="7" t="n">
        <f aca="false">L94+U94+AC94+AZ94+BP94+BY94+CA94+CB94</f>
        <v>15236493.5585105</v>
      </c>
      <c r="CE94" s="7" t="n">
        <f aca="false">CC94-CD94</f>
        <v>326314.551206764</v>
      </c>
      <c r="CF94" s="7" t="n">
        <f aca="false">'Index Price Deals'!AR94</f>
        <v>0</v>
      </c>
      <c r="CG94" s="7" t="n">
        <f aca="false">'Index Price Deals'!AS94</f>
        <v>0</v>
      </c>
      <c r="CH94" s="7" t="n">
        <f aca="false">'Index Price Deals'!AT94</f>
        <v>0</v>
      </c>
      <c r="CI94" s="7" t="n">
        <f aca="false">'Index Price Deals'!AU94</f>
        <v>0</v>
      </c>
      <c r="CJ94" s="7" t="n">
        <f aca="false">CC94+CF94</f>
        <v>15562808.1097172</v>
      </c>
      <c r="CK94" s="7" t="n">
        <f aca="false">CD94+CH94</f>
        <v>15236493.5585105</v>
      </c>
      <c r="CL94" s="7" t="n">
        <f aca="false">CE94+CI94</f>
        <v>326314.551206764</v>
      </c>
      <c r="CM94" s="69"/>
      <c r="CN94" s="7" t="n">
        <f aca="false">Transport!U94</f>
        <v>0</v>
      </c>
      <c r="CO94" s="71"/>
      <c r="CQ94" s="7" t="n">
        <f aca="false">(((($B94+$C94+$D94+$O94+$P94+$Q94)*0.5)+BR94+BS94)*(0.005*'Prices&amp;Fuel'!$H94)+'Index Price Deals'!AV94)+(((BB94+BC94+BD94+BE94+BF94+BG94)*(1-'Prices&amp;Fuel'!F94))*0.005*0.5*'Prices&amp;Fuel'!H94)</f>
        <v>2782.5</v>
      </c>
      <c r="CR94" s="7" t="n">
        <f aca="false">(((($B94+$C94+$D94+$O94+$P94+$Q94)*0.5)+X94+Y94)*(0.005*'Prices&amp;Fuel'!$H94)+CA94+'Index Price Deals'!AW94)+(((BB94+BC94+BD94+BE94+BF94+BG94)*(1-'Prices&amp;Fuel'!F94))*0.005*0.5*'Prices&amp;Fuel'!H94)</f>
        <v>23142.3971722365</v>
      </c>
      <c r="CS94" s="11"/>
      <c r="CT94" s="7" t="n">
        <f aca="false">[2]Sheet1!$O110</f>
        <v>-136481.343322248</v>
      </c>
      <c r="CU94" s="7" t="n">
        <f aca="false">'[3]Long Term Deals'!$Z93</f>
        <v>-33769.4157771343</v>
      </c>
      <c r="CV94" s="70" t="n">
        <f aca="false">CL94-CN94-CT94+CU94+CS94+CO94</f>
        <v>429026.478751877</v>
      </c>
      <c r="CW94" s="14" t="n">
        <f aca="false">((B94+C94+D94+O94+P94+Q94+X94+Y94+AF94+AG94+AH94+BB94+BC94+BD94+BE94+BF94+BG94+BR94+BS94)+('Index Price Deals'!B94+'Index Price Deals'!C94+'Index Price Deals'!D94+'Index Price Deals'!L94+'Index Price Deals'!M94+'Index Price Deals'!N94+'Index Price Deals'!AD94+'Index Price Deals'!AE94+'Index Price Deals'!AF94+'Index Price Deals'!AK94+'Index Price Deals'!AL94+'Index Price Deals'!AM94))*'Prices&amp;Fuel'!H94</f>
        <v>5195159.38303342</v>
      </c>
      <c r="DB94" s="1" t="n">
        <f aca="false">(O94+P94+Q94)*'Prices&amp;Fuel'!$H94</f>
        <v>753000</v>
      </c>
      <c r="DE94" s="1" t="n">
        <v>132000</v>
      </c>
    </row>
    <row r="95" customFormat="false" ht="12.75" hidden="false" customHeight="false" outlineLevel="0" collapsed="false">
      <c r="A95" s="6" t="n">
        <f aca="false">+A94+365/12</f>
        <v>38486.5</v>
      </c>
      <c r="O95" s="7" t="n">
        <v>9036</v>
      </c>
      <c r="P95" s="7" t="n">
        <v>10794</v>
      </c>
      <c r="Q95" s="7" t="n">
        <v>5270</v>
      </c>
      <c r="R95" s="8" t="n">
        <f aca="false">R94</f>
        <v>3.075</v>
      </c>
      <c r="S95" s="8" t="n">
        <f aca="false">S94</f>
        <v>3.0628</v>
      </c>
      <c r="T95" s="7" t="n">
        <f aca="false">(($O95*R95)+($P95*R95)+($Q95*R95))*'Prices&amp;Fuel'!$H95</f>
        <v>2392657.5</v>
      </c>
      <c r="U95" s="7" t="n">
        <f aca="false">(($O95*S95)+($P95*S95)+($Q95*S95))*'Prices&amp;Fuel'!$H95</f>
        <v>2383164.68</v>
      </c>
      <c r="V95" s="14" t="n">
        <f aca="false">T95-U95</f>
        <v>9492.81999999983</v>
      </c>
      <c r="AF95" s="7" t="n">
        <f aca="false">((126000)/(1-'Prices&amp;Fuel'!F95))+(25000/(1-'Prices&amp;Fuel'!G95))-AI95</f>
        <v>155269.922879177</v>
      </c>
      <c r="AG95" s="7" t="n">
        <v>0</v>
      </c>
      <c r="AH95" s="7" t="n">
        <f aca="false">(75000/(1-'Prices&amp;Fuel'!G95))-AK95</f>
        <v>77120.822622108</v>
      </c>
      <c r="AI95" s="7"/>
      <c r="AJ95" s="7"/>
      <c r="AK95" s="7"/>
      <c r="AL95" s="11" t="n">
        <f aca="false">ROUND((226000/(1-'Prices&amp;Fuel'!F95))-AF95-AG95-AH95,0)</f>
        <v>0</v>
      </c>
      <c r="AM95" s="7" t="n">
        <f aca="false">ROUND(IF(AF95&lt;AP95,0,(AF95-AP95-AI95)/2),0)</f>
        <v>37635</v>
      </c>
      <c r="AO95" s="7" t="n">
        <f aca="false">ROUND((75000/(1-'Prices&amp;Fuel'!G95)-AV95-AK95)/2,0)</f>
        <v>38560</v>
      </c>
      <c r="AP95" s="7" t="n">
        <f aca="false">IF(80000&gt;AF95,AF95,80000)</f>
        <v>80000</v>
      </c>
      <c r="AR95" s="7" t="n">
        <f aca="false">IF(AP95&gt;AF95,0,AF95-AM95-AP95)</f>
        <v>37634.9228791774</v>
      </c>
      <c r="AT95" s="14" t="n">
        <f aca="false">AH95-AO95-AV95</f>
        <v>38560.822622108</v>
      </c>
      <c r="AU95" s="14" t="n">
        <f aca="false">AL95*AX95*'Prices&amp;Fuel'!H95</f>
        <v>0</v>
      </c>
      <c r="AW95" s="68" t="n">
        <f aca="false">AW94</f>
        <v>0.06</v>
      </c>
      <c r="AX95" s="68" t="n">
        <f aca="false">AX94</f>
        <v>0.025</v>
      </c>
      <c r="AY95" s="5" t="n">
        <f aca="false">('Prices&amp;Fuel'!H95*('Prices&amp;Fuel'!B95+AW95)*'Long Term Deals'!AF95)+('Prices&amp;Fuel'!H95*('Prices&amp;Fuel'!C95+'Long Term Deals'!AW95)*'Long Term Deals'!AG95)+(AH95*('Prices&amp;Fuel'!C95+AW95)*'Prices&amp;Fuel'!H95)+(AW95*AL95*'Prices&amp;Fuel'!H95)</f>
        <v>22410659.5557841</v>
      </c>
      <c r="AZ95" s="5" t="n">
        <f aca="false">(AP95*'Prices&amp;Fuel'!H95*'Prices&amp;Fuel'!B95)+(AQ95*'Prices&amp;Fuel'!C95*'Prices&amp;Fuel'!H95)+((AM95+AR95)*('Prices&amp;Fuel'!B95+'Long Term Deals'!AX95)*'Prices&amp;Fuel'!H95)+((AN95+AS95)*('Prices&amp;Fuel'!C95+'Long Term Deals'!AX95)*'Prices&amp;Fuel'!H95)+((AO95+AT95)*('Prices&amp;Fuel'!D95+'Long Term Deals'!AX95)*'Prices&amp;Fuel'!H95)+(AV95*'Prices&amp;Fuel'!H95*'Prices&amp;Fuel'!Q95)+AU95</f>
        <v>21976978.3218509</v>
      </c>
      <c r="BA95" s="5" t="n">
        <f aca="false">AY95-AZ95</f>
        <v>433681.233933166</v>
      </c>
      <c r="BB95" s="5" t="n">
        <f aca="false">IF('FP Corp'!T95-((BE95+BF95+BG95)*(1-'Prices&amp;Fuel'!F95))&lt;'Prices&amp;Fuel'!R95,('FP Corp'!T95-(BE95+BF95+BG95)*(1-'Prices&amp;Fuel'!F95)),'Prices&amp;Fuel'!R95)/(1-'Prices&amp;Fuel'!F95)</f>
        <v>8976.86375321337</v>
      </c>
      <c r="BC95" s="9"/>
      <c r="BD95" s="9" t="n">
        <f aca="false">ROUND(IF('FP Corp'!T95/(1-'Prices&amp;Fuel'!F95)-BE95-BF95-BG95-BB95&gt;'Prices&amp;Fuel'!T95,'Prices&amp;Fuel'!T95,'FP Corp'!T95/(1-'Prices&amp;Fuel'!F95)-BE95-BF95-BG95-BB95),9)</f>
        <v>6556.298200514</v>
      </c>
      <c r="BE95" s="9" t="n">
        <f aca="false">'Prices&amp;Fuel'!U95/(1-'Prices&amp;Fuel'!F95)</f>
        <v>1933.16195372751</v>
      </c>
      <c r="BF95" s="9" t="n">
        <f aca="false">('Prices&amp;Fuel'!V95+'Prices&amp;Fuel'!X95)/(1-'Prices&amp;Fuel'!F95)</f>
        <v>3062.21079691517</v>
      </c>
      <c r="BG95" s="9" t="n">
        <f aca="false">'Prices&amp;Fuel'!W95/(1-'Prices&amp;Fuel'!F95)</f>
        <v>1065.29562982005</v>
      </c>
      <c r="BH95" s="10" t="n">
        <f aca="false">('Prices&amp;Fuel'!C95+'Prices&amp;Fuel'!D95)/2-0.05+('Prices&amp;Fuel'!M95+'Prices&amp;Fuel'!P95)*(1-'Prices&amp;Fuel'!F95)</f>
        <v>3.76035175</v>
      </c>
      <c r="BI95" s="9" t="n">
        <f aca="false">IF(AP95=80000,0,BB95)</f>
        <v>0</v>
      </c>
      <c r="BJ95" s="9"/>
      <c r="BK95" s="10" t="n">
        <f aca="false">(((BB95+BE95)*('Prices&amp;Fuel'!B95+0.025))+(('Prices&amp;Fuel'!D95+0.025)*(BD95+BG95))+(('Prices&amp;Fuel'!C95+0.025)*(BC95+BF95))-(BI95+BJ95)*0.025)/(BB95+BC95+BD95+BE95+BF95+BG95)</f>
        <v>3.0679410952381</v>
      </c>
      <c r="BL95" s="9" t="n">
        <f aca="false">(BB95+BC95+BD95+BE95+BF95+BG95)*BH95*'Prices&amp;Fuel'!H95</f>
        <v>2517212.32827762</v>
      </c>
      <c r="BM95" s="9" t="n">
        <f aca="false">'Prices&amp;Fuel'!X95*('Prices&amp;Fuel'!N95+'Prices&amp;Fuel'!O95)*'Prices&amp;Fuel'!H95</f>
        <v>9438.64041395779</v>
      </c>
      <c r="BN95" s="9" t="n">
        <f aca="false">('Prices&amp;Fuel'!U95+'Prices&amp;Fuel'!V95+'Prices&amp;Fuel'!W95)*('Prices&amp;Fuel'!L95+'Prices&amp;Fuel'!O95)*'Prices&amp;Fuel'!H95</f>
        <v>72012.8187366531</v>
      </c>
      <c r="BO95" s="9" t="n">
        <f aca="false">((BB95+BC95+BD95)*(1-'Prices&amp;Fuel'!G95))*('Prices&amp;Fuel'!M95+'Prices&amp;Fuel'!P95)*'Prices&amp;Fuel'!H95</f>
        <v>358472.932999997</v>
      </c>
      <c r="BP95" s="9" t="n">
        <f aca="false">((BD95+BC95+BB95+BE95+BF95+BG95)*BK95*'Prices&amp;Fuel'!H95)+BM95+BN95+BO95</f>
        <v>2493630.97621229</v>
      </c>
      <c r="BQ95" s="5" t="n">
        <f aca="false">BL95-BP95</f>
        <v>23581.3520653271</v>
      </c>
      <c r="CA95" s="5" t="n">
        <f aca="false">(AF95+AG95+AH95+AL95)*0.005*'Prices&amp;Fuel'!H95</f>
        <v>36020.5655526992</v>
      </c>
      <c r="CB95" s="5" t="n">
        <f aca="false">(B95+C95+D95+O95+P95+Q95+X95+Y95+BB95+BC95+BD95+BE95+BF95+BG95+BR95+BS95)*0.005*'Prices&amp;Fuel'!H95</f>
        <v>7237.54370179946</v>
      </c>
      <c r="CC95" s="7" t="n">
        <f aca="false">K95+T95+AB95+AY95+BL95+BX95</f>
        <v>27320529.3840617</v>
      </c>
      <c r="CD95" s="7" t="n">
        <f aca="false">L95+U95+AC95+AZ95+BP95+BY95+CA95+CB95</f>
        <v>26897032.0873177</v>
      </c>
      <c r="CE95" s="7" t="n">
        <f aca="false">CC95-CD95</f>
        <v>423497.296743993</v>
      </c>
      <c r="CF95" s="7" t="n">
        <f aca="false">'Index Price Deals'!AR95</f>
        <v>0</v>
      </c>
      <c r="CG95" s="7" t="n">
        <f aca="false">'Index Price Deals'!AS95</f>
        <v>0</v>
      </c>
      <c r="CH95" s="7" t="n">
        <f aca="false">'Index Price Deals'!AT95</f>
        <v>0</v>
      </c>
      <c r="CI95" s="7" t="n">
        <f aca="false">'Index Price Deals'!AU95</f>
        <v>0</v>
      </c>
      <c r="CJ95" s="7" t="n">
        <f aca="false">CC95+CF95</f>
        <v>27320529.3840617</v>
      </c>
      <c r="CK95" s="7" t="n">
        <f aca="false">CD95+CH95</f>
        <v>26897032.0873177</v>
      </c>
      <c r="CL95" s="7" t="n">
        <f aca="false">CE95+CI95</f>
        <v>423497.296743993</v>
      </c>
      <c r="CM95" s="69"/>
      <c r="CN95" s="7" t="n">
        <f aca="false">Transport!U95</f>
        <v>3.14901408273727E-009</v>
      </c>
      <c r="CO95" s="71"/>
      <c r="CQ95" s="7" t="n">
        <f aca="false">(((($B95+$C95+$D95+$O95+$P95+$Q95)*0.5)+BR95+BS95)*(0.005*'Prices&amp;Fuel'!$H95)+'Index Price Deals'!AV95)+(((BB95+BC95+BD95+BE95+BF95+BG95)*(1-'Prices&amp;Fuel'!F95))*0.005*0.5*'Prices&amp;Fuel'!H95)</f>
        <v>3572.74999999999</v>
      </c>
      <c r="CR95" s="7" t="n">
        <f aca="false">(((($B95+$C95+$D95+$O95+$P95+$Q95)*0.5)+X95+Y95)*(0.005*'Prices&amp;Fuel'!$H95)+CA95+'Index Price Deals'!AW95)+(((BB95+BC95+BD95+BE95+BF95+BG95)*(1-'Prices&amp;Fuel'!F95))*0.005*0.5*'Prices&amp;Fuel'!H95)</f>
        <v>39593.3155526992</v>
      </c>
      <c r="CS95" s="11"/>
      <c r="CT95" s="7" t="n">
        <f aca="false">[2]Sheet1!$O111</f>
        <v>-241461.689726178</v>
      </c>
      <c r="CU95" s="7" t="n">
        <f aca="false">'[3]Long Term Deals'!$Z94</f>
        <v>-43972.9018835931</v>
      </c>
      <c r="CV95" s="70" t="n">
        <f aca="false">CL95-CN95-CT95+CU95+CS95+CO95</f>
        <v>620986.084586575</v>
      </c>
      <c r="CW95" s="14" t="n">
        <f aca="false">((B95+C95+D95+O95+P95+Q95+X95+Y95+AF95+AG95+AH95+BB95+BC95+BD95+BE95+BF95+BG95+BR95+BS95)+('Index Price Deals'!B95+'Index Price Deals'!C95+'Index Price Deals'!D95+'Index Price Deals'!L95+'Index Price Deals'!M95+'Index Price Deals'!N95+'Index Price Deals'!AD95+'Index Price Deals'!AE95+'Index Price Deals'!AF95+'Index Price Deals'!AK95+'Index Price Deals'!AL95+'Index Price Deals'!AM95))*'Prices&amp;Fuel'!H95</f>
        <v>8651621.85089974</v>
      </c>
      <c r="DB95" s="1" t="n">
        <f aca="false">(O95+P95+Q95)*'Prices&amp;Fuel'!$H95</f>
        <v>778100</v>
      </c>
      <c r="DE95" s="1" t="n">
        <v>226000</v>
      </c>
    </row>
    <row r="96" customFormat="false" ht="12.75" hidden="false" customHeight="false" outlineLevel="0" collapsed="false">
      <c r="A96" s="6" t="n">
        <f aca="false">+A95+365/12</f>
        <v>38516.9166666667</v>
      </c>
      <c r="O96" s="7" t="n">
        <v>9036</v>
      </c>
      <c r="P96" s="7" t="n">
        <v>10794</v>
      </c>
      <c r="Q96" s="7" t="n">
        <v>5270</v>
      </c>
      <c r="R96" s="8" t="n">
        <f aca="false">R95</f>
        <v>3.075</v>
      </c>
      <c r="S96" s="8" t="n">
        <f aca="false">S95</f>
        <v>3.0628</v>
      </c>
      <c r="T96" s="7" t="n">
        <f aca="false">(($O96*R96)+($P96*R96)+($Q96*R96))*'Prices&amp;Fuel'!$H96</f>
        <v>2315475</v>
      </c>
      <c r="U96" s="7" t="n">
        <f aca="false">(($O96*S96)+($P96*S96)+($Q96*S96))*'Prices&amp;Fuel'!$H96</f>
        <v>2306288.4</v>
      </c>
      <c r="V96" s="14" t="n">
        <f aca="false">T96-U96</f>
        <v>9186.60000000009</v>
      </c>
      <c r="AF96" s="7" t="n">
        <f aca="false">((126000)/(1-'Prices&amp;Fuel'!F96))+(25000/(1-'Prices&amp;Fuel'!G96))-AI96</f>
        <v>155269.922879177</v>
      </c>
      <c r="AG96" s="7" t="n">
        <v>0</v>
      </c>
      <c r="AH96" s="7" t="n">
        <f aca="false">(75000/(1-'Prices&amp;Fuel'!G96))-AK96</f>
        <v>77120.822622108</v>
      </c>
      <c r="AI96" s="7"/>
      <c r="AJ96" s="7"/>
      <c r="AK96" s="7"/>
      <c r="AL96" s="11" t="n">
        <f aca="false">ROUND((226000/(1-'Prices&amp;Fuel'!F96))-AF96-AG96-AH96,0)</f>
        <v>0</v>
      </c>
      <c r="AM96" s="7" t="n">
        <f aca="false">ROUND(IF(AF96&lt;AP96,0,(AF96-AP96-AI96)/2),0)</f>
        <v>37635</v>
      </c>
      <c r="AO96" s="7" t="n">
        <f aca="false">ROUND((75000/(1-'Prices&amp;Fuel'!G96)-AV96-AK96)/2,0)</f>
        <v>38560</v>
      </c>
      <c r="AP96" s="7" t="n">
        <f aca="false">IF(80000&gt;AF96,AF96,80000)</f>
        <v>80000</v>
      </c>
      <c r="AR96" s="7" t="n">
        <f aca="false">IF(AP96&gt;AF96,0,AF96-AM96-AP96)</f>
        <v>37634.9228791774</v>
      </c>
      <c r="AT96" s="14" t="n">
        <f aca="false">AH96-AO96-AV96</f>
        <v>38560.822622108</v>
      </c>
      <c r="AU96" s="14" t="n">
        <f aca="false">AL96*AX96*'Prices&amp;Fuel'!H96</f>
        <v>0</v>
      </c>
      <c r="AW96" s="68" t="n">
        <f aca="false">AW95</f>
        <v>0.06</v>
      </c>
      <c r="AX96" s="68" t="n">
        <f aca="false">AX95</f>
        <v>0.025</v>
      </c>
      <c r="AY96" s="5" t="n">
        <f aca="false">('Prices&amp;Fuel'!H96*('Prices&amp;Fuel'!B96+AW96)*'Long Term Deals'!AF96)+('Prices&amp;Fuel'!H96*('Prices&amp;Fuel'!C96+'Long Term Deals'!AW96)*'Long Term Deals'!AG96)+(AH96*('Prices&amp;Fuel'!C96+AW96)*'Prices&amp;Fuel'!H96)+(AW96*AL96*'Prices&amp;Fuel'!H96)</f>
        <v>31097429.0609769</v>
      </c>
      <c r="AZ96" s="5" t="n">
        <f aca="false">(AP96*'Prices&amp;Fuel'!H96*'Prices&amp;Fuel'!B96)+(AQ96*'Prices&amp;Fuel'!C96*'Prices&amp;Fuel'!H96)+((AM96+AR96)*('Prices&amp;Fuel'!B96+'Long Term Deals'!AX96)*'Prices&amp;Fuel'!H96)+((AN96+AS96)*('Prices&amp;Fuel'!C96+'Long Term Deals'!AX96)*'Prices&amp;Fuel'!H96)+((AO96+AT96)*('Prices&amp;Fuel'!D96+'Long Term Deals'!AX96)*'Prices&amp;Fuel'!H96)+(AV96*'Prices&amp;Fuel'!H96*'Prices&amp;Fuel'!Q96)+AU96</f>
        <v>30677737.5442674</v>
      </c>
      <c r="BA96" s="5" t="n">
        <f aca="false">AY96-AZ96</f>
        <v>419691.516709507</v>
      </c>
      <c r="BB96" s="5" t="n">
        <f aca="false">IF('FP Corp'!T96-((BE96+BF96+BG96)*(1-'Prices&amp;Fuel'!F96))&lt;'Prices&amp;Fuel'!R96,('FP Corp'!T96-(BE96+BF96+BG96)*(1-'Prices&amp;Fuel'!F96)),'Prices&amp;Fuel'!R96)/(1-'Prices&amp;Fuel'!F96)</f>
        <v>8976.86375321337</v>
      </c>
      <c r="BC96" s="9"/>
      <c r="BD96" s="9" t="n">
        <f aca="false">ROUND(IF('FP Corp'!T96/(1-'Prices&amp;Fuel'!F96)-BE96-BF96-BG96-BB96&gt;'Prices&amp;Fuel'!T96,'Prices&amp;Fuel'!T96,'FP Corp'!T96/(1-'Prices&amp;Fuel'!F96)-BE96-BF96-BG96-BB96),9)</f>
        <v>6556.298200514</v>
      </c>
      <c r="BE96" s="9" t="n">
        <f aca="false">'Prices&amp;Fuel'!U96/(1-'Prices&amp;Fuel'!F96)</f>
        <v>1933.16195372751</v>
      </c>
      <c r="BF96" s="9" t="n">
        <f aca="false">('Prices&amp;Fuel'!V96+'Prices&amp;Fuel'!X96)/(1-'Prices&amp;Fuel'!F96)</f>
        <v>3062.21079691517</v>
      </c>
      <c r="BG96" s="9" t="n">
        <f aca="false">'Prices&amp;Fuel'!W96/(1-'Prices&amp;Fuel'!F96)</f>
        <v>1065.29562982005</v>
      </c>
      <c r="BH96" s="10" t="n">
        <f aca="false">('Prices&amp;Fuel'!C96+'Prices&amp;Fuel'!D96)/2-0.05+('Prices&amp;Fuel'!M96+'Prices&amp;Fuel'!P96)*(1-'Prices&amp;Fuel'!F96)</f>
        <v>5.11004606</v>
      </c>
      <c r="BI96" s="9" t="n">
        <f aca="false">IF(AP96=80000,0,BB96)</f>
        <v>0</v>
      </c>
      <c r="BJ96" s="9"/>
      <c r="BK96" s="10" t="n">
        <f aca="false">(((BB96+BE96)*('Prices&amp;Fuel'!B96+0.025))+(('Prices&amp;Fuel'!D96+0.025)*(BD96+BG96))+(('Prices&amp;Fuel'!C96+0.025)*(BC96+BF96))-(BI96+BJ96)*0.025)/(BB96+BC96+BD96+BE96+BF96+BG96)</f>
        <v>4.4176354052381</v>
      </c>
      <c r="BL96" s="9" t="n">
        <f aca="false">(BB96+BC96+BD96+BE96+BF96+BG96)*BH96*'Prices&amp;Fuel'!H96</f>
        <v>3310364.0285861</v>
      </c>
      <c r="BM96" s="9" t="n">
        <f aca="false">'Prices&amp;Fuel'!X96*('Prices&amp;Fuel'!N96+'Prices&amp;Fuel'!O96)*'Prices&amp;Fuel'!H96</f>
        <v>9134.1681425398</v>
      </c>
      <c r="BN96" s="9" t="n">
        <f aca="false">('Prices&amp;Fuel'!U96+'Prices&amp;Fuel'!V96+'Prices&amp;Fuel'!W96)*('Prices&amp;Fuel'!L96+'Prices&amp;Fuel'!O96)*'Prices&amp;Fuel'!H96</f>
        <v>69689.8245838578</v>
      </c>
      <c r="BO96" s="9" t="n">
        <f aca="false">((BB96+BC96+BD96)*(1-'Prices&amp;Fuel'!G96))*('Prices&amp;Fuel'!M96+'Prices&amp;Fuel'!P96)*'Prices&amp;Fuel'!H96</f>
        <v>346909.289999997</v>
      </c>
      <c r="BP96" s="9" t="n">
        <f aca="false">((BD96+BC96+BB96+BE96+BF96+BG96)*BK96*'Prices&amp;Fuel'!H96)+BM96+BN96+BO96</f>
        <v>3287543.36529707</v>
      </c>
      <c r="BQ96" s="5" t="n">
        <f aca="false">BL96-BP96</f>
        <v>22820.6632890264</v>
      </c>
      <c r="CA96" s="5" t="n">
        <f aca="false">(AF96+AG96+AH96+AL96)*0.005*'Prices&amp;Fuel'!H96</f>
        <v>34858.6118251928</v>
      </c>
      <c r="CB96" s="5" t="n">
        <f aca="false">(B96+C96+D96+O96+P96+Q96+X96+Y96+BB96+BC96+BD96+BE96+BF96+BG96+BR96+BS96)*0.005*'Prices&amp;Fuel'!H96</f>
        <v>7004.07455012851</v>
      </c>
      <c r="CC96" s="7" t="n">
        <f aca="false">K96+T96+AB96+AY96+BL96+BX96</f>
        <v>36723268.089563</v>
      </c>
      <c r="CD96" s="7" t="n">
        <f aca="false">L96+U96+AC96+AZ96+BP96+BY96+CA96+CB96</f>
        <v>36313431.9959397</v>
      </c>
      <c r="CE96" s="7" t="n">
        <f aca="false">CC96-CD96</f>
        <v>409836.093623213</v>
      </c>
      <c r="CF96" s="7" t="n">
        <f aca="false">'Index Price Deals'!AR96</f>
        <v>0</v>
      </c>
      <c r="CG96" s="7" t="n">
        <f aca="false">'Index Price Deals'!AS96</f>
        <v>0</v>
      </c>
      <c r="CH96" s="7" t="n">
        <f aca="false">'Index Price Deals'!AT96</f>
        <v>0</v>
      </c>
      <c r="CI96" s="7" t="n">
        <f aca="false">'Index Price Deals'!AU96</f>
        <v>0</v>
      </c>
      <c r="CJ96" s="7" t="n">
        <f aca="false">CC96+CF96</f>
        <v>36723268.089563</v>
      </c>
      <c r="CK96" s="7" t="n">
        <f aca="false">CD96+CH96</f>
        <v>36313431.9959397</v>
      </c>
      <c r="CL96" s="7" t="n">
        <f aca="false">CE96+CI96</f>
        <v>409836.093623213</v>
      </c>
      <c r="CM96" s="69"/>
      <c r="CN96" s="7" t="n">
        <f aca="false">Transport!U96</f>
        <v>3.04743298329413E-009</v>
      </c>
      <c r="CO96" s="71"/>
      <c r="CQ96" s="7" t="n">
        <f aca="false">(((($B96+$C96+$D96+$O96+$P96+$Q96)*0.5)+BR96+BS96)*(0.005*'Prices&amp;Fuel'!$H96)+'Index Price Deals'!AV96)+(((BB96+BC96+BD96+BE96+BF96+BG96)*(1-'Prices&amp;Fuel'!F96))*0.005*0.5*'Prices&amp;Fuel'!H96)</f>
        <v>3457.49999999999</v>
      </c>
      <c r="CR96" s="7" t="n">
        <f aca="false">(((($B96+$C96+$D96+$O96+$P96+$Q96)*0.5)+X96+Y96)*(0.005*'Prices&amp;Fuel'!$H96)+CA96+'Index Price Deals'!AW96)+(((BB96+BC96+BD96+BE96+BF96+BG96)*(1-'Prices&amp;Fuel'!F96))*0.005*0.5*'Prices&amp;Fuel'!H96)</f>
        <v>38316.1118251928</v>
      </c>
      <c r="CS96" s="11"/>
      <c r="CT96" s="7" t="n">
        <f aca="false">[2]Sheet1!$O112</f>
        <v>-233672.602960818</v>
      </c>
      <c r="CU96" s="7" t="n">
        <f aca="false">'[3]Long Term Deals'!$Z95</f>
        <v>-42554.4211776707</v>
      </c>
      <c r="CV96" s="70" t="n">
        <f aca="false">CL96-CN96-CT96+CU96+CS96+CO96</f>
        <v>600954.275406358</v>
      </c>
      <c r="CW96" s="14" t="n">
        <f aca="false">((B96+C96+D96+O96+P96+Q96+X96+Y96+AF96+AG96+AH96+BB96+BC96+BD96+BE96+BF96+BG96+BR96+BS96)+('Index Price Deals'!B96+'Index Price Deals'!C96+'Index Price Deals'!D96+'Index Price Deals'!L96+'Index Price Deals'!M96+'Index Price Deals'!N96+'Index Price Deals'!AD96+'Index Price Deals'!AE96+'Index Price Deals'!AF96+'Index Price Deals'!AK96+'Index Price Deals'!AL96+'Index Price Deals'!AM96))*'Prices&amp;Fuel'!H96</f>
        <v>8372537.27506426</v>
      </c>
      <c r="DB96" s="1" t="n">
        <f aca="false">(O96+P96+Q96)*'Prices&amp;Fuel'!$H96</f>
        <v>753000</v>
      </c>
      <c r="DE96" s="1" t="n">
        <v>226000</v>
      </c>
    </row>
    <row r="97" customFormat="false" ht="12.75" hidden="false" customHeight="false" outlineLevel="0" collapsed="false">
      <c r="A97" s="6" t="n">
        <f aca="false">+A96+365/12</f>
        <v>38547.3333333333</v>
      </c>
      <c r="O97" s="7" t="n">
        <v>9036</v>
      </c>
      <c r="P97" s="7" t="n">
        <v>10794</v>
      </c>
      <c r="Q97" s="7" t="n">
        <v>5270</v>
      </c>
      <c r="R97" s="8" t="n">
        <f aca="false">ROUND(3.075*1.04,4)</f>
        <v>3.198</v>
      </c>
      <c r="S97" s="8" t="n">
        <f aca="false">R97-ROUND(0.01*1.02*1.02*1.02*1.02*1.02*1.02*1.02*1.02*1.02*1.02*1.02,4)</f>
        <v>3.1856</v>
      </c>
      <c r="T97" s="7" t="n">
        <f aca="false">(($O97*R97)+($P97*R97)+($Q97*R97))*'Prices&amp;Fuel'!$H97</f>
        <v>2488363.8</v>
      </c>
      <c r="U97" s="7" t="n">
        <f aca="false">(($O97*S97)+($P97*S97)+($Q97*S97))*'Prices&amp;Fuel'!$H97</f>
        <v>2478715.36</v>
      </c>
      <c r="V97" s="14" t="n">
        <f aca="false">T97-U97</f>
        <v>9648.43999999994</v>
      </c>
      <c r="AF97" s="7" t="n">
        <f aca="false">((126000)/(1-'Prices&amp;Fuel'!F97))+(25000/(1-'Prices&amp;Fuel'!G97))-AI97</f>
        <v>155269.922879177</v>
      </c>
      <c r="AG97" s="7" t="n">
        <v>0</v>
      </c>
      <c r="AH97" s="7" t="n">
        <f aca="false">(75000/(1-'Prices&amp;Fuel'!G97))-AK97</f>
        <v>77120.822622108</v>
      </c>
      <c r="AI97" s="7"/>
      <c r="AJ97" s="7"/>
      <c r="AK97" s="7"/>
      <c r="AL97" s="11" t="n">
        <f aca="false">ROUND((226000/(1-'Prices&amp;Fuel'!F97))-AF97-AG97-AH97,0)</f>
        <v>0</v>
      </c>
      <c r="AM97" s="7" t="n">
        <f aca="false">ROUND(IF(AF97&lt;AP97,0,(AF97-AP97-AI97)/2),0)</f>
        <v>37635</v>
      </c>
      <c r="AO97" s="7" t="n">
        <f aca="false">ROUND((75000/(1-'Prices&amp;Fuel'!G97)-AV97-AK97)/2,0)</f>
        <v>38560</v>
      </c>
      <c r="AP97" s="7" t="n">
        <f aca="false">IF(80000&gt;AF97,AF97,80000)</f>
        <v>80000</v>
      </c>
      <c r="AR97" s="7" t="n">
        <f aca="false">IF(AP97&gt;AF97,0,AF97-AM97-AP97)</f>
        <v>37634.9228791774</v>
      </c>
      <c r="AT97" s="14" t="n">
        <f aca="false">AH97-AO97-AV97</f>
        <v>38560.822622108</v>
      </c>
      <c r="AU97" s="14" t="n">
        <f aca="false">AL97*AX97*'Prices&amp;Fuel'!H97</f>
        <v>0</v>
      </c>
      <c r="AW97" s="68" t="n">
        <f aca="false">AW96</f>
        <v>0.06</v>
      </c>
      <c r="AX97" s="68" t="n">
        <f aca="false">AX96</f>
        <v>0.025</v>
      </c>
      <c r="AY97" s="5" t="n">
        <f aca="false">('Prices&amp;Fuel'!H97*('Prices&amp;Fuel'!B97+AW97)*'Long Term Deals'!AF97)+('Prices&amp;Fuel'!H97*('Prices&amp;Fuel'!C97+'Long Term Deals'!AW97)*'Long Term Deals'!AG97)+(AH97*('Prices&amp;Fuel'!C97+AW97)*'Prices&amp;Fuel'!H97)+(AW97*AL97*'Prices&amp;Fuel'!H97)</f>
        <v>32059785.9802571</v>
      </c>
      <c r="AZ97" s="5" t="n">
        <f aca="false">(AP97*'Prices&amp;Fuel'!H97*'Prices&amp;Fuel'!B97)+(AQ97*'Prices&amp;Fuel'!C97*'Prices&amp;Fuel'!H97)+((AM97+AR97)*('Prices&amp;Fuel'!B97+'Long Term Deals'!AX97)*'Prices&amp;Fuel'!H97)+((AN97+AS97)*('Prices&amp;Fuel'!C97+'Long Term Deals'!AX97)*'Prices&amp;Fuel'!H97)+((AO97+AT97)*('Prices&amp;Fuel'!D97+'Long Term Deals'!AX97)*'Prices&amp;Fuel'!H97)+(AV97*'Prices&amp;Fuel'!H97*'Prices&amp;Fuel'!Q97)+AU97</f>
        <v>31626104.7463239</v>
      </c>
      <c r="BA97" s="5" t="n">
        <f aca="false">AY97-AZ97</f>
        <v>433681.233933158</v>
      </c>
      <c r="BB97" s="5" t="n">
        <f aca="false">IF('FP Corp'!T97-((BE97+BF97+BG97)*(1-'Prices&amp;Fuel'!F97))&lt;'Prices&amp;Fuel'!R97,('FP Corp'!T97-(BE97+BF97+BG97)*(1-'Prices&amp;Fuel'!F97)),'Prices&amp;Fuel'!R97)/(1-'Prices&amp;Fuel'!F97)</f>
        <v>8976.86375321337</v>
      </c>
      <c r="BC97" s="9"/>
      <c r="BD97" s="9" t="n">
        <f aca="false">ROUND(IF('FP Corp'!T97/(1-'Prices&amp;Fuel'!F97)-BE97-BF97-BG97-BB97&gt;'Prices&amp;Fuel'!T97,'Prices&amp;Fuel'!T97,'FP Corp'!T97/(1-'Prices&amp;Fuel'!F97)-BE97-BF97-BG97-BB97),9)</f>
        <v>6556.298200514</v>
      </c>
      <c r="BE97" s="9" t="n">
        <f aca="false">'Prices&amp;Fuel'!U97/(1-'Prices&amp;Fuel'!F97)</f>
        <v>1933.16195372751</v>
      </c>
      <c r="BF97" s="9" t="n">
        <f aca="false">('Prices&amp;Fuel'!V97+'Prices&amp;Fuel'!X97)/(1-'Prices&amp;Fuel'!F97)</f>
        <v>3062.21079691517</v>
      </c>
      <c r="BG97" s="9" t="n">
        <f aca="false">'Prices&amp;Fuel'!W97/(1-'Prices&amp;Fuel'!F97)</f>
        <v>1065.29562982005</v>
      </c>
      <c r="BH97" s="10" t="n">
        <f aca="false">('Prices&amp;Fuel'!C97+'Prices&amp;Fuel'!D97)/2-0.05+('Prices&amp;Fuel'!M97+'Prices&amp;Fuel'!P97)*(1-'Prices&amp;Fuel'!F97)</f>
        <v>5.09974305</v>
      </c>
      <c r="BI97" s="9" t="n">
        <f aca="false">IF(AP97=80000,0,BB97)</f>
        <v>0</v>
      </c>
      <c r="BJ97" s="9"/>
      <c r="BK97" s="10" t="n">
        <f aca="false">(((BB97+BE97)*('Prices&amp;Fuel'!B97+0.025))+(('Prices&amp;Fuel'!D97+0.025)*(BD97+BG97))+(('Prices&amp;Fuel'!C97+0.025)*(BC97+BF97))-(BI97+BJ97)*0.025)/(BB97+BC97+BD97+BE97+BF97+BG97)</f>
        <v>4.4073323952381</v>
      </c>
      <c r="BL97" s="9" t="n">
        <f aca="false">(BB97+BC97+BD97+BE97+BF97+BG97)*BH97*'Prices&amp;Fuel'!H97</f>
        <v>3413812.57125962</v>
      </c>
      <c r="BM97" s="9" t="n">
        <f aca="false">'Prices&amp;Fuel'!X97*('Prices&amp;Fuel'!N97+'Prices&amp;Fuel'!O97)*'Prices&amp;Fuel'!H97</f>
        <v>9438.64041395779</v>
      </c>
      <c r="BN97" s="9" t="n">
        <f aca="false">('Prices&amp;Fuel'!U97+'Prices&amp;Fuel'!V97+'Prices&amp;Fuel'!W97)*('Prices&amp;Fuel'!L97+'Prices&amp;Fuel'!O97)*'Prices&amp;Fuel'!H97</f>
        <v>72012.8187366531</v>
      </c>
      <c r="BO97" s="9" t="n">
        <f aca="false">((BB97+BC97+BD97)*(1-'Prices&amp;Fuel'!G97))*('Prices&amp;Fuel'!M97+'Prices&amp;Fuel'!P97)*'Prices&amp;Fuel'!H97</f>
        <v>358472.932999997</v>
      </c>
      <c r="BP97" s="9" t="n">
        <f aca="false">((BD97+BC97+BB97+BE97+BF97+BG97)*BK97*'Prices&amp;Fuel'!H97)+BM97+BN97+BO97</f>
        <v>3390231.21919429</v>
      </c>
      <c r="BQ97" s="5" t="n">
        <f aca="false">BL97-BP97</f>
        <v>23581.3520653271</v>
      </c>
      <c r="CA97" s="5" t="n">
        <f aca="false">(AF97+AG97+AH97+AL97)*0.005*'Prices&amp;Fuel'!H97</f>
        <v>36020.5655526992</v>
      </c>
      <c r="CB97" s="5" t="n">
        <f aca="false">(B97+C97+D97+O97+P97+Q97+X97+Y97+BB97+BC97+BD97+BE97+BF97+BG97+BR97+BS97)*0.005*'Prices&amp;Fuel'!H97</f>
        <v>7237.54370179946</v>
      </c>
      <c r="CC97" s="7" t="n">
        <f aca="false">K97+T97+AB97+AY97+BL97+BX97</f>
        <v>37961962.3515167</v>
      </c>
      <c r="CD97" s="7" t="n">
        <f aca="false">L97+U97+AC97+AZ97+BP97+BY97+CA97+CB97</f>
        <v>37538309.4347727</v>
      </c>
      <c r="CE97" s="7" t="n">
        <f aca="false">CC97-CD97</f>
        <v>423652.916743986</v>
      </c>
      <c r="CF97" s="7" t="n">
        <f aca="false">'Index Price Deals'!AR97</f>
        <v>0</v>
      </c>
      <c r="CG97" s="7" t="n">
        <f aca="false">'Index Price Deals'!AS97</f>
        <v>0</v>
      </c>
      <c r="CH97" s="7" t="n">
        <f aca="false">'Index Price Deals'!AT97</f>
        <v>0</v>
      </c>
      <c r="CI97" s="7" t="n">
        <f aca="false">'Index Price Deals'!AU97</f>
        <v>0</v>
      </c>
      <c r="CJ97" s="7" t="n">
        <f aca="false">CC97+CF97</f>
        <v>37961962.3515167</v>
      </c>
      <c r="CK97" s="7" t="n">
        <f aca="false">CD97+CH97</f>
        <v>37538309.4347727</v>
      </c>
      <c r="CL97" s="7" t="n">
        <f aca="false">CE97+CI97</f>
        <v>423652.916743986</v>
      </c>
      <c r="CM97" s="69"/>
      <c r="CN97" s="7" t="n">
        <f aca="false">Transport!U97</f>
        <v>3.14901408273727E-009</v>
      </c>
      <c r="CO97" s="71"/>
      <c r="CQ97" s="7" t="n">
        <f aca="false">(((($B97+$C97+$D97+$O97+$P97+$Q97)*0.5)+BR97+BS97)*(0.005*'Prices&amp;Fuel'!$H97)+'Index Price Deals'!AV97)+(((BB97+BC97+BD97+BE97+BF97+BG97)*(1-'Prices&amp;Fuel'!F97))*0.005*0.5*'Prices&amp;Fuel'!H97)</f>
        <v>3572.74999999999</v>
      </c>
      <c r="CR97" s="7" t="n">
        <f aca="false">(((($B97+$C97+$D97+$O97+$P97+$Q97)*0.5)+X97+Y97)*(0.005*'Prices&amp;Fuel'!$H97)+CA97+'Index Price Deals'!AW97)+(((BB97+BC97+BD97+BE97+BF97+BG97)*(1-'Prices&amp;Fuel'!F97))*0.005*0.5*'Prices&amp;Fuel'!H97)</f>
        <v>39593.3155526992</v>
      </c>
      <c r="CS97" s="11"/>
      <c r="CT97" s="7" t="n">
        <f aca="false">[2]Sheet1!$O113</f>
        <v>-241461.689726178</v>
      </c>
      <c r="CU97" s="7" t="n">
        <f aca="false">'[3]Long Term Deals'!$Z96</f>
        <v>-43972.9018835931</v>
      </c>
      <c r="CV97" s="70" t="n">
        <f aca="false">CL97-CN97-CT97+CU97+CS97+CO97</f>
        <v>621141.704586569</v>
      </c>
      <c r="CW97" s="14" t="n">
        <f aca="false">((B97+C97+D97+O97+P97+Q97+X97+Y97+AF97+AG97+AH97+BB97+BC97+BD97+BE97+BF97+BG97+BR97+BS97)+('Index Price Deals'!B97+'Index Price Deals'!C97+'Index Price Deals'!D97+'Index Price Deals'!L97+'Index Price Deals'!M97+'Index Price Deals'!N97+'Index Price Deals'!AD97+'Index Price Deals'!AE97+'Index Price Deals'!AF97+'Index Price Deals'!AK97+'Index Price Deals'!AL97+'Index Price Deals'!AM97))*'Prices&amp;Fuel'!H97</f>
        <v>8651621.85089974</v>
      </c>
      <c r="DB97" s="1" t="n">
        <f aca="false">(O97+P97+Q97)*'Prices&amp;Fuel'!$H97</f>
        <v>778100</v>
      </c>
      <c r="DE97" s="1" t="n">
        <v>200000</v>
      </c>
    </row>
    <row r="98" customFormat="false" ht="12.75" hidden="false" customHeight="false" outlineLevel="0" collapsed="false">
      <c r="A98" s="6" t="n">
        <f aca="false">+A97+365/12</f>
        <v>38577.75</v>
      </c>
      <c r="O98" s="7" t="n">
        <v>9036</v>
      </c>
      <c r="P98" s="7" t="n">
        <v>10794</v>
      </c>
      <c r="Q98" s="7" t="n">
        <v>5270</v>
      </c>
      <c r="R98" s="8" t="n">
        <f aca="false">R97</f>
        <v>3.198</v>
      </c>
      <c r="S98" s="8" t="n">
        <f aca="false">S97</f>
        <v>3.1856</v>
      </c>
      <c r="T98" s="7" t="n">
        <f aca="false">(($O98*R98)+($P98*R98)+($Q98*R98))*'Prices&amp;Fuel'!$H98</f>
        <v>2488363.8</v>
      </c>
      <c r="U98" s="7" t="n">
        <f aca="false">(($O98*S98)+($P98*S98)+($Q98*S98))*'Prices&amp;Fuel'!$H98</f>
        <v>2478715.36</v>
      </c>
      <c r="V98" s="14" t="n">
        <f aca="false">T98-U98</f>
        <v>9648.43999999994</v>
      </c>
      <c r="AF98" s="7" t="n">
        <f aca="false">((100000)/(1-'Prices&amp;Fuel'!F98))+(25000/(1-'Prices&amp;Fuel'!G98))-AI98</f>
        <v>128534.70437018</v>
      </c>
      <c r="AG98" s="7" t="n">
        <v>0</v>
      </c>
      <c r="AH98" s="7" t="n">
        <f aca="false">(75000/(1-'Prices&amp;Fuel'!G98))-AK98</f>
        <v>77120.822622108</v>
      </c>
      <c r="AI98" s="7"/>
      <c r="AJ98" s="7"/>
      <c r="AK98" s="7"/>
      <c r="AL98" s="11" t="n">
        <f aca="false">ROUND((200000/(1-'Prices&amp;Fuel'!F98))-AF98-AG98-AH98,0)</f>
        <v>0</v>
      </c>
      <c r="AM98" s="7" t="n">
        <f aca="false">ROUND(IF(AF98&lt;AP98,0,(AF98-AP98-AI98)/2),0)</f>
        <v>24267</v>
      </c>
      <c r="AO98" s="7" t="n">
        <f aca="false">ROUND((75000/(1-'Prices&amp;Fuel'!G98)-AV98-AK98)/2,0)</f>
        <v>38560</v>
      </c>
      <c r="AP98" s="7" t="n">
        <f aca="false">IF(80000&gt;AF98,AF98,80000)</f>
        <v>80000</v>
      </c>
      <c r="AR98" s="7" t="n">
        <f aca="false">IF(AP98&gt;AF98,0,AF98-AM98-AP98)</f>
        <v>24267.70437018</v>
      </c>
      <c r="AT98" s="14" t="n">
        <f aca="false">AH98-AO98-AV98</f>
        <v>38560.822622108</v>
      </c>
      <c r="AU98" s="14" t="n">
        <f aca="false">AL98*AX98*'Prices&amp;Fuel'!H98</f>
        <v>0</v>
      </c>
      <c r="AW98" s="68" t="n">
        <f aca="false">AW97</f>
        <v>0.06</v>
      </c>
      <c r="AX98" s="68" t="n">
        <f aca="false">AX97</f>
        <v>0.025</v>
      </c>
      <c r="AY98" s="5" t="n">
        <f aca="false">('Prices&amp;Fuel'!H98*('Prices&amp;Fuel'!B98+AW98)*'Long Term Deals'!AF98)+('Prices&amp;Fuel'!H98*('Prices&amp;Fuel'!C98+'Long Term Deals'!AW98)*'Long Term Deals'!AG98)+(AH98*('Prices&amp;Fuel'!C98+AW98)*'Prices&amp;Fuel'!H98)+(AW98*AL98*'Prices&amp;Fuel'!H98)</f>
        <v>24841004.5367609</v>
      </c>
      <c r="AZ98" s="5" t="n">
        <f aca="false">(AP98*'Prices&amp;Fuel'!H98*'Prices&amp;Fuel'!B98)+(AQ98*'Prices&amp;Fuel'!C98*'Prices&amp;Fuel'!H98)+((AM98+AR98)*('Prices&amp;Fuel'!B98+'Long Term Deals'!AX98)*'Prices&amp;Fuel'!H98)+((AN98+AS98)*('Prices&amp;Fuel'!C98+'Long Term Deals'!AX98)*'Prices&amp;Fuel'!H98)+((AO98+AT98)*('Prices&amp;Fuel'!D98+'Long Term Deals'!AX98)*'Prices&amp;Fuel'!H98)+(AV98*'Prices&amp;Fuel'!H98*'Prices&amp;Fuel'!Q98)+AU98</f>
        <v>24436331.01491</v>
      </c>
      <c r="BA98" s="5" t="n">
        <f aca="false">AY98-AZ98</f>
        <v>404673.521850899</v>
      </c>
      <c r="BB98" s="5" t="n">
        <f aca="false">IF('FP Corp'!T98-((BE98+BF98+BG98)*(1-'Prices&amp;Fuel'!F98))&lt;'Prices&amp;Fuel'!R98,('FP Corp'!T98-(BE98+BF98+BG98)*(1-'Prices&amp;Fuel'!F98)),'Prices&amp;Fuel'!R98)/(1-'Prices&amp;Fuel'!F98)</f>
        <v>8976.86375321337</v>
      </c>
      <c r="BC98" s="9"/>
      <c r="BD98" s="9" t="n">
        <f aca="false">ROUND(IF('FP Corp'!T98/(1-'Prices&amp;Fuel'!F98)-BE98-BF98-BG98-BB98&gt;'Prices&amp;Fuel'!T98,'Prices&amp;Fuel'!T98,'FP Corp'!T98/(1-'Prices&amp;Fuel'!F98)-BE98-BF98-BG98-BB98),9)</f>
        <v>6556.298200514</v>
      </c>
      <c r="BE98" s="9" t="n">
        <f aca="false">'Prices&amp;Fuel'!U98/(1-'Prices&amp;Fuel'!F98)</f>
        <v>1933.16195372751</v>
      </c>
      <c r="BF98" s="9" t="n">
        <f aca="false">('Prices&amp;Fuel'!V98+'Prices&amp;Fuel'!X98)/(1-'Prices&amp;Fuel'!F98)</f>
        <v>3062.21079691517</v>
      </c>
      <c r="BG98" s="9" t="n">
        <f aca="false">'Prices&amp;Fuel'!W98/(1-'Prices&amp;Fuel'!F98)</f>
        <v>1065.29562982005</v>
      </c>
      <c r="BH98" s="10" t="n">
        <f aca="false">('Prices&amp;Fuel'!C98+'Prices&amp;Fuel'!D98)/2-0.05+('Prices&amp;Fuel'!M98+'Prices&amp;Fuel'!P98)*(1-'Prices&amp;Fuel'!F98)</f>
        <v>4.54338051</v>
      </c>
      <c r="BI98" s="9" t="n">
        <f aca="false">IF(AP98=80000,0,BB98)</f>
        <v>0</v>
      </c>
      <c r="BJ98" s="9"/>
      <c r="BK98" s="10" t="n">
        <f aca="false">(((BB98+BE98)*('Prices&amp;Fuel'!B98+0.025))+(('Prices&amp;Fuel'!D98+0.025)*(BD98+BG98))+(('Prices&amp;Fuel'!C98+0.025)*(BC98+BF98))-(BI98+BJ98)*0.025)/(BB98+BC98+BD98+BE98+BF98+BG98)</f>
        <v>3.8509698552381</v>
      </c>
      <c r="BL98" s="9" t="n">
        <f aca="false">(BB98+BC98+BD98+BE98+BF98+BG98)*BH98*'Prices&amp;Fuel'!H98</f>
        <v>3041378.62417479</v>
      </c>
      <c r="BM98" s="9" t="n">
        <f aca="false">'Prices&amp;Fuel'!X98*('Prices&amp;Fuel'!N98+'Prices&amp;Fuel'!O98)*'Prices&amp;Fuel'!H98</f>
        <v>9438.64041395779</v>
      </c>
      <c r="BN98" s="9" t="n">
        <f aca="false">('Prices&amp;Fuel'!U98+'Prices&amp;Fuel'!V98+'Prices&amp;Fuel'!W98)*('Prices&amp;Fuel'!L98+'Prices&amp;Fuel'!O98)*'Prices&amp;Fuel'!H98</f>
        <v>72012.8187366531</v>
      </c>
      <c r="BO98" s="9" t="n">
        <f aca="false">((BB98+BC98+BD98)*(1-'Prices&amp;Fuel'!G98))*('Prices&amp;Fuel'!M98+'Prices&amp;Fuel'!P98)*'Prices&amp;Fuel'!H98</f>
        <v>358472.932999997</v>
      </c>
      <c r="BP98" s="9" t="n">
        <f aca="false">((BD98+BC98+BB98+BE98+BF98+BG98)*BK98*'Prices&amp;Fuel'!H98)+BM98+BN98+BO98</f>
        <v>3017797.27210946</v>
      </c>
      <c r="BQ98" s="5" t="n">
        <f aca="false">BL98-BP98</f>
        <v>23581.3520653276</v>
      </c>
      <c r="CA98" s="5" t="n">
        <f aca="false">(AF98+AG98+AH98+AL98)*0.005*'Prices&amp;Fuel'!H98</f>
        <v>31876.6066838046</v>
      </c>
      <c r="CB98" s="5" t="n">
        <f aca="false">(B98+C98+D98+O98+P98+Q98+X98+Y98+BB98+BC98+BD98+BE98+BF98+BG98+BR98+BS98)*0.005*'Prices&amp;Fuel'!H98</f>
        <v>7237.54370179946</v>
      </c>
      <c r="CC98" s="7" t="n">
        <f aca="false">K98+T98+AB98+AY98+BL98+BX98</f>
        <v>30370746.9609357</v>
      </c>
      <c r="CD98" s="7" t="n">
        <f aca="false">L98+U98+AC98+AZ98+BP98+BY98+CA98+CB98</f>
        <v>29971957.7974051</v>
      </c>
      <c r="CE98" s="7" t="n">
        <f aca="false">CC98-CD98</f>
        <v>398789.163530625</v>
      </c>
      <c r="CF98" s="7" t="n">
        <f aca="false">'Index Price Deals'!AR98</f>
        <v>0</v>
      </c>
      <c r="CG98" s="7" t="n">
        <f aca="false">'Index Price Deals'!AS98</f>
        <v>0</v>
      </c>
      <c r="CH98" s="7" t="n">
        <f aca="false">'Index Price Deals'!AT98</f>
        <v>0</v>
      </c>
      <c r="CI98" s="7" t="n">
        <f aca="false">'Index Price Deals'!AU98</f>
        <v>0</v>
      </c>
      <c r="CJ98" s="7" t="n">
        <f aca="false">CC98+CF98</f>
        <v>30370746.9609357</v>
      </c>
      <c r="CK98" s="7" t="n">
        <f aca="false">CD98+CH98</f>
        <v>29971957.7974051</v>
      </c>
      <c r="CL98" s="7" t="n">
        <f aca="false">CE98+CI98</f>
        <v>398789.163530625</v>
      </c>
      <c r="CM98" s="69"/>
      <c r="CN98" s="7" t="n">
        <f aca="false">Transport!U98</f>
        <v>3.14901408273727E-009</v>
      </c>
      <c r="CO98" s="71"/>
      <c r="CQ98" s="7" t="n">
        <f aca="false">(((($B98+$C98+$D98+$O98+$P98+$Q98)*0.5)+BR98+BS98)*(0.005*'Prices&amp;Fuel'!$H98)+'Index Price Deals'!AV98)+(((BB98+BC98+BD98+BE98+BF98+BG98)*(1-'Prices&amp;Fuel'!F98))*0.005*0.5*'Prices&amp;Fuel'!H98)</f>
        <v>3572.74999999999</v>
      </c>
      <c r="CR98" s="7" t="n">
        <f aca="false">(((($B98+$C98+$D98+$O98+$P98+$Q98)*0.5)+X98+Y98)*(0.005*'Prices&amp;Fuel'!$H98)+CA98+'Index Price Deals'!AW98)+(((BB98+BC98+BD98+BE98+BF98+BG98)*(1-'Prices&amp;Fuel'!F98))*0.005*0.5*'Prices&amp;Fuel'!H98)</f>
        <v>35449.3566838046</v>
      </c>
      <c r="CS98" s="11"/>
      <c r="CT98" s="7" t="n">
        <f aca="false">[2]Sheet1!$O114</f>
        <v>-213682.911262105</v>
      </c>
      <c r="CU98" s="7" t="n">
        <f aca="false">'[3]Long Term Deals'!$Z97</f>
        <v>-43972.9018835931</v>
      </c>
      <c r="CV98" s="70" t="n">
        <f aca="false">CL98-CN98-CT98+CU98+CS98+CO98</f>
        <v>568499.172909134</v>
      </c>
      <c r="CW98" s="14" t="n">
        <f aca="false">((B98+C98+D98+O98+P98+Q98+X98+Y98+AF98+AG98+AH98+BB98+BC98+BD98+BE98+BF98+BG98+BR98+BS98)+('Index Price Deals'!B98+'Index Price Deals'!C98+'Index Price Deals'!D98+'Index Price Deals'!L98+'Index Price Deals'!M98+'Index Price Deals'!N98+'Index Price Deals'!AD98+'Index Price Deals'!AE98+'Index Price Deals'!AF98+'Index Price Deals'!AK98+'Index Price Deals'!AL98+'Index Price Deals'!AM98))*'Prices&amp;Fuel'!H98</f>
        <v>7822830.07712082</v>
      </c>
      <c r="DB98" s="1" t="n">
        <f aca="false">(O98+P98+Q98)*'Prices&amp;Fuel'!$H98</f>
        <v>778100</v>
      </c>
      <c r="DE98" s="1" t="n">
        <v>200000</v>
      </c>
    </row>
    <row r="99" customFormat="false" ht="12.75" hidden="false" customHeight="false" outlineLevel="0" collapsed="false">
      <c r="A99" s="6" t="n">
        <f aca="false">+A98+365/12</f>
        <v>38608.1666666667</v>
      </c>
      <c r="O99" s="7" t="n">
        <v>9036</v>
      </c>
      <c r="P99" s="7" t="n">
        <v>10794</v>
      </c>
      <c r="Q99" s="7" t="n">
        <v>5270</v>
      </c>
      <c r="R99" s="8" t="n">
        <f aca="false">R98</f>
        <v>3.198</v>
      </c>
      <c r="S99" s="8" t="n">
        <f aca="false">S98</f>
        <v>3.1856</v>
      </c>
      <c r="T99" s="7" t="n">
        <f aca="false">(($O99*R99)+($P99*R99)+($Q99*R99))*'Prices&amp;Fuel'!$H99</f>
        <v>2408094</v>
      </c>
      <c r="U99" s="7" t="n">
        <f aca="false">(($O99*S99)+($P99*S99)+($Q99*S99))*'Prices&amp;Fuel'!$H99</f>
        <v>2398756.8</v>
      </c>
      <c r="V99" s="14" t="n">
        <f aca="false">T99-U99</f>
        <v>9337.19999999972</v>
      </c>
      <c r="AF99" s="7" t="n">
        <f aca="false">((100000)/(1-'Prices&amp;Fuel'!F99))+(25000/(1-'Prices&amp;Fuel'!G99))-AI99</f>
        <v>128534.70437018</v>
      </c>
      <c r="AG99" s="7" t="n">
        <v>0</v>
      </c>
      <c r="AH99" s="7" t="n">
        <f aca="false">(75000/(1-'Prices&amp;Fuel'!G99))-AK99</f>
        <v>77120.822622108</v>
      </c>
      <c r="AI99" s="7"/>
      <c r="AJ99" s="7"/>
      <c r="AK99" s="7"/>
      <c r="AL99" s="11" t="n">
        <f aca="false">ROUND((200000/(1-'Prices&amp;Fuel'!F99))-AF99-AG99-AH99,0)</f>
        <v>0</v>
      </c>
      <c r="AM99" s="7" t="n">
        <f aca="false">ROUND(IF(AF99&lt;AP99,0,(AF99-AP99-AI99)/2),0)</f>
        <v>64267</v>
      </c>
      <c r="AO99" s="7" t="n">
        <f aca="false">ROUND((75000/(1-'Prices&amp;Fuel'!G99)-AV99-AK99)/2,0)</f>
        <v>38560</v>
      </c>
      <c r="AR99" s="7" t="n">
        <f aca="false">IF(AP99&gt;AF99,0,AF99-AM99-AP99)</f>
        <v>64267.70437018</v>
      </c>
      <c r="AT99" s="14" t="n">
        <f aca="false">AH99-AO99-AV99</f>
        <v>38560.822622108</v>
      </c>
      <c r="AU99" s="14" t="n">
        <f aca="false">AL99*AX99*'Prices&amp;Fuel'!H99</f>
        <v>0</v>
      </c>
      <c r="AW99" s="68" t="n">
        <f aca="false">AW98</f>
        <v>0.06</v>
      </c>
      <c r="AX99" s="68" t="n">
        <f aca="false">AX98</f>
        <v>0.025</v>
      </c>
      <c r="AY99" s="5" t="n">
        <f aca="false">('Prices&amp;Fuel'!H99*('Prices&amp;Fuel'!B99+AW99)*'Long Term Deals'!AF99)+('Prices&amp;Fuel'!H99*('Prices&amp;Fuel'!C99+'Long Term Deals'!AW99)*'Long Term Deals'!AG99)+(AH99*('Prices&amp;Fuel'!C99+AW99)*'Prices&amp;Fuel'!H99)+(AW99*AL99*'Prices&amp;Fuel'!H99)</f>
        <v>28934273.7069409</v>
      </c>
      <c r="AZ99" s="5" t="n">
        <f aca="false">(AP99*'Prices&amp;Fuel'!H99*'Prices&amp;Fuel'!B99)+(AQ99*'Prices&amp;Fuel'!C99*'Prices&amp;Fuel'!H99)+((AM99+AR99)*('Prices&amp;Fuel'!B99+'Long Term Deals'!AX99)*'Prices&amp;Fuel'!H99)+((AN99+AS99)*('Prices&amp;Fuel'!C99+'Long Term Deals'!AX99)*'Prices&amp;Fuel'!H99)+((AO99+AT99)*('Prices&amp;Fuel'!D99+'Long Term Deals'!AX99)*'Prices&amp;Fuel'!H99)+(AV99*'Prices&amp;Fuel'!H99*'Prices&amp;Fuel'!Q99)+AU99</f>
        <v>28602654.1696658</v>
      </c>
      <c r="BA99" s="5" t="n">
        <f aca="false">AY99-AZ99</f>
        <v>331619.537275057</v>
      </c>
      <c r="BB99" s="5" t="n">
        <f aca="false">IF('FP Corp'!T99-((BE99+BF99+BG99)*(1-'Prices&amp;Fuel'!F99))&lt;'Prices&amp;Fuel'!R99,('FP Corp'!T99-(BE99+BF99+BG99)*(1-'Prices&amp;Fuel'!F99)),'Prices&amp;Fuel'!R99)/(1-'Prices&amp;Fuel'!F99)</f>
        <v>8976.86375321337</v>
      </c>
      <c r="BC99" s="9"/>
      <c r="BD99" s="9" t="n">
        <f aca="false">ROUND(IF('FP Corp'!T99/(1-'Prices&amp;Fuel'!F99)-BE99-BF99-BG99-BB99&gt;'Prices&amp;Fuel'!T99,'Prices&amp;Fuel'!T99,'FP Corp'!T99/(1-'Prices&amp;Fuel'!F99)-BE99-BF99-BG99-BB99),9)</f>
        <v>6556.298200514</v>
      </c>
      <c r="BE99" s="9" t="n">
        <f aca="false">'Prices&amp;Fuel'!U99/(1-'Prices&amp;Fuel'!F99)</f>
        <v>1933.16195372751</v>
      </c>
      <c r="BF99" s="9" t="n">
        <f aca="false">('Prices&amp;Fuel'!V99+'Prices&amp;Fuel'!X99)/(1-'Prices&amp;Fuel'!F99)</f>
        <v>3062.21079691517</v>
      </c>
      <c r="BG99" s="9" t="n">
        <f aca="false">'Prices&amp;Fuel'!W99/(1-'Prices&amp;Fuel'!F99)</f>
        <v>1065.29562982005</v>
      </c>
      <c r="BH99" s="10" t="n">
        <f aca="false">('Prices&amp;Fuel'!C99+'Prices&amp;Fuel'!D99)/2-0.05+('Prices&amp;Fuel'!M99+'Prices&amp;Fuel'!P99)*(1-'Prices&amp;Fuel'!F99)</f>
        <v>5.33671228</v>
      </c>
      <c r="BI99" s="9"/>
      <c r="BJ99" s="9"/>
      <c r="BK99" s="10" t="n">
        <f aca="false">(((BB99+BE99)*('Prices&amp;Fuel'!B99+0.025))+(('Prices&amp;Fuel'!D99+0.025)*(BD99+BG99))+(('Prices&amp;Fuel'!C99+0.025)*(BC99+BF99))-(BI99+BJ99)*0.025)/(BB99+BC99+BD99+BE99+BF99+BG99)</f>
        <v>4.6443016252381</v>
      </c>
      <c r="BL99" s="9" t="n">
        <f aca="false">(BB99+BC99+BD99+BE99+BF99+BG99)*BH99*'Prices&amp;Fuel'!H99</f>
        <v>3457201.78550126</v>
      </c>
      <c r="BM99" s="9" t="n">
        <f aca="false">'Prices&amp;Fuel'!X99*('Prices&amp;Fuel'!N99+'Prices&amp;Fuel'!O99)*'Prices&amp;Fuel'!H99</f>
        <v>9134.1681425398</v>
      </c>
      <c r="BN99" s="9" t="n">
        <f aca="false">('Prices&amp;Fuel'!U99+'Prices&amp;Fuel'!V99+'Prices&amp;Fuel'!W99)*('Prices&amp;Fuel'!L99+'Prices&amp;Fuel'!O99)*'Prices&amp;Fuel'!H99</f>
        <v>69689.8245838578</v>
      </c>
      <c r="BO99" s="9" t="n">
        <f aca="false">((BB99+BC99+BD99)*(1-'Prices&amp;Fuel'!G99))*('Prices&amp;Fuel'!M99+'Prices&amp;Fuel'!P99)*'Prices&amp;Fuel'!H99</f>
        <v>346909.289999997</v>
      </c>
      <c r="BP99" s="9" t="n">
        <f aca="false">((BD99+BC99+BB99+BE99+BF99+BG99)*BK99*'Prices&amp;Fuel'!H99)+BM99+BN99+BO99</f>
        <v>3434381.12221224</v>
      </c>
      <c r="BQ99" s="5" t="n">
        <f aca="false">BL99-BP99</f>
        <v>22820.6632890259</v>
      </c>
      <c r="CA99" s="5" t="n">
        <f aca="false">(AF99+AG99+AH99+AL99)*0.005*'Prices&amp;Fuel'!H99</f>
        <v>30848.3290488432</v>
      </c>
      <c r="CB99" s="5" t="n">
        <f aca="false">(B99+C99+D99+O99+P99+Q99+X99+Y99+BB99+BC99+BD99+BE99+BF99+BG99+BR99+BS99)*0.005*'Prices&amp;Fuel'!H99</f>
        <v>7004.07455012851</v>
      </c>
      <c r="CC99" s="7" t="n">
        <f aca="false">K99+T99+AB99+AY99+BL99+BX99</f>
        <v>34799569.4924421</v>
      </c>
      <c r="CD99" s="7" t="n">
        <f aca="false">L99+U99+AC99+AZ99+BP99+BY99+CA99+CB99</f>
        <v>34473644.495477</v>
      </c>
      <c r="CE99" s="7" t="n">
        <f aca="false">CC99-CD99</f>
        <v>325924.99696511</v>
      </c>
      <c r="CF99" s="7" t="n">
        <f aca="false">'Index Price Deals'!AR99</f>
        <v>0</v>
      </c>
      <c r="CG99" s="7" t="n">
        <f aca="false">'Index Price Deals'!AS99</f>
        <v>0</v>
      </c>
      <c r="CH99" s="7" t="n">
        <f aca="false">'Index Price Deals'!AT99</f>
        <v>0</v>
      </c>
      <c r="CI99" s="7" t="n">
        <f aca="false">'Index Price Deals'!AU99</f>
        <v>0</v>
      </c>
      <c r="CJ99" s="7" t="n">
        <f aca="false">CC99+CF99</f>
        <v>34799569.4924421</v>
      </c>
      <c r="CK99" s="7" t="n">
        <f aca="false">CD99+CH99</f>
        <v>34473644.495477</v>
      </c>
      <c r="CL99" s="7" t="n">
        <f aca="false">CE99+CI99</f>
        <v>325924.99696511</v>
      </c>
      <c r="CM99" s="69"/>
      <c r="CN99" s="7" t="n">
        <f aca="false">Transport!U99</f>
        <v>3.04743298329413E-009</v>
      </c>
      <c r="CO99" s="71"/>
      <c r="CQ99" s="7" t="n">
        <f aca="false">(((($B99+$C99+$D99+$O99+$P99+$Q99)*0.5)+BR99+BS99)*(0.005*'Prices&amp;Fuel'!$H99)+'Index Price Deals'!AV99)+(((BB99+BC99+BD99+BE99+BF99+BG99)*(1-'Prices&amp;Fuel'!F99))*0.005*0.5*'Prices&amp;Fuel'!H99)</f>
        <v>3457.49999999999</v>
      </c>
      <c r="CR99" s="7" t="n">
        <f aca="false">(((($B99+$C99+$D99+$O99+$P99+$Q99)*0.5)+X99+Y99)*(0.005*'Prices&amp;Fuel'!$H99)+CA99+'Index Price Deals'!AW99)+(((BB99+BC99+BD99+BE99+BF99+BG99)*(1-'Prices&amp;Fuel'!F99))*0.005*0.5*'Prices&amp;Fuel'!H99)</f>
        <v>34305.8290488432</v>
      </c>
      <c r="CS99" s="11"/>
      <c r="CT99" s="7" t="n">
        <f aca="false">[2]Sheet1!$O115</f>
        <v>-206789.914124617</v>
      </c>
      <c r="CU99" s="7" t="n">
        <f aca="false">'[3]Long Term Deals'!$Z98</f>
        <v>17445.5788223299</v>
      </c>
      <c r="CV99" s="70" t="n">
        <f aca="false">CL99-CN99-CT99+CU99+CS99+CO99</f>
        <v>550160.489912055</v>
      </c>
      <c r="CW99" s="14" t="n">
        <f aca="false">((B99+C99+D99+O99+P99+Q99+X99+Y99+AF99+AG99+AH99+BB99+BC99+BD99+BE99+BF99+BG99+BR99+BS99)+('Index Price Deals'!B99+'Index Price Deals'!C99+'Index Price Deals'!D99+'Index Price Deals'!L99+'Index Price Deals'!M99+'Index Price Deals'!N99+'Index Price Deals'!AD99+'Index Price Deals'!AE99+'Index Price Deals'!AF99+'Index Price Deals'!AK99+'Index Price Deals'!AL99+'Index Price Deals'!AM99))*'Prices&amp;Fuel'!H99</f>
        <v>7570480.71979434</v>
      </c>
      <c r="DB99" s="1" t="n">
        <f aca="false">(O99+P99+Q99)*'Prices&amp;Fuel'!$H99</f>
        <v>753000</v>
      </c>
      <c r="DE99" s="1" t="n">
        <v>200000</v>
      </c>
    </row>
    <row r="100" customFormat="false" ht="12.75" hidden="false" customHeight="false" outlineLevel="0" collapsed="false">
      <c r="A100" s="6" t="n">
        <f aca="false">+A99+365/12</f>
        <v>38638.5833333333</v>
      </c>
      <c r="O100" s="7" t="n">
        <v>9036</v>
      </c>
      <c r="P100" s="7" t="n">
        <v>10794</v>
      </c>
      <c r="Q100" s="7" t="n">
        <v>5270</v>
      </c>
      <c r="R100" s="8" t="n">
        <f aca="false">R99</f>
        <v>3.198</v>
      </c>
      <c r="S100" s="8" t="n">
        <f aca="false">S99</f>
        <v>3.1856</v>
      </c>
      <c r="T100" s="7" t="n">
        <f aca="false">(($O100*R100)+($P100*R100)+($Q100*R100))*'Prices&amp;Fuel'!$H100</f>
        <v>2488363.8</v>
      </c>
      <c r="U100" s="7" t="n">
        <f aca="false">(($O100*S100)+($P100*S100)+($Q100*S100))*'Prices&amp;Fuel'!$H100</f>
        <v>2478715.36</v>
      </c>
      <c r="V100" s="14" t="n">
        <f aca="false">T100-U100</f>
        <v>9648.43999999994</v>
      </c>
      <c r="AF100" s="7" t="n">
        <f aca="false">(32000/(1-'Prices&amp;Fuel'!F100))+(25000/(1-'Prices&amp;Fuel'!G100))-AI100</f>
        <v>58611.8251928021</v>
      </c>
      <c r="AG100" s="7" t="n">
        <v>0</v>
      </c>
      <c r="AH100" s="7" t="n">
        <f aca="false">(75000/(1-'Prices&amp;Fuel'!G100))-AK100</f>
        <v>77120.822622108</v>
      </c>
      <c r="AI100" s="7"/>
      <c r="AJ100" s="7"/>
      <c r="AK100" s="7"/>
      <c r="AL100" s="11" t="n">
        <f aca="false">ROUND((132000/(1-'Prices&amp;Fuel'!F100))-AF100-AG100-AH100,0)</f>
        <v>0</v>
      </c>
      <c r="AM100" s="7" t="n">
        <f aca="false">ROUND(IF(AF100&lt;AP100,0,(AF100-AP100-AI100)/2),0)</f>
        <v>29306</v>
      </c>
      <c r="AO100" s="7" t="n">
        <f aca="false">ROUND((75000/(1-'Prices&amp;Fuel'!G100)-AV100-AK100)/2,0)</f>
        <v>38560</v>
      </c>
      <c r="AR100" s="7" t="n">
        <f aca="false">IF(AP100&gt;AF100,0,AF100-AM100-AP100)</f>
        <v>29305.8251928021</v>
      </c>
      <c r="AT100" s="14" t="n">
        <f aca="false">AH100-AO100-AV100</f>
        <v>38560.822622108</v>
      </c>
      <c r="AU100" s="14" t="n">
        <f aca="false">AL100*AX100*'Prices&amp;Fuel'!H100</f>
        <v>0</v>
      </c>
      <c r="AW100" s="68" t="n">
        <f aca="false">AW99</f>
        <v>0.06</v>
      </c>
      <c r="AX100" s="68" t="n">
        <f aca="false">AX99</f>
        <v>0.025</v>
      </c>
      <c r="AY100" s="5" t="n">
        <f aca="false">('Prices&amp;Fuel'!H100*('Prices&amp;Fuel'!B100+AW100)*'Long Term Deals'!AF100)+('Prices&amp;Fuel'!H100*('Prices&amp;Fuel'!C100+'Long Term Deals'!AW100)*'Long Term Deals'!AG100)+(AH100*('Prices&amp;Fuel'!C100+AW100)*'Prices&amp;Fuel'!H100)+(AW100*AL100*'Prices&amp;Fuel'!H100)</f>
        <v>22729888.6532853</v>
      </c>
      <c r="AZ100" s="5" t="n">
        <f aca="false">(AP100*'Prices&amp;Fuel'!H100*'Prices&amp;Fuel'!B100)+(AQ100*'Prices&amp;Fuel'!C100*'Prices&amp;Fuel'!H100)+((AM100+AR100)*('Prices&amp;Fuel'!B100+'Long Term Deals'!AX100)*'Prices&amp;Fuel'!H100)+((AN100+AS100)*('Prices&amp;Fuel'!C100+'Long Term Deals'!AX100)*'Prices&amp;Fuel'!H100)+((AO100+AT100)*('Prices&amp;Fuel'!D100+'Long Term Deals'!AX100)*'Prices&amp;Fuel'!H100)+(AV100*'Prices&amp;Fuel'!H100*'Prices&amp;Fuel'!Q100)+AU100</f>
        <v>22463081.4553419</v>
      </c>
      <c r="BA100" s="5" t="n">
        <f aca="false">AY100-AZ100</f>
        <v>266807.197943442</v>
      </c>
      <c r="BB100" s="5" t="n">
        <f aca="false">IF('FP Corp'!T100-((BE100+BF100+BG100)*(1-'Prices&amp;Fuel'!F100))&lt;'Prices&amp;Fuel'!R100,('FP Corp'!T100-(BE100+BF100+BG100)*(1-'Prices&amp;Fuel'!F100)),'Prices&amp;Fuel'!R100)/(1-'Prices&amp;Fuel'!F100)</f>
        <v>8976.86375321337</v>
      </c>
      <c r="BC100" s="9"/>
      <c r="BD100" s="9" t="n">
        <f aca="false">ROUND(IF('FP Corp'!T100/(1-'Prices&amp;Fuel'!F100)-BE100-BF100-BG100-BB100&gt;'Prices&amp;Fuel'!T100,'Prices&amp;Fuel'!T100,'FP Corp'!T100/(1-'Prices&amp;Fuel'!F100)-BE100-BF100-BG100-BB100),9)</f>
        <v>3514.652956298</v>
      </c>
      <c r="BE100" s="9" t="n">
        <f aca="false">'Prices&amp;Fuel'!U100/(1-'Prices&amp;Fuel'!F100)</f>
        <v>2910.02570694087</v>
      </c>
      <c r="BF100" s="9" t="n">
        <f aca="false">('Prices&amp;Fuel'!V100+'Prices&amp;Fuel'!X100)/(1-'Prices&amp;Fuel'!F100)</f>
        <v>4628.27763496144</v>
      </c>
      <c r="BG100" s="9" t="n">
        <f aca="false">'Prices&amp;Fuel'!W100/(1-'Prices&amp;Fuel'!F100)</f>
        <v>1564.01028277635</v>
      </c>
      <c r="BH100" s="10" t="n">
        <f aca="false">('Prices&amp;Fuel'!C100+'Prices&amp;Fuel'!D100)/2-0.05+('Prices&amp;Fuel'!M100+'Prices&amp;Fuel'!P100)*(1-'Prices&amp;Fuel'!F100)</f>
        <v>6.03731696</v>
      </c>
      <c r="BI100" s="9"/>
      <c r="BJ100" s="9"/>
      <c r="BK100" s="10" t="n">
        <f aca="false">(((BB100+BE100)*('Prices&amp;Fuel'!B100+0.025))+(('Prices&amp;Fuel'!D100+0.025)*(BD100+BG100))+(('Prices&amp;Fuel'!C100+0.025)*(BC100+BF100))-(BI100+BJ100)*0.025)/(BB100+BC100+BD100+BE100+BF100+BG100)</f>
        <v>5.34808011476191</v>
      </c>
      <c r="BL100" s="9" t="n">
        <f aca="false">(BB100+BC100+BD100+BE100+BF100+BG100)*BH100*'Prices&amp;Fuel'!H100</f>
        <v>4041432.74134701</v>
      </c>
      <c r="BM100" s="9" t="n">
        <f aca="false">'Prices&amp;Fuel'!X100*('Prices&amp;Fuel'!N100+'Prices&amp;Fuel'!O100)*'Prices&amp;Fuel'!H100</f>
        <v>13833.2050576453</v>
      </c>
      <c r="BN100" s="9" t="n">
        <f aca="false">('Prices&amp;Fuel'!U100+'Prices&amp;Fuel'!V100+'Prices&amp;Fuel'!W100)*('Prices&amp;Fuel'!L100+'Prices&amp;Fuel'!O100)*'Prices&amp;Fuel'!H100</f>
        <v>108495.996910663</v>
      </c>
      <c r="BO100" s="9" t="n">
        <f aca="false">((BB100+BC100+BD100)*(1-'Prices&amp;Fuel'!G100))*('Prices&amp;Fuel'!M100+'Prices&amp;Fuel'!P100)*'Prices&amp;Fuel'!H100</f>
        <v>288278.113999995</v>
      </c>
      <c r="BP100" s="9" t="n">
        <f aca="false">((BD100+BC100+BB100+BE100+BF100+BG100)*BK100*'Prices&amp;Fuel'!H100)+BM100+BN100+BO100</f>
        <v>3990658.88893485</v>
      </c>
      <c r="BQ100" s="5" t="n">
        <f aca="false">BL100-BP100</f>
        <v>50773.8524121549</v>
      </c>
      <c r="CA100" s="5" t="n">
        <f aca="false">(AF100+AG100+AH100+AL100)*0.005*'Prices&amp;Fuel'!H100</f>
        <v>21038.5604113111</v>
      </c>
      <c r="CB100" s="5" t="n">
        <f aca="false">(B100+C100+D100+O100+P100+Q100+X100+Y100+BB100+BC100+BD100+BE100+BF100+BG100+BR100+BS100)*0.005*'Prices&amp;Fuel'!H100</f>
        <v>7237.54370179946</v>
      </c>
      <c r="CC100" s="7" t="n">
        <f aca="false">K100+T100+AB100+AY100+BL100+BX100</f>
        <v>29259685.1946324</v>
      </c>
      <c r="CD100" s="7" t="n">
        <f aca="false">L100+U100+AC100+AZ100+BP100+BY100+CA100+CB100</f>
        <v>28960731.8083899</v>
      </c>
      <c r="CE100" s="7" t="n">
        <f aca="false">CC100-CD100</f>
        <v>298953.38624249</v>
      </c>
      <c r="CF100" s="7" t="n">
        <f aca="false">'Index Price Deals'!AR100</f>
        <v>0</v>
      </c>
      <c r="CG100" s="7" t="n">
        <f aca="false">'Index Price Deals'!AS100</f>
        <v>0</v>
      </c>
      <c r="CH100" s="7" t="n">
        <f aca="false">'Index Price Deals'!AT100</f>
        <v>0</v>
      </c>
      <c r="CI100" s="7" t="n">
        <f aca="false">'Index Price Deals'!AU100</f>
        <v>0</v>
      </c>
      <c r="CJ100" s="7" t="n">
        <f aca="false">CC100+CF100</f>
        <v>29259685.1946324</v>
      </c>
      <c r="CK100" s="7" t="n">
        <f aca="false">CD100+CH100</f>
        <v>28960731.8083899</v>
      </c>
      <c r="CL100" s="7" t="n">
        <f aca="false">CE100+CI100</f>
        <v>298953.38624249</v>
      </c>
      <c r="CM100" s="69"/>
      <c r="CN100" s="7" t="n">
        <f aca="false">Transport!U100</f>
        <v>4.39204595750198E-009</v>
      </c>
      <c r="CO100" s="71"/>
      <c r="CQ100" s="7" t="n">
        <f aca="false">(((($B100+$C100+$D100+$O100+$P100+$Q100)*0.5)+BR100+BS100)*(0.005*'Prices&amp;Fuel'!$H100)+'Index Price Deals'!AV100)+(((BB100+BC100+BD100+BE100+BF100+BG100)*(1-'Prices&amp;Fuel'!F100))*0.005*0.5*'Prices&amp;Fuel'!H100)</f>
        <v>3572.74999999999</v>
      </c>
      <c r="CR100" s="7" t="n">
        <f aca="false">(((($B100+$C100+$D100+$O100+$P100+$Q100)*0.5)+X100+Y100)*(0.005*'Prices&amp;Fuel'!$H100)+CA100+'Index Price Deals'!AW100)+(((BB100+BC100+BD100+BE100+BF100+BG100)*(1-'Prices&amp;Fuel'!F100))*0.005*0.5*'Prices&amp;Fuel'!H100)</f>
        <v>24611.310411311</v>
      </c>
      <c r="CS100" s="11"/>
      <c r="CT100" s="7" t="n">
        <f aca="false">[2]Sheet1!$O116</f>
        <v>-141030.721432989</v>
      </c>
      <c r="CU100" s="7" t="n">
        <f aca="false">'[3]Long Term Deals'!$Z99</f>
        <v>10529.1015547159</v>
      </c>
      <c r="CV100" s="70" t="n">
        <f aca="false">CL100-CN100-CT100+CU100+CS100+CO100</f>
        <v>450513.209230191</v>
      </c>
      <c r="CW100" s="14" t="n">
        <f aca="false">((B100+C100+D100+O100+P100+Q100+X100+Y100+AF100+AG100+AH100+BB100+BC100+BD100+BE100+BF100+BG100+BR100+BS100)+('Index Price Deals'!B100+'Index Price Deals'!C100+'Index Price Deals'!D100+'Index Price Deals'!L100+'Index Price Deals'!M100+'Index Price Deals'!N100+'Index Price Deals'!AD100+'Index Price Deals'!AE100+'Index Price Deals'!AF100+'Index Price Deals'!AK100+'Index Price Deals'!AL100+'Index Price Deals'!AM100))*'Prices&amp;Fuel'!H100</f>
        <v>5655220.8226221</v>
      </c>
      <c r="DB100" s="1" t="n">
        <f aca="false">(O100+P100+Q100)*'Prices&amp;Fuel'!$H100</f>
        <v>778100</v>
      </c>
      <c r="DE100" s="1" t="n">
        <v>132000</v>
      </c>
    </row>
    <row r="101" customFormat="false" ht="12.75" hidden="false" customHeight="false" outlineLevel="0" collapsed="false">
      <c r="A101" s="6" t="n">
        <f aca="false">+A100+365/12</f>
        <v>38669</v>
      </c>
      <c r="O101" s="7" t="n">
        <v>9036</v>
      </c>
      <c r="P101" s="7" t="n">
        <v>10794</v>
      </c>
      <c r="Q101" s="7" t="n">
        <v>5270</v>
      </c>
      <c r="R101" s="8" t="n">
        <f aca="false">R100</f>
        <v>3.198</v>
      </c>
      <c r="S101" s="8" t="n">
        <f aca="false">S100</f>
        <v>3.1856</v>
      </c>
      <c r="T101" s="7" t="n">
        <f aca="false">(($O101*R101)+($P101*R101)+($Q101*R101))*'Prices&amp;Fuel'!$H101</f>
        <v>2408094</v>
      </c>
      <c r="U101" s="7" t="n">
        <f aca="false">(($O101*S101)+($P101*S101)+($Q101*S101))*'Prices&amp;Fuel'!$H101</f>
        <v>2398756.8</v>
      </c>
      <c r="V101" s="14" t="n">
        <f aca="false">T101-U101</f>
        <v>9337.19999999972</v>
      </c>
      <c r="AF101" s="7" t="n">
        <f aca="false">(32000/(1-'Prices&amp;Fuel'!F101))+(25000/(1-'Prices&amp;Fuel'!G101))-AI101</f>
        <v>58611.8251928021</v>
      </c>
      <c r="AG101" s="7" t="n">
        <v>0</v>
      </c>
      <c r="AH101" s="7" t="n">
        <f aca="false">(75000/(1-'Prices&amp;Fuel'!G101))-AK101</f>
        <v>77120.822622108</v>
      </c>
      <c r="AI101" s="7"/>
      <c r="AJ101" s="7"/>
      <c r="AK101" s="7"/>
      <c r="AL101" s="11" t="n">
        <f aca="false">ROUND((132000/(1-'Prices&amp;Fuel'!F101))-AF101-AG101-AH101,0)</f>
        <v>0</v>
      </c>
      <c r="AM101" s="7" t="n">
        <f aca="false">ROUND(IF(AF101&lt;AP101,0,(AF101-AP101-AI101)/2),0)</f>
        <v>29306</v>
      </c>
      <c r="AO101" s="7" t="n">
        <f aca="false">ROUND((75000/(1-'Prices&amp;Fuel'!G101)-AV101-AK101)/2,0)</f>
        <v>38560</v>
      </c>
      <c r="AR101" s="7" t="n">
        <f aca="false">IF(AP101&gt;AF101,0,AF101-AM101-AP101)</f>
        <v>29305.8251928021</v>
      </c>
      <c r="AT101" s="14" t="n">
        <f aca="false">AH101-AO101-AV101</f>
        <v>38560.822622108</v>
      </c>
      <c r="AU101" s="14" t="n">
        <f aca="false">AL101*AX101*'Prices&amp;Fuel'!H101</f>
        <v>0</v>
      </c>
      <c r="AW101" s="68" t="n">
        <f aca="false">AW100</f>
        <v>0.06</v>
      </c>
      <c r="AX101" s="68" t="n">
        <f aca="false">AX100</f>
        <v>0.025</v>
      </c>
      <c r="AY101" s="5" t="n">
        <f aca="false">('Prices&amp;Fuel'!H101*('Prices&amp;Fuel'!B101+AW101)*'Long Term Deals'!AF101)+('Prices&amp;Fuel'!H101*('Prices&amp;Fuel'!C101+'Long Term Deals'!AW101)*'Long Term Deals'!AG101)+(AH101*('Prices&amp;Fuel'!C101+AW101)*'Prices&amp;Fuel'!H101)+(AW101*AL101*'Prices&amp;Fuel'!H101)</f>
        <v>14738685.8825707</v>
      </c>
      <c r="AZ101" s="5" t="n">
        <f aca="false">(AP101*'Prices&amp;Fuel'!H101*'Prices&amp;Fuel'!B101)+(AQ101*'Prices&amp;Fuel'!C101*'Prices&amp;Fuel'!H101)+((AM101+AR101)*('Prices&amp;Fuel'!B101+'Long Term Deals'!AX101)*'Prices&amp;Fuel'!H101)+((AN101+AS101)*('Prices&amp;Fuel'!C101+'Long Term Deals'!AX101)*'Prices&amp;Fuel'!H101)+((AO101+AT101)*('Prices&amp;Fuel'!D101+'Long Term Deals'!AX101)*'Prices&amp;Fuel'!H101)+(AV101*'Prices&amp;Fuel'!H101*'Prices&amp;Fuel'!Q101)+AU101</f>
        <v>14480485.3684319</v>
      </c>
      <c r="BA101" s="5" t="n">
        <f aca="false">AY101-AZ101</f>
        <v>258200.51413882</v>
      </c>
      <c r="BB101" s="5" t="n">
        <f aca="false">IF('FP Corp'!T101-((BE101+BF101+BG101)*(1-'Prices&amp;Fuel'!F101))&lt;'Prices&amp;Fuel'!R101,('FP Corp'!T101-(BE101+BF101+BG101)*(1-'Prices&amp;Fuel'!F101)),'Prices&amp;Fuel'!R101)/(1-'Prices&amp;Fuel'!F101)</f>
        <v>4325.96401028278</v>
      </c>
      <c r="BC101" s="9"/>
      <c r="BD101" s="9" t="n">
        <f aca="false">ROUND(IF('FP Corp'!T101/(1-'Prices&amp;Fuel'!F101)-BE101-BF101-BG101-BB101&gt;'Prices&amp;Fuel'!T101,'Prices&amp;Fuel'!T101,'FP Corp'!T101/(1-'Prices&amp;Fuel'!F101)-BE101-BF101-BG101-BB101),9)</f>
        <v>0</v>
      </c>
      <c r="BE101" s="9" t="n">
        <f aca="false">'Prices&amp;Fuel'!U101/(1-'Prices&amp;Fuel'!F101)</f>
        <v>2635.47557840617</v>
      </c>
      <c r="BF101" s="9" t="n">
        <f aca="false">('Prices&amp;Fuel'!V101+'Prices&amp;Fuel'!X101)/(1-'Prices&amp;Fuel'!F101)</f>
        <v>3645.2442159383</v>
      </c>
      <c r="BG101" s="9" t="n">
        <f aca="false">'Prices&amp;Fuel'!W101/(1-'Prices&amp;Fuel'!F101)</f>
        <v>1732.64781491003</v>
      </c>
      <c r="BH101" s="10" t="n">
        <f aca="false">('Prices&amp;Fuel'!C101+'Prices&amp;Fuel'!D101)/2-0.05+('Prices&amp;Fuel'!M101+'Prices&amp;Fuel'!P101)*(1-'Prices&amp;Fuel'!F101)</f>
        <v>4.25489623</v>
      </c>
      <c r="BI101" s="9"/>
      <c r="BJ101" s="9"/>
      <c r="BK101" s="10" t="n">
        <f aca="false">(((BB101+BE101)*('Prices&amp;Fuel'!B101+0.025))+(('Prices&amp;Fuel'!D101+0.025)*(BD101+BG101))+(('Prices&amp;Fuel'!C101+0.025)*(BC101+BF101))-(BI101+BJ101)*0.025)/(BB101+BC101+BD101+BE101+BF101+BG101)</f>
        <v>3.56957664666667</v>
      </c>
      <c r="BL101" s="9" t="n">
        <f aca="false">(BB101+BC101+BD101+BE101+BF101+BG101)*BH101*'Prices&amp;Fuel'!H101</f>
        <v>1575077.26766067</v>
      </c>
      <c r="BM101" s="9" t="n">
        <f aca="false">'Prices&amp;Fuel'!X101*('Prices&amp;Fuel'!N101+'Prices&amp;Fuel'!O101)*'Prices&amp;Fuel'!H101</f>
        <v>9134.1681425398</v>
      </c>
      <c r="BN101" s="9" t="n">
        <f aca="false">('Prices&amp;Fuel'!U101+'Prices&amp;Fuel'!V101+'Prices&amp;Fuel'!W101)*('Prices&amp;Fuel'!L101+'Prices&amp;Fuel'!O101)*'Prices&amp;Fuel'!H101</f>
        <v>95086.2891558682</v>
      </c>
      <c r="BO101" s="9" t="n">
        <f aca="false">((BB101+BC101+BD101)*(1-'Prices&amp;Fuel'!G101))*('Prices&amp;Fuel'!M101+'Prices&amp;Fuel'!P101)*'Prices&amp;Fuel'!H101</f>
        <v>96613.755</v>
      </c>
      <c r="BP101" s="9" t="n">
        <f aca="false">((BD101+BC101+BB101+BE101+BF101+BG101)*BK101*'Prices&amp;Fuel'!H101)+BM101+BN101+BO101</f>
        <v>1522219.91183568</v>
      </c>
      <c r="BQ101" s="5" t="n">
        <f aca="false">BL101-BP101</f>
        <v>52857.3558249858</v>
      </c>
      <c r="CA101" s="5" t="n">
        <f aca="false">(AF101+AG101+AH101+AL101)*0.005*'Prices&amp;Fuel'!H101</f>
        <v>20359.8971722365</v>
      </c>
      <c r="CB101" s="5" t="n">
        <f aca="false">(B101+C101+D101+O101+P101+Q101+X101+Y101+BB101+BC101+BD101+BE101+BF101+BG101+BR101+BS101)*0.005*'Prices&amp;Fuel'!H101</f>
        <v>5615.89974293059</v>
      </c>
      <c r="CC101" s="7" t="n">
        <f aca="false">K101+T101+AB101+AY101+BL101+BX101</f>
        <v>18721857.1502314</v>
      </c>
      <c r="CD101" s="7" t="n">
        <f aca="false">L101+U101+AC101+AZ101+BP101+BY101+CA101+CB101</f>
        <v>18427437.8771827</v>
      </c>
      <c r="CE101" s="7" t="n">
        <f aca="false">CC101-CD101</f>
        <v>294419.273048639</v>
      </c>
      <c r="CF101" s="7" t="n">
        <f aca="false">'Index Price Deals'!AR101</f>
        <v>0</v>
      </c>
      <c r="CG101" s="7" t="n">
        <f aca="false">'Index Price Deals'!AS101</f>
        <v>0</v>
      </c>
      <c r="CH101" s="7" t="n">
        <f aca="false">'Index Price Deals'!AT101</f>
        <v>0</v>
      </c>
      <c r="CI101" s="7" t="n">
        <f aca="false">'Index Price Deals'!AU101</f>
        <v>0</v>
      </c>
      <c r="CJ101" s="7" t="n">
        <f aca="false">CC101+CF101</f>
        <v>18721857.1502314</v>
      </c>
      <c r="CK101" s="7" t="n">
        <f aca="false">CD101+CH101</f>
        <v>18427437.8771827</v>
      </c>
      <c r="CL101" s="7" t="n">
        <f aca="false">CE101+CI101</f>
        <v>294419.273048639</v>
      </c>
      <c r="CM101" s="69"/>
      <c r="CN101" s="7" t="n">
        <f aca="false">Transport!U101</f>
        <v>0</v>
      </c>
      <c r="CO101" s="71"/>
      <c r="CQ101" s="7" t="n">
        <f aca="false">(((($B101+$C101+$D101+$O101+$P101+$Q101)*0.5)+BR101+BS101)*(0.005*'Prices&amp;Fuel'!$H101)+'Index Price Deals'!AV101)+(((BB101+BC101+BD101+BE101+BF101+BG101)*(1-'Prices&amp;Fuel'!F101))*0.005*0.5*'Prices&amp;Fuel'!H101)</f>
        <v>2782.5</v>
      </c>
      <c r="CR101" s="7" t="n">
        <f aca="false">(((($B101+$C101+$D101+$O101+$P101+$Q101)*0.5)+X101+Y101)*(0.005*'Prices&amp;Fuel'!$H101)+CA101+'Index Price Deals'!AW101)+(((BB101+BC101+BD101+BE101+BF101+BG101)*(1-'Prices&amp;Fuel'!F101))*0.005*0.5*'Prices&amp;Fuel'!H101)</f>
        <v>23142.3971722365</v>
      </c>
      <c r="CS101" s="11"/>
      <c r="CT101" s="7" t="n">
        <f aca="false">[2]Sheet1!$O117</f>
        <v>-136481.343322248</v>
      </c>
      <c r="CU101" s="7" t="n">
        <f aca="false">'[3]Long Term Deals'!$Z100</f>
        <v>10189.453117467</v>
      </c>
      <c r="CV101" s="70" t="n">
        <f aca="false">CL101-CN101-CT101+CU101+CS101+CO101</f>
        <v>441090.069488354</v>
      </c>
      <c r="CW101" s="14" t="n">
        <f aca="false">((B101+C101+D101+O101+P101+Q101+X101+Y101+AF101+AG101+AH101+BB101+BC101+BD101+BE101+BF101+BG101+BR101+BS101)+('Index Price Deals'!B101+'Index Price Deals'!C101+'Index Price Deals'!D101+'Index Price Deals'!L101+'Index Price Deals'!M101+'Index Price Deals'!N101+'Index Price Deals'!AD101+'Index Price Deals'!AE101+'Index Price Deals'!AF101+'Index Price Deals'!AK101+'Index Price Deals'!AL101+'Index Price Deals'!AM101))*'Prices&amp;Fuel'!H101</f>
        <v>5195159.38303342</v>
      </c>
      <c r="DB101" s="1" t="n">
        <f aca="false">(O101+P101+Q101)*'Prices&amp;Fuel'!$H101</f>
        <v>753000</v>
      </c>
      <c r="DE101" s="1" t="n">
        <v>132000</v>
      </c>
    </row>
    <row r="102" customFormat="false" ht="12.75" hidden="false" customHeight="false" outlineLevel="0" collapsed="false">
      <c r="A102" s="6" t="n">
        <f aca="false">+A101+365/12</f>
        <v>38699.4166666667</v>
      </c>
      <c r="O102" s="7" t="n">
        <v>9036</v>
      </c>
      <c r="P102" s="7" t="n">
        <v>10794</v>
      </c>
      <c r="Q102" s="7" t="n">
        <v>5270</v>
      </c>
      <c r="R102" s="8" t="n">
        <f aca="false">R101</f>
        <v>3.198</v>
      </c>
      <c r="S102" s="8" t="n">
        <f aca="false">S101</f>
        <v>3.1856</v>
      </c>
      <c r="T102" s="7" t="n">
        <f aca="false">(($O102*R102)+($P102*R102)+($Q102*R102))*'Prices&amp;Fuel'!$H102</f>
        <v>2488363.8</v>
      </c>
      <c r="U102" s="7" t="n">
        <f aca="false">(($O102*S102)+($P102*S102)+($Q102*S102))*'Prices&amp;Fuel'!$H102</f>
        <v>2478715.36</v>
      </c>
      <c r="V102" s="14" t="n">
        <f aca="false">T102-U102</f>
        <v>9648.43999999994</v>
      </c>
      <c r="AF102" s="7" t="n">
        <f aca="false">(32000/(1-'Prices&amp;Fuel'!F102))+(25000/(1-'Prices&amp;Fuel'!G102))-AI102</f>
        <v>58611.8251928021</v>
      </c>
      <c r="AG102" s="7" t="n">
        <v>0</v>
      </c>
      <c r="AH102" s="7" t="n">
        <f aca="false">(75000/(1-'Prices&amp;Fuel'!G102))-AK102</f>
        <v>77120.822622108</v>
      </c>
      <c r="AI102" s="7"/>
      <c r="AJ102" s="7"/>
      <c r="AK102" s="7"/>
      <c r="AL102" s="11" t="n">
        <f aca="false">ROUND((132000/(1-'Prices&amp;Fuel'!F102))-AF102-AG102-AH102,0)</f>
        <v>0</v>
      </c>
      <c r="AM102" s="7" t="n">
        <f aca="false">ROUND(IF(AF102&lt;AP102,0,(AF102-AP102-AI102)/2),0)</f>
        <v>29306</v>
      </c>
      <c r="AO102" s="7" t="n">
        <f aca="false">ROUND((75000/(1-'Prices&amp;Fuel'!G102)-AV102-AK102)/2,0)</f>
        <v>38560</v>
      </c>
      <c r="AR102" s="7" t="n">
        <f aca="false">IF(AP102&gt;AF102,0,AF102-AM102-AP102)</f>
        <v>29305.8251928021</v>
      </c>
      <c r="AT102" s="14" t="n">
        <f aca="false">AH102-AO102-AV102</f>
        <v>38560.822622108</v>
      </c>
      <c r="AU102" s="14" t="n">
        <f aca="false">AL102*AX102*'Prices&amp;Fuel'!H102</f>
        <v>0</v>
      </c>
      <c r="AW102" s="68" t="n">
        <f aca="false">AW101</f>
        <v>0.06</v>
      </c>
      <c r="AX102" s="68" t="n">
        <f aca="false">AX101</f>
        <v>0.025</v>
      </c>
      <c r="AY102" s="5" t="n">
        <f aca="false">('Prices&amp;Fuel'!H102*('Prices&amp;Fuel'!B102+AW102)*'Long Term Deals'!AF102)+('Prices&amp;Fuel'!H102*('Prices&amp;Fuel'!C102+'Long Term Deals'!AW102)*'Long Term Deals'!AG102)+(AH102*('Prices&amp;Fuel'!C102+AW102)*'Prices&amp;Fuel'!H102)+(AW102*AL102*'Prices&amp;Fuel'!H102)</f>
        <v>11414990.6418509</v>
      </c>
      <c r="AZ102" s="5" t="n">
        <f aca="false">(AP102*'Prices&amp;Fuel'!H102*'Prices&amp;Fuel'!B102)+(AQ102*'Prices&amp;Fuel'!C102*'Prices&amp;Fuel'!H102)+((AM102+AR102)*('Prices&amp;Fuel'!B102+'Long Term Deals'!AX102)*'Prices&amp;Fuel'!H102)+((AN102+AS102)*('Prices&amp;Fuel'!C102+'Long Term Deals'!AX102)*'Prices&amp;Fuel'!H102)+((AO102+AT102)*('Prices&amp;Fuel'!D102+'Long Term Deals'!AX102)*'Prices&amp;Fuel'!H102)+(AV102*'Prices&amp;Fuel'!H102*'Prices&amp;Fuel'!Q102)+AU102</f>
        <v>11148183.4439075</v>
      </c>
      <c r="BA102" s="5" t="n">
        <f aca="false">AY102-AZ102</f>
        <v>266807.197943445</v>
      </c>
      <c r="BB102" s="5" t="n">
        <f aca="false">IF('FP Corp'!T102-((BE102+BF102+BG102)*(1-'Prices&amp;Fuel'!F102))&lt;'Prices&amp;Fuel'!R102,('FP Corp'!T102-(BE102+BF102+BG102)*(1-'Prices&amp;Fuel'!F102)),'Prices&amp;Fuel'!R102)/(1-'Prices&amp;Fuel'!F102)</f>
        <v>4325.96401028278</v>
      </c>
      <c r="BC102" s="9"/>
      <c r="BD102" s="9" t="n">
        <f aca="false">ROUND(IF('FP Corp'!T102/(1-'Prices&amp;Fuel'!F102)-BE102-BF102-BG102-BB102&gt;'Prices&amp;Fuel'!T102,'Prices&amp;Fuel'!T102,'FP Corp'!T102/(1-'Prices&amp;Fuel'!F102)-BE102-BF102-BG102-BB102),9)</f>
        <v>0</v>
      </c>
      <c r="BE102" s="9" t="n">
        <f aca="false">'Prices&amp;Fuel'!U102/(1-'Prices&amp;Fuel'!F102)</f>
        <v>2635.47557840617</v>
      </c>
      <c r="BF102" s="9" t="n">
        <f aca="false">('Prices&amp;Fuel'!V102+'Prices&amp;Fuel'!X102)/(1-'Prices&amp;Fuel'!F102)</f>
        <v>3645.2442159383</v>
      </c>
      <c r="BG102" s="9" t="n">
        <f aca="false">'Prices&amp;Fuel'!W102/(1-'Prices&amp;Fuel'!F102)</f>
        <v>1732.64781491003</v>
      </c>
      <c r="BH102" s="10" t="n">
        <f aca="false">('Prices&amp;Fuel'!C102+'Prices&amp;Fuel'!D102)/2-0.05+('Prices&amp;Fuel'!M102+'Prices&amp;Fuel'!P102)*(1-'Prices&amp;Fuel'!F102)</f>
        <v>3.34823135</v>
      </c>
      <c r="BI102" s="9"/>
      <c r="BJ102" s="9"/>
      <c r="BK102" s="10" t="n">
        <f aca="false">(((BB102+BE102)*('Prices&amp;Fuel'!B102+0.025))+(('Prices&amp;Fuel'!D102+0.025)*(BD102+BG102))+(('Prices&amp;Fuel'!C102+0.025)*(BC102+BF102))-(BI102+BJ102)*0.025)/(BB102+BC102+BD102+BE102+BF102+BG102)</f>
        <v>2.66291176666667</v>
      </c>
      <c r="BL102" s="9" t="n">
        <f aca="false">(BB102+BC102+BD102+BE102+BF102+BG102)*BH102*'Prices&amp;Fuel'!H102</f>
        <v>1280763.04596401</v>
      </c>
      <c r="BM102" s="9" t="n">
        <f aca="false">'Prices&amp;Fuel'!X102*('Prices&amp;Fuel'!N102+'Prices&amp;Fuel'!O102)*'Prices&amp;Fuel'!H102</f>
        <v>9438.64041395779</v>
      </c>
      <c r="BN102" s="9" t="n">
        <f aca="false">('Prices&amp;Fuel'!U102+'Prices&amp;Fuel'!V102+'Prices&amp;Fuel'!W102)*('Prices&amp;Fuel'!L102+'Prices&amp;Fuel'!O102)*'Prices&amp;Fuel'!H102</f>
        <v>98255.8321277305</v>
      </c>
      <c r="BO102" s="9" t="n">
        <f aca="false">((BB102+BC102+BD102)*(1-'Prices&amp;Fuel'!G102))*('Prices&amp;Fuel'!M102+'Prices&amp;Fuel'!P102)*'Prices&amp;Fuel'!H102</f>
        <v>99834.2135</v>
      </c>
      <c r="BP102" s="9" t="n">
        <f aca="false">((BD102+BC102+BB102+BE102+BF102+BG102)*BK102*'Prices&amp;Fuel'!H102)+BM102+BN102+BO102</f>
        <v>1226143.77827819</v>
      </c>
      <c r="BQ102" s="5" t="n">
        <f aca="false">BL102-BP102</f>
        <v>54619.2676858183</v>
      </c>
      <c r="CA102" s="5" t="n">
        <f aca="false">(AF102+AG102+AH102+AL102)*0.005*'Prices&amp;Fuel'!H102</f>
        <v>21038.5604113111</v>
      </c>
      <c r="CB102" s="5" t="n">
        <f aca="false">(B102+C102+D102+O102+P102+Q102+X102+Y102+BB102+BC102+BD102+BE102+BF102+BG102+BR102+BS102)*0.005*'Prices&amp;Fuel'!H102</f>
        <v>5803.09640102828</v>
      </c>
      <c r="CC102" s="7" t="n">
        <f aca="false">K102+T102+AB102+AY102+BL102+BX102</f>
        <v>15184117.4878149</v>
      </c>
      <c r="CD102" s="7" t="n">
        <f aca="false">L102+U102+AC102+AZ102+BP102+BY102+CA102+CB102</f>
        <v>14879884.238998</v>
      </c>
      <c r="CE102" s="7" t="n">
        <f aca="false">CC102-CD102</f>
        <v>304233.248816924</v>
      </c>
      <c r="CF102" s="7" t="n">
        <f aca="false">'Index Price Deals'!AR102</f>
        <v>0</v>
      </c>
      <c r="CG102" s="7" t="n">
        <f aca="false">'Index Price Deals'!AS102</f>
        <v>0</v>
      </c>
      <c r="CH102" s="7" t="n">
        <f aca="false">'Index Price Deals'!AT102</f>
        <v>0</v>
      </c>
      <c r="CI102" s="7" t="n">
        <f aca="false">'Index Price Deals'!AU102</f>
        <v>0</v>
      </c>
      <c r="CJ102" s="7" t="n">
        <f aca="false">CC102+CF102</f>
        <v>15184117.4878149</v>
      </c>
      <c r="CK102" s="7" t="n">
        <f aca="false">CD102+CH102</f>
        <v>14879884.238998</v>
      </c>
      <c r="CL102" s="7" t="n">
        <f aca="false">CE102+CI102</f>
        <v>304233.248816924</v>
      </c>
      <c r="CM102" s="7" t="n">
        <f aca="false">SUM(CL91:CL102)</f>
        <v>4230036.9717746</v>
      </c>
      <c r="CN102" s="7" t="n">
        <f aca="false">Transport!U102</f>
        <v>0</v>
      </c>
      <c r="CO102" s="71"/>
      <c r="CQ102" s="7" t="n">
        <f aca="false">(((($B102+$C102+$D102+$O102+$P102+$Q102)*0.5)+BR102+BS102)*(0.005*'Prices&amp;Fuel'!$H102)+'Index Price Deals'!AV102)+(((BB102+BC102+BD102+BE102+BF102+BG102)*(1-'Prices&amp;Fuel'!F102))*0.005*0.5*'Prices&amp;Fuel'!H102)</f>
        <v>2875.25</v>
      </c>
      <c r="CR102" s="7" t="n">
        <f aca="false">(((($B102+$C102+$D102+$O102+$P102+$Q102)*0.5)+X102+Y102)*(0.005*'Prices&amp;Fuel'!$H102)+CA102+'Index Price Deals'!AW102)+(((BB102+BC102+BD102+BE102+BF102+BG102)*(1-'Prices&amp;Fuel'!F102))*0.005*0.5*'Prices&amp;Fuel'!H102)</f>
        <v>23913.8104113111</v>
      </c>
      <c r="CS102" s="11"/>
      <c r="CT102" s="7" t="n">
        <f aca="false">[2]Sheet1!$O118</f>
        <v>-141030.721432989</v>
      </c>
      <c r="CU102" s="7" t="n">
        <f aca="false">'[3]Long Term Deals'!$Z101</f>
        <v>10529.1015547159</v>
      </c>
      <c r="CV102" s="70" t="n">
        <f aca="false">CL102-CN102-CT102+CU102+CS102+CO102</f>
        <v>455793.071804629</v>
      </c>
      <c r="CW102" s="14" t="n">
        <f aca="false">((B102+C102+D102+O102+P102+Q102+X102+Y102+AF102+AG102+AH102+BB102+BC102+BD102+BE102+BF102+BG102+BR102+BS102)+('Index Price Deals'!B102+'Index Price Deals'!C102+'Index Price Deals'!D102+'Index Price Deals'!L102+'Index Price Deals'!M102+'Index Price Deals'!N102+'Index Price Deals'!AD102+'Index Price Deals'!AE102+'Index Price Deals'!AF102+'Index Price Deals'!AK102+'Index Price Deals'!AL102+'Index Price Deals'!AM102))*'Prices&amp;Fuel'!H102</f>
        <v>5368331.36246787</v>
      </c>
      <c r="DB102" s="1" t="n">
        <f aca="false">(O102+P102+Q102)*'Prices&amp;Fuel'!$H102</f>
        <v>778100</v>
      </c>
      <c r="DE102" s="1" t="n">
        <v>132000</v>
      </c>
    </row>
    <row r="103" customFormat="false" ht="12.75" hidden="false" customHeight="false" outlineLevel="0" collapsed="false">
      <c r="A103" s="6" t="n">
        <f aca="false">+A102+365/12</f>
        <v>38729.8333333333</v>
      </c>
      <c r="O103" s="7" t="n">
        <v>9036</v>
      </c>
      <c r="P103" s="7" t="n">
        <v>10794</v>
      </c>
      <c r="Q103" s="7" t="n">
        <v>5270</v>
      </c>
      <c r="R103" s="8" t="n">
        <f aca="false">R102</f>
        <v>3.198</v>
      </c>
      <c r="S103" s="8" t="n">
        <f aca="false">S102</f>
        <v>3.1856</v>
      </c>
      <c r="T103" s="7" t="n">
        <f aca="false">(($O103*R103)+($P103*R103)+($Q103*R103))*'Prices&amp;Fuel'!$H103</f>
        <v>2488363.8</v>
      </c>
      <c r="U103" s="7" t="n">
        <f aca="false">(($O103*S103)+($P103*S103)+($Q103*S103))*'Prices&amp;Fuel'!$H103</f>
        <v>2478715.36</v>
      </c>
      <c r="V103" s="14" t="n">
        <f aca="false">T103-U103</f>
        <v>9648.43999999994</v>
      </c>
      <c r="AF103" s="7" t="n">
        <f aca="false">(32000/(1-'Prices&amp;Fuel'!F103))+(25000/(1-'Prices&amp;Fuel'!G103))-AI103</f>
        <v>58611.8251928021</v>
      </c>
      <c r="AG103" s="7" t="n">
        <v>0</v>
      </c>
      <c r="AH103" s="7" t="n">
        <f aca="false">(75000/(1-'Prices&amp;Fuel'!G103))-AK103</f>
        <v>77120.822622108</v>
      </c>
      <c r="AI103" s="7"/>
      <c r="AJ103" s="7"/>
      <c r="AK103" s="7"/>
      <c r="AL103" s="11" t="n">
        <f aca="false">ROUND((132000/(1-'Prices&amp;Fuel'!F103))-AF103-AG103-AH103,0)</f>
        <v>0</v>
      </c>
      <c r="AM103" s="7" t="n">
        <f aca="false">ROUND(IF(AF103&lt;AP103,0,(AF103-AP103-AI103)/2),0)</f>
        <v>29306</v>
      </c>
      <c r="AO103" s="7" t="n">
        <f aca="false">ROUND((75000/(1-'Prices&amp;Fuel'!G103)-AV103-AK103)/2,0)</f>
        <v>38560</v>
      </c>
      <c r="AR103" s="7" t="n">
        <f aca="false">IF(AP103&gt;AF103,0,AF103-AM103-AP103)</f>
        <v>29305.8251928021</v>
      </c>
      <c r="AT103" s="14" t="n">
        <f aca="false">AH103-AO103-AV103</f>
        <v>38560.822622108</v>
      </c>
      <c r="AU103" s="14" t="n">
        <f aca="false">AL103*AX103*'Prices&amp;Fuel'!H103</f>
        <v>0</v>
      </c>
      <c r="AW103" s="68" t="n">
        <v>0.05</v>
      </c>
      <c r="AX103" s="68" t="n">
        <f aca="false">AX102</f>
        <v>0.025</v>
      </c>
      <c r="AY103" s="5" t="n">
        <f aca="false">('Prices&amp;Fuel'!H103*('Prices&amp;Fuel'!B103+AW103)*'Long Term Deals'!AF103)+('Prices&amp;Fuel'!H103*('Prices&amp;Fuel'!C103+'Long Term Deals'!AW103)*'Long Term Deals'!AG103)+(AH103*('Prices&amp;Fuel'!C103+AW103)*'Prices&amp;Fuel'!H103)+(AW103*AL103*'Prices&amp;Fuel'!H103)</f>
        <v>10040703.4984559</v>
      </c>
      <c r="AZ103" s="5" t="n">
        <f aca="false">(AP103*'Prices&amp;Fuel'!H103*'Prices&amp;Fuel'!B103)+(AQ103*'Prices&amp;Fuel'!C103*'Prices&amp;Fuel'!H103)+((AM103+AR103)*('Prices&amp;Fuel'!B103+'Long Term Deals'!AX103)*'Prices&amp;Fuel'!H103)+((AN103+AS103)*('Prices&amp;Fuel'!C103+'Long Term Deals'!AX103)*'Prices&amp;Fuel'!H103)+((AO103+AT103)*('Prices&amp;Fuel'!D103+'Long Term Deals'!AX103)*'Prices&amp;Fuel'!H103)+(AV103*'Prices&amp;Fuel'!H103*'Prices&amp;Fuel'!Q103)+AU103</f>
        <v>9815973.42133512</v>
      </c>
      <c r="BA103" s="5" t="n">
        <f aca="false">AY103-AZ103</f>
        <v>224730.077120824</v>
      </c>
      <c r="BB103" s="5" t="n">
        <f aca="false">IF('FP Corp'!T103-((BE103+BF103+BG103)*(1-'Prices&amp;Fuel'!F103))&lt;'Prices&amp;Fuel'!R103,('FP Corp'!T103-(BE103+BF103+BG103)*(1-'Prices&amp;Fuel'!F103)),'Prices&amp;Fuel'!R103)/(1-'Prices&amp;Fuel'!F103)</f>
        <v>4325.96401028278</v>
      </c>
      <c r="BC103" s="9"/>
      <c r="BD103" s="9" t="n">
        <f aca="false">ROUND(IF('FP Corp'!T103/(1-'Prices&amp;Fuel'!F103)-BE103-BF103-BG103-BB103&gt;'Prices&amp;Fuel'!T103,'Prices&amp;Fuel'!T103,'FP Corp'!T103/(1-'Prices&amp;Fuel'!F103)-BE103-BF103-BG103-BB103),9)</f>
        <v>0</v>
      </c>
      <c r="BE103" s="9" t="n">
        <f aca="false">'Prices&amp;Fuel'!U103/(1-'Prices&amp;Fuel'!F103)</f>
        <v>2635.47557840617</v>
      </c>
      <c r="BF103" s="9" t="n">
        <f aca="false">('Prices&amp;Fuel'!V103+'Prices&amp;Fuel'!X103)/(1-'Prices&amp;Fuel'!F103)</f>
        <v>3645.2442159383</v>
      </c>
      <c r="BG103" s="9" t="n">
        <f aca="false">'Prices&amp;Fuel'!W103/(1-'Prices&amp;Fuel'!F103)</f>
        <v>1732.64781491003</v>
      </c>
      <c r="BH103" s="10" t="n">
        <f aca="false">('Prices&amp;Fuel'!C103+'Prices&amp;Fuel'!D103)/2-0.05+('Prices&amp;Fuel'!M103+'Prices&amp;Fuel'!P103)*(1-'Prices&amp;Fuel'!F103)</f>
        <v>3.0316198527</v>
      </c>
      <c r="BI103" s="10"/>
      <c r="BJ103" s="10"/>
      <c r="BK103" s="10" t="n">
        <f aca="false">(((BB103+BE103)*('Prices&amp;Fuel'!B103+0.025))+(('Prices&amp;Fuel'!D103+0.025)*(BD103+BG103))+(('Prices&amp;Fuel'!C103+0.025)*(BC103+BF103))-(BI103+BJ103)*0.025)/(BB103+BC103+BD103+BE103+BF103+BG103)</f>
        <v>2.34630026936667</v>
      </c>
      <c r="BL103" s="9" t="n">
        <f aca="false">(BB103+BC103+BD103+BE103+BF103+BG103)*BH103*'Prices&amp;Fuel'!H103</f>
        <v>1159653.04391198</v>
      </c>
      <c r="BM103" s="9" t="n">
        <f aca="false">'Prices&amp;Fuel'!X103*('Prices&amp;Fuel'!N103+'Prices&amp;Fuel'!O103)*'Prices&amp;Fuel'!H103</f>
        <v>9438.64041395779</v>
      </c>
      <c r="BN103" s="9" t="n">
        <f aca="false">('Prices&amp;Fuel'!U103+'Prices&amp;Fuel'!V103+'Prices&amp;Fuel'!W103)*('Prices&amp;Fuel'!L103+'Prices&amp;Fuel'!O103)*'Prices&amp;Fuel'!H103</f>
        <v>98255.8321277305</v>
      </c>
      <c r="BO103" s="9" t="n">
        <f aca="false">((BB103+BC103+BD103)*(1-'Prices&amp;Fuel'!G103))*('Prices&amp;Fuel'!M103+'Prices&amp;Fuel'!P103)*'Prices&amp;Fuel'!H103</f>
        <v>99834.2135</v>
      </c>
      <c r="BP103" s="9" t="n">
        <f aca="false">((BD103+BC103+BB103+BE103+BF103+BG103)*BK103*'Prices&amp;Fuel'!H103)+BM103+BN103+BO103</f>
        <v>1105033.77622616</v>
      </c>
      <c r="BQ103" s="5" t="n">
        <f aca="false">BL103-BP103</f>
        <v>54619.2676858183</v>
      </c>
      <c r="CA103" s="5" t="n">
        <f aca="false">(AF103+AG103+AH103+AL103)*0.005*'Prices&amp;Fuel'!H103</f>
        <v>21038.5604113111</v>
      </c>
      <c r="CB103" s="5" t="n">
        <f aca="false">(B103+C103+D103+O103+P103+Q103+X103+Y103+BB103+BC103+BD103+BE103+BF103+BG103+BR103+BS103)*0.005*'Prices&amp;Fuel'!H103</f>
        <v>5803.09640102828</v>
      </c>
      <c r="CC103" s="7" t="n">
        <f aca="false">K103+T103+AB103+AY103+BL103+BX103</f>
        <v>13688720.3423679</v>
      </c>
      <c r="CD103" s="7" t="n">
        <f aca="false">L103+U103+AC103+AZ103+BP103+BY103+CA103+CB103</f>
        <v>13426564.2143736</v>
      </c>
      <c r="CE103" s="7" t="n">
        <f aca="false">CC103-CD103</f>
        <v>262156.127994305</v>
      </c>
      <c r="CF103" s="7" t="n">
        <f aca="false">'Index Price Deals'!AR103</f>
        <v>0</v>
      </c>
      <c r="CG103" s="7" t="n">
        <f aca="false">'Index Price Deals'!AS103</f>
        <v>0</v>
      </c>
      <c r="CH103" s="7" t="n">
        <f aca="false">'Index Price Deals'!AT103</f>
        <v>0</v>
      </c>
      <c r="CI103" s="7" t="n">
        <f aca="false">'Index Price Deals'!AU103</f>
        <v>0</v>
      </c>
      <c r="CJ103" s="7" t="n">
        <f aca="false">CC103+CF103</f>
        <v>13688720.3423679</v>
      </c>
      <c r="CK103" s="7" t="n">
        <f aca="false">CD103+CH103</f>
        <v>13426564.2143736</v>
      </c>
      <c r="CL103" s="7" t="n">
        <f aca="false">CE103+CI103</f>
        <v>262156.127994305</v>
      </c>
      <c r="CM103" s="69"/>
      <c r="CN103" s="7" t="n">
        <f aca="false">Transport!U103</f>
        <v>0</v>
      </c>
      <c r="CO103" s="71"/>
      <c r="CQ103" s="7" t="n">
        <f aca="false">(((($B103+$C103+$D103+$O103+$P103+$Q103)*0.5)+BR103+BS103)*(0.005*'Prices&amp;Fuel'!$H103)+'Index Price Deals'!AV103)+(((BB103+BC103+BD103+BE103+BF103+BG103)*(1-'Prices&amp;Fuel'!F103))*0.005*0.5*'Prices&amp;Fuel'!H103)</f>
        <v>2875.25</v>
      </c>
      <c r="CR103" s="7" t="n">
        <f aca="false">(((($B103+$C103+$D103+$O103+$P103+$Q103)*0.5)+X103+Y103)*(0.005*'Prices&amp;Fuel'!$H103)+CA103+'Index Price Deals'!AW103)+(((BB103+BC103+BD103+BE103+BF103+BG103)*(1-'Prices&amp;Fuel'!F103))*0.005*0.5*'Prices&amp;Fuel'!H103)</f>
        <v>23913.8104113111</v>
      </c>
      <c r="CS103" s="11"/>
      <c r="CT103" s="7" t="n">
        <f aca="false">[2]Sheet1!$O120</f>
        <v>-183238.044795547</v>
      </c>
      <c r="CU103" s="7" t="n">
        <f aca="false">'[3]Long Term Deals'!$Z102</f>
        <v>10529.1015547159</v>
      </c>
      <c r="CV103" s="70" t="n">
        <f aca="false">CL103-CN103-CT103+CU103+CS103+CO103</f>
        <v>455923.274344568</v>
      </c>
      <c r="DB103" s="1" t="n">
        <f aca="false">(O103+P103+Q103)*'Prices&amp;Fuel'!$H103</f>
        <v>778100</v>
      </c>
      <c r="DE103" s="1" t="n">
        <v>132000</v>
      </c>
    </row>
    <row r="104" customFormat="false" ht="12.75" hidden="false" customHeight="false" outlineLevel="0" collapsed="false">
      <c r="A104" s="6" t="n">
        <f aca="false">+A103+365/12</f>
        <v>38760.25</v>
      </c>
      <c r="O104" s="7" t="n">
        <v>9036</v>
      </c>
      <c r="P104" s="7" t="n">
        <v>10794</v>
      </c>
      <c r="Q104" s="7" t="n">
        <v>5270</v>
      </c>
      <c r="R104" s="8" t="n">
        <f aca="false">R103</f>
        <v>3.198</v>
      </c>
      <c r="S104" s="8" t="n">
        <f aca="false">S103</f>
        <v>3.1856</v>
      </c>
      <c r="T104" s="7" t="n">
        <f aca="false">(($O104*R104)+($P104*R104)+($Q104*R104))*'Prices&amp;Fuel'!$H104</f>
        <v>2247554.4</v>
      </c>
      <c r="U104" s="7" t="n">
        <f aca="false">(($O104*S104)+($P104*S104)+($Q104*S104))*'Prices&amp;Fuel'!$H104</f>
        <v>2238839.68</v>
      </c>
      <c r="V104" s="14" t="n">
        <f aca="false">T104-U104</f>
        <v>8714.71999999974</v>
      </c>
      <c r="AF104" s="7" t="n">
        <f aca="false">(32000/(1-'Prices&amp;Fuel'!F104))+(25000/(1-'Prices&amp;Fuel'!G104))-AI104</f>
        <v>58611.8251928021</v>
      </c>
      <c r="AG104" s="7" t="n">
        <v>0</v>
      </c>
      <c r="AH104" s="7" t="n">
        <f aca="false">(75000/(1-'Prices&amp;Fuel'!G104))-AK104</f>
        <v>77120.822622108</v>
      </c>
      <c r="AI104" s="7"/>
      <c r="AJ104" s="7"/>
      <c r="AK104" s="7"/>
      <c r="AL104" s="11" t="n">
        <f aca="false">ROUND((132000/(1-'Prices&amp;Fuel'!F104))-AF104-AG104-AH104,0)</f>
        <v>0</v>
      </c>
      <c r="AM104" s="7" t="n">
        <f aca="false">ROUND(IF(AF104&lt;AP104,0,(AF104-AP104-AI104)/2),0)</f>
        <v>29306</v>
      </c>
      <c r="AO104" s="7" t="n">
        <f aca="false">ROUND((75000/(1-'Prices&amp;Fuel'!G104)-AV104-AK104)/2,0)</f>
        <v>38560</v>
      </c>
      <c r="AR104" s="7" t="n">
        <f aca="false">IF(AP104&gt;AF104,0,AF104-AM104-AP104)</f>
        <v>29305.8251928021</v>
      </c>
      <c r="AT104" s="14" t="n">
        <f aca="false">AH104-AO104-AV104</f>
        <v>38560.822622108</v>
      </c>
      <c r="AU104" s="14" t="n">
        <f aca="false">AL104*AX104*'Prices&amp;Fuel'!H104</f>
        <v>0</v>
      </c>
      <c r="AW104" s="68" t="n">
        <f aca="false">AW103</f>
        <v>0.05</v>
      </c>
      <c r="AX104" s="68" t="n">
        <f aca="false">AX103</f>
        <v>0.025</v>
      </c>
      <c r="AY104" s="5" t="n">
        <f aca="false">('Prices&amp;Fuel'!H104*('Prices&amp;Fuel'!B104+AW104)*'Long Term Deals'!AF104)+('Prices&amp;Fuel'!H104*('Prices&amp;Fuel'!C104+'Long Term Deals'!AW104)*'Long Term Deals'!AG104)+(AH104*('Prices&amp;Fuel'!C104+AW104)*'Prices&amp;Fuel'!H104)+(AW104*AL104*'Prices&amp;Fuel'!H104)</f>
        <v>10136826.6830215</v>
      </c>
      <c r="AZ104" s="5" t="n">
        <f aca="false">(AP104*'Prices&amp;Fuel'!H104*'Prices&amp;Fuel'!B104)+(AQ104*'Prices&amp;Fuel'!C104*'Prices&amp;Fuel'!H104)+((AM104+AR104)*('Prices&amp;Fuel'!B104+'Long Term Deals'!AX104)*'Prices&amp;Fuel'!H104)+((AN104+AS104)*('Prices&amp;Fuel'!C104+'Long Term Deals'!AX104)*'Prices&amp;Fuel'!H104)+((AO104+AT104)*('Prices&amp;Fuel'!D104+'Long Term Deals'!AX104)*'Prices&amp;Fuel'!H104)+(AV104*'Prices&amp;Fuel'!H104*'Prices&amp;Fuel'!Q104)+AU104</f>
        <v>9933844.67788011</v>
      </c>
      <c r="BA104" s="5" t="n">
        <f aca="false">AY104-AZ104</f>
        <v>202982.005141385</v>
      </c>
      <c r="BB104" s="5" t="n">
        <f aca="false">IF('FP Corp'!T104-((BE104+BF104+BG104)*(1-'Prices&amp;Fuel'!F104))&lt;'Prices&amp;Fuel'!R104,('FP Corp'!T104-(BE104+BF104+BG104)*(1-'Prices&amp;Fuel'!F104)),'Prices&amp;Fuel'!R104)/(1-'Prices&amp;Fuel'!F104)</f>
        <v>4325.96401028278</v>
      </c>
      <c r="BC104" s="9"/>
      <c r="BD104" s="9" t="n">
        <f aca="false">ROUND(IF('FP Corp'!T104/(1-'Prices&amp;Fuel'!F104)-BE104-BF104-BG104-BB104&gt;'Prices&amp;Fuel'!T104,'Prices&amp;Fuel'!T104,'FP Corp'!T104/(1-'Prices&amp;Fuel'!F104)-BE104-BF104-BG104-BB104),9)</f>
        <v>0</v>
      </c>
      <c r="BE104" s="9" t="n">
        <f aca="false">'Prices&amp;Fuel'!U104/(1-'Prices&amp;Fuel'!F104)</f>
        <v>2635.47557840617</v>
      </c>
      <c r="BF104" s="9" t="n">
        <f aca="false">('Prices&amp;Fuel'!V104+'Prices&amp;Fuel'!X104)/(1-'Prices&amp;Fuel'!F104)</f>
        <v>3645.2442159383</v>
      </c>
      <c r="BG104" s="9" t="n">
        <f aca="false">'Prices&amp;Fuel'!W104/(1-'Prices&amp;Fuel'!F104)</f>
        <v>1732.64781491003</v>
      </c>
      <c r="BH104" s="10" t="n">
        <f aca="false">('Prices&amp;Fuel'!C104+'Prices&amp;Fuel'!D104)/2-0.05+('Prices&amp;Fuel'!M104+'Prices&amp;Fuel'!P104)*(1-'Prices&amp;Fuel'!F104)</f>
        <v>3.3125829354</v>
      </c>
      <c r="BI104" s="10"/>
      <c r="BJ104" s="10"/>
      <c r="BK104" s="10" t="n">
        <f aca="false">(((BB104+BE104)*('Prices&amp;Fuel'!B104+0.025))+(('Prices&amp;Fuel'!D104+0.025)*(BD104+BG104))+(('Prices&amp;Fuel'!C104+0.025)*(BC104+BF104))-(BI104+BJ104)*0.025)/(BB104+BC104+BD104+BE104+BF104+BG104)</f>
        <v>2.62726335206667</v>
      </c>
      <c r="BL104" s="9" t="n">
        <f aca="false">(BB104+BC104+BD104+BE104+BF104+BG104)*BH104*'Prices&amp;Fuel'!H104</f>
        <v>1144501.66199938</v>
      </c>
      <c r="BM104" s="9" t="n">
        <f aca="false">'Prices&amp;Fuel'!X104*('Prices&amp;Fuel'!N104+'Prices&amp;Fuel'!O104)*'Prices&amp;Fuel'!H104</f>
        <v>8525.22359970381</v>
      </c>
      <c r="BN104" s="9" t="n">
        <f aca="false">('Prices&amp;Fuel'!U104+'Prices&amp;Fuel'!V104+'Prices&amp;Fuel'!W104)*('Prices&amp;Fuel'!L104+'Prices&amp;Fuel'!O104)*'Prices&amp;Fuel'!H104</f>
        <v>88747.2032121437</v>
      </c>
      <c r="BO104" s="9" t="n">
        <f aca="false">((BB104+BC104+BD104)*(1-'Prices&amp;Fuel'!G104))*('Prices&amp;Fuel'!M104+'Prices&amp;Fuel'!P104)*'Prices&amp;Fuel'!H104</f>
        <v>90172.838</v>
      </c>
      <c r="BP104" s="9" t="n">
        <f aca="false">((BD104+BC104+BB104+BE104+BF104+BG104)*BK104*'Prices&amp;Fuel'!H104)+BM104+BN104+BO104</f>
        <v>1095168.12989606</v>
      </c>
      <c r="BQ104" s="5" t="n">
        <f aca="false">BL104-BP104</f>
        <v>49333.5321033197</v>
      </c>
      <c r="CA104" s="5" t="n">
        <f aca="false">(AF104+AG104+AH104+AL104)*0.005*'Prices&amp;Fuel'!H104</f>
        <v>19002.5706940874</v>
      </c>
      <c r="CB104" s="5" t="n">
        <f aca="false">(B104+C104+D104+O104+P104+Q104+X104+Y104+BB104+BC104+BD104+BE104+BF104+BG104+BR104+BS104)*0.005*'Prices&amp;Fuel'!H104</f>
        <v>5241.50642673522</v>
      </c>
      <c r="CC104" s="7" t="n">
        <f aca="false">K104+T104+AB104+AY104+BL104+BX104</f>
        <v>13528882.7450209</v>
      </c>
      <c r="CD104" s="7" t="n">
        <f aca="false">L104+U104+AC104+AZ104+BP104+BY104+CA104+CB104</f>
        <v>13292096.564897</v>
      </c>
      <c r="CE104" s="7" t="n">
        <f aca="false">CC104-CD104</f>
        <v>236786.180123881</v>
      </c>
      <c r="CF104" s="7" t="n">
        <f aca="false">'Index Price Deals'!AR104</f>
        <v>0</v>
      </c>
      <c r="CG104" s="7" t="n">
        <f aca="false">'Index Price Deals'!AS104</f>
        <v>0</v>
      </c>
      <c r="CH104" s="7" t="n">
        <f aca="false">'Index Price Deals'!AT104</f>
        <v>0</v>
      </c>
      <c r="CI104" s="7" t="n">
        <f aca="false">'Index Price Deals'!AU104</f>
        <v>0</v>
      </c>
      <c r="CJ104" s="7" t="n">
        <f aca="false">CC104+CF104</f>
        <v>13528882.7450209</v>
      </c>
      <c r="CK104" s="7" t="n">
        <f aca="false">CD104+CH104</f>
        <v>13292096.564897</v>
      </c>
      <c r="CL104" s="7" t="n">
        <f aca="false">CE104+CI104</f>
        <v>236786.180123881</v>
      </c>
      <c r="CM104" s="69"/>
      <c r="CN104" s="7" t="n">
        <f aca="false">Transport!U104</f>
        <v>0</v>
      </c>
      <c r="CO104" s="71"/>
      <c r="CQ104" s="7" t="n">
        <f aca="false">(((($B104+$C104+$D104+$O104+$P104+$Q104)*0.5)+BR104+BS104)*(0.005*'Prices&amp;Fuel'!$H104)+'Index Price Deals'!AV104)+(((BB104+BC104+BD104+BE104+BF104+BG104)*(1-'Prices&amp;Fuel'!F104))*0.005*0.5*'Prices&amp;Fuel'!H104)</f>
        <v>2597</v>
      </c>
      <c r="CR104" s="7" t="n">
        <f aca="false">(((($B104+$C104+$D104+$O104+$P104+$Q104)*0.5)+X104+Y104)*(0.005*'Prices&amp;Fuel'!$H104)+CA104+'Index Price Deals'!AW104)+(((BB104+BC104+BD104+BE104+BF104+BG104)*(1-'Prices&amp;Fuel'!F104))*0.005*0.5*'Prices&amp;Fuel'!H104)</f>
        <v>21599.5706940874</v>
      </c>
      <c r="CS104" s="11"/>
      <c r="CT104" s="7" t="n">
        <f aca="false">[2]Sheet1!$O121</f>
        <v>-165505.330783075</v>
      </c>
      <c r="CU104" s="7" t="n">
        <f aca="false">'[3]Long Term Deals'!$Z103</f>
        <v>9510.15624296921</v>
      </c>
      <c r="CV104" s="70" t="n">
        <f aca="false">CL104-CN104-CT104+CU104+CS104+CO104</f>
        <v>411801.667149925</v>
      </c>
      <c r="DB104" s="1" t="n">
        <f aca="false">(O104+P104+Q104)*'Prices&amp;Fuel'!$H104</f>
        <v>702800</v>
      </c>
      <c r="DE104" s="1" t="n">
        <v>132000</v>
      </c>
    </row>
    <row r="105" customFormat="false" ht="12.75" hidden="false" customHeight="false" outlineLevel="0" collapsed="false">
      <c r="A105" s="6" t="n">
        <f aca="false">+A104+365/12</f>
        <v>38790.6666666667</v>
      </c>
      <c r="O105" s="7" t="n">
        <v>9036</v>
      </c>
      <c r="P105" s="7" t="n">
        <v>10794</v>
      </c>
      <c r="Q105" s="7" t="n">
        <v>5270</v>
      </c>
      <c r="R105" s="8" t="n">
        <f aca="false">R104</f>
        <v>3.198</v>
      </c>
      <c r="S105" s="8" t="n">
        <f aca="false">S104</f>
        <v>3.1856</v>
      </c>
      <c r="T105" s="7" t="n">
        <f aca="false">(($O105*R105)+($P105*R105)+($Q105*R105))*'Prices&amp;Fuel'!$H105</f>
        <v>2488363.8</v>
      </c>
      <c r="U105" s="7" t="n">
        <f aca="false">(($O105*S105)+($P105*S105)+($Q105*S105))*'Prices&amp;Fuel'!$H105</f>
        <v>2478715.36</v>
      </c>
      <c r="V105" s="14" t="n">
        <f aca="false">T105-U105</f>
        <v>9648.43999999994</v>
      </c>
      <c r="AF105" s="7" t="n">
        <f aca="false">(32000/(1-'Prices&amp;Fuel'!F105))+(25000/(1-'Prices&amp;Fuel'!G105))-AI105</f>
        <v>58611.8251928021</v>
      </c>
      <c r="AG105" s="7" t="n">
        <v>0</v>
      </c>
      <c r="AH105" s="7" t="n">
        <f aca="false">(75000/(1-'Prices&amp;Fuel'!G105))-AK105</f>
        <v>77120.822622108</v>
      </c>
      <c r="AI105" s="7"/>
      <c r="AJ105" s="7"/>
      <c r="AK105" s="7"/>
      <c r="AL105" s="11" t="n">
        <f aca="false">ROUND((132000/(1-'Prices&amp;Fuel'!F105))-AF105-AG105-AH105,0)</f>
        <v>0</v>
      </c>
      <c r="AM105" s="7" t="n">
        <f aca="false">ROUND(IF(AF105&lt;AP105,0,(AF105-AP105-AI105)/2),0)</f>
        <v>29306</v>
      </c>
      <c r="AO105" s="7" t="n">
        <f aca="false">ROUND((75000/(1-'Prices&amp;Fuel'!G105)-AV105-AK105)/2,0)</f>
        <v>38560</v>
      </c>
      <c r="AR105" s="7" t="n">
        <f aca="false">IF(AP105&gt;AF105,0,AF105-AM105-AP105)</f>
        <v>29305.8251928021</v>
      </c>
      <c r="AT105" s="14" t="n">
        <f aca="false">AH105-AO105-AV105</f>
        <v>38560.822622108</v>
      </c>
      <c r="AU105" s="14" t="n">
        <f aca="false">AL105*AX105*'Prices&amp;Fuel'!H105</f>
        <v>0</v>
      </c>
      <c r="AW105" s="68" t="n">
        <f aca="false">AW104</f>
        <v>0.05</v>
      </c>
      <c r="AX105" s="68" t="n">
        <f aca="false">AX104</f>
        <v>0.025</v>
      </c>
      <c r="AY105" s="5" t="n">
        <f aca="false">('Prices&amp;Fuel'!H105*('Prices&amp;Fuel'!B105+AW105)*'Long Term Deals'!AF105)+('Prices&amp;Fuel'!H105*('Prices&amp;Fuel'!C105+'Long Term Deals'!AW105)*'Long Term Deals'!AG105)+(AH105*('Prices&amp;Fuel'!C105+AW105)*'Prices&amp;Fuel'!H105)+(AW105*AL105*'Prices&amp;Fuel'!H105)</f>
        <v>11222915.2562024</v>
      </c>
      <c r="AZ105" s="5" t="n">
        <f aca="false">(AP105*'Prices&amp;Fuel'!H105*'Prices&amp;Fuel'!B105)+(AQ105*'Prices&amp;Fuel'!C105*'Prices&amp;Fuel'!H105)+((AM105+AR105)*('Prices&amp;Fuel'!B105+'Long Term Deals'!AX105)*'Prices&amp;Fuel'!H105)+((AN105+AS105)*('Prices&amp;Fuel'!C105+'Long Term Deals'!AX105)*'Prices&amp;Fuel'!H105)+((AO105+AT105)*('Prices&amp;Fuel'!D105+'Long Term Deals'!AX105)*'Prices&amp;Fuel'!H105)+(AV105*'Prices&amp;Fuel'!H105*'Prices&amp;Fuel'!Q105)+AU105</f>
        <v>10998185.1790815</v>
      </c>
      <c r="BA105" s="5" t="n">
        <f aca="false">AY105-AZ105</f>
        <v>224730.077120822</v>
      </c>
      <c r="BB105" s="5" t="n">
        <f aca="false">IF('FP Corp'!T105-((BE105+BF105+BG105)*(1-'Prices&amp;Fuel'!F105))&lt;'Prices&amp;Fuel'!R105,('FP Corp'!T105-(BE105+BF105+BG105)*(1-'Prices&amp;Fuel'!F105)),'Prices&amp;Fuel'!R105)/(1-'Prices&amp;Fuel'!F105)</f>
        <v>4325.96401028278</v>
      </c>
      <c r="BC105" s="9"/>
      <c r="BD105" s="9" t="n">
        <f aca="false">ROUND(IF('FP Corp'!T105/(1-'Prices&amp;Fuel'!F105)-BE105-BF105-BG105-BB105&gt;'Prices&amp;Fuel'!T105,'Prices&amp;Fuel'!T105,'FP Corp'!T105/(1-'Prices&amp;Fuel'!F105)-BE105-BF105-BG105-BB105),9)</f>
        <v>0</v>
      </c>
      <c r="BE105" s="9" t="n">
        <f aca="false">'Prices&amp;Fuel'!U105/(1-'Prices&amp;Fuel'!F105)</f>
        <v>2635.47557840617</v>
      </c>
      <c r="BF105" s="9" t="n">
        <f aca="false">('Prices&amp;Fuel'!V105+'Prices&amp;Fuel'!X105)/(1-'Prices&amp;Fuel'!F105)</f>
        <v>3645.2442159383</v>
      </c>
      <c r="BG105" s="9" t="n">
        <f aca="false">'Prices&amp;Fuel'!W105/(1-'Prices&amp;Fuel'!F105)</f>
        <v>1732.64781491003</v>
      </c>
      <c r="BH105" s="10" t="n">
        <f aca="false">('Prices&amp;Fuel'!C105+'Prices&amp;Fuel'!D105)/2-0.05+('Prices&amp;Fuel'!M105+'Prices&amp;Fuel'!P105)*(1-'Prices&amp;Fuel'!F105)</f>
        <v>3.3125829354</v>
      </c>
      <c r="BI105" s="10"/>
      <c r="BJ105" s="10"/>
      <c r="BK105" s="10" t="n">
        <f aca="false">(((BB105+BE105)*('Prices&amp;Fuel'!B105+0.025))+(('Prices&amp;Fuel'!D105+0.025)*(BD105+BG105))+(('Prices&amp;Fuel'!C105+0.025)*(BC105+BF105))-(BI105+BJ105)*0.025)/(BB105+BC105+BD105+BE105+BF105+BG105)</f>
        <v>2.62726335206667</v>
      </c>
      <c r="BL105" s="9" t="n">
        <f aca="false">(BB105+BC105+BD105+BE105+BF105+BG105)*BH105*'Prices&amp;Fuel'!H105</f>
        <v>1267126.84007075</v>
      </c>
      <c r="BM105" s="9" t="n">
        <f aca="false">'Prices&amp;Fuel'!X105*('Prices&amp;Fuel'!N105+'Prices&amp;Fuel'!O105)*'Prices&amp;Fuel'!H105</f>
        <v>9438.64041395779</v>
      </c>
      <c r="BN105" s="9" t="n">
        <f aca="false">('Prices&amp;Fuel'!U105+'Prices&amp;Fuel'!V105+'Prices&amp;Fuel'!W105)*('Prices&amp;Fuel'!L105+'Prices&amp;Fuel'!O105)*'Prices&amp;Fuel'!H105</f>
        <v>98255.8321277305</v>
      </c>
      <c r="BO105" s="9" t="n">
        <f aca="false">((BB105+BC105+BD105)*(1-'Prices&amp;Fuel'!G105))*('Prices&amp;Fuel'!M105+'Prices&amp;Fuel'!P105)*'Prices&amp;Fuel'!H105</f>
        <v>99834.2135</v>
      </c>
      <c r="BP105" s="9" t="n">
        <f aca="false">((BD105+BC105+BB105+BE105+BF105+BG105)*BK105*'Prices&amp;Fuel'!H105)+BM105+BN105+BO105</f>
        <v>1212507.57238493</v>
      </c>
      <c r="BQ105" s="5" t="n">
        <f aca="false">BL105-BP105</f>
        <v>54619.267685818</v>
      </c>
      <c r="CA105" s="5" t="n">
        <f aca="false">(AF105+AG105+AH105+AL105)*0.005*'Prices&amp;Fuel'!H105</f>
        <v>21038.5604113111</v>
      </c>
      <c r="CB105" s="5" t="n">
        <f aca="false">(B105+C105+D105+O105+P105+Q105+X105+Y105+BB105+BC105+BD105+BE105+BF105+BG105+BR105+BS105)*0.005*'Prices&amp;Fuel'!H105</f>
        <v>5803.09640102828</v>
      </c>
      <c r="CC105" s="7" t="n">
        <f aca="false">K105+T105+AB105+AY105+BL105+BX105</f>
        <v>14978405.8962731</v>
      </c>
      <c r="CD105" s="7" t="n">
        <f aca="false">L105+U105+AC105+AZ105+BP105+BY105+CA105+CB105</f>
        <v>14716249.7682788</v>
      </c>
      <c r="CE105" s="7" t="n">
        <f aca="false">CC105-CD105</f>
        <v>262156.127994301</v>
      </c>
      <c r="CF105" s="7" t="n">
        <f aca="false">'Index Price Deals'!AR105</f>
        <v>0</v>
      </c>
      <c r="CG105" s="7" t="n">
        <f aca="false">'Index Price Deals'!AS105</f>
        <v>0</v>
      </c>
      <c r="CH105" s="7" t="n">
        <f aca="false">'Index Price Deals'!AT105</f>
        <v>0</v>
      </c>
      <c r="CI105" s="7" t="n">
        <f aca="false">'Index Price Deals'!AU105</f>
        <v>0</v>
      </c>
      <c r="CJ105" s="7" t="n">
        <f aca="false">CC105+CF105</f>
        <v>14978405.8962731</v>
      </c>
      <c r="CK105" s="7" t="n">
        <f aca="false">CD105+CH105</f>
        <v>14716249.7682788</v>
      </c>
      <c r="CL105" s="7" t="n">
        <f aca="false">CE105+CI105</f>
        <v>262156.127994301</v>
      </c>
      <c r="CM105" s="69"/>
      <c r="CN105" s="7" t="n">
        <f aca="false">Transport!U105</f>
        <v>0</v>
      </c>
      <c r="CQ105" s="7" t="n">
        <f aca="false">(((($B105+$C105+$D105+$O105+$P105+$Q105)*0.5)+BR105+BS105)*(0.005*'Prices&amp;Fuel'!$H105)+'Index Price Deals'!AV105)+(((BB105+BC105+BD105+BE105+BF105+BG105)*(1-'Prices&amp;Fuel'!F105))*0.005*0.5*'Prices&amp;Fuel'!H105)</f>
        <v>2875.25</v>
      </c>
      <c r="CR105" s="7" t="n">
        <f aca="false">(((($B105+$C105+$D105+$O105+$P105+$Q105)*0.5)+X105+Y105)*(0.005*'Prices&amp;Fuel'!$H105)+CA105+'Index Price Deals'!AW105)+(((BB105+BC105+BD105+BE105+BF105+BG105)*(1-'Prices&amp;Fuel'!F105))*0.005*0.5*'Prices&amp;Fuel'!H105)</f>
        <v>23913.8104113111</v>
      </c>
      <c r="CS105" s="11"/>
      <c r="CT105" s="7" t="n">
        <f aca="false">[2]Sheet1!$O122</f>
        <v>-183238.044795547</v>
      </c>
      <c r="CU105" s="7" t="n">
        <f aca="false">'[3]Long Term Deals'!$Z104</f>
        <v>10529.1015547159</v>
      </c>
      <c r="CV105" s="70" t="n">
        <f aca="false">CL105-CN105-CT105+CU105+CS105+CO105</f>
        <v>455923.274344564</v>
      </c>
      <c r="DB105" s="1" t="n">
        <f aca="false">(O105+P105+Q105)*'Prices&amp;Fuel'!$H105</f>
        <v>778100</v>
      </c>
      <c r="DE105" s="1" t="n">
        <v>132000</v>
      </c>
    </row>
    <row r="106" customFormat="false" ht="12.75" hidden="false" customHeight="false" outlineLevel="0" collapsed="false">
      <c r="A106" s="6" t="n">
        <f aca="false">+A105+365/12</f>
        <v>38821.0833333333</v>
      </c>
      <c r="O106" s="7" t="n">
        <v>9036</v>
      </c>
      <c r="P106" s="7" t="n">
        <v>10794</v>
      </c>
      <c r="Q106" s="7" t="n">
        <v>5270</v>
      </c>
      <c r="R106" s="8" t="n">
        <f aca="false">R105</f>
        <v>3.198</v>
      </c>
      <c r="S106" s="8" t="n">
        <f aca="false">S105</f>
        <v>3.1856</v>
      </c>
      <c r="T106" s="7" t="n">
        <f aca="false">(($O106*R106)+($P106*R106)+($Q106*R106))*'Prices&amp;Fuel'!$H106</f>
        <v>2408094</v>
      </c>
      <c r="U106" s="7" t="n">
        <f aca="false">(($O106*S106)+($P106*S106)+($Q106*S106))*'Prices&amp;Fuel'!$H106</f>
        <v>2398756.8</v>
      </c>
      <c r="V106" s="14" t="n">
        <f aca="false">T106-U106</f>
        <v>9337.19999999972</v>
      </c>
      <c r="AF106" s="7" t="n">
        <f aca="false">(32000/(1-'Prices&amp;Fuel'!F106))+(25000/(1-'Prices&amp;Fuel'!G106))-AI106</f>
        <v>58611.8251928021</v>
      </c>
      <c r="AG106" s="7" t="n">
        <v>0</v>
      </c>
      <c r="AH106" s="7" t="n">
        <f aca="false">(75000/(1-'Prices&amp;Fuel'!G106))-AK106</f>
        <v>77120.822622108</v>
      </c>
      <c r="AI106" s="7"/>
      <c r="AJ106" s="7"/>
      <c r="AK106" s="7"/>
      <c r="AL106" s="11" t="n">
        <f aca="false">ROUND((132000/(1-'Prices&amp;Fuel'!F106))-AF106-AG106-AH106,0)</f>
        <v>0</v>
      </c>
      <c r="AM106" s="7" t="n">
        <f aca="false">ROUND(IF(AF106&lt;AP106,0,(AF106-AP106-AI106)/2),0)</f>
        <v>29306</v>
      </c>
      <c r="AO106" s="7" t="n">
        <f aca="false">ROUND((75000/(1-'Prices&amp;Fuel'!G106)-AV106-AK106)/2,0)</f>
        <v>38560</v>
      </c>
      <c r="AR106" s="7" t="n">
        <f aca="false">IF(AP106&gt;AF106,0,AF106-AM106-AP106)</f>
        <v>29305.8251928021</v>
      </c>
      <c r="AT106" s="14" t="n">
        <f aca="false">AH106-AO106-AV106</f>
        <v>38560.822622108</v>
      </c>
      <c r="AU106" s="14" t="n">
        <f aca="false">AL106*AX106*'Prices&amp;Fuel'!H106</f>
        <v>0</v>
      </c>
      <c r="AW106" s="68" t="n">
        <f aca="false">AW105</f>
        <v>0.05</v>
      </c>
      <c r="AX106" s="68" t="n">
        <f aca="false">AX105</f>
        <v>0.025</v>
      </c>
      <c r="AY106" s="5" t="n">
        <f aca="false">('Prices&amp;Fuel'!H106*('Prices&amp;Fuel'!B106+AW106)*'Long Term Deals'!AF106)+('Prices&amp;Fuel'!H106*('Prices&amp;Fuel'!C106+'Long Term Deals'!AW106)*'Long Term Deals'!AG106)+(AH106*('Prices&amp;Fuel'!C106+AW106)*'Prices&amp;Fuel'!H106)+(AW106*AL106*'Prices&amp;Fuel'!H106)</f>
        <v>12004961.6264021</v>
      </c>
      <c r="AZ106" s="5" t="n">
        <f aca="false">(AP106*'Prices&amp;Fuel'!H106*'Prices&amp;Fuel'!B106)+(AQ106*'Prices&amp;Fuel'!C106*'Prices&amp;Fuel'!H106)+((AM106+AR106)*('Prices&amp;Fuel'!B106+'Long Term Deals'!AX106)*'Prices&amp;Fuel'!H106)+((AN106+AS106)*('Prices&amp;Fuel'!C106+'Long Term Deals'!AX106)*'Prices&amp;Fuel'!H106)+((AO106+AT106)*('Prices&amp;Fuel'!D106+'Long Term Deals'!AX106)*'Prices&amp;Fuel'!H106)+(AV106*'Prices&amp;Fuel'!H106*'Prices&amp;Fuel'!Q106)+AU106</f>
        <v>11787480.9066077</v>
      </c>
      <c r="BA106" s="5" t="n">
        <f aca="false">AY106-AZ106</f>
        <v>217480.719794344</v>
      </c>
      <c r="BB106" s="5" t="n">
        <f aca="false">IF('FP Corp'!T106-((BE106+BF106+BG106)*(1-'Prices&amp;Fuel'!F106))&lt;'Prices&amp;Fuel'!R106,('FP Corp'!T106-(BE106+BF106+BG106)*(1-'Prices&amp;Fuel'!F106)),'Prices&amp;Fuel'!R106)/(1-'Prices&amp;Fuel'!F106)</f>
        <v>6278.66323907455</v>
      </c>
      <c r="BC106" s="9"/>
      <c r="BD106" s="9" t="n">
        <f aca="false">ROUND(IF('FP Corp'!T106/(1-'Prices&amp;Fuel'!F106)-BE106-BF106-BG106-BB106&gt;'Prices&amp;Fuel'!T106,'Prices&amp;Fuel'!T106,'FP Corp'!T106/(1-'Prices&amp;Fuel'!F106)-BE106-BF106-BG106-BB106),9)</f>
        <v>0</v>
      </c>
      <c r="BE106" s="9" t="n">
        <f aca="false">'Prices&amp;Fuel'!U106/(1-'Prices&amp;Fuel'!F106)</f>
        <v>1933.16195372751</v>
      </c>
      <c r="BF106" s="9" t="n">
        <f aca="false">('Prices&amp;Fuel'!V106+'Prices&amp;Fuel'!X106)/(1-'Prices&amp;Fuel'!F106)</f>
        <v>2833.93316195373</v>
      </c>
      <c r="BG106" s="9" t="n">
        <f aca="false">'Prices&amp;Fuel'!W106/(1-'Prices&amp;Fuel'!F106)</f>
        <v>1293.57326478149</v>
      </c>
      <c r="BH106" s="10" t="n">
        <f aca="false">('Prices&amp;Fuel'!C106+'Prices&amp;Fuel'!D106)/2-0.05+('Prices&amp;Fuel'!M106+'Prices&amp;Fuel'!P106)*(1-'Prices&amp;Fuel'!F106)</f>
        <v>3.5935460181</v>
      </c>
      <c r="BI106" s="10"/>
      <c r="BJ106" s="10"/>
      <c r="BK106" s="10" t="n">
        <f aca="false">(((BB106+BE106)*('Prices&amp;Fuel'!B106+0.025))+(('Prices&amp;Fuel'!D106+0.025)*(BD106+BG106))+(('Prices&amp;Fuel'!C106+0.025)*(BC106+BF106))-(BI106+BJ106)*0.025)/(BB106+BC106+BD106+BE106+BF106+BG106)</f>
        <v>2.90392560143333</v>
      </c>
      <c r="BL106" s="9" t="n">
        <f aca="false">(BB106+BC106+BD106+BE106+BF106+BG106)*BH106*'Prices&amp;Fuel'!H106</f>
        <v>1330258.68022211</v>
      </c>
      <c r="BM106" s="9" t="n">
        <f aca="false">'Prices&amp;Fuel'!X106*('Prices&amp;Fuel'!N106+'Prices&amp;Fuel'!O106)*'Prices&amp;Fuel'!H106</f>
        <v>9134.1681425398</v>
      </c>
      <c r="BN106" s="9" t="n">
        <f aca="false">('Prices&amp;Fuel'!U106+'Prices&amp;Fuel'!V106+'Prices&amp;Fuel'!W106)*('Prices&amp;Fuel'!L106+'Prices&amp;Fuel'!O106)*'Prices&amp;Fuel'!H106</f>
        <v>69689.8245838578</v>
      </c>
      <c r="BO106" s="9" t="n">
        <f aca="false">((BB106+BC106+BD106)*(1-'Prices&amp;Fuel'!G106))*('Prices&amp;Fuel'!M106+'Prices&amp;Fuel'!P106)*'Prices&amp;Fuel'!H106</f>
        <v>140224.29</v>
      </c>
      <c r="BP106" s="9" t="n">
        <f aca="false">((BD106+BC106+BB106+BE106+BF106+BG106)*BK106*'Prices&amp;Fuel'!H106)+BM106+BN106+BO106</f>
        <v>1294023.3125629</v>
      </c>
      <c r="BQ106" s="5" t="n">
        <f aca="false">BL106-BP106</f>
        <v>36235.3676592067</v>
      </c>
      <c r="CA106" s="5" t="n">
        <f aca="false">(AF106+AG106+AH106+AL106)*0.005*'Prices&amp;Fuel'!H106</f>
        <v>20359.8971722365</v>
      </c>
      <c r="CB106" s="5" t="n">
        <f aca="false">(B106+C106+D106+O106+P106+Q106+X106+Y106+BB106+BC106+BD106+BE106+BF106+BG106+BR106+BS106)*0.005*'Prices&amp;Fuel'!H106</f>
        <v>5615.89974293059</v>
      </c>
      <c r="CC106" s="7" t="n">
        <f aca="false">K106+T106+AB106+AY106+BL106+BX106</f>
        <v>15743314.3066242</v>
      </c>
      <c r="CD106" s="7" t="n">
        <f aca="false">L106+U106+AC106+AZ106+BP106+BY106+CA106+CB106</f>
        <v>15506236.8160858</v>
      </c>
      <c r="CE106" s="7" t="n">
        <f aca="false">CC106-CD106</f>
        <v>237077.490538383</v>
      </c>
      <c r="CF106" s="7" t="n">
        <f aca="false">'Index Price Deals'!AR106</f>
        <v>0</v>
      </c>
      <c r="CG106" s="7" t="n">
        <f aca="false">'Index Price Deals'!AS106</f>
        <v>0</v>
      </c>
      <c r="CH106" s="7" t="n">
        <f aca="false">'Index Price Deals'!AT106</f>
        <v>0</v>
      </c>
      <c r="CI106" s="7" t="n">
        <f aca="false">'Index Price Deals'!AU106</f>
        <v>0</v>
      </c>
      <c r="CJ106" s="7" t="n">
        <f aca="false">CC106+CF106</f>
        <v>15743314.3066242</v>
      </c>
      <c r="CK106" s="7" t="n">
        <f aca="false">CD106+CH106</f>
        <v>15506236.8160858</v>
      </c>
      <c r="CL106" s="7" t="n">
        <f aca="false">CE106+CI106</f>
        <v>237077.490538383</v>
      </c>
      <c r="CM106" s="69"/>
      <c r="CN106" s="7" t="n">
        <f aca="false">Transport!U106</f>
        <v>0</v>
      </c>
      <c r="CQ106" s="7" t="n">
        <f aca="false">(((($B106+$C106+$D106+$O106+$P106+$Q106)*0.5)+BR106+BS106)*(0.005*'Prices&amp;Fuel'!$H106)+'Index Price Deals'!AV106)+(((BB106+BC106+BD106+BE106+BF106+BG106)*(1-'Prices&amp;Fuel'!F106))*0.005*0.5*'Prices&amp;Fuel'!H106)</f>
        <v>2782.5</v>
      </c>
      <c r="CR106" s="7" t="n">
        <f aca="false">(((($B106+$C106+$D106+$O106+$P106+$Q106)*0.5)+X106+Y106)*(0.005*'Prices&amp;Fuel'!$H106)+CA106+'Index Price Deals'!AW106)+(((BB106+BC106+BD106+BE106+BF106+BG106)*(1-'Prices&amp;Fuel'!F106))*0.005*0.5*'Prices&amp;Fuel'!H106)</f>
        <v>23142.3971722365</v>
      </c>
      <c r="CS106" s="11"/>
      <c r="CT106" s="7" t="n">
        <f aca="false">[2]Sheet1!$O123</f>
        <v>-177327.140124723</v>
      </c>
      <c r="CU106" s="7" t="n">
        <f aca="false">'[3]Long Term Deals'!$Z105</f>
        <v>10189.453117467</v>
      </c>
      <c r="CV106" s="70" t="n">
        <f aca="false">CL106-CN106-CT106+CU106+CS106+CO106</f>
        <v>424594.083780573</v>
      </c>
      <c r="DB106" s="1" t="n">
        <f aca="false">(O106+P106+Q106)*'Prices&amp;Fuel'!$H106</f>
        <v>753000</v>
      </c>
      <c r="DE106" s="1" t="n">
        <v>132000</v>
      </c>
    </row>
    <row r="107" customFormat="false" ht="12.75" hidden="false" customHeight="false" outlineLevel="0" collapsed="false">
      <c r="A107" s="6" t="n">
        <f aca="false">+A106+365/12</f>
        <v>38851.5</v>
      </c>
      <c r="O107" s="7" t="n">
        <v>9036</v>
      </c>
      <c r="P107" s="7" t="n">
        <v>10794</v>
      </c>
      <c r="Q107" s="7" t="n">
        <v>5270</v>
      </c>
      <c r="R107" s="8" t="n">
        <f aca="false">R106</f>
        <v>3.198</v>
      </c>
      <c r="S107" s="8" t="n">
        <f aca="false">S106</f>
        <v>3.1856</v>
      </c>
      <c r="T107" s="7" t="n">
        <f aca="false">(($O107*R107)+($P107*R107)+($Q107*R107))*'Prices&amp;Fuel'!$H107</f>
        <v>2488363.8</v>
      </c>
      <c r="U107" s="7" t="n">
        <f aca="false">(($O107*S107)+($P107*S107)+($Q107*S107))*'Prices&amp;Fuel'!$H107</f>
        <v>2478715.36</v>
      </c>
      <c r="V107" s="14" t="n">
        <f aca="false">T107-U107</f>
        <v>9648.43999999994</v>
      </c>
      <c r="AF107" s="7" t="n">
        <f aca="false">((100000)/(1-'Prices&amp;Fuel'!F107))+(25000/(1-'Prices&amp;Fuel'!G107))-AI107</f>
        <v>128534.70437018</v>
      </c>
      <c r="AG107" s="7" t="n">
        <v>0</v>
      </c>
      <c r="AH107" s="7" t="n">
        <f aca="false">(75000/(1-'Prices&amp;Fuel'!G107))-AK107</f>
        <v>77120.822622108</v>
      </c>
      <c r="AI107" s="7"/>
      <c r="AJ107" s="7"/>
      <c r="AK107" s="7"/>
      <c r="AL107" s="11" t="n">
        <f aca="false">ROUND((200000/(1-'Prices&amp;Fuel'!F107))-AF107-AG107-AH107,0)</f>
        <v>0</v>
      </c>
      <c r="AM107" s="7" t="n">
        <f aca="false">ROUND(IF(AF107&lt;AP107,0,(AF107-AP107-AI107)/2),0)</f>
        <v>64267</v>
      </c>
      <c r="AO107" s="7" t="n">
        <f aca="false">ROUND((75000/(1-'Prices&amp;Fuel'!G107)-AV107-AK107)/2,0)</f>
        <v>38560</v>
      </c>
      <c r="AR107" s="7" t="n">
        <f aca="false">IF(AP107&gt;AF107,0,AF107-AM107-AP107)</f>
        <v>64267.70437018</v>
      </c>
      <c r="AT107" s="14" t="n">
        <f aca="false">AH107-AO107-AV107</f>
        <v>38560.822622108</v>
      </c>
      <c r="AU107" s="14" t="n">
        <f aca="false">AL107*AX107*'Prices&amp;Fuel'!H107</f>
        <v>0</v>
      </c>
      <c r="AW107" s="68" t="n">
        <f aca="false">AW106</f>
        <v>0.05</v>
      </c>
      <c r="AX107" s="68" t="n">
        <f aca="false">AX106</f>
        <v>0.025</v>
      </c>
      <c r="AY107" s="5" t="n">
        <f aca="false">('Prices&amp;Fuel'!H107*('Prices&amp;Fuel'!B107+AW107)*'Long Term Deals'!AF107)+('Prices&amp;Fuel'!H107*('Prices&amp;Fuel'!C107+'Long Term Deals'!AW107)*'Long Term Deals'!AG107)+(AH107*('Prices&amp;Fuel'!C107+AW107)*'Prices&amp;Fuel'!H107)+(AW107*AL107*'Prices&amp;Fuel'!H107)</f>
        <v>19982246.3609255</v>
      </c>
      <c r="AZ107" s="5" t="n">
        <f aca="false">(AP107*'Prices&amp;Fuel'!H107*'Prices&amp;Fuel'!B107)+(AQ107*'Prices&amp;Fuel'!C107*'Prices&amp;Fuel'!H107)+((AM107+AR107)*('Prices&amp;Fuel'!B107+'Long Term Deals'!AX107)*'Prices&amp;Fuel'!H107)+((AN107+AS107)*('Prices&amp;Fuel'!C107+'Long Term Deals'!AX107)*'Prices&amp;Fuel'!H107)+((AO107+AT107)*('Prices&amp;Fuel'!D107+'Long Term Deals'!AX107)*'Prices&amp;Fuel'!H107)+(AV107*'Prices&amp;Fuel'!H107*'Prices&amp;Fuel'!Q107)+AU107</f>
        <v>19703326.0524422</v>
      </c>
      <c r="BA107" s="5" t="n">
        <f aca="false">AY107-AZ107</f>
        <v>278920.308483291</v>
      </c>
      <c r="BB107" s="5" t="n">
        <f aca="false">IF('FP Corp'!T107-((BE107+BF107+BG107)*(1-'Prices&amp;Fuel'!F107))&lt;'Prices&amp;Fuel'!R107,('FP Corp'!T107-(BE107+BF107+BG107)*(1-'Prices&amp;Fuel'!F107)),'Prices&amp;Fuel'!R107)/(1-'Prices&amp;Fuel'!F107)</f>
        <v>8976.86375321337</v>
      </c>
      <c r="BC107" s="9"/>
      <c r="BD107" s="9" t="n">
        <f aca="false">ROUND(IF('FP Corp'!T107/(1-'Prices&amp;Fuel'!F107)-BE107-BF107-BG107-BB107&gt;'Prices&amp;Fuel'!T107,'Prices&amp;Fuel'!T107,'FP Corp'!T107/(1-'Prices&amp;Fuel'!F107)-BE107-BF107-BG107-BB107),9)</f>
        <v>6556.298200514</v>
      </c>
      <c r="BE107" s="9" t="n">
        <f aca="false">'Prices&amp;Fuel'!U107/(1-'Prices&amp;Fuel'!F107)</f>
        <v>1933.16195372751</v>
      </c>
      <c r="BF107" s="9" t="n">
        <f aca="false">('Prices&amp;Fuel'!V107+'Prices&amp;Fuel'!X107)/(1-'Prices&amp;Fuel'!F107)</f>
        <v>3062.21079691517</v>
      </c>
      <c r="BG107" s="9" t="n">
        <f aca="false">'Prices&amp;Fuel'!W107/(1-'Prices&amp;Fuel'!F107)</f>
        <v>1065.29562982005</v>
      </c>
      <c r="BH107" s="10" t="n">
        <f aca="false">('Prices&amp;Fuel'!C107+'Prices&amp;Fuel'!D107)/2-0.05+('Prices&amp;Fuel'!M107+'Prices&amp;Fuel'!P107)*(1-'Prices&amp;Fuel'!F107)</f>
        <v>3.79126078</v>
      </c>
      <c r="BI107" s="10"/>
      <c r="BJ107" s="10"/>
      <c r="BK107" s="10" t="n">
        <f aca="false">(((BB107+BE107)*('Prices&amp;Fuel'!B107+0.025))+(('Prices&amp;Fuel'!D107+0.025)*(BD107+BG107))+(('Prices&amp;Fuel'!C107+0.025)*(BC107+BF107))-(BI107+BJ107)*0.025)/(BB107+BC107+BD107+BE107+BF107+BG107)</f>
        <v>3.0988501252381</v>
      </c>
      <c r="BL107" s="9" t="n">
        <f aca="false">(BB107+BC107+BD107+BE107+BF107+BG107)*BH107*'Prices&amp;Fuel'!H107</f>
        <v>2537903.10311567</v>
      </c>
      <c r="BM107" s="9" t="n">
        <f aca="false">'Prices&amp;Fuel'!X107*('Prices&amp;Fuel'!N107+'Prices&amp;Fuel'!O107)*'Prices&amp;Fuel'!H107</f>
        <v>9438.64041395779</v>
      </c>
      <c r="BN107" s="9" t="n">
        <f aca="false">('Prices&amp;Fuel'!U107+'Prices&amp;Fuel'!V107+'Prices&amp;Fuel'!W107)*('Prices&amp;Fuel'!L107+'Prices&amp;Fuel'!O107)*'Prices&amp;Fuel'!H107</f>
        <v>72012.8187366531</v>
      </c>
      <c r="BO107" s="9" t="n">
        <f aca="false">((BB107+BC107+BD107)*(1-'Prices&amp;Fuel'!G107))*('Prices&amp;Fuel'!M107+'Prices&amp;Fuel'!P107)*'Prices&amp;Fuel'!H107</f>
        <v>358472.932999997</v>
      </c>
      <c r="BP107" s="9" t="n">
        <f aca="false">((BD107+BC107+BB107+BE107+BF107+BG107)*BK107*'Prices&amp;Fuel'!H107)+BM107+BN107+BO107</f>
        <v>2514321.75105034</v>
      </c>
      <c r="BQ107" s="5" t="n">
        <f aca="false">BL107-BP107</f>
        <v>23581.3520653271</v>
      </c>
      <c r="CA107" s="5" t="n">
        <f aca="false">(AF107+AG107+AH107+AL107)*0.005*'Prices&amp;Fuel'!H107</f>
        <v>31876.6066838046</v>
      </c>
      <c r="CB107" s="5" t="n">
        <f aca="false">(B107+C107+D107+O107+P107+Q107+X107+Y107+BB107+BC107+BD107+BE107+BF107+BG107+BR107+BS107)*0.005*'Prices&amp;Fuel'!H107</f>
        <v>7237.54370179946</v>
      </c>
      <c r="CC107" s="7" t="n">
        <f aca="false">K107+T107+AB107+AY107+BL107+BX107</f>
        <v>25008513.2640411</v>
      </c>
      <c r="CD107" s="7" t="n">
        <f aca="false">L107+U107+AC107+AZ107+BP107+BY107+CA107+CB107</f>
        <v>24735477.3138781</v>
      </c>
      <c r="CE107" s="7" t="n">
        <f aca="false">CC107-CD107</f>
        <v>273035.950163018</v>
      </c>
      <c r="CF107" s="7" t="n">
        <f aca="false">'Index Price Deals'!AR107</f>
        <v>0</v>
      </c>
      <c r="CG107" s="7" t="n">
        <f aca="false">'Index Price Deals'!AS107</f>
        <v>0</v>
      </c>
      <c r="CH107" s="7" t="n">
        <f aca="false">'Index Price Deals'!AT107</f>
        <v>0</v>
      </c>
      <c r="CI107" s="7" t="n">
        <f aca="false">'Index Price Deals'!AU107</f>
        <v>0</v>
      </c>
      <c r="CJ107" s="7" t="n">
        <f aca="false">CC107+CF107</f>
        <v>25008513.2640411</v>
      </c>
      <c r="CK107" s="7" t="n">
        <f aca="false">CD107+CH107</f>
        <v>24735477.3138781</v>
      </c>
      <c r="CL107" s="7" t="n">
        <f aca="false">CE107+CI107</f>
        <v>273035.950163018</v>
      </c>
      <c r="CM107" s="69"/>
      <c r="CN107" s="7" t="n">
        <f aca="false">Transport!U107</f>
        <v>3.14901408273727E-009</v>
      </c>
      <c r="CQ107" s="7" t="n">
        <f aca="false">(((($B107+$C107+$D107+$O107+$P107+$Q107)*0.5)+BR107+BS107)*(0.005*'Prices&amp;Fuel'!$H107)+'Index Price Deals'!AV107)+(((BB107+BC107+BD107+BE107+BF107+BG107)*(1-'Prices&amp;Fuel'!F107))*0.005*0.5*'Prices&amp;Fuel'!H107)</f>
        <v>3572.74999999999</v>
      </c>
      <c r="CR107" s="7" t="n">
        <f aca="false">(((($B107+$C107+$D107+$O107+$P107+$Q107)*0.5)+X107+Y107)*(0.005*'Prices&amp;Fuel'!$H107)+CA107+'Index Price Deals'!AW107)+(((BB107+BC107+BD107+BE107+BF107+BG107)*(1-'Prices&amp;Fuel'!F107))*0.005*0.5*'Prices&amp;Fuel'!H107)</f>
        <v>35449.3566838046</v>
      </c>
      <c r="CS107" s="11"/>
      <c r="CT107" s="7" t="n">
        <f aca="false">[2]Sheet1!$O124</f>
        <v>-277633.401205374</v>
      </c>
      <c r="CU107" s="7" t="n">
        <f aca="false">'[3]Long Term Deals'!$Z106</f>
        <v>15953.184173812</v>
      </c>
      <c r="CV107" s="70" t="n">
        <f aca="false">CL107-CN107-CT107+CU107+CS107+CO107</f>
        <v>566622.535542201</v>
      </c>
      <c r="DB107" s="1" t="n">
        <f aca="false">(O107+P107+Q107)*'Prices&amp;Fuel'!$H107</f>
        <v>778100</v>
      </c>
      <c r="DE107" s="1" t="n">
        <v>200000</v>
      </c>
    </row>
    <row r="108" customFormat="false" ht="12.75" hidden="false" customHeight="false" outlineLevel="0" collapsed="false">
      <c r="A108" s="6" t="n">
        <f aca="false">+A107+365/12</f>
        <v>38881.9166666667</v>
      </c>
      <c r="O108" s="7" t="n">
        <v>9036</v>
      </c>
      <c r="P108" s="7" t="n">
        <v>10794</v>
      </c>
      <c r="Q108" s="7" t="n">
        <v>5270</v>
      </c>
      <c r="R108" s="8" t="n">
        <f aca="false">R107</f>
        <v>3.198</v>
      </c>
      <c r="S108" s="8" t="n">
        <f aca="false">S107</f>
        <v>3.1856</v>
      </c>
      <c r="T108" s="7" t="n">
        <f aca="false">(($O108*R108)+($P108*R108)+($Q108*R108))*'Prices&amp;Fuel'!$H108</f>
        <v>2408094</v>
      </c>
      <c r="U108" s="7" t="n">
        <f aca="false">(($O108*S108)+($P108*S108)+($Q108*S108))*'Prices&amp;Fuel'!$H108</f>
        <v>2398756.8</v>
      </c>
      <c r="V108" s="14" t="n">
        <f aca="false">T108-U108</f>
        <v>9337.19999999972</v>
      </c>
      <c r="AF108" s="7" t="n">
        <f aca="false">((100000)/(1-'Prices&amp;Fuel'!F108))+(25000/(1-'Prices&amp;Fuel'!G108))-AI108</f>
        <v>128534.70437018</v>
      </c>
      <c r="AG108" s="7" t="n">
        <v>0</v>
      </c>
      <c r="AH108" s="7" t="n">
        <f aca="false">(75000/(1-'Prices&amp;Fuel'!G108))-AK108</f>
        <v>77120.822622108</v>
      </c>
      <c r="AI108" s="7"/>
      <c r="AJ108" s="7"/>
      <c r="AK108" s="7"/>
      <c r="AL108" s="11" t="n">
        <f aca="false">ROUND((200000/(1-'Prices&amp;Fuel'!F108))-AF108-AG108-AH108,0)</f>
        <v>0</v>
      </c>
      <c r="AM108" s="7" t="n">
        <f aca="false">ROUND(IF(AF108&lt;AP108,0,(AF108-AP108-AI108)/2),0)</f>
        <v>64267</v>
      </c>
      <c r="AO108" s="7" t="n">
        <f aca="false">ROUND((75000/(1-'Prices&amp;Fuel'!G108)-AV108-AK108)/2,0)</f>
        <v>38560</v>
      </c>
      <c r="AR108" s="7" t="n">
        <f aca="false">IF(AP108&gt;AF108,0,AF108-AM108-AP108)</f>
        <v>64267.70437018</v>
      </c>
      <c r="AT108" s="14" t="n">
        <f aca="false">AH108-AO108-AV108</f>
        <v>38560.822622108</v>
      </c>
      <c r="AU108" s="14" t="n">
        <f aca="false">AL108*AX108*'Prices&amp;Fuel'!H108</f>
        <v>0</v>
      </c>
      <c r="AW108" s="68" t="n">
        <f aca="false">AW107</f>
        <v>0.05</v>
      </c>
      <c r="AX108" s="68" t="n">
        <f aca="false">AX107</f>
        <v>0.025</v>
      </c>
      <c r="AY108" s="5" t="n">
        <f aca="false">('Prices&amp;Fuel'!H108*('Prices&amp;Fuel'!B108+AW108)*'Long Term Deals'!AF108)+('Prices&amp;Fuel'!H108*('Prices&amp;Fuel'!C108+'Long Term Deals'!AW108)*'Long Term Deals'!AG108)+(AH108*('Prices&amp;Fuel'!C108+AW108)*'Prices&amp;Fuel'!H108)+(AW108*AL108*'Prices&amp;Fuel'!H108)</f>
        <v>27748092.2350643</v>
      </c>
      <c r="AZ108" s="5" t="n">
        <f aca="false">(AP108*'Prices&amp;Fuel'!H108*'Prices&amp;Fuel'!B108)+(AQ108*'Prices&amp;Fuel'!C108*'Prices&amp;Fuel'!H108)+((AM108+AR108)*('Prices&amp;Fuel'!B108+'Long Term Deals'!AX108)*'Prices&amp;Fuel'!H108)+((AN108+AS108)*('Prices&amp;Fuel'!C108+'Long Term Deals'!AX108)*'Prices&amp;Fuel'!H108)+((AO108+AT108)*('Prices&amp;Fuel'!D108+'Long Term Deals'!AX108)*'Prices&amp;Fuel'!H108)+(AV108*'Prices&amp;Fuel'!H108*'Prices&amp;Fuel'!Q108)+AU108</f>
        <v>27478169.3558869</v>
      </c>
      <c r="BA108" s="5" t="n">
        <f aca="false">AY108-AZ108</f>
        <v>269922.879177377</v>
      </c>
      <c r="BB108" s="5" t="n">
        <f aca="false">IF('FP Corp'!T108-((BE108+BF108+BG108)*(1-'Prices&amp;Fuel'!F108))&lt;'Prices&amp;Fuel'!R108,('FP Corp'!T108-(BE108+BF108+BG108)*(1-'Prices&amp;Fuel'!F108)),'Prices&amp;Fuel'!R108)/(1-'Prices&amp;Fuel'!F108)</f>
        <v>8976.86375321337</v>
      </c>
      <c r="BC108" s="9"/>
      <c r="BD108" s="9" t="n">
        <f aca="false">ROUND(IF('FP Corp'!T108/(1-'Prices&amp;Fuel'!F108)-BE108-BF108-BG108-BB108&gt;'Prices&amp;Fuel'!T108,'Prices&amp;Fuel'!T108,'FP Corp'!T108/(1-'Prices&amp;Fuel'!F108)-BE108-BF108-BG108-BB108),9)</f>
        <v>6556.298200514</v>
      </c>
      <c r="BE108" s="9" t="n">
        <f aca="false">'Prices&amp;Fuel'!U108/(1-'Prices&amp;Fuel'!F108)</f>
        <v>1933.16195372751</v>
      </c>
      <c r="BF108" s="9" t="n">
        <f aca="false">('Prices&amp;Fuel'!V108+'Prices&amp;Fuel'!X108)/(1-'Prices&amp;Fuel'!F108)</f>
        <v>3062.21079691517</v>
      </c>
      <c r="BG108" s="9" t="n">
        <f aca="false">'Prices&amp;Fuel'!W108/(1-'Prices&amp;Fuel'!F108)</f>
        <v>1065.29562982005</v>
      </c>
      <c r="BH108" s="10" t="n">
        <f aca="false">('Prices&amp;Fuel'!C108+'Prices&amp;Fuel'!D108)/2-0.05+('Prices&amp;Fuel'!M108+'Prices&amp;Fuel'!P108)*(1-'Prices&amp;Fuel'!F108)</f>
        <v>5.1544520331</v>
      </c>
      <c r="BI108" s="10"/>
      <c r="BJ108" s="10"/>
      <c r="BK108" s="10" t="n">
        <f aca="false">(((BB108+BE108)*('Prices&amp;Fuel'!B108+0.025))+(('Prices&amp;Fuel'!D108+0.025)*(BD108+BG108))+(('Prices&amp;Fuel'!C108+0.025)*(BC108+BF108))-(BI108+BJ108)*0.025)/(BB108+BC108+BD108+BE108+BF108+BG108)</f>
        <v>4.4620413783381</v>
      </c>
      <c r="BL108" s="9" t="n">
        <f aca="false">(BB108+BC108+BD108+BE108+BF108+BG108)*BH108*'Prices&amp;Fuel'!H108</f>
        <v>3339130.88005448</v>
      </c>
      <c r="BM108" s="9" t="n">
        <f aca="false">'Prices&amp;Fuel'!X108*('Prices&amp;Fuel'!N108+'Prices&amp;Fuel'!O108)*'Prices&amp;Fuel'!H108</f>
        <v>9134.1681425398</v>
      </c>
      <c r="BN108" s="9" t="n">
        <f aca="false">('Prices&amp;Fuel'!U108+'Prices&amp;Fuel'!V108+'Prices&amp;Fuel'!W108)*('Prices&amp;Fuel'!L108+'Prices&amp;Fuel'!O108)*'Prices&amp;Fuel'!H108</f>
        <v>69689.8245838578</v>
      </c>
      <c r="BO108" s="9" t="n">
        <f aca="false">((BB108+BC108+BD108)*(1-'Prices&amp;Fuel'!G108))*('Prices&amp;Fuel'!M108+'Prices&amp;Fuel'!P108)*'Prices&amp;Fuel'!H108</f>
        <v>346909.289999997</v>
      </c>
      <c r="BP108" s="9" t="n">
        <f aca="false">((BD108+BC108+BB108+BE108+BF108+BG108)*BK108*'Prices&amp;Fuel'!H108)+BM108+BN108+BO108</f>
        <v>3316310.21676545</v>
      </c>
      <c r="BQ108" s="5" t="n">
        <f aca="false">BL108-BP108</f>
        <v>22820.6632890259</v>
      </c>
      <c r="CA108" s="5" t="n">
        <f aca="false">(AF108+AG108+AH108+AL108)*0.005*'Prices&amp;Fuel'!H108</f>
        <v>30848.3290488432</v>
      </c>
      <c r="CB108" s="5" t="n">
        <f aca="false">(B108+C108+D108+O108+P108+Q108+X108+Y108+BB108+BC108+BD108+BE108+BF108+BG108+BR108+BS108)*0.005*'Prices&amp;Fuel'!H108</f>
        <v>7004.07455012851</v>
      </c>
      <c r="CC108" s="7" t="n">
        <f aca="false">K108+T108+AB108+AY108+BL108+BX108</f>
        <v>33495317.1151187</v>
      </c>
      <c r="CD108" s="7" t="n">
        <f aca="false">L108+U108+AC108+AZ108+BP108+BY108+CA108+CB108</f>
        <v>33231088.7762513</v>
      </c>
      <c r="CE108" s="7" t="n">
        <f aca="false">CC108-CD108</f>
        <v>264228.33886743</v>
      </c>
      <c r="CF108" s="7" t="n">
        <f aca="false">'Index Price Deals'!AR108</f>
        <v>0</v>
      </c>
      <c r="CG108" s="7" t="n">
        <f aca="false">'Index Price Deals'!AS108</f>
        <v>0</v>
      </c>
      <c r="CH108" s="7" t="n">
        <f aca="false">'Index Price Deals'!AT108</f>
        <v>0</v>
      </c>
      <c r="CI108" s="7" t="n">
        <f aca="false">'Index Price Deals'!AU108</f>
        <v>0</v>
      </c>
      <c r="CJ108" s="7" t="n">
        <f aca="false">CC108+CF108</f>
        <v>33495317.1151187</v>
      </c>
      <c r="CK108" s="7" t="n">
        <f aca="false">CD108+CH108</f>
        <v>33231088.7762513</v>
      </c>
      <c r="CL108" s="7" t="n">
        <f aca="false">CE108+CI108</f>
        <v>264228.33886743</v>
      </c>
      <c r="CM108" s="69"/>
      <c r="CN108" s="7" t="n">
        <f aca="false">Transport!U108</f>
        <v>3.04743298329413E-009</v>
      </c>
      <c r="CQ108" s="7" t="n">
        <f aca="false">(((($B108+$C108+$D108+$O108+$P108+$Q108)*0.5)+BR108+BS108)*(0.005*'Prices&amp;Fuel'!$H108)+'Index Price Deals'!AV108)+(((BB108+BC108+BD108+BE108+BF108+BG108)*(1-'Prices&amp;Fuel'!F108))*0.005*0.5*'Prices&amp;Fuel'!H108)</f>
        <v>3457.49999999999</v>
      </c>
      <c r="CR108" s="7" t="n">
        <f aca="false">(((($B108+$C108+$D108+$O108+$P108+$Q108)*0.5)+X108+Y108)*(0.005*'Prices&amp;Fuel'!$H108)+CA108+'Index Price Deals'!AW108)+(((BB108+BC108+BD108+BE108+BF108+BG108)*(1-'Prices&amp;Fuel'!F108))*0.005*0.5*'Prices&amp;Fuel'!H108)</f>
        <v>34305.8290488432</v>
      </c>
      <c r="CS108" s="11"/>
      <c r="CT108" s="7" t="n">
        <f aca="false">[2]Sheet1!$O125</f>
        <v>-268677.485037459</v>
      </c>
      <c r="CU108" s="7" t="n">
        <f aca="false">'[3]Long Term Deals'!$Z107</f>
        <v>15438.5653294955</v>
      </c>
      <c r="CV108" s="70" t="n">
        <f aca="false">CL108-CN108-CT108+CU108+CS108+CO108</f>
        <v>548344.389234381</v>
      </c>
      <c r="DB108" s="1" t="n">
        <f aca="false">(O108+P108+Q108)*'Prices&amp;Fuel'!$H108</f>
        <v>753000</v>
      </c>
      <c r="DE108" s="1" t="n">
        <v>200000</v>
      </c>
    </row>
    <row r="109" customFormat="false" ht="12.75" hidden="false" customHeight="false" outlineLevel="0" collapsed="false">
      <c r="A109" s="6" t="n">
        <f aca="false">+A108+365/12</f>
        <v>38912.3333333333</v>
      </c>
      <c r="O109" s="7" t="n">
        <v>9036</v>
      </c>
      <c r="P109" s="7" t="n">
        <v>10794</v>
      </c>
      <c r="Q109" s="7" t="n">
        <v>5270</v>
      </c>
      <c r="R109" s="8" t="n">
        <f aca="false">ROUND(3.075*1.04*1.04,4)</f>
        <v>3.3259</v>
      </c>
      <c r="S109" s="8" t="n">
        <f aca="false">R109-ROUND(0.01*1.02*1.02*1.02*1.02*1.02*1.02*1.02*1.02*1.02*1.02*1.02*1.02,4)</f>
        <v>3.3132</v>
      </c>
      <c r="T109" s="7" t="n">
        <f aca="false">(($O109*R109)+($P109*R109)+($Q109*R109))*'Prices&amp;Fuel'!$H109</f>
        <v>2587882.79</v>
      </c>
      <c r="U109" s="7" t="n">
        <f aca="false">(($O109*S109)+($P109*S109)+($Q109*S109))*'Prices&amp;Fuel'!$H109</f>
        <v>2578000.92</v>
      </c>
      <c r="V109" s="14" t="n">
        <f aca="false">T109-U109</f>
        <v>9881.87000000011</v>
      </c>
      <c r="AF109" s="7" t="n">
        <f aca="false">((100000)/(1-'Prices&amp;Fuel'!F109))+(25000/(1-'Prices&amp;Fuel'!G109))-AI109</f>
        <v>128534.70437018</v>
      </c>
      <c r="AG109" s="7" t="n">
        <v>0</v>
      </c>
      <c r="AH109" s="7" t="n">
        <f aca="false">(75000/(1-'Prices&amp;Fuel'!G109))-AK109</f>
        <v>77120.822622108</v>
      </c>
      <c r="AI109" s="7"/>
      <c r="AJ109" s="7"/>
      <c r="AK109" s="7"/>
      <c r="AL109" s="11" t="n">
        <f aca="false">ROUND((200000/(1-'Prices&amp;Fuel'!F109))-AF109-AG109-AH109,0)</f>
        <v>0</v>
      </c>
      <c r="AM109" s="7" t="n">
        <f aca="false">ROUND(IF(AF109&lt;AP109,0,(AF109-AP109-AI109)/2),0)</f>
        <v>64267</v>
      </c>
      <c r="AO109" s="7" t="n">
        <f aca="false">ROUND((75000/(1-'Prices&amp;Fuel'!G109)-AV109-AK109)/2,0)</f>
        <v>38560</v>
      </c>
      <c r="AR109" s="7" t="n">
        <f aca="false">IF(AP109&gt;AF109,0,AF109-AM109-AP109)</f>
        <v>64267.70437018</v>
      </c>
      <c r="AT109" s="14" t="n">
        <f aca="false">AH109-AO109-AV109</f>
        <v>38560.822622108</v>
      </c>
      <c r="AU109" s="14" t="n">
        <f aca="false">AL109*AX109*'Prices&amp;Fuel'!H109</f>
        <v>0</v>
      </c>
      <c r="AW109" s="68" t="n">
        <f aca="false">AW108</f>
        <v>0.05</v>
      </c>
      <c r="AX109" s="68" t="n">
        <f aca="false">AX108</f>
        <v>0.025</v>
      </c>
      <c r="AY109" s="5" t="n">
        <f aca="false">('Prices&amp;Fuel'!H109*('Prices&amp;Fuel'!B109+AW109)*'Long Term Deals'!AF109)+('Prices&amp;Fuel'!H109*('Prices&amp;Fuel'!C109+'Long Term Deals'!AW109)*'Long Term Deals'!AG109)+(AH109*('Prices&amp;Fuel'!C109+AW109)*'Prices&amp;Fuel'!H109)+(AW109*AL109*'Prices&amp;Fuel'!H109)</f>
        <v>28606686.793419</v>
      </c>
      <c r="AZ109" s="5" t="n">
        <f aca="false">(AP109*'Prices&amp;Fuel'!H109*'Prices&amp;Fuel'!B109)+(AQ109*'Prices&amp;Fuel'!C109*'Prices&amp;Fuel'!H109)+((AM109+AR109)*('Prices&amp;Fuel'!B109+'Long Term Deals'!AX109)*'Prices&amp;Fuel'!H109)+((AN109+AS109)*('Prices&amp;Fuel'!C109+'Long Term Deals'!AX109)*'Prices&amp;Fuel'!H109)+((AO109+AT109)*('Prices&amp;Fuel'!D109+'Long Term Deals'!AX109)*'Prices&amp;Fuel'!H109)+(AV109*'Prices&amp;Fuel'!H109*'Prices&amp;Fuel'!Q109)+AU109</f>
        <v>28327766.4849357</v>
      </c>
      <c r="BA109" s="5" t="n">
        <f aca="false">AY109-AZ109</f>
        <v>278920.308483284</v>
      </c>
      <c r="BB109" s="5" t="n">
        <f aca="false">IF('FP Corp'!T109-((BE109+BF109+BG109)*(1-'Prices&amp;Fuel'!F109))&lt;'Prices&amp;Fuel'!R109,('FP Corp'!T109-(BE109+BF109+BG109)*(1-'Prices&amp;Fuel'!F109)),'Prices&amp;Fuel'!R109)/(1-'Prices&amp;Fuel'!F109)</f>
        <v>8976.86375321337</v>
      </c>
      <c r="BC109" s="9"/>
      <c r="BD109" s="9" t="n">
        <f aca="false">ROUND(IF('FP Corp'!T109/(1-'Prices&amp;Fuel'!F109)-BE109-BF109-BG109-BB109&gt;'Prices&amp;Fuel'!T109,'Prices&amp;Fuel'!T109,'FP Corp'!T109/(1-'Prices&amp;Fuel'!F109)-BE109-BF109-BG109-BB109),9)</f>
        <v>6556.298200514</v>
      </c>
      <c r="BE109" s="9" t="n">
        <f aca="false">'Prices&amp;Fuel'!U109/(1-'Prices&amp;Fuel'!F109)</f>
        <v>1933.16195372751</v>
      </c>
      <c r="BF109" s="9" t="n">
        <f aca="false">('Prices&amp;Fuel'!V109+'Prices&amp;Fuel'!X109)/(1-'Prices&amp;Fuel'!F109)</f>
        <v>3062.21079691517</v>
      </c>
      <c r="BG109" s="9" t="n">
        <f aca="false">'Prices&amp;Fuel'!W109/(1-'Prices&amp;Fuel'!F109)</f>
        <v>1065.29562982005</v>
      </c>
      <c r="BH109" s="10" t="n">
        <f aca="false">('Prices&amp;Fuel'!C109+'Prices&amp;Fuel'!D109)/2-0.05+('Prices&amp;Fuel'!M109+'Prices&amp;Fuel'!P109)*(1-'Prices&amp;Fuel'!F109)</f>
        <v>5.144045993</v>
      </c>
      <c r="BI109" s="10"/>
      <c r="BJ109" s="10"/>
      <c r="BK109" s="10" t="n">
        <f aca="false">(((BB109+BE109)*('Prices&amp;Fuel'!B109+0.025))+(('Prices&amp;Fuel'!D109+0.025)*(BD109+BG109))+(('Prices&amp;Fuel'!C109+0.025)*(BC109+BF109))-(BI109+BJ109)*0.025)/(BB109+BC109+BD109+BE109+BF109+BG109)</f>
        <v>4.4516353382381</v>
      </c>
      <c r="BL109" s="9" t="n">
        <f aca="false">(BB109+BC109+BD109+BE109+BF109+BG109)*BH109*'Prices&amp;Fuel'!H109</f>
        <v>3443469.34852748</v>
      </c>
      <c r="BM109" s="9" t="n">
        <f aca="false">'Prices&amp;Fuel'!X109*('Prices&amp;Fuel'!N109+'Prices&amp;Fuel'!O109)*'Prices&amp;Fuel'!H109</f>
        <v>9438.64041395779</v>
      </c>
      <c r="BN109" s="9" t="n">
        <f aca="false">('Prices&amp;Fuel'!U109+'Prices&amp;Fuel'!V109+'Prices&amp;Fuel'!W109)*('Prices&amp;Fuel'!L109+'Prices&amp;Fuel'!O109)*'Prices&amp;Fuel'!H109</f>
        <v>72012.8187366531</v>
      </c>
      <c r="BO109" s="9" t="n">
        <f aca="false">((BB109+BC109+BD109)*(1-'Prices&amp;Fuel'!G109))*('Prices&amp;Fuel'!M109+'Prices&amp;Fuel'!P109)*'Prices&amp;Fuel'!H109</f>
        <v>358472.932999997</v>
      </c>
      <c r="BP109" s="9" t="n">
        <f aca="false">((BD109+BC109+BB109+BE109+BF109+BG109)*BK109*'Prices&amp;Fuel'!H109)+BM109+BN109+BO109</f>
        <v>3419887.99646216</v>
      </c>
      <c r="BQ109" s="5" t="n">
        <f aca="false">BL109-BP109</f>
        <v>23581.3520653262</v>
      </c>
      <c r="CA109" s="5" t="n">
        <f aca="false">(AF109+AG109+AH109+AL109)*0.005*'Prices&amp;Fuel'!H109</f>
        <v>31876.6066838046</v>
      </c>
      <c r="CB109" s="5" t="n">
        <f aca="false">(B109+C109+D109+O109+P109+Q109+X109+Y109+BB109+BC109+BD109+BE109+BF109+BG109+BR109+BS109)*0.005*'Prices&amp;Fuel'!H109</f>
        <v>7237.54370179946</v>
      </c>
      <c r="CC109" s="7" t="n">
        <f aca="false">K109+T109+AB109+AY109+BL109+BX109</f>
        <v>34638038.9319465</v>
      </c>
      <c r="CD109" s="7" t="n">
        <f aca="false">L109+U109+AC109+AZ109+BP109+BY109+CA109+CB109</f>
        <v>34364769.5517835</v>
      </c>
      <c r="CE109" s="7" t="n">
        <f aca="false">CC109-CD109</f>
        <v>273269.380162999</v>
      </c>
      <c r="CF109" s="7" t="n">
        <f aca="false">'Index Price Deals'!AR109</f>
        <v>0</v>
      </c>
      <c r="CG109" s="7" t="n">
        <f aca="false">'Index Price Deals'!AS109</f>
        <v>0</v>
      </c>
      <c r="CH109" s="7" t="n">
        <f aca="false">'Index Price Deals'!AT109</f>
        <v>0</v>
      </c>
      <c r="CI109" s="7" t="n">
        <f aca="false">'Index Price Deals'!AU109</f>
        <v>0</v>
      </c>
      <c r="CJ109" s="7" t="n">
        <f aca="false">CC109+CF109</f>
        <v>34638038.9319465</v>
      </c>
      <c r="CK109" s="7" t="n">
        <f aca="false">CD109+CH109</f>
        <v>34364769.5517835</v>
      </c>
      <c r="CL109" s="7" t="n">
        <f aca="false">CE109+CI109</f>
        <v>273269.380162999</v>
      </c>
      <c r="CM109" s="69"/>
      <c r="CN109" s="7" t="n">
        <f aca="false">Transport!U109</f>
        <v>3.14901408273727E-009</v>
      </c>
      <c r="CQ109" s="7" t="n">
        <f aca="false">(((($B109+$C109+$D109+$O109+$P109+$Q109)*0.5)+BR109+BS109)*(0.005*'Prices&amp;Fuel'!$H109)+'Index Price Deals'!AV109)+(((BB109+BC109+BD109+BE109+BF109+BG109)*(1-'Prices&amp;Fuel'!F109))*0.005*0.5*'Prices&amp;Fuel'!H109)</f>
        <v>3572.74999999999</v>
      </c>
      <c r="CR109" s="7" t="n">
        <f aca="false">(((($B109+$C109+$D109+$O109+$P109+$Q109)*0.5)+X109+Y109)*(0.005*'Prices&amp;Fuel'!$H109)+CA109+'Index Price Deals'!AW109)+(((BB109+BC109+BD109+BE109+BF109+BG109)*(1-'Prices&amp;Fuel'!F109))*0.005*0.5*'Prices&amp;Fuel'!H109)</f>
        <v>35449.3566838046</v>
      </c>
      <c r="CS109" s="11"/>
      <c r="CT109" s="7" t="n">
        <f aca="false">[2]Sheet1!$O126</f>
        <v>-277633.401205374</v>
      </c>
      <c r="CU109" s="7" t="n">
        <f aca="false">'[3]Long Term Deals'!$Z108</f>
        <v>15953.184173812</v>
      </c>
      <c r="CV109" s="70" t="n">
        <f aca="false">CL109-CN109-CT109+CU109+CS109+CO109</f>
        <v>566855.965542182</v>
      </c>
      <c r="DB109" s="1" t="n">
        <f aca="false">(O109+P109+Q109)*'Prices&amp;Fuel'!$H109</f>
        <v>778100</v>
      </c>
      <c r="DE109" s="1" t="n">
        <v>200000</v>
      </c>
    </row>
    <row r="110" customFormat="false" ht="12.75" hidden="false" customHeight="false" outlineLevel="0" collapsed="false">
      <c r="A110" s="6" t="n">
        <f aca="false">+A109+365/12</f>
        <v>38942.75</v>
      </c>
      <c r="O110" s="7" t="n">
        <v>9036</v>
      </c>
      <c r="P110" s="7" t="n">
        <v>10794</v>
      </c>
      <c r="Q110" s="7" t="n">
        <v>5270</v>
      </c>
      <c r="R110" s="8" t="n">
        <f aca="false">R109</f>
        <v>3.3259</v>
      </c>
      <c r="S110" s="8" t="n">
        <f aca="false">S109</f>
        <v>3.3132</v>
      </c>
      <c r="T110" s="7" t="n">
        <f aca="false">(($O110*R110)+($P110*R110)+($Q110*R110))*'Prices&amp;Fuel'!$H110</f>
        <v>2587882.79</v>
      </c>
      <c r="U110" s="7" t="n">
        <f aca="false">(($O110*S110)+($P110*S110)+($Q110*S110))*'Prices&amp;Fuel'!$H110</f>
        <v>2578000.92</v>
      </c>
      <c r="V110" s="14" t="n">
        <f aca="false">T110-U110</f>
        <v>9881.87000000011</v>
      </c>
      <c r="AF110" s="7" t="n">
        <f aca="false">((100000)/(1-'Prices&amp;Fuel'!F110))+(25000/(1-'Prices&amp;Fuel'!G110))-AI110</f>
        <v>128534.70437018</v>
      </c>
      <c r="AG110" s="7" t="n">
        <v>0</v>
      </c>
      <c r="AH110" s="7" t="n">
        <f aca="false">(75000/(1-'Prices&amp;Fuel'!G110))-AK110</f>
        <v>77120.822622108</v>
      </c>
      <c r="AI110" s="7"/>
      <c r="AJ110" s="7"/>
      <c r="AK110" s="7"/>
      <c r="AL110" s="11" t="n">
        <f aca="false">ROUND((200000/(1-'Prices&amp;Fuel'!F110))-AF110-AG110-AH110,0)</f>
        <v>0</v>
      </c>
      <c r="AM110" s="7" t="n">
        <f aca="false">ROUND(IF(AF110&lt;AP110,0,(AF110-AP110-AI110)/2),0)</f>
        <v>64267</v>
      </c>
      <c r="AO110" s="7" t="n">
        <f aca="false">ROUND((75000/(1-'Prices&amp;Fuel'!G110)-AV110-AK110)/2,0)</f>
        <v>38560</v>
      </c>
      <c r="AR110" s="7" t="n">
        <f aca="false">IF(AP110&gt;AF110,0,AF110-AM110-AP110)</f>
        <v>64267.70437018</v>
      </c>
      <c r="AT110" s="14" t="n">
        <f aca="false">AH110-AO110-AV110</f>
        <v>38560.822622108</v>
      </c>
      <c r="AU110" s="14" t="n">
        <f aca="false">AL110*AX110*'Prices&amp;Fuel'!H110</f>
        <v>0</v>
      </c>
      <c r="AW110" s="68" t="n">
        <f aca="false">AW109</f>
        <v>0.05</v>
      </c>
      <c r="AX110" s="68" t="n">
        <f aca="false">AX109</f>
        <v>0.025</v>
      </c>
      <c r="AY110" s="5" t="n">
        <f aca="false">('Prices&amp;Fuel'!H110*('Prices&amp;Fuel'!B110+AW110)*'Long Term Deals'!AF110)+('Prices&amp;Fuel'!H110*('Prices&amp;Fuel'!C110+'Long Term Deals'!AW110)*'Long Term Deals'!AG110)+(AH110*('Prices&amp;Fuel'!C110+AW110)*'Prices&amp;Fuel'!H110)+(AW110*AL110*'Prices&amp;Fuel'!H110)</f>
        <v>25024226.9214602</v>
      </c>
      <c r="AZ110" s="5" t="n">
        <f aca="false">(AP110*'Prices&amp;Fuel'!H110*'Prices&amp;Fuel'!B110)+(AQ110*'Prices&amp;Fuel'!C110*'Prices&amp;Fuel'!H110)+((AM110+AR110)*('Prices&amp;Fuel'!B110+'Long Term Deals'!AX110)*'Prices&amp;Fuel'!H110)+((AN110+AS110)*('Prices&amp;Fuel'!C110+'Long Term Deals'!AX110)*'Prices&amp;Fuel'!H110)+((AO110+AT110)*('Prices&amp;Fuel'!D110+'Long Term Deals'!AX110)*'Prices&amp;Fuel'!H110)+(AV110*'Prices&amp;Fuel'!H110*'Prices&amp;Fuel'!Q110)+AU110</f>
        <v>24745306.6129769</v>
      </c>
      <c r="BA110" s="5" t="n">
        <f aca="false">AY110-AZ110</f>
        <v>278920.308483288</v>
      </c>
      <c r="BB110" s="5" t="n">
        <f aca="false">IF('FP Corp'!T110-((BE110+BF110+BG110)*(1-'Prices&amp;Fuel'!F110))&lt;'Prices&amp;Fuel'!R110,('FP Corp'!T110-(BE110+BF110+BG110)*(1-'Prices&amp;Fuel'!F110)),'Prices&amp;Fuel'!R110)/(1-'Prices&amp;Fuel'!F110)</f>
        <v>8976.86375321337</v>
      </c>
      <c r="BC110" s="9"/>
      <c r="BD110" s="9" t="n">
        <f aca="false">ROUND(IF('FP Corp'!T110/(1-'Prices&amp;Fuel'!F110)-BE110-BF110-BG110-BB110&gt;'Prices&amp;Fuel'!T110,'Prices&amp;Fuel'!T110,'FP Corp'!T110/(1-'Prices&amp;Fuel'!F110)-BE110-BF110-BG110-BB110),9)</f>
        <v>6556.298200514</v>
      </c>
      <c r="BE110" s="9" t="n">
        <f aca="false">'Prices&amp;Fuel'!U110/(1-'Prices&amp;Fuel'!F110)</f>
        <v>1933.16195372751</v>
      </c>
      <c r="BF110" s="9" t="n">
        <f aca="false">('Prices&amp;Fuel'!V110+'Prices&amp;Fuel'!X110)/(1-'Prices&amp;Fuel'!F110)</f>
        <v>3062.21079691517</v>
      </c>
      <c r="BG110" s="9" t="n">
        <f aca="false">'Prices&amp;Fuel'!W110/(1-'Prices&amp;Fuel'!F110)</f>
        <v>1065.29562982005</v>
      </c>
      <c r="BH110" s="10" t="n">
        <f aca="false">('Prices&amp;Fuel'!C110+'Prices&amp;Fuel'!D110)/2-0.05+('Prices&amp;Fuel'!M110+'Prices&amp;Fuel'!P110)*(1-'Prices&amp;Fuel'!F110)</f>
        <v>4.5821198276</v>
      </c>
      <c r="BI110" s="10"/>
      <c r="BJ110" s="10"/>
      <c r="BK110" s="10" t="n">
        <f aca="false">(((BB110+BE110)*('Prices&amp;Fuel'!B110+0.025))+(('Prices&amp;Fuel'!D110+0.025)*(BD110+BG110))+(('Prices&amp;Fuel'!C110+0.025)*(BC110+BF110))-(BI110+BJ110)*0.025)/(BB110+BC110+BD110+BE110+BF110+BG110)</f>
        <v>3.8897091728381</v>
      </c>
      <c r="BL110" s="9" t="n">
        <f aca="false">(BB110+BC110+BD110+BE110+BF110+BG110)*BH110*'Prices&amp;Fuel'!H110</f>
        <v>3067311.06197181</v>
      </c>
      <c r="BM110" s="9" t="n">
        <f aca="false">'Prices&amp;Fuel'!X110*('Prices&amp;Fuel'!N110+'Prices&amp;Fuel'!O110)*'Prices&amp;Fuel'!H110</f>
        <v>9438.64041395779</v>
      </c>
      <c r="BN110" s="9" t="n">
        <f aca="false">('Prices&amp;Fuel'!U110+'Prices&amp;Fuel'!V110+'Prices&amp;Fuel'!W110)*('Prices&amp;Fuel'!L110+'Prices&amp;Fuel'!O110)*'Prices&amp;Fuel'!H110</f>
        <v>72012.8187366531</v>
      </c>
      <c r="BO110" s="9" t="n">
        <f aca="false">((BB110+BC110+BD110)*(1-'Prices&amp;Fuel'!G110))*('Prices&amp;Fuel'!M110+'Prices&amp;Fuel'!P110)*'Prices&amp;Fuel'!H110</f>
        <v>358472.932999997</v>
      </c>
      <c r="BP110" s="9" t="n">
        <f aca="false">((BD110+BC110+BB110+BE110+BF110+BG110)*BK110*'Prices&amp;Fuel'!H110)+BM110+BN110+BO110</f>
        <v>3043729.70990648</v>
      </c>
      <c r="BQ110" s="5" t="n">
        <f aca="false">BL110-BP110</f>
        <v>23581.3520653271</v>
      </c>
      <c r="CA110" s="5" t="n">
        <f aca="false">(AF110+AG110+AH110+AL110)*0.005*'Prices&amp;Fuel'!H110</f>
        <v>31876.6066838046</v>
      </c>
      <c r="CB110" s="5" t="n">
        <f aca="false">(B110+C110+D110+O110+P110+Q110+X110+Y110+BB110+BC110+BD110+BE110+BF110+BG110+BR110+BS110)*0.005*'Prices&amp;Fuel'!H110</f>
        <v>7237.54370179946</v>
      </c>
      <c r="CC110" s="7" t="n">
        <f aca="false">K110+T110+AB110+AY110+BL110+BX110</f>
        <v>30679420.773432</v>
      </c>
      <c r="CD110" s="7" t="n">
        <f aca="false">L110+U110+AC110+AZ110+BP110+BY110+CA110+CB110</f>
        <v>30406151.3932689</v>
      </c>
      <c r="CE110" s="7" t="n">
        <f aca="false">CC110-CD110</f>
        <v>273269.38016301</v>
      </c>
      <c r="CF110" s="7" t="n">
        <f aca="false">'Index Price Deals'!AR110</f>
        <v>0</v>
      </c>
      <c r="CG110" s="7" t="n">
        <f aca="false">'Index Price Deals'!AS110</f>
        <v>0</v>
      </c>
      <c r="CH110" s="7" t="n">
        <f aca="false">'Index Price Deals'!AT110</f>
        <v>0</v>
      </c>
      <c r="CI110" s="7" t="n">
        <f aca="false">'Index Price Deals'!AU110</f>
        <v>0</v>
      </c>
      <c r="CJ110" s="7" t="n">
        <f aca="false">CC110+CF110</f>
        <v>30679420.773432</v>
      </c>
      <c r="CK110" s="7" t="n">
        <f aca="false">CD110+CH110</f>
        <v>30406151.3932689</v>
      </c>
      <c r="CL110" s="7" t="n">
        <f aca="false">CE110+CI110</f>
        <v>273269.38016301</v>
      </c>
      <c r="CM110" s="69"/>
      <c r="CN110" s="7" t="n">
        <f aca="false">Transport!U110</f>
        <v>3.14901408273727E-009</v>
      </c>
      <c r="CQ110" s="7" t="n">
        <f aca="false">(((($B110+$C110+$D110+$O110+$P110+$Q110)*0.5)+BR110+BS110)*(0.005*'Prices&amp;Fuel'!$H110)+'Index Price Deals'!AV110)+(((BB110+BC110+BD110+BE110+BF110+BG110)*(1-'Prices&amp;Fuel'!F110))*0.005*0.5*'Prices&amp;Fuel'!H110)</f>
        <v>3572.74999999999</v>
      </c>
      <c r="CR110" s="7" t="n">
        <f aca="false">(((($B110+$C110+$D110+$O110+$P110+$Q110)*0.5)+X110+Y110)*(0.005*'Prices&amp;Fuel'!$H110)+CA110+'Index Price Deals'!AW110)+(((BB110+BC110+BD110+BE110+BF110+BG110)*(1-'Prices&amp;Fuel'!F110))*0.005*0.5*'Prices&amp;Fuel'!H110)</f>
        <v>35449.3566838046</v>
      </c>
      <c r="CS110" s="11"/>
      <c r="CT110" s="7" t="n">
        <f aca="false">[2]Sheet1!$O127</f>
        <v>-277633.401205374</v>
      </c>
      <c r="CU110" s="7" t="n">
        <f aca="false">'[3]Long Term Deals'!$Z109</f>
        <v>15953.184173812</v>
      </c>
      <c r="CV110" s="70" t="n">
        <f aca="false">CL110-CN110-CT110+CU110+CS110+CO110</f>
        <v>566855.965542194</v>
      </c>
      <c r="DB110" s="1" t="n">
        <f aca="false">(O110+P110+Q110)*'Prices&amp;Fuel'!$H110</f>
        <v>778100</v>
      </c>
      <c r="DE110" s="1" t="n">
        <v>200000</v>
      </c>
    </row>
    <row r="111" customFormat="false" ht="12.75" hidden="false" customHeight="false" outlineLevel="0" collapsed="false">
      <c r="A111" s="6" t="n">
        <f aca="false">+A110+365/12</f>
        <v>38973.1666666667</v>
      </c>
      <c r="O111" s="7" t="n">
        <v>9036</v>
      </c>
      <c r="P111" s="7" t="n">
        <v>10794</v>
      </c>
      <c r="Q111" s="7" t="n">
        <v>5270</v>
      </c>
      <c r="R111" s="8" t="n">
        <f aca="false">R110</f>
        <v>3.3259</v>
      </c>
      <c r="S111" s="8" t="n">
        <f aca="false">S110</f>
        <v>3.3132</v>
      </c>
      <c r="T111" s="7" t="n">
        <f aca="false">(($O111*R111)+($P111*R111)+($Q111*R111))*'Prices&amp;Fuel'!$H111</f>
        <v>2504402.7</v>
      </c>
      <c r="U111" s="7" t="n">
        <f aca="false">(($O111*S111)+($P111*S111)+($Q111*S111))*'Prices&amp;Fuel'!$H111</f>
        <v>2494839.6</v>
      </c>
      <c r="V111" s="14" t="n">
        <f aca="false">T111-U111</f>
        <v>9563.10000000009</v>
      </c>
      <c r="AF111" s="7" t="n">
        <f aca="false">((100000)/(1-'Prices&amp;Fuel'!F111))+(25000/(1-'Prices&amp;Fuel'!G111))-AI111</f>
        <v>128534.70437018</v>
      </c>
      <c r="AG111" s="7" t="n">
        <v>0</v>
      </c>
      <c r="AH111" s="7" t="n">
        <f aca="false">(75000/(1-'Prices&amp;Fuel'!G111))-AK111</f>
        <v>77120.822622108</v>
      </c>
      <c r="AI111" s="7"/>
      <c r="AJ111" s="7"/>
      <c r="AK111" s="7"/>
      <c r="AL111" s="11" t="n">
        <f aca="false">ROUND((200000/(1-'Prices&amp;Fuel'!F111))-AF111-AG111-AH111,0)</f>
        <v>0</v>
      </c>
      <c r="AM111" s="7" t="n">
        <f aca="false">ROUND(IF(AF111&lt;AP111,0,(AF111-AP111-AI111)/2),0)</f>
        <v>64267</v>
      </c>
      <c r="AO111" s="7" t="n">
        <f aca="false">ROUND((75000/(1-'Prices&amp;Fuel'!G111)-AV111-AK111)/2,0)</f>
        <v>38560</v>
      </c>
      <c r="AR111" s="7" t="n">
        <f aca="false">IF(AP111&gt;AF111,0,AF111-AM111-AP111)</f>
        <v>64267.70437018</v>
      </c>
      <c r="AT111" s="14" t="n">
        <f aca="false">AH111-AO111-AV111</f>
        <v>38560.822622108</v>
      </c>
      <c r="AU111" s="14" t="n">
        <f aca="false">AL111*AX111*'Prices&amp;Fuel'!H111</f>
        <v>0</v>
      </c>
      <c r="AW111" s="68" t="n">
        <f aca="false">AW110</f>
        <v>0.05</v>
      </c>
      <c r="AX111" s="68" t="n">
        <f aca="false">AX110</f>
        <v>0.025</v>
      </c>
      <c r="AY111" s="5" t="n">
        <f aca="false">('Prices&amp;Fuel'!H111*('Prices&amp;Fuel'!B111+AW111)*'Long Term Deals'!AF111)+('Prices&amp;Fuel'!H111*('Prices&amp;Fuel'!C111+'Long Term Deals'!AW111)*'Long Term Deals'!AG111)+(AH111*('Prices&amp;Fuel'!C111+AW111)*'Prices&amp;Fuel'!H111)+(AW111*AL111*'Prices&amp;Fuel'!H111)</f>
        <v>29160531.6111054</v>
      </c>
      <c r="AZ111" s="5" t="n">
        <f aca="false">(AP111*'Prices&amp;Fuel'!H111*'Prices&amp;Fuel'!B111)+(AQ111*'Prices&amp;Fuel'!C111*'Prices&amp;Fuel'!H111)+((AM111+AR111)*('Prices&amp;Fuel'!B111+'Long Term Deals'!AX111)*'Prices&amp;Fuel'!H111)+((AN111+AS111)*('Prices&amp;Fuel'!C111+'Long Term Deals'!AX111)*'Prices&amp;Fuel'!H111)+((AO111+AT111)*('Prices&amp;Fuel'!D111+'Long Term Deals'!AX111)*'Prices&amp;Fuel'!H111)+(AV111*'Prices&amp;Fuel'!H111*'Prices&amp;Fuel'!Q111)+AU111</f>
        <v>28890608.731928</v>
      </c>
      <c r="BA111" s="5" t="n">
        <f aca="false">AY111-AZ111</f>
        <v>269922.879177373</v>
      </c>
      <c r="BB111" s="5" t="n">
        <f aca="false">IF('FP Corp'!T111-((BE111+BF111+BG111)*(1-'Prices&amp;Fuel'!F111))&lt;'Prices&amp;Fuel'!R111,('FP Corp'!T111-(BE111+BF111+BG111)*(1-'Prices&amp;Fuel'!F111)),'Prices&amp;Fuel'!R111)/(1-'Prices&amp;Fuel'!F111)</f>
        <v>8976.86375321337</v>
      </c>
      <c r="BC111" s="9"/>
      <c r="BD111" s="9" t="n">
        <f aca="false">ROUND(IF('FP Corp'!T111/(1-'Prices&amp;Fuel'!F111)-BE111-BF111-BG111-BB111&gt;'Prices&amp;Fuel'!T111,'Prices&amp;Fuel'!T111,'FP Corp'!T111/(1-'Prices&amp;Fuel'!F111)-BE111-BF111-BG111-BB111),9)</f>
        <v>6556.298200514</v>
      </c>
      <c r="BE111" s="9" t="n">
        <f aca="false">'Prices&amp;Fuel'!U111/(1-'Prices&amp;Fuel'!F111)</f>
        <v>1933.16195372751</v>
      </c>
      <c r="BF111" s="9" t="n">
        <f aca="false">('Prices&amp;Fuel'!V111+'Prices&amp;Fuel'!X111)/(1-'Prices&amp;Fuel'!F111)</f>
        <v>3062.21079691517</v>
      </c>
      <c r="BG111" s="9" t="n">
        <f aca="false">'Prices&amp;Fuel'!W111/(1-'Prices&amp;Fuel'!F111)</f>
        <v>1065.29562982005</v>
      </c>
      <c r="BH111" s="10" t="n">
        <f aca="false">('Prices&amp;Fuel'!C111+'Prices&amp;Fuel'!D111)/2-0.05+('Prices&amp;Fuel'!M111+'Prices&amp;Fuel'!P111)*(1-'Prices&amp;Fuel'!F111)</f>
        <v>5.3833849153</v>
      </c>
      <c r="BI111" s="10"/>
      <c r="BJ111" s="10"/>
      <c r="BK111" s="10" t="n">
        <f aca="false">(((BB111+BE111)*('Prices&amp;Fuel'!B111+0.025))+(('Prices&amp;Fuel'!D111+0.025)*(BD111+BG111))+(('Prices&amp;Fuel'!C111+0.025)*(BC111+BF111))-(BI111+BJ111)*0.025)/(BB111+BC111+BD111+BE111+BF111+BG111)</f>
        <v>4.6909742605381</v>
      </c>
      <c r="BL111" s="9" t="n">
        <f aca="false">(BB111+BC111+BD111+BE111+BF111+BG111)*BH111*'Prices&amp;Fuel'!H111</f>
        <v>3487437.0145388</v>
      </c>
      <c r="BM111" s="9" t="n">
        <f aca="false">'Prices&amp;Fuel'!X111*('Prices&amp;Fuel'!N111+'Prices&amp;Fuel'!O111)*'Prices&amp;Fuel'!H111</f>
        <v>9134.1681425398</v>
      </c>
      <c r="BN111" s="9" t="n">
        <f aca="false">('Prices&amp;Fuel'!U111+'Prices&amp;Fuel'!V111+'Prices&amp;Fuel'!W111)*('Prices&amp;Fuel'!L111+'Prices&amp;Fuel'!O111)*'Prices&amp;Fuel'!H111</f>
        <v>69689.8245838578</v>
      </c>
      <c r="BO111" s="9" t="n">
        <f aca="false">((BB111+BC111+BD111)*(1-'Prices&amp;Fuel'!G111))*('Prices&amp;Fuel'!M111+'Prices&amp;Fuel'!P111)*'Prices&amp;Fuel'!H111</f>
        <v>346909.289999997</v>
      </c>
      <c r="BP111" s="9" t="n">
        <f aca="false">((BD111+BC111+BB111+BE111+BF111+BG111)*BK111*'Prices&amp;Fuel'!H111)+BM111+BN111+BO111</f>
        <v>3464616.35124977</v>
      </c>
      <c r="BQ111" s="5" t="n">
        <f aca="false">BL111-BP111</f>
        <v>22820.6632890268</v>
      </c>
      <c r="CA111" s="5" t="n">
        <f aca="false">(AF111+AG111+AH111+AL111)*0.005*'Prices&amp;Fuel'!H111</f>
        <v>30848.3290488432</v>
      </c>
      <c r="CB111" s="5" t="n">
        <f aca="false">(B111+C111+D111+O111+P111+Q111+X111+Y111+BB111+BC111+BD111+BE111+BF111+BG111+BR111+BS111)*0.005*'Prices&amp;Fuel'!H111</f>
        <v>7004.07455012851</v>
      </c>
      <c r="CC111" s="7" t="n">
        <f aca="false">K111+T111+AB111+AY111+BL111+BX111</f>
        <v>35152371.3256442</v>
      </c>
      <c r="CD111" s="7" t="n">
        <f aca="false">L111+U111+AC111+AZ111+BP111+BY111+CA111+CB111</f>
        <v>34887917.0867768</v>
      </c>
      <c r="CE111" s="7" t="n">
        <f aca="false">CC111-CD111</f>
        <v>264454.238867424</v>
      </c>
      <c r="CF111" s="7" t="n">
        <f aca="false">'Index Price Deals'!AR111</f>
        <v>0</v>
      </c>
      <c r="CG111" s="7" t="n">
        <f aca="false">'Index Price Deals'!AS111</f>
        <v>0</v>
      </c>
      <c r="CH111" s="7" t="n">
        <f aca="false">'Index Price Deals'!AT111</f>
        <v>0</v>
      </c>
      <c r="CI111" s="7" t="n">
        <f aca="false">'Index Price Deals'!AU111</f>
        <v>0</v>
      </c>
      <c r="CJ111" s="7" t="n">
        <f aca="false">CC111+CF111</f>
        <v>35152371.3256442</v>
      </c>
      <c r="CK111" s="7" t="n">
        <f aca="false">CD111+CH111</f>
        <v>34887917.0867768</v>
      </c>
      <c r="CL111" s="7" t="n">
        <f aca="false">CE111+CI111</f>
        <v>264454.238867424</v>
      </c>
      <c r="CM111" s="69"/>
      <c r="CN111" s="7" t="n">
        <f aca="false">Transport!U111</f>
        <v>3.04743298329413E-009</v>
      </c>
      <c r="CQ111" s="7" t="n">
        <f aca="false">(((($B111+$C111+$D111+$O111+$P111+$Q111)*0.5)+BR111+BS111)*(0.005*'Prices&amp;Fuel'!$H111)+'Index Price Deals'!AV111)+(((BB111+BC111+BD111+BE111+BF111+BG111)*(1-'Prices&amp;Fuel'!F111))*0.005*0.5*'Prices&amp;Fuel'!H111)</f>
        <v>3457.49999999999</v>
      </c>
      <c r="CR111" s="7" t="n">
        <f aca="false">(((($B111+$C111+$D111+$O111+$P111+$Q111)*0.5)+X111+Y111)*(0.005*'Prices&amp;Fuel'!$H111)+CA111+'Index Price Deals'!AW111)+(((BB111+BC111+BD111+BE111+BF111+BG111)*(1-'Prices&amp;Fuel'!F111))*0.005*0.5*'Prices&amp;Fuel'!H111)</f>
        <v>34305.8290488432</v>
      </c>
      <c r="CS111" s="11"/>
      <c r="CT111" s="7" t="n">
        <f aca="false">[2]Sheet1!$O128</f>
        <v>-268677.485037459</v>
      </c>
      <c r="CU111" s="7" t="n">
        <f aca="false">'[3]Long Term Deals'!$Z110</f>
        <v>15438.5653294955</v>
      </c>
      <c r="CV111" s="70" t="n">
        <f aca="false">CL111-CN111-CT111+CU111+CS111+CO111</f>
        <v>548570.289234376</v>
      </c>
      <c r="DB111" s="1" t="n">
        <f aca="false">(O111+P111+Q111)*'Prices&amp;Fuel'!$H111</f>
        <v>753000</v>
      </c>
      <c r="DE111" s="1" t="n">
        <v>200000</v>
      </c>
    </row>
    <row r="112" customFormat="false" ht="12.75" hidden="false" customHeight="false" outlineLevel="0" collapsed="false">
      <c r="A112" s="6" t="n">
        <f aca="false">+A111+365/12</f>
        <v>39003.5833333333</v>
      </c>
      <c r="O112" s="7" t="n">
        <v>9036</v>
      </c>
      <c r="P112" s="7" t="n">
        <v>10794</v>
      </c>
      <c r="Q112" s="7" t="n">
        <v>5270</v>
      </c>
      <c r="R112" s="8" t="n">
        <f aca="false">R111</f>
        <v>3.3259</v>
      </c>
      <c r="S112" s="8" t="n">
        <f aca="false">S111</f>
        <v>3.3132</v>
      </c>
      <c r="T112" s="7" t="n">
        <f aca="false">(($O112*R112)+($P112*R112)+($Q112*R112))*'Prices&amp;Fuel'!$H112</f>
        <v>2587882.79</v>
      </c>
      <c r="U112" s="7" t="n">
        <f aca="false">(($O112*S112)+($P112*S112)+($Q112*S112))*'Prices&amp;Fuel'!$H112</f>
        <v>2578000.92</v>
      </c>
      <c r="V112" s="14" t="n">
        <f aca="false">T112-U112</f>
        <v>9881.87000000011</v>
      </c>
      <c r="AF112" s="7" t="n">
        <f aca="false">(32000/(1-'Prices&amp;Fuel'!F112))+(25000/(1-'Prices&amp;Fuel'!G112))-AI112</f>
        <v>58611.8251928021</v>
      </c>
      <c r="AG112" s="7" t="n">
        <v>0</v>
      </c>
      <c r="AH112" s="7" t="n">
        <f aca="false">(75000/(1-'Prices&amp;Fuel'!G112))-AK112</f>
        <v>77120.822622108</v>
      </c>
      <c r="AI112" s="7"/>
      <c r="AJ112" s="7"/>
      <c r="AK112" s="7"/>
      <c r="AL112" s="11" t="n">
        <f aca="false">ROUND((132000/(1-'Prices&amp;Fuel'!F112))-AF112-AG112-AH112,0)</f>
        <v>0</v>
      </c>
      <c r="AM112" s="7" t="n">
        <f aca="false">ROUND(IF(AF112&lt;AP112,0,(AF112-AP112-AI112)/2),0)</f>
        <v>29306</v>
      </c>
      <c r="AO112" s="7" t="n">
        <f aca="false">ROUND((75000/(1-'Prices&amp;Fuel'!G112)-AV112-AK112)/2,0)</f>
        <v>38560</v>
      </c>
      <c r="AR112" s="7" t="n">
        <f aca="false">IF(AP112&gt;AF112,0,AF112-AM112-AP112)</f>
        <v>29305.8251928021</v>
      </c>
      <c r="AT112" s="14" t="n">
        <f aca="false">AH112-AO112-AV112</f>
        <v>38560.822622108</v>
      </c>
      <c r="AU112" s="14" t="n">
        <f aca="false">AL112*AX112*'Prices&amp;Fuel'!H112</f>
        <v>0</v>
      </c>
      <c r="AW112" s="68" t="n">
        <f aca="false">AW111</f>
        <v>0.05</v>
      </c>
      <c r="AX112" s="68" t="n">
        <f aca="false">AX111</f>
        <v>0.025</v>
      </c>
      <c r="AY112" s="5" t="n">
        <f aca="false">('Prices&amp;Fuel'!H112*('Prices&amp;Fuel'!B112+AW112)*'Long Term Deals'!AF112)+('Prices&amp;Fuel'!H112*('Prices&amp;Fuel'!C112+'Long Term Deals'!AW112)*'Long Term Deals'!AG112)+(AH112*('Prices&amp;Fuel'!C112+AW112)*'Prices&amp;Fuel'!H112)+(AW112*AL112*'Prices&amp;Fuel'!H112)</f>
        <v>22913675.9716948</v>
      </c>
      <c r="AZ112" s="5" t="n">
        <f aca="false">(AP112*'Prices&amp;Fuel'!H112*'Prices&amp;Fuel'!B112)+(AQ112*'Prices&amp;Fuel'!C112*'Prices&amp;Fuel'!H112)+((AM112+AR112)*('Prices&amp;Fuel'!B112+'Long Term Deals'!AX112)*'Prices&amp;Fuel'!H112)+((AN112+AS112)*('Prices&amp;Fuel'!C112+'Long Term Deals'!AX112)*'Prices&amp;Fuel'!H112)+((AO112+AT112)*('Prices&amp;Fuel'!D112+'Long Term Deals'!AX112)*'Prices&amp;Fuel'!H112)+(AV112*'Prices&amp;Fuel'!H112*'Prices&amp;Fuel'!Q112)+AU112</f>
        <v>22688945.894574</v>
      </c>
      <c r="BA112" s="5" t="n">
        <f aca="false">AY112-AZ112</f>
        <v>224730.077120822</v>
      </c>
      <c r="BB112" s="5" t="n">
        <f aca="false">IF('FP Corp'!T112-((BE112+BF112+BG112)*(1-'Prices&amp;Fuel'!F112))&lt;'Prices&amp;Fuel'!R112,('FP Corp'!T112-(BE112+BF112+BG112)*(1-'Prices&amp;Fuel'!F112)),'Prices&amp;Fuel'!R112)/(1-'Prices&amp;Fuel'!F112)</f>
        <v>8976.86375321337</v>
      </c>
      <c r="BC112" s="9"/>
      <c r="BD112" s="9" t="n">
        <f aca="false">ROUND(IF('FP Corp'!T112/(1-'Prices&amp;Fuel'!F112)-BE112-BF112-BG112-BB112&gt;'Prices&amp;Fuel'!T112,'Prices&amp;Fuel'!T112,'FP Corp'!T112/(1-'Prices&amp;Fuel'!F112)-BE112-BF112-BG112-BB112),9)</f>
        <v>3514.652956298</v>
      </c>
      <c r="BE112" s="9" t="n">
        <f aca="false">'Prices&amp;Fuel'!U112/(1-'Prices&amp;Fuel'!F112)</f>
        <v>2910.02570694087</v>
      </c>
      <c r="BF112" s="9" t="n">
        <f aca="false">('Prices&amp;Fuel'!V112+'Prices&amp;Fuel'!X112)/(1-'Prices&amp;Fuel'!F112)</f>
        <v>4628.27763496144</v>
      </c>
      <c r="BG112" s="9" t="n">
        <f aca="false">'Prices&amp;Fuel'!W112/(1-'Prices&amp;Fuel'!F112)</f>
        <v>1564.01028277635</v>
      </c>
      <c r="BH112" s="10" t="n">
        <f aca="false">('Prices&amp;Fuel'!C112+'Prices&amp;Fuel'!D112)/2-0.05+('Prices&amp;Fuel'!M112+'Prices&amp;Fuel'!P112)*(1-'Prices&amp;Fuel'!F112)</f>
        <v>6.0909956421</v>
      </c>
      <c r="BI112" s="10"/>
      <c r="BJ112" s="10"/>
      <c r="BK112" s="10" t="n">
        <f aca="false">(((BB112+BE112)*('Prices&amp;Fuel'!B112+0.025))+(('Prices&amp;Fuel'!D112+0.025)*(BD112+BG112))+(('Prices&amp;Fuel'!C112+0.025)*(BC112+BF112))-(BI112+BJ112)*0.025)/(BB112+BC112+BD112+BE112+BF112+BG112)</f>
        <v>5.40175879686191</v>
      </c>
      <c r="BL112" s="9" t="n">
        <f aca="false">(BB112+BC112+BD112+BE112+BF112+BG112)*BH112*'Prices&amp;Fuel'!H112</f>
        <v>4077365.72031575</v>
      </c>
      <c r="BM112" s="9" t="n">
        <f aca="false">'Prices&amp;Fuel'!X112*('Prices&amp;Fuel'!N112+'Prices&amp;Fuel'!O112)*'Prices&amp;Fuel'!H112</f>
        <v>13833.2050576453</v>
      </c>
      <c r="BN112" s="9" t="n">
        <f aca="false">('Prices&amp;Fuel'!U112+'Prices&amp;Fuel'!V112+'Prices&amp;Fuel'!W112)*('Prices&amp;Fuel'!L112+'Prices&amp;Fuel'!O112)*'Prices&amp;Fuel'!H112</f>
        <v>108495.996910663</v>
      </c>
      <c r="BO112" s="9" t="n">
        <f aca="false">((BB112+BC112+BD112)*(1-'Prices&amp;Fuel'!G112))*('Prices&amp;Fuel'!M112+'Prices&amp;Fuel'!P112)*'Prices&amp;Fuel'!H112</f>
        <v>288278.113999995</v>
      </c>
      <c r="BP112" s="9" t="n">
        <f aca="false">((BD112+BC112+BB112+BE112+BF112+BG112)*BK112*'Prices&amp;Fuel'!H112)+BM112+BN112+BO112</f>
        <v>4026591.86790359</v>
      </c>
      <c r="BQ112" s="5" t="n">
        <f aca="false">BL112-BP112</f>
        <v>50773.8524121549</v>
      </c>
      <c r="CA112" s="5" t="n">
        <f aca="false">(AF112+AG112+AH112+AL112)*0.005*'Prices&amp;Fuel'!H112</f>
        <v>21038.5604113111</v>
      </c>
      <c r="CB112" s="5" t="n">
        <f aca="false">(B112+C112+D112+O112+P112+Q112+X112+Y112+BB112+BC112+BD112+BE112+BF112+BG112+BR112+BS112)*0.005*'Prices&amp;Fuel'!H112</f>
        <v>7237.54370179946</v>
      </c>
      <c r="CC112" s="7" t="n">
        <f aca="false">K112+T112+AB112+AY112+BL112+BX112</f>
        <v>29578924.4820106</v>
      </c>
      <c r="CD112" s="7" t="n">
        <f aca="false">L112+U112+AC112+AZ112+BP112+BY112+CA112+CB112</f>
        <v>29321814.7865907</v>
      </c>
      <c r="CE112" s="7" t="n">
        <f aca="false">CC112-CD112</f>
        <v>257109.695419867</v>
      </c>
      <c r="CF112" s="7" t="n">
        <f aca="false">'Index Price Deals'!AR112</f>
        <v>0</v>
      </c>
      <c r="CG112" s="7" t="n">
        <f aca="false">'Index Price Deals'!AS112</f>
        <v>0</v>
      </c>
      <c r="CH112" s="7" t="n">
        <f aca="false">'Index Price Deals'!AT112</f>
        <v>0</v>
      </c>
      <c r="CI112" s="7" t="n">
        <f aca="false">'Index Price Deals'!AU112</f>
        <v>0</v>
      </c>
      <c r="CJ112" s="7" t="n">
        <f aca="false">CC112+CF112</f>
        <v>29578924.4820106</v>
      </c>
      <c r="CK112" s="7" t="n">
        <f aca="false">CD112+CH112</f>
        <v>29321814.7865907</v>
      </c>
      <c r="CL112" s="7" t="n">
        <f aca="false">CE112+CI112</f>
        <v>257109.695419867</v>
      </c>
      <c r="CM112" s="69"/>
      <c r="CN112" s="7" t="n">
        <f aca="false">Transport!U112</f>
        <v>4.39204595750198E-009</v>
      </c>
      <c r="CQ112" s="7" t="n">
        <f aca="false">(((($B112+$C112+$D112+$O112+$P112+$Q112)*0.5)+BR112+BS112)*(0.005*'Prices&amp;Fuel'!$H112)+'Index Price Deals'!AV112)+(((BB112+BC112+BD112+BE112+BF112+BG112)*(1-'Prices&amp;Fuel'!F112))*0.005*0.5*'Prices&amp;Fuel'!H112)</f>
        <v>3572.74999999999</v>
      </c>
      <c r="CR112" s="7" t="n">
        <f aca="false">(((($B112+$C112+$D112+$O112+$P112+$Q112)*0.5)+X112+Y112)*(0.005*'Prices&amp;Fuel'!$H112)+CA112+'Index Price Deals'!AW112)+(((BB112+BC112+BD112+BE112+BF112+BG112)*(1-'Prices&amp;Fuel'!F112))*0.005*0.5*'Prices&amp;Fuel'!H112)</f>
        <v>24611.310411311</v>
      </c>
      <c r="CS112" s="11"/>
      <c r="CT112" s="7" t="n">
        <f aca="false">[2]Sheet1!$O129</f>
        <v>-183238.044795547</v>
      </c>
      <c r="CU112" s="7" t="n">
        <f aca="false">'[3]Long Term Deals'!$Z111</f>
        <v>10529.1015547159</v>
      </c>
      <c r="CV112" s="70" t="n">
        <f aca="false">CL112-CN112-CT112+CU112+CS112+CO112</f>
        <v>450876.841770125</v>
      </c>
      <c r="DB112" s="1" t="n">
        <f aca="false">(O112+P112+Q112)*'Prices&amp;Fuel'!$H112</f>
        <v>778100</v>
      </c>
      <c r="DE112" s="1" t="n">
        <v>132000</v>
      </c>
    </row>
    <row r="113" customFormat="false" ht="12.75" hidden="false" customHeight="false" outlineLevel="0" collapsed="false">
      <c r="A113" s="6" t="n">
        <f aca="false">+A112+365/12</f>
        <v>39034</v>
      </c>
      <c r="O113" s="7" t="n">
        <v>9036</v>
      </c>
      <c r="P113" s="7" t="n">
        <v>10794</v>
      </c>
      <c r="Q113" s="7" t="n">
        <v>5270</v>
      </c>
      <c r="R113" s="8" t="n">
        <f aca="false">R112</f>
        <v>3.3259</v>
      </c>
      <c r="S113" s="8" t="n">
        <f aca="false">S112</f>
        <v>3.3132</v>
      </c>
      <c r="T113" s="7" t="n">
        <f aca="false">(($O113*R113)+($P113*R113)+($Q113*R113))*'Prices&amp;Fuel'!$H113</f>
        <v>2504402.7</v>
      </c>
      <c r="U113" s="7" t="n">
        <f aca="false">(($O113*S113)+($P113*S113)+($Q113*S113))*'Prices&amp;Fuel'!$H113</f>
        <v>2494839.6</v>
      </c>
      <c r="V113" s="14" t="n">
        <f aca="false">T113-U113</f>
        <v>9563.10000000009</v>
      </c>
      <c r="AF113" s="7" t="n">
        <f aca="false">(32000/(1-'Prices&amp;Fuel'!F113))+(25000/(1-'Prices&amp;Fuel'!G113))-AI113</f>
        <v>58611.8251928021</v>
      </c>
      <c r="AG113" s="7" t="n">
        <v>0</v>
      </c>
      <c r="AH113" s="7" t="n">
        <f aca="false">(75000/(1-'Prices&amp;Fuel'!G113))-AK113</f>
        <v>77120.822622108</v>
      </c>
      <c r="AI113" s="7"/>
      <c r="AJ113" s="7"/>
      <c r="AK113" s="7"/>
      <c r="AL113" s="11" t="n">
        <f aca="false">ROUND((132000/(1-'Prices&amp;Fuel'!F113))-AF113-AG113-AH113,0)</f>
        <v>0</v>
      </c>
      <c r="AM113" s="7" t="n">
        <f aca="false">ROUND(IF(AF113&lt;AP113,0,(AF113-AP113-AI113)/2),0)</f>
        <v>29306</v>
      </c>
      <c r="AO113" s="7" t="n">
        <f aca="false">ROUND((75000/(1-'Prices&amp;Fuel'!G113)-AV113-AK113)/2,0)</f>
        <v>38560</v>
      </c>
      <c r="AR113" s="7" t="n">
        <f aca="false">IF(AP113&gt;AF113,0,AF113-AM113-AP113)</f>
        <v>29305.8251928021</v>
      </c>
      <c r="AT113" s="14" t="n">
        <f aca="false">AH113-AO113-AV113</f>
        <v>38560.822622108</v>
      </c>
      <c r="AU113" s="14" t="n">
        <f aca="false">AL113*AX113*'Prices&amp;Fuel'!H113</f>
        <v>0</v>
      </c>
      <c r="AW113" s="68" t="n">
        <f aca="false">AW112</f>
        <v>0.05</v>
      </c>
      <c r="AX113" s="68" t="n">
        <f aca="false">AX112</f>
        <v>0.025</v>
      </c>
      <c r="AY113" s="5" t="n">
        <f aca="false">('Prices&amp;Fuel'!H113*('Prices&amp;Fuel'!B113+AW113)*'Long Term Deals'!AF113)+('Prices&amp;Fuel'!H113*('Prices&amp;Fuel'!C113+'Long Term Deals'!AW113)*'Long Term Deals'!AG113)+(AH113*('Prices&amp;Fuel'!C113+AW113)*'Prices&amp;Fuel'!H113)+(AW113*AL113*'Prices&amp;Fuel'!H113)</f>
        <v>14843964.7722447</v>
      </c>
      <c r="AZ113" s="5" t="n">
        <f aca="false">(AP113*'Prices&amp;Fuel'!H113*'Prices&amp;Fuel'!B113)+(AQ113*'Prices&amp;Fuel'!C113*'Prices&amp;Fuel'!H113)+((AM113+AR113)*('Prices&amp;Fuel'!B113+'Long Term Deals'!AX113)*'Prices&amp;Fuel'!H113)+((AN113+AS113)*('Prices&amp;Fuel'!C113+'Long Term Deals'!AX113)*'Prices&amp;Fuel'!H113)+((AO113+AT113)*('Prices&amp;Fuel'!D113+'Long Term Deals'!AX113)*'Prices&amp;Fuel'!H113)+(AV113*'Prices&amp;Fuel'!H113*'Prices&amp;Fuel'!Q113)+AU113</f>
        <v>14626484.0524504</v>
      </c>
      <c r="BA113" s="5" t="n">
        <f aca="false">AY113-AZ113</f>
        <v>217480.719794344</v>
      </c>
      <c r="BB113" s="5" t="n">
        <f aca="false">IF('FP Corp'!T113-((BE113+BF113+BG113)*(1-'Prices&amp;Fuel'!F113))&lt;'Prices&amp;Fuel'!R113,('FP Corp'!T113-(BE113+BF113+BG113)*(1-'Prices&amp;Fuel'!F113)),'Prices&amp;Fuel'!R113)/(1-'Prices&amp;Fuel'!F113)</f>
        <v>4325.96401028278</v>
      </c>
      <c r="BC113" s="9"/>
      <c r="BD113" s="9" t="n">
        <f aca="false">ROUND(IF('FP Corp'!T113/(1-'Prices&amp;Fuel'!F113)-BE113-BF113-BG113-BB113&gt;'Prices&amp;Fuel'!T113,'Prices&amp;Fuel'!T113,'FP Corp'!T113/(1-'Prices&amp;Fuel'!F113)-BE113-BF113-BG113-BB113),9)</f>
        <v>0</v>
      </c>
      <c r="BE113" s="9" t="n">
        <f aca="false">'Prices&amp;Fuel'!U113/(1-'Prices&amp;Fuel'!F113)</f>
        <v>2635.47557840617</v>
      </c>
      <c r="BF113" s="9" t="n">
        <f aca="false">('Prices&amp;Fuel'!V113+'Prices&amp;Fuel'!X113)/(1-'Prices&amp;Fuel'!F113)</f>
        <v>3645.2442159383</v>
      </c>
      <c r="BG113" s="9" t="n">
        <f aca="false">'Prices&amp;Fuel'!W113/(1-'Prices&amp;Fuel'!F113)</f>
        <v>1732.64781491003</v>
      </c>
      <c r="BH113" s="10" t="n">
        <f aca="false">('Prices&amp;Fuel'!C113+'Prices&amp;Fuel'!D113)/2-0.05+('Prices&amp;Fuel'!M113+'Prices&amp;Fuel'!P113)*(1-'Prices&amp;Fuel'!F113)</f>
        <v>4.2907507048</v>
      </c>
      <c r="BI113" s="10"/>
      <c r="BJ113" s="10"/>
      <c r="BK113" s="10" t="n">
        <f aca="false">(((BB113+BE113)*('Prices&amp;Fuel'!B113+0.025))+(('Prices&amp;Fuel'!D113+0.025)*(BD113+BG113))+(('Prices&amp;Fuel'!C113+0.025)*(BC113+BF113))-(BI113+BJ113)*0.025)/(BB113+BC113+BD113+BE113+BF113+BG113)</f>
        <v>3.60543112146667</v>
      </c>
      <c r="BL113" s="9" t="n">
        <f aca="false">(BB113+BC113+BD113+BE113+BF113+BG113)*BH113*'Prices&amp;Fuel'!H113</f>
        <v>1588349.87529871</v>
      </c>
      <c r="BM113" s="9" t="n">
        <f aca="false">'Prices&amp;Fuel'!X113*('Prices&amp;Fuel'!N113+'Prices&amp;Fuel'!O113)*'Prices&amp;Fuel'!H113</f>
        <v>9134.1681425398</v>
      </c>
      <c r="BN113" s="9" t="n">
        <f aca="false">('Prices&amp;Fuel'!U113+'Prices&amp;Fuel'!V113+'Prices&amp;Fuel'!W113)*('Prices&amp;Fuel'!L113+'Prices&amp;Fuel'!O113)*'Prices&amp;Fuel'!H113</f>
        <v>95086.2891558682</v>
      </c>
      <c r="BO113" s="9" t="n">
        <f aca="false">((BB113+BC113+BD113)*(1-'Prices&amp;Fuel'!G113))*('Prices&amp;Fuel'!M113+'Prices&amp;Fuel'!P113)*'Prices&amp;Fuel'!H113</f>
        <v>96613.755</v>
      </c>
      <c r="BP113" s="9" t="n">
        <f aca="false">((BD113+BC113+BB113+BE113+BF113+BG113)*BK113*'Prices&amp;Fuel'!H113)+BM113+BN113+BO113</f>
        <v>1535492.51947373</v>
      </c>
      <c r="BQ113" s="5" t="n">
        <f aca="false">BL113-BP113</f>
        <v>52857.3558249853</v>
      </c>
      <c r="CA113" s="5" t="n">
        <f aca="false">(AF113+AG113+AH113+AL113)*0.005*'Prices&amp;Fuel'!H113</f>
        <v>20359.8971722365</v>
      </c>
      <c r="CB113" s="5" t="n">
        <f aca="false">(B113+C113+D113+O113+P113+Q113+X113+Y113+BB113+BC113+BD113+BE113+BF113+BG113+BR113+BS113)*0.005*'Prices&amp;Fuel'!H113</f>
        <v>5615.89974293059</v>
      </c>
      <c r="CC113" s="7" t="n">
        <f aca="false">K113+T113+AB113+AY113+BL113+BX113</f>
        <v>18936717.3475435</v>
      </c>
      <c r="CD113" s="7" t="n">
        <f aca="false">L113+U113+AC113+AZ113+BP113+BY113+CA113+CB113</f>
        <v>18682791.9688393</v>
      </c>
      <c r="CE113" s="7" t="n">
        <f aca="false">CC113-CD113</f>
        <v>253925.378704164</v>
      </c>
      <c r="CF113" s="7" t="n">
        <f aca="false">'Index Price Deals'!AR113</f>
        <v>0</v>
      </c>
      <c r="CG113" s="7" t="n">
        <f aca="false">'Index Price Deals'!AS113</f>
        <v>0</v>
      </c>
      <c r="CH113" s="7" t="n">
        <f aca="false">'Index Price Deals'!AT113</f>
        <v>0</v>
      </c>
      <c r="CI113" s="7" t="n">
        <f aca="false">'Index Price Deals'!AU113</f>
        <v>0</v>
      </c>
      <c r="CJ113" s="7" t="n">
        <f aca="false">CC113+CF113</f>
        <v>18936717.3475435</v>
      </c>
      <c r="CK113" s="7" t="n">
        <f aca="false">CD113+CH113</f>
        <v>18682791.9688393</v>
      </c>
      <c r="CL113" s="7" t="n">
        <f aca="false">CE113+CI113</f>
        <v>253925.378704164</v>
      </c>
      <c r="CM113" s="69"/>
      <c r="CN113" s="7" t="n">
        <f aca="false">Transport!U113</f>
        <v>0</v>
      </c>
      <c r="CQ113" s="7" t="n">
        <f aca="false">(((($B113+$C113+$D113+$O113+$P113+$Q113)*0.5)+BR113+BS113)*(0.005*'Prices&amp;Fuel'!$H113)+'Index Price Deals'!AV113)+(((BB113+BC113+BD113+BE113+BF113+BG113)*(1-'Prices&amp;Fuel'!F113))*0.005*0.5*'Prices&amp;Fuel'!H113)</f>
        <v>2782.5</v>
      </c>
      <c r="CR113" s="7" t="n">
        <f aca="false">(((($B113+$C113+$D113+$O113+$P113+$Q113)*0.5)+X113+Y113)*(0.005*'Prices&amp;Fuel'!$H113)+CA113+'Index Price Deals'!AW113)+(((BB113+BC113+BD113+BE113+BF113+BG113)*(1-'Prices&amp;Fuel'!F113))*0.005*0.5*'Prices&amp;Fuel'!H113)</f>
        <v>23142.3971722365</v>
      </c>
      <c r="CS113" s="11"/>
      <c r="CT113" s="7" t="n">
        <f aca="false">[2]Sheet1!$O130</f>
        <v>-177327.140124723</v>
      </c>
      <c r="CU113" s="7" t="n">
        <f aca="false">'[3]Long Term Deals'!$Z112</f>
        <v>10189.453117467</v>
      </c>
      <c r="CV113" s="70" t="n">
        <f aca="false">CL113-CN113-CT113+CU113+CS113+CO113</f>
        <v>441441.971946354</v>
      </c>
      <c r="DB113" s="1" t="n">
        <f aca="false">(O113+P113+Q113)*'Prices&amp;Fuel'!$H113</f>
        <v>753000</v>
      </c>
      <c r="DE113" s="1" t="n">
        <v>132000</v>
      </c>
    </row>
    <row r="114" customFormat="false" ht="12.75" hidden="false" customHeight="false" outlineLevel="0" collapsed="false">
      <c r="A114" s="6" t="n">
        <f aca="false">+A113+365/12</f>
        <v>39064.4166666667</v>
      </c>
      <c r="O114" s="7" t="n">
        <v>9036</v>
      </c>
      <c r="P114" s="7" t="n">
        <v>10794</v>
      </c>
      <c r="Q114" s="7" t="n">
        <v>5270</v>
      </c>
      <c r="R114" s="8" t="n">
        <f aca="false">R113</f>
        <v>3.3259</v>
      </c>
      <c r="S114" s="8" t="n">
        <f aca="false">S113</f>
        <v>3.3132</v>
      </c>
      <c r="T114" s="7" t="n">
        <f aca="false">(($O114*R114)+($P114*R114)+($Q114*R114))*'Prices&amp;Fuel'!$H114</f>
        <v>2587882.79</v>
      </c>
      <c r="U114" s="7" t="n">
        <f aca="false">(($O114*S114)+($P114*S114)+($Q114*S114))*'Prices&amp;Fuel'!$H114</f>
        <v>2578000.92</v>
      </c>
      <c r="V114" s="14" t="n">
        <f aca="false">T114-U114</f>
        <v>9881.87000000011</v>
      </c>
      <c r="AF114" s="7" t="n">
        <f aca="false">(32000/(1-'Prices&amp;Fuel'!F114))+(25000/(1-'Prices&amp;Fuel'!G114))-AI114</f>
        <v>58611.8251928021</v>
      </c>
      <c r="AG114" s="7" t="n">
        <v>0</v>
      </c>
      <c r="AH114" s="7" t="n">
        <f aca="false">(75000/(1-'Prices&amp;Fuel'!G114))-AK114</f>
        <v>77120.822622108</v>
      </c>
      <c r="AI114" s="7"/>
      <c r="AJ114" s="7"/>
      <c r="AK114" s="7"/>
      <c r="AL114" s="11" t="n">
        <f aca="false">ROUND((132000/(1-'Prices&amp;Fuel'!F114))-AF114-AG114-AH114,0)</f>
        <v>0</v>
      </c>
      <c r="AM114" s="7" t="n">
        <f aca="false">ROUND(IF(AF114&lt;AP114,0,(AF114-AP114-AI114)/2),0)</f>
        <v>29306</v>
      </c>
      <c r="AO114" s="7" t="n">
        <f aca="false">ROUND((75000/(1-'Prices&amp;Fuel'!G114)-AV114-AK114)/2,0)</f>
        <v>38560</v>
      </c>
      <c r="AR114" s="7" t="n">
        <f aca="false">IF(AP114&gt;AF114,0,AF114-AM114-AP114)</f>
        <v>29305.8251928021</v>
      </c>
      <c r="AT114" s="14" t="n">
        <f aca="false">AH114-AO114-AV114</f>
        <v>38560.822622108</v>
      </c>
      <c r="AU114" s="14" t="n">
        <f aca="false">AL114*AX114*'Prices&amp;Fuel'!H114</f>
        <v>0</v>
      </c>
      <c r="AW114" s="68" t="n">
        <f aca="false">AW113</f>
        <v>0.05</v>
      </c>
      <c r="AX114" s="68" t="n">
        <f aca="false">AX113</f>
        <v>0.025</v>
      </c>
      <c r="AY114" s="5" t="n">
        <f aca="false">('Prices&amp;Fuel'!H114*('Prices&amp;Fuel'!B114+AW114)*'Long Term Deals'!AF114)+('Prices&amp;Fuel'!H114*('Prices&amp;Fuel'!C114+'Long Term Deals'!AW114)*'Long Term Deals'!AG114)+(AH114*('Prices&amp;Fuel'!C114+AW114)*'Prices&amp;Fuel'!H114)+(AW114*AL114*'Prices&amp;Fuel'!H114)</f>
        <v>11485628.980146</v>
      </c>
      <c r="AZ114" s="5" t="n">
        <f aca="false">(AP114*'Prices&amp;Fuel'!H114*'Prices&amp;Fuel'!B114)+(AQ114*'Prices&amp;Fuel'!C114*'Prices&amp;Fuel'!H114)+((AM114+AR114)*('Prices&amp;Fuel'!B114+'Long Term Deals'!AX114)*'Prices&amp;Fuel'!H114)+((AN114+AS114)*('Prices&amp;Fuel'!C114+'Long Term Deals'!AX114)*'Prices&amp;Fuel'!H114)+((AO114+AT114)*('Prices&amp;Fuel'!D114+'Long Term Deals'!AX114)*'Prices&amp;Fuel'!H114)+(AV114*'Prices&amp;Fuel'!H114*'Prices&amp;Fuel'!Q114)+AU114</f>
        <v>11260898.9030252</v>
      </c>
      <c r="BA114" s="5" t="n">
        <f aca="false">AY114-AZ114</f>
        <v>224730.077120822</v>
      </c>
      <c r="BB114" s="5" t="n">
        <f aca="false">IF('FP Corp'!T114-((BE114+BF114+BG114)*(1-'Prices&amp;Fuel'!F114))&lt;'Prices&amp;Fuel'!R114,('FP Corp'!T114-(BE114+BF114+BG114)*(1-'Prices&amp;Fuel'!F114)),'Prices&amp;Fuel'!R114)/(1-'Prices&amp;Fuel'!F114)</f>
        <v>4325.96401028278</v>
      </c>
      <c r="BC114" s="9"/>
      <c r="BD114" s="9" t="n">
        <f aca="false">ROUND(IF('FP Corp'!T114/(1-'Prices&amp;Fuel'!F114)-BE114-BF114-BG114-BB114&gt;'Prices&amp;Fuel'!T114,'Prices&amp;Fuel'!T114,'FP Corp'!T114/(1-'Prices&amp;Fuel'!F114)-BE114-BF114-BG114-BB114),9)</f>
        <v>0</v>
      </c>
      <c r="BE114" s="9" t="n">
        <f aca="false">'Prices&amp;Fuel'!U114/(1-'Prices&amp;Fuel'!F114)</f>
        <v>2635.47557840617</v>
      </c>
      <c r="BF114" s="9" t="n">
        <f aca="false">('Prices&amp;Fuel'!V114+'Prices&amp;Fuel'!X114)/(1-'Prices&amp;Fuel'!F114)</f>
        <v>3645.2442159383</v>
      </c>
      <c r="BG114" s="9" t="n">
        <f aca="false">'Prices&amp;Fuel'!W114/(1-'Prices&amp;Fuel'!F114)</f>
        <v>1732.64781491003</v>
      </c>
      <c r="BH114" s="10" t="n">
        <f aca="false">('Prices&amp;Fuel'!C114+'Prices&amp;Fuel'!D114)/2-0.05+('Prices&amp;Fuel'!M114+'Prices&amp;Fuel'!P114)*(1-'Prices&amp;Fuel'!F114)</f>
        <v>3.375019176</v>
      </c>
      <c r="BI114" s="10"/>
      <c r="BJ114" s="10"/>
      <c r="BK114" s="10" t="n">
        <f aca="false">(((BB114+BE114)*('Prices&amp;Fuel'!B114+0.025))+(('Prices&amp;Fuel'!D114+0.025)*(BD114+BG114))+(('Prices&amp;Fuel'!C114+0.025)*(BC114+BF114))-(BI114+BJ114)*0.025)/(BB114+BC114+BD114+BE114+BF114+BG114)</f>
        <v>2.68969959266667</v>
      </c>
      <c r="BL114" s="9" t="n">
        <f aca="false">(BB114+BC114+BD114+BE114+BF114+BG114)*BH114*'Prices&amp;Fuel'!H114</f>
        <v>1291009.90588381</v>
      </c>
      <c r="BM114" s="9" t="n">
        <f aca="false">'Prices&amp;Fuel'!X114*('Prices&amp;Fuel'!N114+'Prices&amp;Fuel'!O114)*'Prices&amp;Fuel'!H114</f>
        <v>9438.64041395779</v>
      </c>
      <c r="BN114" s="9" t="n">
        <f aca="false">('Prices&amp;Fuel'!U114+'Prices&amp;Fuel'!V114+'Prices&amp;Fuel'!W114)*('Prices&amp;Fuel'!L114+'Prices&amp;Fuel'!O114)*'Prices&amp;Fuel'!H114</f>
        <v>98255.8321277305</v>
      </c>
      <c r="BO114" s="9" t="n">
        <f aca="false">((BB114+BC114+BD114)*(1-'Prices&amp;Fuel'!G114))*('Prices&amp;Fuel'!M114+'Prices&amp;Fuel'!P114)*'Prices&amp;Fuel'!H114</f>
        <v>99834.2135</v>
      </c>
      <c r="BP114" s="9" t="n">
        <f aca="false">((BD114+BC114+BB114+BE114+BF114+BG114)*BK114*'Prices&amp;Fuel'!H114)+BM114+BN114+BO114</f>
        <v>1236390.63819799</v>
      </c>
      <c r="BQ114" s="5" t="n">
        <f aca="false">BL114-BP114</f>
        <v>54619.267685818</v>
      </c>
      <c r="CA114" s="5" t="n">
        <f aca="false">(AF114+AG114+AH114+AL114)*0.005*'Prices&amp;Fuel'!H114</f>
        <v>21038.5604113111</v>
      </c>
      <c r="CB114" s="5" t="n">
        <f aca="false">(B114+C114+D114+O114+P114+Q114+X114+Y114+BB114+BC114+BD114+BE114+BF114+BG114+BR114+BS114)*0.005*'Prices&amp;Fuel'!H114</f>
        <v>5803.09640102828</v>
      </c>
      <c r="CC114" s="7" t="n">
        <f aca="false">K114+T114+AB114+AY114+BL114+BX114</f>
        <v>15364521.6760298</v>
      </c>
      <c r="CD114" s="7" t="n">
        <f aca="false">L114+U114+AC114+AZ114+BP114+BY114+CA114+CB114</f>
        <v>15102132.1180355</v>
      </c>
      <c r="CE114" s="7" t="n">
        <f aca="false">CC114-CD114</f>
        <v>262389.557994299</v>
      </c>
      <c r="CF114" s="7" t="n">
        <f aca="false">'Index Price Deals'!AR114</f>
        <v>0</v>
      </c>
      <c r="CG114" s="7" t="n">
        <f aca="false">'Index Price Deals'!AS114</f>
        <v>0</v>
      </c>
      <c r="CH114" s="7" t="n">
        <f aca="false">'Index Price Deals'!AT114</f>
        <v>0</v>
      </c>
      <c r="CI114" s="7" t="n">
        <f aca="false">'Index Price Deals'!AU114</f>
        <v>0</v>
      </c>
      <c r="CJ114" s="7" t="n">
        <f aca="false">CC114+CF114</f>
        <v>15364521.6760298</v>
      </c>
      <c r="CK114" s="7" t="n">
        <f aca="false">CD114+CH114</f>
        <v>15102132.1180355</v>
      </c>
      <c r="CL114" s="7" t="n">
        <f aca="false">CE114+CI114</f>
        <v>262389.557994299</v>
      </c>
      <c r="CM114" s="7" t="n">
        <f aca="false">SUM(CL103:CL114)</f>
        <v>3119857.84699308</v>
      </c>
      <c r="CN114" s="7" t="n">
        <f aca="false">Transport!U114</f>
        <v>0</v>
      </c>
      <c r="CQ114" s="7" t="n">
        <f aca="false">(((($B114+$C114+$D114+$O114+$P114+$Q114)*0.5)+BR114+BS114)*(0.005*'Prices&amp;Fuel'!$H114)+'Index Price Deals'!AV114)+(((BB114+BC114+BD114+BE114+BF114+BG114)*(1-'Prices&amp;Fuel'!F114))*0.005*0.5*'Prices&amp;Fuel'!H114)</f>
        <v>2875.25</v>
      </c>
      <c r="CR114" s="7" t="n">
        <f aca="false">(((($B114+$C114+$D114+$O114+$P114+$Q114)*0.5)+X114+Y114)*(0.005*'Prices&amp;Fuel'!$H114)+CA114+'Index Price Deals'!AW114)+(((BB114+BC114+BD114+BE114+BF114+BG114)*(1-'Prices&amp;Fuel'!F114))*0.005*0.5*'Prices&amp;Fuel'!H114)</f>
        <v>23913.8104113111</v>
      </c>
      <c r="CS114" s="11"/>
      <c r="CT114" s="7" t="n">
        <f aca="false">[2]Sheet1!$O131</f>
        <v>-183238.044795547</v>
      </c>
      <c r="CU114" s="7" t="n">
        <f aca="false">'[3]Long Term Deals'!$Z113</f>
        <v>10529.1015547159</v>
      </c>
      <c r="CV114" s="70" t="n">
        <f aca="false">CL114-CN114-CT114+CU114+CS114+CO114</f>
        <v>456156.704344562</v>
      </c>
      <c r="DB114" s="1" t="n">
        <f aca="false">(O114+P114+Q114)*'Prices&amp;Fuel'!$H114</f>
        <v>778100</v>
      </c>
      <c r="DE114" s="1" t="n">
        <v>132000</v>
      </c>
    </row>
    <row r="115" customFormat="false" ht="12.75" hidden="false" customHeight="false" outlineLevel="0" collapsed="false">
      <c r="A115" s="6" t="n">
        <f aca="false">+A114+365/12</f>
        <v>39094.8333333333</v>
      </c>
      <c r="O115" s="7" t="n">
        <v>9036</v>
      </c>
      <c r="P115" s="7" t="n">
        <v>10794</v>
      </c>
      <c r="Q115" s="7" t="n">
        <v>5270</v>
      </c>
      <c r="R115" s="8" t="n">
        <f aca="false">R114</f>
        <v>3.3259</v>
      </c>
      <c r="S115" s="8" t="n">
        <f aca="false">S114</f>
        <v>3.3132</v>
      </c>
      <c r="T115" s="7" t="n">
        <f aca="false">(($O115*R115)+($P115*R115)+($Q115*R115))*'Prices&amp;Fuel'!$H115</f>
        <v>2587882.79</v>
      </c>
      <c r="U115" s="7" t="n">
        <f aca="false">(($O115*S115)+($P115*S115)+($Q115*S115))*'Prices&amp;Fuel'!$H115</f>
        <v>2578000.92</v>
      </c>
      <c r="V115" s="14" t="n">
        <f aca="false">T115-U115</f>
        <v>9881.87000000011</v>
      </c>
      <c r="AF115" s="7" t="n">
        <f aca="false">(32000/(1-'Prices&amp;Fuel'!F115))+(25000/(1-'Prices&amp;Fuel'!G115))-AI115</f>
        <v>58611.8251928021</v>
      </c>
      <c r="AG115" s="7" t="n">
        <v>0</v>
      </c>
      <c r="AH115" s="7" t="n">
        <f aca="false">(75000/(1-'Prices&amp;Fuel'!G115))-AK115</f>
        <v>77120.822622108</v>
      </c>
      <c r="AI115" s="7"/>
      <c r="AJ115" s="7"/>
      <c r="AK115" s="7"/>
      <c r="AL115" s="11" t="n">
        <f aca="false">ROUND((132000/(1-'Prices&amp;Fuel'!F115))-AF115-AG115-AH115,0)</f>
        <v>0</v>
      </c>
      <c r="AM115" s="7" t="n">
        <f aca="false">ROUND(IF(AF115&lt;AP115,0,(AF115-AP115-AI115)/2),0)</f>
        <v>29306</v>
      </c>
      <c r="AO115" s="7" t="n">
        <f aca="false">ROUND((75000/(1-'Prices&amp;Fuel'!G115)-AV115-AK115)/2,0)</f>
        <v>38560</v>
      </c>
      <c r="AR115" s="7" t="n">
        <f aca="false">IF(AP115&gt;AF115,0,AF115-AM115-AP115)</f>
        <v>29305.8251928021</v>
      </c>
      <c r="AT115" s="14" t="n">
        <f aca="false">AH115-AO115-AV115</f>
        <v>38560.822622108</v>
      </c>
      <c r="AU115" s="14" t="n">
        <f aca="false">AL115*AX115*'Prices&amp;Fuel'!H115</f>
        <v>0</v>
      </c>
      <c r="AW115" s="68" t="n">
        <v>0.04</v>
      </c>
      <c r="AX115" s="68" t="n">
        <f aca="false">AX114</f>
        <v>0.025</v>
      </c>
      <c r="AY115" s="5" t="n">
        <f aca="false">('Prices&amp;Fuel'!H115*('Prices&amp;Fuel'!B115+AW115)*'Long Term Deals'!AF115)+('Prices&amp;Fuel'!H115*('Prices&amp;Fuel'!C115+'Long Term Deals'!AW115)*'Long Term Deals'!AG115)+(AH115*('Prices&amp;Fuel'!C115+AW115)*'Prices&amp;Fuel'!H115)+(AW115*AL115*'Prices&amp;Fuel'!H115)</f>
        <v>10098019.7365253</v>
      </c>
      <c r="AZ115" s="5" t="n">
        <f aca="false">(AP115*'Prices&amp;Fuel'!H115*'Prices&amp;Fuel'!B115)+(AQ115*'Prices&amp;Fuel'!C115*'Prices&amp;Fuel'!H115)+((AM115+AR115)*('Prices&amp;Fuel'!B115+'Long Term Deals'!AX115)*'Prices&amp;Fuel'!H115)+((AN115+AS115)*('Prices&amp;Fuel'!C115+'Long Term Deals'!AX115)*'Prices&amp;Fuel'!H115)+((AO115+AT115)*('Prices&amp;Fuel'!D115+'Long Term Deals'!AX115)*'Prices&amp;Fuel'!H115)+(AV115*'Prices&amp;Fuel'!H115*'Prices&amp;Fuel'!Q115)+AU115</f>
        <v>9915366.78022713</v>
      </c>
      <c r="BA115" s="5" t="n">
        <f aca="false">AY115-AZ115</f>
        <v>182652.9562982</v>
      </c>
      <c r="BB115" s="5" t="n">
        <f aca="false">IF('FP Corp'!T115-((BE115+BF115+BG115)*(1-'Prices&amp;Fuel'!F115))&lt;'Prices&amp;Fuel'!R115,('FP Corp'!T115-(BE115+BF115+BG115)*(1-'Prices&amp;Fuel'!F115)),'Prices&amp;Fuel'!R115)/(1-'Prices&amp;Fuel'!F115)</f>
        <v>4325.96401028278</v>
      </c>
      <c r="BC115" s="9"/>
      <c r="BD115" s="9" t="n">
        <f aca="false">ROUND(IF('FP Corp'!T115/(1-'Prices&amp;Fuel'!F115)-BE115-BF115-BG115-BB115&gt;'Prices&amp;Fuel'!T115,'Prices&amp;Fuel'!T115,'FP Corp'!T115/(1-'Prices&amp;Fuel'!F115)-BE115-BF115-BG115-BB115),9)</f>
        <v>0</v>
      </c>
      <c r="BE115" s="9" t="n">
        <f aca="false">'Prices&amp;Fuel'!U115/(1-'Prices&amp;Fuel'!F115)</f>
        <v>2635.47557840617</v>
      </c>
      <c r="BF115" s="9" t="n">
        <f aca="false">('Prices&amp;Fuel'!V115+'Prices&amp;Fuel'!X115)/(1-'Prices&amp;Fuel'!F115)</f>
        <v>3645.2442159383</v>
      </c>
      <c r="BG115" s="9" t="n">
        <f aca="false">'Prices&amp;Fuel'!W115/(1-'Prices&amp;Fuel'!F115)</f>
        <v>1732.64781491003</v>
      </c>
      <c r="BH115" s="10" t="n">
        <f aca="false">('Prices&amp;Fuel'!C115+'Prices&amp;Fuel'!D115)/2-0.05+('Prices&amp;Fuel'!M115+'Prices&amp;Fuel'!P115)*(1-'Prices&amp;Fuel'!F115)</f>
        <v>3.055241563727</v>
      </c>
      <c r="BI115" s="10"/>
      <c r="BJ115" s="10"/>
      <c r="BK115" s="10" t="n">
        <f aca="false">(((BB115+BE115)*('Prices&amp;Fuel'!B115+0.025))+(('Prices&amp;Fuel'!D115+0.025)*(BD115+BG115))+(('Prices&amp;Fuel'!C115+0.025)*(BC115+BF115))-(BI115+BJ115)*0.025)/(BB115+BC115+BD115+BE115+BF115+BG115)</f>
        <v>2.36992198039367</v>
      </c>
      <c r="BL115" s="9" t="n">
        <f aca="false">(BB115+BC115+BD115+BE115+BF115+BG115)*BH115*'Prices&amp;Fuel'!H115</f>
        <v>1168688.80381125</v>
      </c>
      <c r="BM115" s="9" t="n">
        <f aca="false">'Prices&amp;Fuel'!X115*('Prices&amp;Fuel'!N115+'Prices&amp;Fuel'!O115)*'Prices&amp;Fuel'!H115</f>
        <v>9438.64041395779</v>
      </c>
      <c r="BN115" s="9" t="n">
        <f aca="false">('Prices&amp;Fuel'!U115+'Prices&amp;Fuel'!V115+'Prices&amp;Fuel'!W115)*('Prices&amp;Fuel'!L115+'Prices&amp;Fuel'!O115)*'Prices&amp;Fuel'!H115</f>
        <v>98255.8321277305</v>
      </c>
      <c r="BO115" s="9" t="n">
        <f aca="false">((BB115+BC115+BD115)*(1-'Prices&amp;Fuel'!G115))*('Prices&amp;Fuel'!M115+'Prices&amp;Fuel'!P115)*'Prices&amp;Fuel'!H115</f>
        <v>99834.2135</v>
      </c>
      <c r="BP115" s="9" t="n">
        <f aca="false">((BD115+BC115+BB115+BE115+BF115+BG115)*BK115*'Prices&amp;Fuel'!H115)+BM115+BN115+BO115</f>
        <v>1114069.53612544</v>
      </c>
      <c r="BQ115" s="5" t="n">
        <f aca="false">BL115-BP115</f>
        <v>54619.2676858185</v>
      </c>
      <c r="CA115" s="5" t="n">
        <f aca="false">(AF115+AG115+AH115+AL115)*0.005*'Prices&amp;Fuel'!H115</f>
        <v>21038.5604113111</v>
      </c>
      <c r="CB115" s="5" t="n">
        <f aca="false">(B115+C115+D115+O115+P115+Q115+X115+Y115+BB115+BC115+BD115+BE115+BF115+BG115+BR115+BS115)*0.005*'Prices&amp;Fuel'!H115</f>
        <v>5803.09640102828</v>
      </c>
      <c r="CC115" s="7" t="n">
        <f aca="false">K115+T115+AB115+AY115+BL115+BX115</f>
        <v>13854591.3303366</v>
      </c>
      <c r="CD115" s="7" t="n">
        <f aca="false">L115+U115+AC115+AZ115+BP115+BY115+CA115+CB115</f>
        <v>13634278.8931649</v>
      </c>
      <c r="CE115" s="7" t="n">
        <f aca="false">CC115-CD115</f>
        <v>220312.437171681</v>
      </c>
      <c r="CF115" s="7" t="n">
        <f aca="false">'Index Price Deals'!AR115</f>
        <v>0</v>
      </c>
      <c r="CG115" s="7" t="n">
        <f aca="false">'Index Price Deals'!AS115</f>
        <v>0</v>
      </c>
      <c r="CH115" s="7" t="n">
        <f aca="false">'Index Price Deals'!AT115</f>
        <v>0</v>
      </c>
      <c r="CI115" s="7" t="n">
        <f aca="false">'Index Price Deals'!AU115</f>
        <v>0</v>
      </c>
      <c r="CJ115" s="7" t="n">
        <f aca="false">CC115+CF115</f>
        <v>13854591.3303366</v>
      </c>
      <c r="CK115" s="7" t="n">
        <f aca="false">CD115+CH115</f>
        <v>13634278.8931649</v>
      </c>
      <c r="CL115" s="7" t="n">
        <f aca="false">CE115+CI115</f>
        <v>220312.437171681</v>
      </c>
      <c r="CM115" s="69"/>
      <c r="CN115" s="7" t="n">
        <f aca="false">Transport!U115</f>
        <v>0</v>
      </c>
      <c r="CQ115" s="7" t="n">
        <f aca="false">(((($B115+$C115+$D115+$O115+$P115+$Q115)*0.5)+BR115+BS115)*(0.005*'Prices&amp;Fuel'!$H115)+'Index Price Deals'!AV115)+(((BB115+BC115+BD115+BE115+BF115+BG115)*(1-'Prices&amp;Fuel'!F115))*0.005*0.5*'Prices&amp;Fuel'!H115)</f>
        <v>2875.25</v>
      </c>
      <c r="CR115" s="7" t="n">
        <f aca="false">(((($B115+$C115+$D115+$O115+$P115+$Q115)*0.5)+X115+Y115)*(0.005*'Prices&amp;Fuel'!$H115)+CA115+'Index Price Deals'!AW115)+(((BB115+BC115+BD115+BE115+BF115+BG115)*(1-'Prices&amp;Fuel'!F115))*0.005*0.5*'Prices&amp;Fuel'!H115)</f>
        <v>23913.8104113111</v>
      </c>
      <c r="CS115" s="11"/>
      <c r="CT115" s="7" t="n">
        <f aca="false">[2]Sheet1!$O133</f>
        <v>-225445.368158105</v>
      </c>
      <c r="CU115" s="7" t="n">
        <f aca="false">'[3]Long Term Deals'!$Z114</f>
        <v>10529.1015547159</v>
      </c>
      <c r="CV115" s="70" t="n">
        <f aca="false">CL115-CN115-CT115+CU115+CS115+CO115</f>
        <v>456286.906884502</v>
      </c>
      <c r="DB115" s="1" t="n">
        <f aca="false">(O115+P115+Q115)*'Prices&amp;Fuel'!$H115</f>
        <v>778100</v>
      </c>
      <c r="DE115" s="1" t="n">
        <v>132000</v>
      </c>
    </row>
    <row r="116" customFormat="false" ht="12.75" hidden="false" customHeight="false" outlineLevel="0" collapsed="false">
      <c r="A116" s="6" t="n">
        <f aca="false">+A115+365/12</f>
        <v>39125.25</v>
      </c>
      <c r="O116" s="7" t="n">
        <v>9036</v>
      </c>
      <c r="P116" s="7" t="n">
        <v>10794</v>
      </c>
      <c r="Q116" s="7" t="n">
        <v>5270</v>
      </c>
      <c r="R116" s="8" t="n">
        <f aca="false">R115</f>
        <v>3.3259</v>
      </c>
      <c r="S116" s="8" t="n">
        <f aca="false">S115</f>
        <v>3.3132</v>
      </c>
      <c r="T116" s="7" t="n">
        <f aca="false">(($O116*R116)+($P116*R116)+($Q116*R116))*'Prices&amp;Fuel'!$H116</f>
        <v>2337442.52</v>
      </c>
      <c r="U116" s="7" t="n">
        <f aca="false">(($O116*S116)+($P116*S116)+($Q116*S116))*'Prices&amp;Fuel'!$H116</f>
        <v>2328516.96</v>
      </c>
      <c r="V116" s="14" t="n">
        <f aca="false">T116-U116</f>
        <v>8925.56000000006</v>
      </c>
      <c r="AF116" s="7" t="n">
        <f aca="false">(32000/(1-'Prices&amp;Fuel'!F116))+(25000/(1-'Prices&amp;Fuel'!G116))-AI116</f>
        <v>58611.8251928021</v>
      </c>
      <c r="AG116" s="7" t="n">
        <v>0</v>
      </c>
      <c r="AH116" s="7" t="n">
        <f aca="false">(75000/(1-'Prices&amp;Fuel'!G116))-AK116</f>
        <v>77120.822622108</v>
      </c>
      <c r="AI116" s="7"/>
      <c r="AJ116" s="7"/>
      <c r="AK116" s="7"/>
      <c r="AL116" s="11" t="n">
        <f aca="false">ROUND((132000/(1-'Prices&amp;Fuel'!F116))-AF116-AG116-AH116,0)</f>
        <v>0</v>
      </c>
      <c r="AM116" s="7" t="n">
        <f aca="false">ROUND(IF(AF116&lt;AP116,0,(AF116-AP116-AI116)/2),0)</f>
        <v>29306</v>
      </c>
      <c r="AO116" s="7" t="n">
        <f aca="false">ROUND((75000/(1-'Prices&amp;Fuel'!G116)-AV116-AK116)/2,0)</f>
        <v>38560</v>
      </c>
      <c r="AR116" s="7" t="n">
        <f aca="false">IF(AP116&gt;AF116,0,AF116-AM116-AP116)</f>
        <v>29305.8251928021</v>
      </c>
      <c r="AT116" s="14" t="n">
        <f aca="false">AH116-AO116-AV116</f>
        <v>38560.822622108</v>
      </c>
      <c r="AU116" s="14" t="n">
        <f aca="false">AL116*AX116*'Prices&amp;Fuel'!H116</f>
        <v>0</v>
      </c>
      <c r="AW116" s="68" t="n">
        <f aca="false">AW115</f>
        <v>0.04</v>
      </c>
      <c r="AX116" s="68" t="n">
        <f aca="false">AX115</f>
        <v>0.025</v>
      </c>
      <c r="AY116" s="5" t="n">
        <f aca="false">('Prices&amp;Fuel'!H116*('Prices&amp;Fuel'!B116+AW116)*'Long Term Deals'!AF116)+('Prices&amp;Fuel'!H116*('Prices&amp;Fuel'!C116+'Long Term Deals'!AW116)*'Long Term Deals'!AG116)+(AH116*('Prices&amp;Fuel'!C116+AW116)*'Prices&amp;Fuel'!H116)+(AW116*AL116*'Prices&amp;Fuel'!H116)</f>
        <v>10199274.2300574</v>
      </c>
      <c r="AZ116" s="5" t="n">
        <f aca="false">(AP116*'Prices&amp;Fuel'!H116*'Prices&amp;Fuel'!B116)+(AQ116*'Prices&amp;Fuel'!C116*'Prices&amp;Fuel'!H116)+((AM116+AR116)*('Prices&amp;Fuel'!B116+'Long Term Deals'!AX116)*'Prices&amp;Fuel'!H116)+((AN116+AS116)*('Prices&amp;Fuel'!C116+'Long Term Deals'!AX116)*'Prices&amp;Fuel'!H116)+((AO116+AT116)*('Prices&amp;Fuel'!D116+'Long Term Deals'!AX116)*'Prices&amp;Fuel'!H116)+(AV116*'Prices&amp;Fuel'!H116*'Prices&amp;Fuel'!Q116)+AU116</f>
        <v>10034297.3663041</v>
      </c>
      <c r="BA116" s="5" t="n">
        <f aca="false">AY116-AZ116</f>
        <v>164976.863753214</v>
      </c>
      <c r="BB116" s="5" t="n">
        <f aca="false">IF('FP Corp'!T116-((BE116+BF116+BG116)*(1-'Prices&amp;Fuel'!F116))&lt;'Prices&amp;Fuel'!R116,('FP Corp'!T116-(BE116+BF116+BG116)*(1-'Prices&amp;Fuel'!F116)),'Prices&amp;Fuel'!R116)/(1-'Prices&amp;Fuel'!F116)</f>
        <v>4325.96401028278</v>
      </c>
      <c r="BC116" s="9"/>
      <c r="BD116" s="9" t="n">
        <f aca="false">ROUND(IF('FP Corp'!T116/(1-'Prices&amp;Fuel'!F116)-BE116-BF116-BG116-BB116&gt;'Prices&amp;Fuel'!T116,'Prices&amp;Fuel'!T116,'FP Corp'!T116/(1-'Prices&amp;Fuel'!F116)-BE116-BF116-BG116-BB116),9)</f>
        <v>0</v>
      </c>
      <c r="BE116" s="9" t="n">
        <f aca="false">'Prices&amp;Fuel'!U116/(1-'Prices&amp;Fuel'!F116)</f>
        <v>2635.47557840617</v>
      </c>
      <c r="BF116" s="9" t="n">
        <f aca="false">('Prices&amp;Fuel'!V116+'Prices&amp;Fuel'!X116)/(1-'Prices&amp;Fuel'!F116)</f>
        <v>3645.2442159383</v>
      </c>
      <c r="BG116" s="9" t="n">
        <f aca="false">'Prices&amp;Fuel'!W116/(1-'Prices&amp;Fuel'!F116)</f>
        <v>1732.64781491003</v>
      </c>
      <c r="BH116" s="10" t="n">
        <f aca="false">('Prices&amp;Fuel'!C116+'Prices&amp;Fuel'!D116)/2-0.05+('Prices&amp;Fuel'!M116+'Prices&amp;Fuel'!P116)*(1-'Prices&amp;Fuel'!F116)</f>
        <v>3.339014277254</v>
      </c>
      <c r="BI116" s="10"/>
      <c r="BJ116" s="10"/>
      <c r="BK116" s="10" t="n">
        <f aca="false">(((BB116+BE116)*('Prices&amp;Fuel'!B116+0.025))+(('Prices&amp;Fuel'!D116+0.025)*(BD116+BG116))+(('Prices&amp;Fuel'!C116+0.025)*(BC116+BF116))-(BI116+BJ116)*0.025)/(BB116+BC116+BD116+BE116+BF116+BG116)</f>
        <v>2.65369469392067</v>
      </c>
      <c r="BL116" s="9" t="n">
        <f aca="false">(BB116+BC116+BD116+BE116+BF116+BG116)*BH116*'Prices&amp;Fuel'!H116</f>
        <v>1153633.72458339</v>
      </c>
      <c r="BM116" s="9" t="n">
        <f aca="false">'Prices&amp;Fuel'!X116*('Prices&amp;Fuel'!N116+'Prices&amp;Fuel'!O116)*'Prices&amp;Fuel'!H116</f>
        <v>8525.22359970381</v>
      </c>
      <c r="BN116" s="9" t="n">
        <f aca="false">('Prices&amp;Fuel'!U116+'Prices&amp;Fuel'!V116+'Prices&amp;Fuel'!W116)*('Prices&amp;Fuel'!L116+'Prices&amp;Fuel'!O116)*'Prices&amp;Fuel'!H116</f>
        <v>88747.2032121437</v>
      </c>
      <c r="BO116" s="9" t="n">
        <f aca="false">((BB116+BC116+BD116)*(1-'Prices&amp;Fuel'!G116))*('Prices&amp;Fuel'!M116+'Prices&amp;Fuel'!P116)*'Prices&amp;Fuel'!H116</f>
        <v>90172.838</v>
      </c>
      <c r="BP116" s="9" t="n">
        <f aca="false">((BD116+BC116+BB116+BE116+BF116+BG116)*BK116*'Prices&amp;Fuel'!H116)+BM116+BN116+BO116</f>
        <v>1104300.19248007</v>
      </c>
      <c r="BQ116" s="5" t="n">
        <f aca="false">BL116-BP116</f>
        <v>49333.5321033197</v>
      </c>
      <c r="CA116" s="5" t="n">
        <f aca="false">(AF116+AG116+AH116+AL116)*0.005*'Prices&amp;Fuel'!H116</f>
        <v>19002.5706940874</v>
      </c>
      <c r="CB116" s="5" t="n">
        <f aca="false">(B116+C116+D116+O116+P116+Q116+X116+Y116+BB116+BC116+BD116+BE116+BF116+BG116+BR116+BS116)*0.005*'Prices&amp;Fuel'!H116</f>
        <v>5241.50642673522</v>
      </c>
      <c r="CC116" s="7" t="n">
        <f aca="false">K116+T116+AB116+AY116+BL116+BX116</f>
        <v>13690350.4746408</v>
      </c>
      <c r="CD116" s="7" t="n">
        <f aca="false">L116+U116+AC116+AZ116+BP116+BY116+CA116+CB116</f>
        <v>13491358.595905</v>
      </c>
      <c r="CE116" s="7" t="n">
        <f aca="false">CC116-CD116</f>
        <v>198991.878735712</v>
      </c>
      <c r="CF116" s="7" t="n">
        <f aca="false">'Index Price Deals'!AR116</f>
        <v>0</v>
      </c>
      <c r="CG116" s="7" t="n">
        <f aca="false">'Index Price Deals'!AS116</f>
        <v>0</v>
      </c>
      <c r="CH116" s="7" t="n">
        <f aca="false">'Index Price Deals'!AT116</f>
        <v>0</v>
      </c>
      <c r="CI116" s="7" t="n">
        <f aca="false">'Index Price Deals'!AU116</f>
        <v>0</v>
      </c>
      <c r="CJ116" s="7" t="n">
        <f aca="false">CC116+CF116</f>
        <v>13690350.4746408</v>
      </c>
      <c r="CK116" s="7" t="n">
        <f aca="false">CD116+CH116</f>
        <v>13491358.595905</v>
      </c>
      <c r="CL116" s="7" t="n">
        <f aca="false">CE116+CI116</f>
        <v>198991.878735712</v>
      </c>
      <c r="CM116" s="69"/>
      <c r="CN116" s="7" t="n">
        <f aca="false">Transport!U116</f>
        <v>0</v>
      </c>
      <c r="CQ116" s="7" t="n">
        <f aca="false">(((($B116+$C116+$D116+$O116+$P116+$Q116)*0.5)+BR116+BS116)*(0.005*'Prices&amp;Fuel'!$H116)+'Index Price Deals'!AV116)+(((BB116+BC116+BD116+BE116+BF116+BG116)*(1-'Prices&amp;Fuel'!F116))*0.005*0.5*'Prices&amp;Fuel'!H116)</f>
        <v>2597</v>
      </c>
      <c r="CR116" s="7" t="n">
        <f aca="false">(((($B116+$C116+$D116+$O116+$P116+$Q116)*0.5)+X116+Y116)*(0.005*'Prices&amp;Fuel'!$H116)+CA116+'Index Price Deals'!AW116)+(((BB116+BC116+BD116+BE116+BF116+BG116)*(1-'Prices&amp;Fuel'!F116))*0.005*0.5*'Prices&amp;Fuel'!H116)</f>
        <v>21599.5706940874</v>
      </c>
      <c r="CS116" s="11"/>
      <c r="CT116" s="7" t="n">
        <f aca="false">[2]Sheet1!$O134</f>
        <v>-203628.074465385</v>
      </c>
      <c r="CU116" s="7" t="n">
        <f aca="false">'[3]Long Term Deals'!$Z115</f>
        <v>9510.15624296921</v>
      </c>
      <c r="CV116" s="70" t="n">
        <f aca="false">CL116-CN116-CT116+CU116+CS116+CO116</f>
        <v>412130.109444066</v>
      </c>
      <c r="DB116" s="1" t="n">
        <f aca="false">(O116+P116+Q116)*'Prices&amp;Fuel'!$H116</f>
        <v>702800</v>
      </c>
      <c r="DE116" s="1" t="n">
        <v>132000</v>
      </c>
    </row>
    <row r="117" customFormat="false" ht="12.75" hidden="false" customHeight="false" outlineLevel="0" collapsed="false">
      <c r="A117" s="6" t="n">
        <f aca="false">+A116+365/12</f>
        <v>39155.6666666667</v>
      </c>
      <c r="O117" s="7" t="n">
        <v>9036</v>
      </c>
      <c r="P117" s="7" t="n">
        <v>10794</v>
      </c>
      <c r="Q117" s="7" t="n">
        <v>5270</v>
      </c>
      <c r="R117" s="8" t="n">
        <f aca="false">R116</f>
        <v>3.3259</v>
      </c>
      <c r="S117" s="8" t="n">
        <f aca="false">S116</f>
        <v>3.3132</v>
      </c>
      <c r="T117" s="7" t="n">
        <f aca="false">(($O117*R117)+($P117*R117)+($Q117*R117))*'Prices&amp;Fuel'!$H117</f>
        <v>2587882.79</v>
      </c>
      <c r="U117" s="7" t="n">
        <f aca="false">(($O117*S117)+($P117*S117)+($Q117*S117))*'Prices&amp;Fuel'!$H117</f>
        <v>2578000.92</v>
      </c>
      <c r="V117" s="14" t="n">
        <f aca="false">T117-U117</f>
        <v>9881.87000000011</v>
      </c>
      <c r="AF117" s="7" t="n">
        <f aca="false">(32000/(1-'Prices&amp;Fuel'!F117))+(25000/(1-'Prices&amp;Fuel'!G117))-AI117</f>
        <v>58611.8251928021</v>
      </c>
      <c r="AG117" s="7" t="n">
        <v>0</v>
      </c>
      <c r="AH117" s="7" t="n">
        <f aca="false">(75000/(1-'Prices&amp;Fuel'!G117))-AK117</f>
        <v>77120.822622108</v>
      </c>
      <c r="AI117" s="7"/>
      <c r="AJ117" s="7"/>
      <c r="AK117" s="7"/>
      <c r="AL117" s="11" t="n">
        <f aca="false">ROUND((132000/(1-'Prices&amp;Fuel'!F117))-AF117-AG117-AH117,0)</f>
        <v>0</v>
      </c>
      <c r="AM117" s="7" t="n">
        <f aca="false">ROUND(IF(AF117&lt;AP117,0,(AF117-AP117-AI117)/2),0)</f>
        <v>29306</v>
      </c>
      <c r="AO117" s="7" t="n">
        <f aca="false">ROUND((75000/(1-'Prices&amp;Fuel'!G117)-AV117-AK117)/2,0)</f>
        <v>38560</v>
      </c>
      <c r="AR117" s="7" t="n">
        <f aca="false">IF(AP117&gt;AF117,0,AF117-AM117-AP117)</f>
        <v>29305.8251928021</v>
      </c>
      <c r="AT117" s="14" t="n">
        <f aca="false">AH117-AO117-AV117</f>
        <v>38560.822622108</v>
      </c>
      <c r="AU117" s="14" t="n">
        <f aca="false">AL117*AX117*'Prices&amp;Fuel'!H117</f>
        <v>0</v>
      </c>
      <c r="AW117" s="68" t="n">
        <f aca="false">AW116</f>
        <v>0.04</v>
      </c>
      <c r="AX117" s="68" t="n">
        <f aca="false">AX116</f>
        <v>0.025</v>
      </c>
      <c r="AY117" s="5" t="n">
        <f aca="false">('Prices&amp;Fuel'!H117*('Prices&amp;Fuel'!B117+AW117)*'Long Term Deals'!AF117)+('Prices&amp;Fuel'!H117*('Prices&amp;Fuel'!C117+'Long Term Deals'!AW117)*'Long Term Deals'!AG117)+(AH117*('Prices&amp;Fuel'!C117+AW117)*'Prices&amp;Fuel'!H117)+(AW117*AL117*'Prices&amp;Fuel'!H117)</f>
        <v>11292053.6118492</v>
      </c>
      <c r="AZ117" s="5" t="n">
        <f aca="false">(AP117*'Prices&amp;Fuel'!H117*'Prices&amp;Fuel'!B117)+(AQ117*'Prices&amp;Fuel'!C117*'Prices&amp;Fuel'!H117)+((AM117+AR117)*('Prices&amp;Fuel'!B117+'Long Term Deals'!AX117)*'Prices&amp;Fuel'!H117)+((AN117+AS117)*('Prices&amp;Fuel'!C117+'Long Term Deals'!AX117)*'Prices&amp;Fuel'!H117)+((AO117+AT117)*('Prices&amp;Fuel'!D117+'Long Term Deals'!AX117)*'Prices&amp;Fuel'!H117)+(AV117*'Prices&amp;Fuel'!H117*'Prices&amp;Fuel'!Q117)+AU117</f>
        <v>11109400.655551</v>
      </c>
      <c r="BA117" s="5" t="n">
        <f aca="false">AY117-AZ117</f>
        <v>182652.956298202</v>
      </c>
      <c r="BB117" s="5" t="n">
        <f aca="false">IF('FP Corp'!T117-((BE117+BF117+BG117)*(1-'Prices&amp;Fuel'!F117))&lt;'Prices&amp;Fuel'!R117,('FP Corp'!T117-(BE117+BF117+BG117)*(1-'Prices&amp;Fuel'!F117)),'Prices&amp;Fuel'!R117)/(1-'Prices&amp;Fuel'!F117)</f>
        <v>4325.96401028278</v>
      </c>
      <c r="BC117" s="9"/>
      <c r="BD117" s="9" t="n">
        <f aca="false">ROUND(IF('FP Corp'!T117/(1-'Prices&amp;Fuel'!F117)-BE117-BF117-BG117-BB117&gt;'Prices&amp;Fuel'!T117,'Prices&amp;Fuel'!T117,'FP Corp'!T117/(1-'Prices&amp;Fuel'!F117)-BE117-BF117-BG117-BB117),9)</f>
        <v>0</v>
      </c>
      <c r="BE117" s="9" t="n">
        <f aca="false">'Prices&amp;Fuel'!U117/(1-'Prices&amp;Fuel'!F117)</f>
        <v>2635.47557840617</v>
      </c>
      <c r="BF117" s="9" t="n">
        <f aca="false">('Prices&amp;Fuel'!V117+'Prices&amp;Fuel'!X117)/(1-'Prices&amp;Fuel'!F117)</f>
        <v>3645.2442159383</v>
      </c>
      <c r="BG117" s="9" t="n">
        <f aca="false">'Prices&amp;Fuel'!W117/(1-'Prices&amp;Fuel'!F117)</f>
        <v>1732.64781491003</v>
      </c>
      <c r="BH117" s="10" t="n">
        <f aca="false">('Prices&amp;Fuel'!C117+'Prices&amp;Fuel'!D117)/2-0.05+('Prices&amp;Fuel'!M117+'Prices&amp;Fuel'!P117)*(1-'Prices&amp;Fuel'!F117)</f>
        <v>3.339014277254</v>
      </c>
      <c r="BI117" s="10"/>
      <c r="BJ117" s="10"/>
      <c r="BK117" s="10" t="n">
        <f aca="false">(((BB117+BE117)*('Prices&amp;Fuel'!B117+0.025))+(('Prices&amp;Fuel'!D117+0.025)*(BD117+BG117))+(('Prices&amp;Fuel'!C117+0.025)*(BC117+BF117))-(BI117+BJ117)*0.025)/(BB117+BC117+BD117+BE117+BF117+BG117)</f>
        <v>2.65369469392067</v>
      </c>
      <c r="BL117" s="9" t="n">
        <f aca="false">(BB117+BC117+BD117+BE117+BF117+BG117)*BH117*'Prices&amp;Fuel'!H117</f>
        <v>1277237.33793161</v>
      </c>
      <c r="BM117" s="9" t="n">
        <f aca="false">'Prices&amp;Fuel'!X117*('Prices&amp;Fuel'!N117+'Prices&amp;Fuel'!O117)*'Prices&amp;Fuel'!H117</f>
        <v>9438.64041395779</v>
      </c>
      <c r="BN117" s="9" t="n">
        <f aca="false">('Prices&amp;Fuel'!U117+'Prices&amp;Fuel'!V117+'Prices&amp;Fuel'!W117)*('Prices&amp;Fuel'!L117+'Prices&amp;Fuel'!O117)*'Prices&amp;Fuel'!H117</f>
        <v>98255.8321277305</v>
      </c>
      <c r="BO117" s="9" t="n">
        <f aca="false">((BB117+BC117+BD117)*(1-'Prices&amp;Fuel'!G117))*('Prices&amp;Fuel'!M117+'Prices&amp;Fuel'!P117)*'Prices&amp;Fuel'!H117</f>
        <v>99834.2135</v>
      </c>
      <c r="BP117" s="9" t="n">
        <f aca="false">((BD117+BC117+BB117+BE117+BF117+BG117)*BK117*'Prices&amp;Fuel'!H117)+BM117+BN117+BO117</f>
        <v>1222618.07024579</v>
      </c>
      <c r="BQ117" s="5" t="n">
        <f aca="false">BL117-BP117</f>
        <v>54619.2676858185</v>
      </c>
      <c r="CA117" s="5" t="n">
        <f aca="false">(AF117+AG117+AH117+AL117)*0.005*'Prices&amp;Fuel'!H117</f>
        <v>21038.5604113111</v>
      </c>
      <c r="CB117" s="5" t="n">
        <f aca="false">(B117+C117+D117+O117+P117+Q117+X117+Y117+BB117+BC117+BD117+BE117+BF117+BG117+BR117+BS117)*0.005*'Prices&amp;Fuel'!H117</f>
        <v>5803.09640102828</v>
      </c>
      <c r="CC117" s="7" t="n">
        <f aca="false">K117+T117+AB117+AY117+BL117+BX117</f>
        <v>15157173.7397808</v>
      </c>
      <c r="CD117" s="7" t="n">
        <f aca="false">L117+U117+AC117+AZ117+BP117+BY117+CA117+CB117</f>
        <v>14936861.3026092</v>
      </c>
      <c r="CE117" s="7" t="n">
        <f aca="false">CC117-CD117</f>
        <v>220312.437171679</v>
      </c>
      <c r="CF117" s="7" t="n">
        <f aca="false">'Index Price Deals'!AR117</f>
        <v>0</v>
      </c>
      <c r="CG117" s="7" t="n">
        <f aca="false">'Index Price Deals'!AS117</f>
        <v>0</v>
      </c>
      <c r="CH117" s="7" t="n">
        <f aca="false">'Index Price Deals'!AT117</f>
        <v>0</v>
      </c>
      <c r="CI117" s="7" t="n">
        <f aca="false">'Index Price Deals'!AU117</f>
        <v>0</v>
      </c>
      <c r="CJ117" s="7" t="n">
        <f aca="false">CC117+CF117</f>
        <v>15157173.7397808</v>
      </c>
      <c r="CK117" s="7" t="n">
        <f aca="false">CD117+CH117</f>
        <v>14936861.3026092</v>
      </c>
      <c r="CL117" s="7" t="n">
        <f aca="false">CE117+CI117</f>
        <v>220312.437171679</v>
      </c>
      <c r="CM117" s="69"/>
      <c r="CN117" s="7" t="n">
        <f aca="false">Transport!U117</f>
        <v>0</v>
      </c>
      <c r="CQ117" s="7" t="n">
        <f aca="false">(((($B117+$C117+$D117+$O117+$P117+$Q117)*0.5)+BR117+BS117)*(0.005*'Prices&amp;Fuel'!$H117)+'Index Price Deals'!AV117)+(((BB117+BC117+BD117+BE117+BF117+BG117)*(1-'Prices&amp;Fuel'!F117))*0.005*0.5*'Prices&amp;Fuel'!H117)</f>
        <v>2875.25</v>
      </c>
      <c r="CR117" s="7" t="n">
        <f aca="false">(((($B117+$C117+$D117+$O117+$P117+$Q117)*0.5)+X117+Y117)*(0.005*'Prices&amp;Fuel'!$H117)+CA117+'Index Price Deals'!AW117)+(((BB117+BC117+BD117+BE117+BF117+BG117)*(1-'Prices&amp;Fuel'!F117))*0.005*0.5*'Prices&amp;Fuel'!H117)</f>
        <v>23913.8104113111</v>
      </c>
      <c r="CS117" s="11"/>
      <c r="CT117" s="7" t="n">
        <f aca="false">[2]Sheet1!$O135</f>
        <v>-225445.368158105</v>
      </c>
      <c r="CU117" s="7" t="n">
        <f aca="false">'[3]Long Term Deals'!$Z116</f>
        <v>10529.1015547159</v>
      </c>
      <c r="CV117" s="70" t="n">
        <f aca="false">CL117-CN117-CT117+CU117+CS117+CO117</f>
        <v>456286.9068845</v>
      </c>
      <c r="DB117" s="1" t="n">
        <f aca="false">(O117+P117+Q117)*'Prices&amp;Fuel'!$H117</f>
        <v>778100</v>
      </c>
      <c r="DE117" s="1" t="n">
        <v>132000</v>
      </c>
    </row>
    <row r="118" customFormat="false" ht="12.75" hidden="false" customHeight="false" outlineLevel="0" collapsed="false">
      <c r="A118" s="6" t="n">
        <f aca="false">+A117+365/12</f>
        <v>39186.0833333333</v>
      </c>
      <c r="O118" s="7" t="n">
        <v>9036</v>
      </c>
      <c r="P118" s="7" t="n">
        <v>10794</v>
      </c>
      <c r="Q118" s="7" t="n">
        <v>5270</v>
      </c>
      <c r="R118" s="8" t="n">
        <f aca="false">R117</f>
        <v>3.3259</v>
      </c>
      <c r="S118" s="8" t="n">
        <f aca="false">S117</f>
        <v>3.3132</v>
      </c>
      <c r="T118" s="7" t="n">
        <f aca="false">(($O118*R118)+($P118*R118)+($Q118*R118))*'Prices&amp;Fuel'!$H118</f>
        <v>2504402.7</v>
      </c>
      <c r="U118" s="7" t="n">
        <f aca="false">(($O118*S118)+($P118*S118)+($Q118*S118))*'Prices&amp;Fuel'!$H118</f>
        <v>2494839.6</v>
      </c>
      <c r="V118" s="14" t="n">
        <f aca="false">T118-U118</f>
        <v>9563.10000000009</v>
      </c>
      <c r="AF118" s="7" t="n">
        <f aca="false">(32000/(1-'Prices&amp;Fuel'!F118))+(25000/(1-'Prices&amp;Fuel'!G118))-AI118</f>
        <v>58611.8251928021</v>
      </c>
      <c r="AG118" s="7" t="n">
        <v>0</v>
      </c>
      <c r="AH118" s="7" t="n">
        <f aca="false">(75000/(1-'Prices&amp;Fuel'!G118))-AK118</f>
        <v>77120.822622108</v>
      </c>
      <c r="AI118" s="7"/>
      <c r="AJ118" s="7"/>
      <c r="AK118" s="7"/>
      <c r="AL118" s="11" t="n">
        <f aca="false">ROUND((132000/(1-'Prices&amp;Fuel'!F118))-AF118-AG118-AH118,0)</f>
        <v>0</v>
      </c>
      <c r="AM118" s="7" t="n">
        <f aca="false">ROUND(IF(AF118&lt;AP118,0,(AF118-AP118-AI118)/2),0)</f>
        <v>29306</v>
      </c>
      <c r="AO118" s="7" t="n">
        <f aca="false">ROUND((75000/(1-'Prices&amp;Fuel'!G118)-AV118-AK118)/2,0)</f>
        <v>38560</v>
      </c>
      <c r="AR118" s="7" t="n">
        <f aca="false">IF(AP118&gt;AF118,0,AF118-AM118-AP118)</f>
        <v>29305.8251928021</v>
      </c>
      <c r="AT118" s="14" t="n">
        <f aca="false">AH118-AO118-AV118</f>
        <v>38560.822622108</v>
      </c>
      <c r="AU118" s="14" t="n">
        <f aca="false">AL118*AX118*'Prices&amp;Fuel'!H118</f>
        <v>0</v>
      </c>
      <c r="AW118" s="68" t="n">
        <f aca="false">AW117</f>
        <v>0.04</v>
      </c>
      <c r="AX118" s="68" t="n">
        <f aca="false">AX117</f>
        <v>0.025</v>
      </c>
      <c r="AY118" s="5" t="n">
        <f aca="false">('Prices&amp;Fuel'!H118*('Prices&amp;Fuel'!B118+AW118)*'Long Term Deals'!AF118)+('Prices&amp;Fuel'!H118*('Prices&amp;Fuel'!C118+'Long Term Deals'!AW118)*'Long Term Deals'!AG118)+(AH118*('Prices&amp;Fuel'!C118+AW118)*'Prices&amp;Fuel'!H118)+(AW118*AL118*'Prices&amp;Fuel'!H118)</f>
        <v>12083310.4714579</v>
      </c>
      <c r="AZ118" s="5" t="n">
        <f aca="false">(AP118*'Prices&amp;Fuel'!H118*'Prices&amp;Fuel'!B118)+(AQ118*'Prices&amp;Fuel'!C118*'Prices&amp;Fuel'!H118)+((AM118+AR118)*('Prices&amp;Fuel'!B118+'Long Term Deals'!AX118)*'Prices&amp;Fuel'!H118)+((AN118+AS118)*('Prices&amp;Fuel'!C118+'Long Term Deals'!AX118)*'Prices&amp;Fuel'!H118)+((AO118+AT118)*('Prices&amp;Fuel'!D118+'Long Term Deals'!AX118)*'Prices&amp;Fuel'!H118)+(AV118*'Prices&amp;Fuel'!H118*'Prices&amp;Fuel'!Q118)+AU118</f>
        <v>11906549.546008</v>
      </c>
      <c r="BA118" s="5" t="n">
        <f aca="false">AY118-AZ118</f>
        <v>176760.925449872</v>
      </c>
      <c r="BB118" s="5" t="n">
        <f aca="false">IF('FP Corp'!T118-((BE118+BF118+BG118)*(1-'Prices&amp;Fuel'!F118))&lt;'Prices&amp;Fuel'!R118,('FP Corp'!T118-(BE118+BF118+BG118)*(1-'Prices&amp;Fuel'!F118)),'Prices&amp;Fuel'!R118)/(1-'Prices&amp;Fuel'!F118)</f>
        <v>6278.66323907455</v>
      </c>
      <c r="BC118" s="9"/>
      <c r="BD118" s="9" t="n">
        <f aca="false">ROUND(IF('FP Corp'!T118/(1-'Prices&amp;Fuel'!F118)-BE118-BF118-BG118-BB118&gt;'Prices&amp;Fuel'!T118,'Prices&amp;Fuel'!T118,'FP Corp'!T118/(1-'Prices&amp;Fuel'!F118)-BE118-BF118-BG118-BB118),9)</f>
        <v>0</v>
      </c>
      <c r="BE118" s="9" t="n">
        <f aca="false">'Prices&amp;Fuel'!U118/(1-'Prices&amp;Fuel'!F118)</f>
        <v>1933.16195372751</v>
      </c>
      <c r="BF118" s="9" t="n">
        <f aca="false">('Prices&amp;Fuel'!V118+'Prices&amp;Fuel'!X118)/(1-'Prices&amp;Fuel'!F118)</f>
        <v>2833.93316195373</v>
      </c>
      <c r="BG118" s="9" t="n">
        <f aca="false">'Prices&amp;Fuel'!W118/(1-'Prices&amp;Fuel'!F118)</f>
        <v>1293.57326478149</v>
      </c>
      <c r="BH118" s="10" t="n">
        <f aca="false">('Prices&amp;Fuel'!C118+'Prices&amp;Fuel'!D118)/2-0.05+('Prices&amp;Fuel'!M118+'Prices&amp;Fuel'!P118)*(1-'Prices&amp;Fuel'!F118)</f>
        <v>3.622786990781</v>
      </c>
      <c r="BI118" s="10"/>
      <c r="BJ118" s="10"/>
      <c r="BK118" s="10" t="n">
        <f aca="false">(((BB118+BE118)*('Prices&amp;Fuel'!B118+0.025))+(('Prices&amp;Fuel'!D118+0.025)*(BD118+BG118))+(('Prices&amp;Fuel'!C118+0.025)*(BC118+BF118))-(BI118+BJ118)*0.025)/(BB118+BC118+BD118+BE118+BF118+BG118)</f>
        <v>2.93316657411433</v>
      </c>
      <c r="BL118" s="9" t="n">
        <f aca="false">(BB118+BC118+BD118+BE118+BF118+BG118)*BH118*'Prices&amp;Fuel'!H118</f>
        <v>1341083.10198577</v>
      </c>
      <c r="BM118" s="9" t="n">
        <f aca="false">'Prices&amp;Fuel'!X118*('Prices&amp;Fuel'!N118+'Prices&amp;Fuel'!O118)*'Prices&amp;Fuel'!H118</f>
        <v>9134.1681425398</v>
      </c>
      <c r="BN118" s="9" t="n">
        <f aca="false">('Prices&amp;Fuel'!U118+'Prices&amp;Fuel'!V118+'Prices&amp;Fuel'!W118)*('Prices&amp;Fuel'!L118+'Prices&amp;Fuel'!O118)*'Prices&amp;Fuel'!H118</f>
        <v>69689.8245838578</v>
      </c>
      <c r="BO118" s="9" t="n">
        <f aca="false">((BB118+BC118+BD118)*(1-'Prices&amp;Fuel'!G118))*('Prices&amp;Fuel'!M118+'Prices&amp;Fuel'!P118)*'Prices&amp;Fuel'!H118</f>
        <v>140224.29</v>
      </c>
      <c r="BP118" s="9" t="n">
        <f aca="false">((BD118+BC118+BB118+BE118+BF118+BG118)*BK118*'Prices&amp;Fuel'!H118)+BM118+BN118+BO118</f>
        <v>1304847.73432656</v>
      </c>
      <c r="BQ118" s="5" t="n">
        <f aca="false">BL118-BP118</f>
        <v>36235.3676592067</v>
      </c>
      <c r="CA118" s="5" t="n">
        <f aca="false">(AF118+AG118+AH118+AL118)*0.005*'Prices&amp;Fuel'!H118</f>
        <v>20359.8971722365</v>
      </c>
      <c r="CB118" s="5" t="n">
        <f aca="false">(B118+C118+D118+O118+P118+Q118+X118+Y118+BB118+BC118+BD118+BE118+BF118+BG118+BR118+BS118)*0.005*'Prices&amp;Fuel'!H118</f>
        <v>5615.89974293059</v>
      </c>
      <c r="CC118" s="7" t="n">
        <f aca="false">K118+T118+AB118+AY118+BL118+BX118</f>
        <v>15928796.2734436</v>
      </c>
      <c r="CD118" s="7" t="n">
        <f aca="false">L118+U118+AC118+AZ118+BP118+BY118+CA118+CB118</f>
        <v>15732212.6772497</v>
      </c>
      <c r="CE118" s="7" t="n">
        <f aca="false">CC118-CD118</f>
        <v>196583.596193912</v>
      </c>
      <c r="CF118" s="7" t="n">
        <f aca="false">'Index Price Deals'!AR118</f>
        <v>0</v>
      </c>
      <c r="CG118" s="7" t="n">
        <f aca="false">'Index Price Deals'!AS118</f>
        <v>0</v>
      </c>
      <c r="CH118" s="7" t="n">
        <f aca="false">'Index Price Deals'!AT118</f>
        <v>0</v>
      </c>
      <c r="CI118" s="7" t="n">
        <f aca="false">'Index Price Deals'!AU118</f>
        <v>0</v>
      </c>
      <c r="CJ118" s="7" t="n">
        <f aca="false">CC118+CF118</f>
        <v>15928796.2734436</v>
      </c>
      <c r="CK118" s="7" t="n">
        <f aca="false">CD118+CH118</f>
        <v>15732212.6772497</v>
      </c>
      <c r="CL118" s="7" t="n">
        <f aca="false">CE118+CI118</f>
        <v>196583.596193912</v>
      </c>
      <c r="CM118" s="69"/>
      <c r="CN118" s="7" t="n">
        <f aca="false">Transport!U118</f>
        <v>0</v>
      </c>
      <c r="CQ118" s="7" t="n">
        <f aca="false">(((($B118+$C118+$D118+$O118+$P118+$Q118)*0.5)+BR118+BS118)*(0.005*'Prices&amp;Fuel'!$H118)+'Index Price Deals'!AV118)+(((BB118+BC118+BD118+BE118+BF118+BG118)*(1-'Prices&amp;Fuel'!F118))*0.005*0.5*'Prices&amp;Fuel'!H118)</f>
        <v>2782.5</v>
      </c>
      <c r="CR118" s="7" t="n">
        <f aca="false">(((($B118+$C118+$D118+$O118+$P118+$Q118)*0.5)+X118+Y118)*(0.005*'Prices&amp;Fuel'!$H118)+CA118+'Index Price Deals'!AW118)+(((BB118+BC118+BD118+BE118+BF118+BG118)*(1-'Prices&amp;Fuel'!F118))*0.005*0.5*'Prices&amp;Fuel'!H118)</f>
        <v>23142.3971722365</v>
      </c>
      <c r="CS118" s="11"/>
      <c r="CT118" s="7" t="n">
        <f aca="false">[2]Sheet1!$O136</f>
        <v>-218172.936927199</v>
      </c>
      <c r="CU118" s="7" t="n">
        <f aca="false">'[3]Long Term Deals'!$Z117</f>
        <v>10189.453117467</v>
      </c>
      <c r="CV118" s="70" t="n">
        <f aca="false">CL118-CN118-CT118+CU118+CS118+CO118</f>
        <v>424945.986238577</v>
      </c>
      <c r="DB118" s="1" t="n">
        <f aca="false">(O118+P118+Q118)*'Prices&amp;Fuel'!$H118</f>
        <v>753000</v>
      </c>
      <c r="DE118" s="1" t="n">
        <v>132000</v>
      </c>
    </row>
    <row r="119" customFormat="false" ht="12.75" hidden="false" customHeight="false" outlineLevel="0" collapsed="false">
      <c r="A119" s="6" t="n">
        <f aca="false">+A118+365/12</f>
        <v>39216.5</v>
      </c>
      <c r="O119" s="7" t="n">
        <v>9036</v>
      </c>
      <c r="P119" s="7" t="n">
        <v>10794</v>
      </c>
      <c r="Q119" s="7" t="n">
        <v>5270</v>
      </c>
      <c r="R119" s="8" t="n">
        <f aca="false">R118</f>
        <v>3.3259</v>
      </c>
      <c r="S119" s="8" t="n">
        <f aca="false">S118</f>
        <v>3.3132</v>
      </c>
      <c r="T119" s="7" t="n">
        <f aca="false">(($O119*R119)+($P119*R119)+($Q119*R119))*'Prices&amp;Fuel'!$H119</f>
        <v>2587882.79</v>
      </c>
      <c r="U119" s="7" t="n">
        <f aca="false">(($O119*S119)+($P119*S119)+($Q119*S119))*'Prices&amp;Fuel'!$H119</f>
        <v>2578000.92</v>
      </c>
      <c r="V119" s="14" t="n">
        <f aca="false">T119-U119</f>
        <v>9881.87000000011</v>
      </c>
      <c r="AF119" s="7" t="n">
        <f aca="false">((100000)/(1-'Prices&amp;Fuel'!F119))+(25000/(1-'Prices&amp;Fuel'!G119))-AI119</f>
        <v>128534.70437018</v>
      </c>
      <c r="AG119" s="7" t="n">
        <v>0</v>
      </c>
      <c r="AH119" s="7" t="n">
        <f aca="false">(75000/(1-'Prices&amp;Fuel'!G119))-AK119</f>
        <v>77120.822622108</v>
      </c>
      <c r="AI119" s="7"/>
      <c r="AJ119" s="7"/>
      <c r="AK119" s="7"/>
      <c r="AL119" s="11" t="n">
        <f aca="false">ROUND((200000/(1-'Prices&amp;Fuel'!F119))-AF119-AG119-AH119,0)</f>
        <v>0</v>
      </c>
      <c r="AM119" s="7" t="n">
        <f aca="false">ROUND(IF(AF119&lt;AP119,0,(AF119-AP119-AI119)/2),0)</f>
        <v>64267</v>
      </c>
      <c r="AO119" s="7" t="n">
        <f aca="false">ROUND((75000/(1-'Prices&amp;Fuel'!G119)-AV119-AK119)/2,0)</f>
        <v>38560</v>
      </c>
      <c r="AR119" s="7" t="n">
        <f aca="false">IF(AP119&gt;AF119,0,AF119-AM119-AP119)</f>
        <v>64267.70437018</v>
      </c>
      <c r="AT119" s="14" t="n">
        <f aca="false">AH119-AO119-AV119</f>
        <v>38560.822622108</v>
      </c>
      <c r="AU119" s="14" t="n">
        <f aca="false">AL119*AX119*'Prices&amp;Fuel'!H119</f>
        <v>0</v>
      </c>
      <c r="AW119" s="68" t="n">
        <f aca="false">AW118</f>
        <v>0.04</v>
      </c>
      <c r="AX119" s="68" t="n">
        <f aca="false">AX118</f>
        <v>0.025</v>
      </c>
      <c r="AY119" s="5" t="n">
        <f aca="false">('Prices&amp;Fuel'!H119*('Prices&amp;Fuel'!B119+AW119)*'Long Term Deals'!AF119)+('Prices&amp;Fuel'!H119*('Prices&amp;Fuel'!C119+'Long Term Deals'!AW119)*'Long Term Deals'!AG119)+(AH119*('Prices&amp;Fuel'!C119+AW119)*'Prices&amp;Fuel'!H119)+(AW119*AL119*'Prices&amp;Fuel'!H119)</f>
        <v>20117518.696</v>
      </c>
      <c r="AZ119" s="5" t="n">
        <f aca="false">(AP119*'Prices&amp;Fuel'!H119*'Prices&amp;Fuel'!B119)+(AQ119*'Prices&amp;Fuel'!C119*'Prices&amp;Fuel'!H119)+((AM119+AR119)*('Prices&amp;Fuel'!B119+'Long Term Deals'!AX119)*'Prices&amp;Fuel'!H119)+((AN119+AS119)*('Prices&amp;Fuel'!C119+'Long Term Deals'!AX119)*'Prices&amp;Fuel'!H119)+((AO119+AT119)*('Prices&amp;Fuel'!D119+'Long Term Deals'!AX119)*'Prices&amp;Fuel'!H119)+(AV119*'Prices&amp;Fuel'!H119*'Prices&amp;Fuel'!Q119)+AU119</f>
        <v>19902351.6008843</v>
      </c>
      <c r="BA119" s="5" t="n">
        <f aca="false">AY119-AZ119</f>
        <v>215167.09511568</v>
      </c>
      <c r="BB119" s="5" t="n">
        <f aca="false">IF('FP Corp'!T119-((BE119+BF119+BG119)*(1-'Prices&amp;Fuel'!F119))&lt;'Prices&amp;Fuel'!R119,('FP Corp'!T119-(BE119+BF119+BG119)*(1-'Prices&amp;Fuel'!F119)),'Prices&amp;Fuel'!R119)/(1-'Prices&amp;Fuel'!F119)</f>
        <v>8976.86375321337</v>
      </c>
      <c r="BC119" s="9"/>
      <c r="BD119" s="9" t="n">
        <f aca="false">ROUND(IF('FP Corp'!T119/(1-'Prices&amp;Fuel'!F119)-BE119-BF119-BG119-BB119&gt;'Prices&amp;Fuel'!T119,'Prices&amp;Fuel'!T119,'FP Corp'!T119/(1-'Prices&amp;Fuel'!F119)-BE119-BF119-BG119-BB119),9)</f>
        <v>6556.298200514</v>
      </c>
      <c r="BE119" s="9" t="n">
        <f aca="false">'Prices&amp;Fuel'!U119/(1-'Prices&amp;Fuel'!F119)</f>
        <v>1933.16195372751</v>
      </c>
      <c r="BF119" s="9" t="n">
        <f aca="false">('Prices&amp;Fuel'!V119+'Prices&amp;Fuel'!X119)/(1-'Prices&amp;Fuel'!F119)</f>
        <v>3062.21079691517</v>
      </c>
      <c r="BG119" s="9" t="n">
        <f aca="false">'Prices&amp;Fuel'!W119/(1-'Prices&amp;Fuel'!F119)</f>
        <v>1065.29562982005</v>
      </c>
      <c r="BH119" s="10" t="n">
        <f aca="false">('Prices&amp;Fuel'!C119+'Prices&amp;Fuel'!D119)/2-0.05+('Prices&amp;Fuel'!M119+'Prices&amp;Fuel'!P119)*(1-'Prices&amp;Fuel'!F119)</f>
        <v>3.8224789003</v>
      </c>
      <c r="BI119" s="10"/>
      <c r="BJ119" s="10"/>
      <c r="BK119" s="10" t="n">
        <f aca="false">(((BB119+BE119)*('Prices&amp;Fuel'!B119+0.025))+(('Prices&amp;Fuel'!D119+0.025)*(BD119+BG119))+(('Prices&amp;Fuel'!C119+0.025)*(BC119+BF119))-(BI119+BJ119)*0.025)/(BB119+BC119+BD119+BE119+BF119+BG119)</f>
        <v>3.1300682455381</v>
      </c>
      <c r="BL119" s="9" t="n">
        <f aca="false">(BB119+BC119+BD119+BE119+BF119+BG119)*BH119*'Prices&amp;Fuel'!H119</f>
        <v>2558800.78570209</v>
      </c>
      <c r="BM119" s="9" t="n">
        <f aca="false">'Prices&amp;Fuel'!X119*('Prices&amp;Fuel'!N119+'Prices&amp;Fuel'!O119)*'Prices&amp;Fuel'!H119</f>
        <v>9438.64041395779</v>
      </c>
      <c r="BN119" s="9" t="n">
        <f aca="false">('Prices&amp;Fuel'!U119+'Prices&amp;Fuel'!V119+'Prices&amp;Fuel'!W119)*('Prices&amp;Fuel'!L119+'Prices&amp;Fuel'!O119)*'Prices&amp;Fuel'!H119</f>
        <v>72012.8187366531</v>
      </c>
      <c r="BO119" s="9" t="n">
        <f aca="false">((BB119+BC119+BD119)*(1-'Prices&amp;Fuel'!G119))*('Prices&amp;Fuel'!M119+'Prices&amp;Fuel'!P119)*'Prices&amp;Fuel'!H119</f>
        <v>358472.932999997</v>
      </c>
      <c r="BP119" s="9" t="n">
        <f aca="false">((BD119+BC119+BB119+BE119+BF119+BG119)*BK119*'Prices&amp;Fuel'!H119)+BM119+BN119+BO119</f>
        <v>2535219.43363677</v>
      </c>
      <c r="BQ119" s="5" t="n">
        <f aca="false">BL119-BP119</f>
        <v>23581.3520653271</v>
      </c>
      <c r="CA119" s="5" t="n">
        <f aca="false">(AF119+AG119+AH119+AL119)*0.005*'Prices&amp;Fuel'!H119</f>
        <v>31876.6066838046</v>
      </c>
      <c r="CB119" s="5" t="n">
        <f aca="false">(B119+C119+D119+O119+P119+Q119+X119+Y119+BB119+BC119+BD119+BE119+BF119+BG119+BR119+BS119)*0.005*'Prices&amp;Fuel'!H119</f>
        <v>7237.54370179946</v>
      </c>
      <c r="CC119" s="7" t="n">
        <f aca="false">K119+T119+AB119+AY119+BL119+BX119</f>
        <v>25264202.2717021</v>
      </c>
      <c r="CD119" s="7" t="n">
        <f aca="false">L119+U119+AC119+AZ119+BP119+BY119+CA119+CB119</f>
        <v>25054686.1049067</v>
      </c>
      <c r="CE119" s="7" t="n">
        <f aca="false">CC119-CD119</f>
        <v>209516.166795399</v>
      </c>
      <c r="CF119" s="7" t="n">
        <f aca="false">'Index Price Deals'!AR119</f>
        <v>0</v>
      </c>
      <c r="CG119" s="7" t="n">
        <f aca="false">'Index Price Deals'!AS119</f>
        <v>0</v>
      </c>
      <c r="CH119" s="7" t="n">
        <f aca="false">'Index Price Deals'!AT119</f>
        <v>0</v>
      </c>
      <c r="CI119" s="7" t="n">
        <f aca="false">'Index Price Deals'!AU119</f>
        <v>0</v>
      </c>
      <c r="CJ119" s="7" t="n">
        <f aca="false">CC119+CF119</f>
        <v>25264202.2717021</v>
      </c>
      <c r="CK119" s="7" t="n">
        <f aca="false">CD119+CH119</f>
        <v>25054686.1049067</v>
      </c>
      <c r="CL119" s="7" t="n">
        <f aca="false">CE119+CI119</f>
        <v>209516.166795399</v>
      </c>
      <c r="CM119" s="69"/>
      <c r="CN119" s="7" t="n">
        <f aca="false">Transport!U119</f>
        <v>3.14901408273727E-009</v>
      </c>
      <c r="CQ119" s="7" t="n">
        <f aca="false">(((($B119+$C119+$D119+$O119+$P119+$Q119)*0.5)+BR119+BS119)*(0.005*'Prices&amp;Fuel'!$H119)+'Index Price Deals'!AV119)+(((BB119+BC119+BD119+BE119+BF119+BG119)*(1-'Prices&amp;Fuel'!F119))*0.005*0.5*'Prices&amp;Fuel'!H119)</f>
        <v>3572.74999999999</v>
      </c>
      <c r="CR119" s="7" t="n">
        <f aca="false">(((($B119+$C119+$D119+$O119+$P119+$Q119)*0.5)+X119+Y119)*(0.005*'Prices&amp;Fuel'!$H119)+CA119+'Index Price Deals'!AW119)+(((BB119+BC119+BD119+BE119+BF119+BG119)*(1-'Prices&amp;Fuel'!F119))*0.005*0.5*'Prices&amp;Fuel'!H119)</f>
        <v>35449.3566838046</v>
      </c>
      <c r="CS119" s="11"/>
      <c r="CT119" s="7" t="n">
        <f aca="false">[2]Sheet1!$O137</f>
        <v>-341583.891148644</v>
      </c>
      <c r="CU119" s="7" t="n">
        <f aca="false">'[3]Long Term Deals'!$Z118</f>
        <v>15953.184173812</v>
      </c>
      <c r="CV119" s="70" t="n">
        <f aca="false">CL119-CN119-CT119+CU119+CS119+CO119</f>
        <v>567053.242117852</v>
      </c>
      <c r="DB119" s="1" t="n">
        <f aca="false">(O119+P119+Q119)*'Prices&amp;Fuel'!$H119</f>
        <v>778100</v>
      </c>
      <c r="DE119" s="1" t="n">
        <v>200000</v>
      </c>
    </row>
    <row r="120" customFormat="false" ht="12.75" hidden="false" customHeight="false" outlineLevel="0" collapsed="false">
      <c r="A120" s="6" t="n">
        <f aca="false">+A119+365/12</f>
        <v>39246.9166666667</v>
      </c>
      <c r="O120" s="7" t="n">
        <v>9036</v>
      </c>
      <c r="P120" s="7" t="n">
        <v>10794</v>
      </c>
      <c r="Q120" s="7" t="n">
        <v>5270</v>
      </c>
      <c r="R120" s="8" t="n">
        <f aca="false">R119</f>
        <v>3.3259</v>
      </c>
      <c r="S120" s="8" t="n">
        <f aca="false">S119</f>
        <v>3.3132</v>
      </c>
      <c r="T120" s="7" t="n">
        <f aca="false">(($O120*R120)+($P120*R120)+($Q120*R120))*'Prices&amp;Fuel'!$H120</f>
        <v>2504402.7</v>
      </c>
      <c r="U120" s="7" t="n">
        <f aca="false">(($O120*S120)+($P120*S120)+($Q120*S120))*'Prices&amp;Fuel'!$H120</f>
        <v>2494839.6</v>
      </c>
      <c r="V120" s="14" t="n">
        <f aca="false">T120-U120</f>
        <v>9563.10000000009</v>
      </c>
      <c r="AF120" s="7" t="n">
        <f aca="false">((100000)/(1-'Prices&amp;Fuel'!F120))+(25000/(1-'Prices&amp;Fuel'!G120))-AI120</f>
        <v>128534.70437018</v>
      </c>
      <c r="AG120" s="7" t="n">
        <v>0</v>
      </c>
      <c r="AH120" s="7" t="n">
        <f aca="false">(75000/(1-'Prices&amp;Fuel'!G120))-AK120</f>
        <v>77120.822622108</v>
      </c>
      <c r="AI120" s="7"/>
      <c r="AJ120" s="7"/>
      <c r="AK120" s="7"/>
      <c r="AL120" s="11" t="n">
        <f aca="false">ROUND((200000/(1-'Prices&amp;Fuel'!F120))-AF120-AG120-AH120,0)</f>
        <v>0</v>
      </c>
      <c r="AM120" s="7" t="n">
        <f aca="false">ROUND(IF(AF120&lt;AP120,0,(AF120-AP120-AI120)/2),0)</f>
        <v>64267</v>
      </c>
      <c r="AO120" s="7" t="n">
        <f aca="false">ROUND((75000/(1-'Prices&amp;Fuel'!G120)-AV120-AK120)/2,0)</f>
        <v>38560</v>
      </c>
      <c r="AR120" s="7" t="n">
        <f aca="false">IF(AP120&gt;AF120,0,AF120-AM120-AP120)</f>
        <v>64267.70437018</v>
      </c>
      <c r="AT120" s="14" t="n">
        <f aca="false">AH120-AO120-AV120</f>
        <v>38560.822622108</v>
      </c>
      <c r="AU120" s="14" t="n">
        <f aca="false">AL120*AX120*'Prices&amp;Fuel'!H120</f>
        <v>0</v>
      </c>
      <c r="AW120" s="68" t="n">
        <f aca="false">AW119</f>
        <v>0.04</v>
      </c>
      <c r="AX120" s="68" t="n">
        <f aca="false">AX119</f>
        <v>0.025</v>
      </c>
      <c r="AY120" s="5" t="n">
        <f aca="false">('Prices&amp;Fuel'!H120*('Prices&amp;Fuel'!B120+AW120)*'Long Term Deals'!AF120)+('Prices&amp;Fuel'!H120*('Prices&amp;Fuel'!C120+'Long Term Deals'!AW120)*'Long Term Deals'!AG120)+(AH120*('Prices&amp;Fuel'!C120+AW120)*'Prices&amp;Fuel'!H120)+(AW120*AL120*'Prices&amp;Fuel'!H120)</f>
        <v>27963105.291091</v>
      </c>
      <c r="AZ120" s="5" t="n">
        <f aca="false">(AP120*'Prices&amp;Fuel'!H120*'Prices&amp;Fuel'!B120)+(AQ120*'Prices&amp;Fuel'!C120*'Prices&amp;Fuel'!H120)+((AM120+AR120)*('Prices&amp;Fuel'!B120+'Long Term Deals'!AX120)*'Prices&amp;Fuel'!H120)+((AN120+AS120)*('Prices&amp;Fuel'!C120+'Long Term Deals'!AX120)*'Prices&amp;Fuel'!H120)+((AO120+AT120)*('Prices&amp;Fuel'!D120+'Long Term Deals'!AX120)*'Prices&amp;Fuel'!H120)+(AV120*'Prices&amp;Fuel'!H120*'Prices&amp;Fuel'!Q120)+AU120</f>
        <v>27754879.0700113</v>
      </c>
      <c r="BA120" s="5" t="n">
        <f aca="false">AY120-AZ120</f>
        <v>208226.221079696</v>
      </c>
      <c r="BB120" s="5" t="n">
        <f aca="false">IF('FP Corp'!T120-((BE120+BF120+BG120)*(1-'Prices&amp;Fuel'!F120))&lt;'Prices&amp;Fuel'!R120,('FP Corp'!T120-(BE120+BF120+BG120)*(1-'Prices&amp;Fuel'!F120)),'Prices&amp;Fuel'!R120)/(1-'Prices&amp;Fuel'!F120)</f>
        <v>8976.86375321337</v>
      </c>
      <c r="BC120" s="9"/>
      <c r="BD120" s="9" t="n">
        <f aca="false">ROUND(IF('FP Corp'!T120/(1-'Prices&amp;Fuel'!F120)-BE120-BF120-BG120-BB120&gt;'Prices&amp;Fuel'!T120,'Prices&amp;Fuel'!T120,'FP Corp'!T120/(1-'Prices&amp;Fuel'!F120)-BE120-BF120-BG120-BB120),9)</f>
        <v>6556.298200514</v>
      </c>
      <c r="BE120" s="9" t="n">
        <f aca="false">'Prices&amp;Fuel'!U120/(1-'Prices&amp;Fuel'!F120)</f>
        <v>1933.16195372751</v>
      </c>
      <c r="BF120" s="9" t="n">
        <f aca="false">('Prices&amp;Fuel'!V120+'Prices&amp;Fuel'!X120)/(1-'Prices&amp;Fuel'!F120)</f>
        <v>3062.21079691517</v>
      </c>
      <c r="BG120" s="9" t="n">
        <f aca="false">'Prices&amp;Fuel'!W120/(1-'Prices&amp;Fuel'!F120)</f>
        <v>1065.29562982005</v>
      </c>
      <c r="BH120" s="10" t="n">
        <f aca="false">('Prices&amp;Fuel'!C120+'Prices&amp;Fuel'!D120)/2-0.05+('Prices&amp;Fuel'!M120+'Prices&amp;Fuel'!P120)*(1-'Prices&amp;Fuel'!F120)</f>
        <v>5.199302065931</v>
      </c>
      <c r="BI120" s="10"/>
      <c r="BJ120" s="10"/>
      <c r="BK120" s="10" t="n">
        <f aca="false">(((BB120+BE120)*('Prices&amp;Fuel'!B120+0.025))+(('Prices&amp;Fuel'!D120+0.025)*(BD120+BG120))+(('Prices&amp;Fuel'!C120+0.025)*(BC120+BF120))-(BI120+BJ120)*0.025)/(BB120+BC120+BD120+BE120+BF120+BG120)</f>
        <v>4.5068914111691</v>
      </c>
      <c r="BL120" s="9" t="n">
        <f aca="false">(BB120+BC120+BD120+BE120+BF120+BG120)*BH120*'Prices&amp;Fuel'!H120</f>
        <v>3368185.40003754</v>
      </c>
      <c r="BM120" s="9" t="n">
        <f aca="false">'Prices&amp;Fuel'!X120*('Prices&amp;Fuel'!N120+'Prices&amp;Fuel'!O120)*'Prices&amp;Fuel'!H120</f>
        <v>9134.1681425398</v>
      </c>
      <c r="BN120" s="9" t="n">
        <f aca="false">('Prices&amp;Fuel'!U120+'Prices&amp;Fuel'!V120+'Prices&amp;Fuel'!W120)*('Prices&amp;Fuel'!L120+'Prices&amp;Fuel'!O120)*'Prices&amp;Fuel'!H120</f>
        <v>69689.8245838578</v>
      </c>
      <c r="BO120" s="9" t="n">
        <f aca="false">((BB120+BC120+BD120)*(1-'Prices&amp;Fuel'!G120))*('Prices&amp;Fuel'!M120+'Prices&amp;Fuel'!P120)*'Prices&amp;Fuel'!H120</f>
        <v>346909.289999997</v>
      </c>
      <c r="BP120" s="9" t="n">
        <f aca="false">((BD120+BC120+BB120+BE120+BF120+BG120)*BK120*'Prices&amp;Fuel'!H120)+BM120+BN120+BO120</f>
        <v>3345364.73674851</v>
      </c>
      <c r="BQ120" s="5" t="n">
        <f aca="false">BL120-BP120</f>
        <v>22820.6632890264</v>
      </c>
      <c r="CA120" s="5" t="n">
        <f aca="false">(AF120+AG120+AH120+AL120)*0.005*'Prices&amp;Fuel'!H120</f>
        <v>30848.3290488432</v>
      </c>
      <c r="CB120" s="5" t="n">
        <f aca="false">(B120+C120+D120+O120+P120+Q120+X120+Y120+BB120+BC120+BD120+BE120+BF120+BG120+BR120+BS120)*0.005*'Prices&amp;Fuel'!H120</f>
        <v>7004.07455012851</v>
      </c>
      <c r="CC120" s="7" t="n">
        <f aca="false">K120+T120+AB120+AY120+BL120+BX120</f>
        <v>33835693.3911286</v>
      </c>
      <c r="CD120" s="7" t="n">
        <f aca="false">L120+U120+AC120+AZ120+BP120+BY120+CA120+CB120</f>
        <v>33632935.8103588</v>
      </c>
      <c r="CE120" s="7" t="n">
        <f aca="false">CC120-CD120</f>
        <v>202757.580769748</v>
      </c>
      <c r="CF120" s="7" t="n">
        <f aca="false">'Index Price Deals'!AR120</f>
        <v>0</v>
      </c>
      <c r="CG120" s="7" t="n">
        <f aca="false">'Index Price Deals'!AS120</f>
        <v>0</v>
      </c>
      <c r="CH120" s="7" t="n">
        <f aca="false">'Index Price Deals'!AT120</f>
        <v>0</v>
      </c>
      <c r="CI120" s="7" t="n">
        <f aca="false">'Index Price Deals'!AU120</f>
        <v>0</v>
      </c>
      <c r="CJ120" s="7" t="n">
        <f aca="false">CC120+CF120</f>
        <v>33835693.3911286</v>
      </c>
      <c r="CK120" s="7" t="n">
        <f aca="false">CD120+CH120</f>
        <v>33632935.8103588</v>
      </c>
      <c r="CL120" s="7" t="n">
        <f aca="false">CE120+CI120</f>
        <v>202757.580769748</v>
      </c>
      <c r="CM120" s="69"/>
      <c r="CN120" s="7" t="n">
        <f aca="false">Transport!U120</f>
        <v>3.04743298329413E-009</v>
      </c>
      <c r="CQ120" s="7" t="n">
        <f aca="false">(((($B120+$C120+$D120+$O120+$P120+$Q120)*0.5)+BR120+BS120)*(0.005*'Prices&amp;Fuel'!$H120)+'Index Price Deals'!AV120)+(((BB120+BC120+BD120+BE120+BF120+BG120)*(1-'Prices&amp;Fuel'!F120))*0.005*0.5*'Prices&amp;Fuel'!H120)</f>
        <v>3457.49999999999</v>
      </c>
      <c r="CR120" s="7" t="n">
        <f aca="false">(((($B120+$C120+$D120+$O120+$P120+$Q120)*0.5)+X120+Y120)*(0.005*'Prices&amp;Fuel'!$H120)+CA120+'Index Price Deals'!AW120)+(((BB120+BC120+BD120+BE120+BF120+BG120)*(1-'Prices&amp;Fuel'!F120))*0.005*0.5*'Prices&amp;Fuel'!H120)</f>
        <v>34305.8290488432</v>
      </c>
      <c r="CS120" s="11"/>
      <c r="CT120" s="7" t="n">
        <f aca="false">[2]Sheet1!$O138</f>
        <v>-330565.055950301</v>
      </c>
      <c r="CU120" s="7" t="n">
        <f aca="false">'[3]Long Term Deals'!$Z119</f>
        <v>15438.5653294955</v>
      </c>
      <c r="CV120" s="70" t="n">
        <f aca="false">CL120-CN120-CT120+CU120+CS120+CO120</f>
        <v>548761.202049541</v>
      </c>
      <c r="DB120" s="1" t="n">
        <f aca="false">(O120+P120+Q120)*'Prices&amp;Fuel'!$H120</f>
        <v>753000</v>
      </c>
      <c r="DE120" s="1" t="n">
        <v>200000</v>
      </c>
    </row>
    <row r="121" customFormat="false" ht="12.75" hidden="false" customHeight="false" outlineLevel="0" collapsed="false">
      <c r="A121" s="6" t="n">
        <f aca="false">+A120+365/12</f>
        <v>39277.3333333333</v>
      </c>
      <c r="O121" s="7" t="n">
        <v>9036</v>
      </c>
      <c r="P121" s="7" t="n">
        <v>10794</v>
      </c>
      <c r="Q121" s="7" t="n">
        <v>5270</v>
      </c>
      <c r="R121" s="8" t="n">
        <f aca="false">ROUND(3.075*1.04*1.04*1.04,4)</f>
        <v>3.459</v>
      </c>
      <c r="S121" s="8" t="n">
        <f aca="false">R121-ROUND(0.01*1.02*1.02*1.02*1.02*1.02*1.02*1.02*1.02*1.02*1.02*1.02*1.02*1.02,4)</f>
        <v>3.4461</v>
      </c>
      <c r="T121" s="7" t="n">
        <f aca="false">(($O121*R121)+($P121*R121)+($Q121*R121))*'Prices&amp;Fuel'!$H121</f>
        <v>2691447.9</v>
      </c>
      <c r="U121" s="7" t="n">
        <f aca="false">(($O121*S121)+($P121*S121)+($Q121*S121))*'Prices&amp;Fuel'!$H121</f>
        <v>2681410.41</v>
      </c>
      <c r="V121" s="14" t="n">
        <f aca="false">T121-U121</f>
        <v>10037.4899999998</v>
      </c>
      <c r="AF121" s="7" t="n">
        <f aca="false">((100000)/(1-'Prices&amp;Fuel'!F121))+(25000/(1-'Prices&amp;Fuel'!G121))-AI121</f>
        <v>128534.70437018</v>
      </c>
      <c r="AG121" s="7" t="n">
        <v>0</v>
      </c>
      <c r="AH121" s="7" t="n">
        <f aca="false">(75000/(1-'Prices&amp;Fuel'!G121))-AK121</f>
        <v>77120.822622108</v>
      </c>
      <c r="AI121" s="7"/>
      <c r="AJ121" s="7"/>
      <c r="AK121" s="7"/>
      <c r="AL121" s="11" t="n">
        <f aca="false">ROUND((200000/(1-'Prices&amp;Fuel'!F121))-AF121-AG121-AH121,0)</f>
        <v>0</v>
      </c>
      <c r="AM121" s="7" t="n">
        <f aca="false">ROUND(IF(AF121&lt;AP121,0,(AF121-AP121-AI121)/2),0)</f>
        <v>64267</v>
      </c>
      <c r="AO121" s="7" t="n">
        <f aca="false">ROUND((75000/(1-'Prices&amp;Fuel'!G121)-AV121-AK121)/2,0)</f>
        <v>38560</v>
      </c>
      <c r="AR121" s="7" t="n">
        <f aca="false">IF(AP121&gt;AF121,0,AF121-AM121-AP121)</f>
        <v>64267.70437018</v>
      </c>
      <c r="AT121" s="14" t="n">
        <f aca="false">AH121-AO121-AV121</f>
        <v>38560.822622108</v>
      </c>
      <c r="AU121" s="14" t="n">
        <f aca="false">AL121*AX121*'Prices&amp;Fuel'!H121</f>
        <v>0</v>
      </c>
      <c r="AW121" s="68" t="n">
        <f aca="false">AW120</f>
        <v>0.04</v>
      </c>
      <c r="AX121" s="68" t="n">
        <f aca="false">AX120</f>
        <v>0.025</v>
      </c>
      <c r="AY121" s="5" t="n">
        <f aca="false">('Prices&amp;Fuel'!H121*('Prices&amp;Fuel'!B121+AW121)*'Long Term Deals'!AF121)+('Prices&amp;Fuel'!H121*('Prices&amp;Fuel'!C121+'Long Term Deals'!AW121)*'Long Term Deals'!AG121)+(AH121*('Prices&amp;Fuel'!C121+AW121)*'Prices&amp;Fuel'!H121)+(AW121*AL121*'Prices&amp;Fuel'!H121)</f>
        <v>28828203.5328185</v>
      </c>
      <c r="AZ121" s="5" t="n">
        <f aca="false">(AP121*'Prices&amp;Fuel'!H121*'Prices&amp;Fuel'!B121)+(AQ121*'Prices&amp;Fuel'!C121*'Prices&amp;Fuel'!H121)+((AM121+AR121)*('Prices&amp;Fuel'!B121+'Long Term Deals'!AX121)*'Prices&amp;Fuel'!H121)+((AN121+AS121)*('Prices&amp;Fuel'!C121+'Long Term Deals'!AX121)*'Prices&amp;Fuel'!H121)+((AO121+AT121)*('Prices&amp;Fuel'!D121+'Long Term Deals'!AX121)*'Prices&amp;Fuel'!H121)+(AV121*'Prices&amp;Fuel'!H121*'Prices&amp;Fuel'!Q121)+AU121</f>
        <v>28613036.4377028</v>
      </c>
      <c r="BA121" s="5" t="n">
        <f aca="false">AY121-AZ121</f>
        <v>215167.095115677</v>
      </c>
      <c r="BB121" s="5" t="n">
        <f aca="false">IF('FP Corp'!T121-((BE121+BF121+BG121)*(1-'Prices&amp;Fuel'!F121))&lt;'Prices&amp;Fuel'!R121,('FP Corp'!T121-(BE121+BF121+BG121)*(1-'Prices&amp;Fuel'!F121)),'Prices&amp;Fuel'!R121)/(1-'Prices&amp;Fuel'!F121)</f>
        <v>8976.86375321337</v>
      </c>
      <c r="BC121" s="9"/>
      <c r="BD121" s="9" t="n">
        <f aca="false">ROUND(IF('FP Corp'!T121/(1-'Prices&amp;Fuel'!F121)-BE121-BF121-BG121-BB121&gt;'Prices&amp;Fuel'!T121,'Prices&amp;Fuel'!T121,'FP Corp'!T121/(1-'Prices&amp;Fuel'!F121)-BE121-BF121-BG121-BB121),9)</f>
        <v>6556.298200514</v>
      </c>
      <c r="BE121" s="9" t="n">
        <f aca="false">'Prices&amp;Fuel'!U121/(1-'Prices&amp;Fuel'!F121)</f>
        <v>1933.16195372751</v>
      </c>
      <c r="BF121" s="9" t="n">
        <f aca="false">('Prices&amp;Fuel'!V121+'Prices&amp;Fuel'!X121)/(1-'Prices&amp;Fuel'!F121)</f>
        <v>3062.21079691517</v>
      </c>
      <c r="BG121" s="9" t="n">
        <f aca="false">'Prices&amp;Fuel'!W121/(1-'Prices&amp;Fuel'!F121)</f>
        <v>1065.29562982005</v>
      </c>
      <c r="BH121" s="10" t="n">
        <f aca="false">('Prices&amp;Fuel'!C121+'Prices&amp;Fuel'!D121)/2-0.05+('Prices&amp;Fuel'!M121+'Prices&amp;Fuel'!P121)*(1-'Prices&amp;Fuel'!F121)</f>
        <v>5.18879196543</v>
      </c>
      <c r="BI121" s="10"/>
      <c r="BJ121" s="10"/>
      <c r="BK121" s="10" t="n">
        <f aca="false">(((BB121+BE121)*('Prices&amp;Fuel'!B121+0.025))+(('Prices&amp;Fuel'!D121+0.025)*(BD121+BG121))+(('Prices&amp;Fuel'!C121+0.025)*(BC121+BF121))-(BI121+BJ121)*0.025)/(BB121+BC121+BD121+BE121+BF121+BG121)</f>
        <v>4.4963813106681</v>
      </c>
      <c r="BL121" s="9" t="n">
        <f aca="false">(BB121+BC121+BD121+BE121+BF121+BG121)*BH121*'Prices&amp;Fuel'!H121</f>
        <v>3473422.69356803</v>
      </c>
      <c r="BM121" s="9" t="n">
        <f aca="false">'Prices&amp;Fuel'!X121*('Prices&amp;Fuel'!N121+'Prices&amp;Fuel'!O121)*'Prices&amp;Fuel'!H121</f>
        <v>9438.64041395779</v>
      </c>
      <c r="BN121" s="9" t="n">
        <f aca="false">('Prices&amp;Fuel'!U121+'Prices&amp;Fuel'!V121+'Prices&amp;Fuel'!W121)*('Prices&amp;Fuel'!L121+'Prices&amp;Fuel'!O121)*'Prices&amp;Fuel'!H121</f>
        <v>72012.8187366531</v>
      </c>
      <c r="BO121" s="9" t="n">
        <f aca="false">((BB121+BC121+BD121)*(1-'Prices&amp;Fuel'!G121))*('Prices&amp;Fuel'!M121+'Prices&amp;Fuel'!P121)*'Prices&amp;Fuel'!H121</f>
        <v>358472.932999997</v>
      </c>
      <c r="BP121" s="9" t="n">
        <f aca="false">((BD121+BC121+BB121+BE121+BF121+BG121)*BK121*'Prices&amp;Fuel'!H121)+BM121+BN121+BO121</f>
        <v>3449841.3415027</v>
      </c>
      <c r="BQ121" s="5" t="n">
        <f aca="false">BL121-BP121</f>
        <v>23581.3520653262</v>
      </c>
      <c r="CA121" s="5" t="n">
        <f aca="false">(AF121+AG121+AH121+AL121)*0.005*'Prices&amp;Fuel'!H121</f>
        <v>31876.6066838046</v>
      </c>
      <c r="CB121" s="5" t="n">
        <f aca="false">(B121+C121+D121+O121+P121+Q121+X121+Y121+BB121+BC121+BD121+BE121+BF121+BG121+BR121+BS121)*0.005*'Prices&amp;Fuel'!H121</f>
        <v>7237.54370179946</v>
      </c>
      <c r="CC121" s="7" t="n">
        <f aca="false">K121+T121+AB121+AY121+BL121+BX121</f>
        <v>34993074.1263865</v>
      </c>
      <c r="CD121" s="7" t="n">
        <f aca="false">L121+U121+AC121+AZ121+BP121+BY121+CA121+CB121</f>
        <v>34783402.3395911</v>
      </c>
      <c r="CE121" s="7" t="n">
        <f aca="false">CC121-CD121</f>
        <v>209671.7867954</v>
      </c>
      <c r="CF121" s="7" t="n">
        <f aca="false">'Index Price Deals'!AR121</f>
        <v>0</v>
      </c>
      <c r="CG121" s="7" t="n">
        <f aca="false">'Index Price Deals'!AS121</f>
        <v>0</v>
      </c>
      <c r="CH121" s="7" t="n">
        <f aca="false">'Index Price Deals'!AT121</f>
        <v>0</v>
      </c>
      <c r="CI121" s="7" t="n">
        <f aca="false">'Index Price Deals'!AU121</f>
        <v>0</v>
      </c>
      <c r="CJ121" s="7" t="n">
        <f aca="false">CC121+CF121</f>
        <v>34993074.1263865</v>
      </c>
      <c r="CK121" s="7" t="n">
        <f aca="false">CD121+CH121</f>
        <v>34783402.3395911</v>
      </c>
      <c r="CL121" s="7" t="n">
        <f aca="false">CE121+CI121</f>
        <v>209671.7867954</v>
      </c>
      <c r="CM121" s="69"/>
      <c r="CN121" s="7" t="n">
        <f aca="false">Transport!U121</f>
        <v>3.14901408273727E-009</v>
      </c>
      <c r="CQ121" s="7" t="n">
        <f aca="false">(((($B121+$C121+$D121+$O121+$P121+$Q121)*0.5)+BR121+BS121)*(0.005*'Prices&amp;Fuel'!$H121)+'Index Price Deals'!AV121)+(((BB121+BC121+BD121+BE121+BF121+BG121)*(1-'Prices&amp;Fuel'!F121))*0.005*0.5*'Prices&amp;Fuel'!H121)</f>
        <v>3572.74999999999</v>
      </c>
      <c r="CR121" s="7" t="n">
        <f aca="false">(((($B121+$C121+$D121+$O121+$P121+$Q121)*0.5)+X121+Y121)*(0.005*'Prices&amp;Fuel'!$H121)+CA121+'Index Price Deals'!AW121)+(((BB121+BC121+BD121+BE121+BF121+BG121)*(1-'Prices&amp;Fuel'!F121))*0.005*0.5*'Prices&amp;Fuel'!H121)</f>
        <v>35449.3566838046</v>
      </c>
      <c r="CS121" s="11"/>
      <c r="CT121" s="7" t="n">
        <f aca="false">[2]Sheet1!$O139</f>
        <v>-341583.891148644</v>
      </c>
      <c r="CU121" s="7" t="n">
        <f aca="false">'[3]Long Term Deals'!$Z120</f>
        <v>15953.184173812</v>
      </c>
      <c r="CV121" s="70" t="n">
        <f aca="false">CL121-CN121-CT121+CU121+CS121+CO121</f>
        <v>567208.862117853</v>
      </c>
      <c r="DB121" s="1" t="n">
        <f aca="false">(O121+P121+Q121)*'Prices&amp;Fuel'!$H121</f>
        <v>778100</v>
      </c>
      <c r="DE121" s="1" t="n">
        <v>200000</v>
      </c>
    </row>
    <row r="122" customFormat="false" ht="12.75" hidden="false" customHeight="false" outlineLevel="0" collapsed="false">
      <c r="A122" s="6" t="n">
        <f aca="false">+A121+365/12</f>
        <v>39307.75</v>
      </c>
      <c r="O122" s="7" t="n">
        <v>9036</v>
      </c>
      <c r="P122" s="7" t="n">
        <v>10794</v>
      </c>
      <c r="Q122" s="7" t="n">
        <v>5270</v>
      </c>
      <c r="R122" s="8" t="n">
        <f aca="false">R121</f>
        <v>3.459</v>
      </c>
      <c r="S122" s="8" t="n">
        <f aca="false">S121</f>
        <v>3.4461</v>
      </c>
      <c r="T122" s="7" t="n">
        <f aca="false">(($O122*R122)+($P122*R122)+($Q122*R122))*'Prices&amp;Fuel'!$H122</f>
        <v>2691447.9</v>
      </c>
      <c r="U122" s="7" t="n">
        <f aca="false">(($O122*S122)+($P122*S122)+($Q122*S122))*'Prices&amp;Fuel'!$H122</f>
        <v>2681410.41</v>
      </c>
      <c r="V122" s="14" t="n">
        <f aca="false">T122-U122</f>
        <v>10037.4899999998</v>
      </c>
      <c r="AF122" s="7" t="n">
        <f aca="false">((100000)/(1-'Prices&amp;Fuel'!F122))+(25000/(1-'Prices&amp;Fuel'!G122))-AI122</f>
        <v>128534.70437018</v>
      </c>
      <c r="AG122" s="7" t="n">
        <v>0</v>
      </c>
      <c r="AH122" s="7" t="n">
        <f aca="false">(75000/(1-'Prices&amp;Fuel'!G122))-AK122</f>
        <v>77120.822622108</v>
      </c>
      <c r="AI122" s="7"/>
      <c r="AJ122" s="7"/>
      <c r="AK122" s="7"/>
      <c r="AL122" s="11" t="n">
        <f aca="false">ROUND((200000/(1-'Prices&amp;Fuel'!F122))-AF122-AG122-AH122,0)</f>
        <v>0</v>
      </c>
      <c r="AM122" s="7" t="n">
        <f aca="false">ROUND(IF(AF122&lt;AP122,0,(AF122-AP122-AI122)/2),0)</f>
        <v>64267</v>
      </c>
      <c r="AO122" s="7" t="n">
        <f aca="false">ROUND((75000/(1-'Prices&amp;Fuel'!G122)-AV122-AK122)/2,0)</f>
        <v>38560</v>
      </c>
      <c r="AR122" s="7" t="n">
        <f aca="false">IF(AP122&gt;AF122,0,AF122-AM122-AP122)</f>
        <v>64267.70437018</v>
      </c>
      <c r="AT122" s="14" t="n">
        <f aca="false">AH122-AO122-AV122</f>
        <v>38560.822622108</v>
      </c>
      <c r="AU122" s="14" t="n">
        <f aca="false">AL122*AX122*'Prices&amp;Fuel'!H122</f>
        <v>0</v>
      </c>
      <c r="AW122" s="68" t="n">
        <f aca="false">AW121</f>
        <v>0.04</v>
      </c>
      <c r="AX122" s="68" t="n">
        <f aca="false">AX121</f>
        <v>0.025</v>
      </c>
      <c r="AY122" s="5" t="n">
        <f aca="false">('Prices&amp;Fuel'!H122*('Prices&amp;Fuel'!B122+AW122)*'Long Term Deals'!AF122)+('Prices&amp;Fuel'!H122*('Prices&amp;Fuel'!C122+'Long Term Deals'!AW122)*'Long Term Deals'!AG122)+(AH122*('Prices&amp;Fuel'!C122+AW122)*'Prices&amp;Fuel'!H122)+(AW122*AL122*'Prices&amp;Fuel'!H122)</f>
        <v>25209919.0621401</v>
      </c>
      <c r="AZ122" s="5" t="n">
        <f aca="false">(AP122*'Prices&amp;Fuel'!H122*'Prices&amp;Fuel'!B122)+(AQ122*'Prices&amp;Fuel'!C122*'Prices&amp;Fuel'!H122)+((AM122+AR122)*('Prices&amp;Fuel'!B122+'Long Term Deals'!AX122)*'Prices&amp;Fuel'!H122)+((AN122+AS122)*('Prices&amp;Fuel'!C122+'Long Term Deals'!AX122)*'Prices&amp;Fuel'!H122)+((AO122+AT122)*('Prices&amp;Fuel'!D122+'Long Term Deals'!AX122)*'Prices&amp;Fuel'!H122)+(AV122*'Prices&amp;Fuel'!H122*'Prices&amp;Fuel'!Q122)+AU122</f>
        <v>24994751.9670244</v>
      </c>
      <c r="BA122" s="5" t="n">
        <f aca="false">AY122-AZ122</f>
        <v>215167.095115684</v>
      </c>
      <c r="BB122" s="5" t="n">
        <f aca="false">IF('FP Corp'!T122-((BE122+BF122+BG122)*(1-'Prices&amp;Fuel'!F122))&lt;'Prices&amp;Fuel'!R122,('FP Corp'!T122-(BE122+BF122+BG122)*(1-'Prices&amp;Fuel'!F122)),'Prices&amp;Fuel'!R122)/(1-'Prices&amp;Fuel'!F122)</f>
        <v>8976.86375321337</v>
      </c>
      <c r="BC122" s="9"/>
      <c r="BD122" s="9" t="n">
        <f aca="false">ROUND(IF('FP Corp'!T122/(1-'Prices&amp;Fuel'!F122)-BE122-BF122-BG122-BB122&gt;'Prices&amp;Fuel'!T122,'Prices&amp;Fuel'!T122,'FP Corp'!T122/(1-'Prices&amp;Fuel'!F122)-BE122-BF122-BG122-BB122),9)</f>
        <v>6556.298200514</v>
      </c>
      <c r="BE122" s="9" t="n">
        <f aca="false">'Prices&amp;Fuel'!U122/(1-'Prices&amp;Fuel'!F122)</f>
        <v>1933.16195372751</v>
      </c>
      <c r="BF122" s="9" t="n">
        <f aca="false">('Prices&amp;Fuel'!V122+'Prices&amp;Fuel'!X122)/(1-'Prices&amp;Fuel'!F122)</f>
        <v>3062.21079691517</v>
      </c>
      <c r="BG122" s="9" t="n">
        <f aca="false">'Prices&amp;Fuel'!W122/(1-'Prices&amp;Fuel'!F122)</f>
        <v>1065.29562982005</v>
      </c>
      <c r="BH122" s="10" t="n">
        <f aca="false">('Prices&amp;Fuel'!C122+'Prices&amp;Fuel'!D122)/2-0.05+('Prices&amp;Fuel'!M122+'Prices&amp;Fuel'!P122)*(1-'Prices&amp;Fuel'!F122)</f>
        <v>4.621246538376</v>
      </c>
      <c r="BI122" s="10"/>
      <c r="BJ122" s="10"/>
      <c r="BK122" s="10" t="n">
        <f aca="false">(((BB122+BE122)*('Prices&amp;Fuel'!B122+0.025))+(('Prices&amp;Fuel'!D122+0.025)*(BD122+BG122))+(('Prices&amp;Fuel'!C122+0.025)*(BC122+BF122))-(BI122+BJ122)*0.025)/(BB122+BC122+BD122+BE122+BF122+BG122)</f>
        <v>3.9288358836141</v>
      </c>
      <c r="BL122" s="9" t="n">
        <f aca="false">(BB122+BC122+BD122+BE122+BF122+BG122)*BH122*'Prices&amp;Fuel'!H122</f>
        <v>3093502.82414679</v>
      </c>
      <c r="BM122" s="9" t="n">
        <f aca="false">'Prices&amp;Fuel'!X122*('Prices&amp;Fuel'!N122+'Prices&amp;Fuel'!O122)*'Prices&amp;Fuel'!H122</f>
        <v>9438.64041395779</v>
      </c>
      <c r="BN122" s="9" t="n">
        <f aca="false">('Prices&amp;Fuel'!U122+'Prices&amp;Fuel'!V122+'Prices&amp;Fuel'!W122)*('Prices&amp;Fuel'!L122+'Prices&amp;Fuel'!O122)*'Prices&amp;Fuel'!H122</f>
        <v>72012.8187366531</v>
      </c>
      <c r="BO122" s="9" t="n">
        <f aca="false">((BB122+BC122+BD122)*(1-'Prices&amp;Fuel'!G122))*('Prices&amp;Fuel'!M122+'Prices&amp;Fuel'!P122)*'Prices&amp;Fuel'!H122</f>
        <v>358472.932999997</v>
      </c>
      <c r="BP122" s="9" t="n">
        <f aca="false">((BD122+BC122+BB122+BE122+BF122+BG122)*BK122*'Prices&amp;Fuel'!H122)+BM122+BN122+BO122</f>
        <v>3069921.47208147</v>
      </c>
      <c r="BQ122" s="5" t="n">
        <f aca="false">BL122-BP122</f>
        <v>23581.3520653271</v>
      </c>
      <c r="CA122" s="5" t="n">
        <f aca="false">(AF122+AG122+AH122+AL122)*0.005*'Prices&amp;Fuel'!H122</f>
        <v>31876.6066838046</v>
      </c>
      <c r="CB122" s="5" t="n">
        <f aca="false">(B122+C122+D122+O122+P122+Q122+X122+Y122+BB122+BC122+BD122+BE122+BF122+BG122+BR122+BS122)*0.005*'Prices&amp;Fuel'!H122</f>
        <v>7237.54370179946</v>
      </c>
      <c r="CC122" s="7" t="n">
        <f aca="false">K122+T122+AB122+AY122+BL122+BX122</f>
        <v>30994869.7862868</v>
      </c>
      <c r="CD122" s="7" t="n">
        <f aca="false">L122+U122+AC122+AZ122+BP122+BY122+CA122+CB122</f>
        <v>30785197.9994914</v>
      </c>
      <c r="CE122" s="7" t="n">
        <f aca="false">CC122-CD122</f>
        <v>209671.786795404</v>
      </c>
      <c r="CF122" s="7" t="n">
        <f aca="false">'Index Price Deals'!AR122</f>
        <v>0</v>
      </c>
      <c r="CG122" s="7" t="n">
        <f aca="false">'Index Price Deals'!AS122</f>
        <v>0</v>
      </c>
      <c r="CH122" s="7" t="n">
        <f aca="false">'Index Price Deals'!AT122</f>
        <v>0</v>
      </c>
      <c r="CI122" s="7" t="n">
        <f aca="false">'Index Price Deals'!AU122</f>
        <v>0</v>
      </c>
      <c r="CJ122" s="7" t="n">
        <f aca="false">CC122+CF122</f>
        <v>30994869.7862868</v>
      </c>
      <c r="CK122" s="7" t="n">
        <f aca="false">CD122+CH122</f>
        <v>30785197.9994914</v>
      </c>
      <c r="CL122" s="7" t="n">
        <f aca="false">CE122+CI122</f>
        <v>209671.786795404</v>
      </c>
      <c r="CM122" s="69"/>
      <c r="CN122" s="7" t="n">
        <f aca="false">Transport!U122</f>
        <v>3.14901408273727E-009</v>
      </c>
      <c r="CQ122" s="7" t="n">
        <f aca="false">(((($B122+$C122+$D122+$O122+$P122+$Q122)*0.5)+BR122+BS122)*(0.005*'Prices&amp;Fuel'!$H122)+'Index Price Deals'!AV122)+(((BB122+BC122+BD122+BE122+BF122+BG122)*(1-'Prices&amp;Fuel'!F122))*0.005*0.5*'Prices&amp;Fuel'!H122)</f>
        <v>3572.74999999999</v>
      </c>
      <c r="CR122" s="7" t="n">
        <f aca="false">(((($B122+$C122+$D122+$O122+$P122+$Q122)*0.5)+X122+Y122)*(0.005*'Prices&amp;Fuel'!$H122)+CA122+'Index Price Deals'!AW122)+(((BB122+BC122+BD122+BE122+BF122+BG122)*(1-'Prices&amp;Fuel'!F122))*0.005*0.5*'Prices&amp;Fuel'!H122)</f>
        <v>35449.3566838046</v>
      </c>
      <c r="CS122" s="11"/>
      <c r="CT122" s="7" t="n">
        <f aca="false">[2]Sheet1!$O140</f>
        <v>-341583.891148644</v>
      </c>
      <c r="CU122" s="7" t="n">
        <f aca="false">'[3]Long Term Deals'!$Z121</f>
        <v>15953.184173812</v>
      </c>
      <c r="CV122" s="70" t="n">
        <f aca="false">CL122-CN122-CT122+CU122+CS122+CO122</f>
        <v>567208.862117857</v>
      </c>
      <c r="DB122" s="1" t="n">
        <f aca="false">(O122+P122+Q122)*'Prices&amp;Fuel'!$H122</f>
        <v>778100</v>
      </c>
      <c r="DE122" s="1" t="n">
        <v>200000</v>
      </c>
    </row>
    <row r="123" customFormat="false" ht="12.75" hidden="false" customHeight="false" outlineLevel="0" collapsed="false">
      <c r="A123" s="6" t="n">
        <f aca="false">+A122+365/12</f>
        <v>39338.1666666667</v>
      </c>
      <c r="O123" s="7" t="n">
        <v>9036</v>
      </c>
      <c r="P123" s="7" t="n">
        <v>10794</v>
      </c>
      <c r="Q123" s="7" t="n">
        <v>5270</v>
      </c>
      <c r="R123" s="8" t="n">
        <f aca="false">R122</f>
        <v>3.459</v>
      </c>
      <c r="S123" s="8" t="n">
        <f aca="false">S122</f>
        <v>3.4461</v>
      </c>
      <c r="T123" s="7" t="n">
        <f aca="false">(($O123*R123)+($P123*R123)+($Q123*R123))*'Prices&amp;Fuel'!$H123</f>
        <v>2604627</v>
      </c>
      <c r="U123" s="7" t="n">
        <f aca="false">(($O123*S123)+($P123*S123)+($Q123*S123))*'Prices&amp;Fuel'!$H123</f>
        <v>2594913.3</v>
      </c>
      <c r="V123" s="14" t="n">
        <f aca="false">T123-U123</f>
        <v>9713.70000000019</v>
      </c>
      <c r="AF123" s="7" t="n">
        <f aca="false">((100000)/(1-'Prices&amp;Fuel'!F123))+(25000/(1-'Prices&amp;Fuel'!G123))-AI123</f>
        <v>128534.70437018</v>
      </c>
      <c r="AG123" s="7" t="n">
        <v>0</v>
      </c>
      <c r="AH123" s="7" t="n">
        <f aca="false">(75000/(1-'Prices&amp;Fuel'!G123))-AK123</f>
        <v>77120.822622108</v>
      </c>
      <c r="AI123" s="7"/>
      <c r="AJ123" s="7"/>
      <c r="AK123" s="7"/>
      <c r="AL123" s="11" t="n">
        <f aca="false">ROUND((200000/(1-'Prices&amp;Fuel'!F123))-AF123-AG123-AH123,0)</f>
        <v>0</v>
      </c>
      <c r="AM123" s="7" t="n">
        <f aca="false">ROUND(IF(AF123&lt;AP123,0,(AF123-AP123-AI123)/2),0)</f>
        <v>64267</v>
      </c>
      <c r="AO123" s="7" t="n">
        <f aca="false">ROUND((75000/(1-'Prices&amp;Fuel'!G123)-AV123-AK123)/2,0)</f>
        <v>38560</v>
      </c>
      <c r="AR123" s="7" t="n">
        <f aca="false">IF(AP123&gt;AF123,0,AF123-AM123-AP123)</f>
        <v>64267.70437018</v>
      </c>
      <c r="AT123" s="14" t="n">
        <f aca="false">AH123-AO123-AV123</f>
        <v>38560.822622108</v>
      </c>
      <c r="AU123" s="14" t="n">
        <f aca="false">AL123*AX123*'Prices&amp;Fuel'!H123</f>
        <v>0</v>
      </c>
      <c r="AW123" s="68" t="n">
        <f aca="false">AW122</f>
        <v>0.04</v>
      </c>
      <c r="AX123" s="68" t="n">
        <f aca="false">AX122</f>
        <v>0.025</v>
      </c>
      <c r="AY123" s="5" t="n">
        <f aca="false">('Prices&amp;Fuel'!H123*('Prices&amp;Fuel'!B123+AW123)*'Long Term Deals'!AF123)+('Prices&amp;Fuel'!H123*('Prices&amp;Fuel'!C123+'Long Term Deals'!AW123)*'Long Term Deals'!AG123)+(AH123*('Prices&amp;Fuel'!C123+AW123)*'Prices&amp;Fuel'!H123)+(AW123*AL123*'Prices&amp;Fuel'!H123)</f>
        <v>29389669.0608926</v>
      </c>
      <c r="AZ123" s="5" t="n">
        <f aca="false">(AP123*'Prices&amp;Fuel'!H123*'Prices&amp;Fuel'!B123)+(AQ123*'Prices&amp;Fuel'!C123*'Prices&amp;Fuel'!H123)+((AM123+AR123)*('Prices&amp;Fuel'!B123+'Long Term Deals'!AX123)*'Prices&amp;Fuel'!H123)+((AN123+AS123)*('Prices&amp;Fuel'!C123+'Long Term Deals'!AX123)*'Prices&amp;Fuel'!H123)+((AO123+AT123)*('Prices&amp;Fuel'!D123+'Long Term Deals'!AX123)*'Prices&amp;Fuel'!H123)+(AV123*'Prices&amp;Fuel'!H123*'Prices&amp;Fuel'!Q123)+AU123</f>
        <v>29181442.8398129</v>
      </c>
      <c r="BA123" s="5" t="n">
        <f aca="false">AY123-AZ123</f>
        <v>208226.221079696</v>
      </c>
      <c r="BB123" s="5" t="n">
        <f aca="false">IF('FP Corp'!T123-((BE123+BF123+BG123)*(1-'Prices&amp;Fuel'!F123))&lt;'Prices&amp;Fuel'!R123,('FP Corp'!T123-(BE123+BF123+BG123)*(1-'Prices&amp;Fuel'!F123)),'Prices&amp;Fuel'!R123)/(1-'Prices&amp;Fuel'!F123)</f>
        <v>8976.86375321337</v>
      </c>
      <c r="BC123" s="9"/>
      <c r="BD123" s="9" t="n">
        <f aca="false">ROUND(IF('FP Corp'!T123/(1-'Prices&amp;Fuel'!F123)-BE123-BF123-BG123-BB123&gt;'Prices&amp;Fuel'!T123,'Prices&amp;Fuel'!T123,'FP Corp'!T123/(1-'Prices&amp;Fuel'!F123)-BE123-BF123-BG123-BB123),9)</f>
        <v>6556.298200514</v>
      </c>
      <c r="BE123" s="9" t="n">
        <f aca="false">'Prices&amp;Fuel'!U123/(1-'Prices&amp;Fuel'!F123)</f>
        <v>1933.16195372751</v>
      </c>
      <c r="BF123" s="9" t="n">
        <f aca="false">('Prices&amp;Fuel'!V123+'Prices&amp;Fuel'!X123)/(1-'Prices&amp;Fuel'!F123)</f>
        <v>3062.21079691517</v>
      </c>
      <c r="BG123" s="9" t="n">
        <f aca="false">'Prices&amp;Fuel'!W123/(1-'Prices&amp;Fuel'!F123)</f>
        <v>1065.29562982005</v>
      </c>
      <c r="BH123" s="10" t="n">
        <f aca="false">('Prices&amp;Fuel'!C123+'Prices&amp;Fuel'!D123)/2-0.05+('Prices&amp;Fuel'!M123+'Prices&amp;Fuel'!P123)*(1-'Prices&amp;Fuel'!F123)</f>
        <v>5.430524276953</v>
      </c>
      <c r="BI123" s="10"/>
      <c r="BJ123" s="10"/>
      <c r="BK123" s="10" t="n">
        <f aca="false">(((BB123+BE123)*('Prices&amp;Fuel'!B123+0.025))+(('Prices&amp;Fuel'!D123+0.025)*(BD123+BG123))+(('Prices&amp;Fuel'!C123+0.025)*(BC123+BF123))-(BI123+BJ123)*0.025)/(BB123+BC123+BD123+BE123+BF123+BG123)</f>
        <v>4.7381136221911</v>
      </c>
      <c r="BL123" s="9" t="n">
        <f aca="false">(BB123+BC123+BD123+BE123+BF123+BG123)*BH123*'Prices&amp;Fuel'!H123</f>
        <v>3517974.5958667</v>
      </c>
      <c r="BM123" s="9" t="n">
        <f aca="false">'Prices&amp;Fuel'!X123*('Prices&amp;Fuel'!N123+'Prices&amp;Fuel'!O123)*'Prices&amp;Fuel'!H123</f>
        <v>9134.1681425398</v>
      </c>
      <c r="BN123" s="9" t="n">
        <f aca="false">('Prices&amp;Fuel'!U123+'Prices&amp;Fuel'!V123+'Prices&amp;Fuel'!W123)*('Prices&amp;Fuel'!L123+'Prices&amp;Fuel'!O123)*'Prices&amp;Fuel'!H123</f>
        <v>69689.8245838578</v>
      </c>
      <c r="BO123" s="9" t="n">
        <f aca="false">((BB123+BC123+BD123)*(1-'Prices&amp;Fuel'!G123))*('Prices&amp;Fuel'!M123+'Prices&amp;Fuel'!P123)*'Prices&amp;Fuel'!H123</f>
        <v>346909.289999997</v>
      </c>
      <c r="BP123" s="9" t="n">
        <f aca="false">((BD123+BC123+BB123+BE123+BF123+BG123)*BK123*'Prices&amp;Fuel'!H123)+BM123+BN123+BO123</f>
        <v>3495153.93257768</v>
      </c>
      <c r="BQ123" s="5" t="n">
        <f aca="false">BL123-BP123</f>
        <v>22820.6632890264</v>
      </c>
      <c r="CA123" s="5" t="n">
        <f aca="false">(AF123+AG123+AH123+AL123)*0.005*'Prices&amp;Fuel'!H123</f>
        <v>30848.3290488432</v>
      </c>
      <c r="CB123" s="5" t="n">
        <f aca="false">(B123+C123+D123+O123+P123+Q123+X123+Y123+BB123+BC123+BD123+BE123+BF123+BG123+BR123+BS123)*0.005*'Prices&amp;Fuel'!H123</f>
        <v>7004.07455012851</v>
      </c>
      <c r="CC123" s="7" t="n">
        <f aca="false">K123+T123+AB123+AY123+BL123+BX123</f>
        <v>35512270.6567593</v>
      </c>
      <c r="CD123" s="7" t="n">
        <f aca="false">L123+U123+AC123+AZ123+BP123+BY123+CA123+CB123</f>
        <v>35309362.4759895</v>
      </c>
      <c r="CE123" s="7" t="n">
        <f aca="false">CC123-CD123</f>
        <v>202908.180769749</v>
      </c>
      <c r="CF123" s="7" t="n">
        <f aca="false">'Index Price Deals'!AR123</f>
        <v>0</v>
      </c>
      <c r="CG123" s="7" t="n">
        <f aca="false">'Index Price Deals'!AS123</f>
        <v>0</v>
      </c>
      <c r="CH123" s="7" t="n">
        <f aca="false">'Index Price Deals'!AT123</f>
        <v>0</v>
      </c>
      <c r="CI123" s="7" t="n">
        <f aca="false">'Index Price Deals'!AU123</f>
        <v>0</v>
      </c>
      <c r="CJ123" s="7" t="n">
        <f aca="false">CC123+CF123</f>
        <v>35512270.6567593</v>
      </c>
      <c r="CK123" s="7" t="n">
        <f aca="false">CD123+CH123</f>
        <v>35309362.4759895</v>
      </c>
      <c r="CL123" s="7" t="n">
        <f aca="false">CE123+CI123</f>
        <v>202908.180769749</v>
      </c>
      <c r="CM123" s="69"/>
      <c r="CN123" s="7" t="n">
        <f aca="false">Transport!U123</f>
        <v>3.04743298329413E-009</v>
      </c>
      <c r="CQ123" s="7" t="n">
        <f aca="false">(((($B123+$C123+$D123+$O123+$P123+$Q123)*0.5)+BR123+BS123)*(0.005*'Prices&amp;Fuel'!$H123)+'Index Price Deals'!AV123)+(((BB123+BC123+BD123+BE123+BF123+BG123)*(1-'Prices&amp;Fuel'!F123))*0.005*0.5*'Prices&amp;Fuel'!H123)</f>
        <v>3457.49999999999</v>
      </c>
      <c r="CR123" s="7" t="n">
        <f aca="false">(((($B123+$C123+$D123+$O123+$P123+$Q123)*0.5)+X123+Y123)*(0.005*'Prices&amp;Fuel'!$H123)+CA123+'Index Price Deals'!AW123)+(((BB123+BC123+BD123+BE123+BF123+BG123)*(1-'Prices&amp;Fuel'!F123))*0.005*0.5*'Prices&amp;Fuel'!H123)</f>
        <v>34305.8290488432</v>
      </c>
      <c r="CS123" s="11"/>
      <c r="CT123" s="7" t="n">
        <f aca="false">[2]Sheet1!$O141</f>
        <v>-330565.055950301</v>
      </c>
      <c r="CU123" s="7" t="n">
        <f aca="false">'[3]Long Term Deals'!$Z122</f>
        <v>15438.5653294955</v>
      </c>
      <c r="CV123" s="70" t="n">
        <f aca="false">CL123-CN123-CT123+CU123+CS123+CO123</f>
        <v>548911.802049542</v>
      </c>
      <c r="DB123" s="1" t="n">
        <f aca="false">(O123+P123+Q123)*'Prices&amp;Fuel'!$H123</f>
        <v>753000</v>
      </c>
      <c r="DE123" s="1" t="n">
        <v>200000</v>
      </c>
    </row>
    <row r="124" customFormat="false" ht="12.75" hidden="false" customHeight="false" outlineLevel="0" collapsed="false">
      <c r="A124" s="6" t="n">
        <f aca="false">+A123+365/12</f>
        <v>39368.5833333333</v>
      </c>
      <c r="O124" s="7" t="n">
        <v>9036</v>
      </c>
      <c r="P124" s="7" t="n">
        <v>10794</v>
      </c>
      <c r="Q124" s="7" t="n">
        <v>5270</v>
      </c>
      <c r="R124" s="8" t="n">
        <f aca="false">R123</f>
        <v>3.459</v>
      </c>
      <c r="S124" s="8" t="n">
        <f aca="false">S123</f>
        <v>3.4461</v>
      </c>
      <c r="T124" s="7" t="n">
        <f aca="false">(($O124*R124)+($P124*R124)+($Q124*R124))*'Prices&amp;Fuel'!$H124</f>
        <v>2691447.9</v>
      </c>
      <c r="U124" s="7" t="n">
        <f aca="false">(($O124*S124)+($P124*S124)+($Q124*S124))*'Prices&amp;Fuel'!$H124</f>
        <v>2681410.41</v>
      </c>
      <c r="V124" s="14" t="n">
        <f aca="false">T124-U124</f>
        <v>10037.4899999998</v>
      </c>
      <c r="AF124" s="7" t="n">
        <f aca="false">(32000/(1-'Prices&amp;Fuel'!F124))+(25000/(1-'Prices&amp;Fuel'!G124))-AI124</f>
        <v>58611.8251928021</v>
      </c>
      <c r="AG124" s="7" t="n">
        <v>0</v>
      </c>
      <c r="AH124" s="7" t="n">
        <f aca="false">(75000/(1-'Prices&amp;Fuel'!G124))-AK124</f>
        <v>77120.822622108</v>
      </c>
      <c r="AI124" s="7"/>
      <c r="AJ124" s="7"/>
      <c r="AK124" s="7"/>
      <c r="AL124" s="11" t="n">
        <f aca="false">ROUND((132000/(1-'Prices&amp;Fuel'!F124))-AF124-AG124-AH124,0)</f>
        <v>0</v>
      </c>
      <c r="AM124" s="7" t="n">
        <f aca="false">ROUND(IF(AF124&lt;AP124,0,(AF124-AP124-AI124)/2),0)</f>
        <v>29306</v>
      </c>
      <c r="AO124" s="7" t="n">
        <f aca="false">ROUND((75000/(1-'Prices&amp;Fuel'!G124)-AV124-AK124)/2,0)</f>
        <v>38560</v>
      </c>
      <c r="AR124" s="7" t="n">
        <f aca="false">IF(AP124&gt;AF124,0,AF124-AM124-AP124)</f>
        <v>29305.8251928021</v>
      </c>
      <c r="AT124" s="14" t="n">
        <f aca="false">AH124-AO124-AV124</f>
        <v>38560.822622108</v>
      </c>
      <c r="AU124" s="14" t="n">
        <f aca="false">AL124*AX124*'Prices&amp;Fuel'!H124</f>
        <v>0</v>
      </c>
      <c r="AW124" s="68" t="n">
        <f aca="false">AW123</f>
        <v>0.04</v>
      </c>
      <c r="AX124" s="68" t="n">
        <f aca="false">AX123</f>
        <v>0.025</v>
      </c>
      <c r="AY124" s="5" t="n">
        <f aca="false">('Prices&amp;Fuel'!H124*('Prices&amp;Fuel'!B124+AW124)*'Long Term Deals'!AF124)+('Prices&amp;Fuel'!H124*('Prices&amp;Fuel'!C124+'Long Term Deals'!AW124)*'Long Term Deals'!AG124)+(AH124*('Prices&amp;Fuel'!C124+AW124)*'Prices&amp;Fuel'!H124)+(AW124*AL124*'Prices&amp;Fuel'!H124)</f>
        <v>23099721.9344966</v>
      </c>
      <c r="AZ124" s="5" t="n">
        <f aca="false">(AP124*'Prices&amp;Fuel'!H124*'Prices&amp;Fuel'!B124)+(AQ124*'Prices&amp;Fuel'!C124*'Prices&amp;Fuel'!H124)+((AM124+AR124)*('Prices&amp;Fuel'!B124+'Long Term Deals'!AX124)*'Prices&amp;Fuel'!H124)+((AN124+AS124)*('Prices&amp;Fuel'!C124+'Long Term Deals'!AX124)*'Prices&amp;Fuel'!H124)+((AO124+AT124)*('Prices&amp;Fuel'!D124+'Long Term Deals'!AX124)*'Prices&amp;Fuel'!H124)+(AV124*'Prices&amp;Fuel'!H124*'Prices&amp;Fuel'!Q124)+AU124</f>
        <v>22917068.9781984</v>
      </c>
      <c r="BA124" s="5" t="n">
        <f aca="false">AY124-AZ124</f>
        <v>182652.956298195</v>
      </c>
      <c r="BB124" s="5" t="n">
        <f aca="false">IF('FP Corp'!T124-((BE124+BF124+BG124)*(1-'Prices&amp;Fuel'!F124))&lt;'Prices&amp;Fuel'!R124,('FP Corp'!T124-(BE124+BF124+BG124)*(1-'Prices&amp;Fuel'!F124)),'Prices&amp;Fuel'!R124)/(1-'Prices&amp;Fuel'!F124)</f>
        <v>8976.86375321337</v>
      </c>
      <c r="BC124" s="9"/>
      <c r="BD124" s="9" t="n">
        <f aca="false">ROUND(IF('FP Corp'!T124/(1-'Prices&amp;Fuel'!F124)-BE124-BF124-BG124-BB124&gt;'Prices&amp;Fuel'!T124,'Prices&amp;Fuel'!T124,'FP Corp'!T124/(1-'Prices&amp;Fuel'!F124)-BE124-BF124-BG124-BB124),9)</f>
        <v>3514.652956298</v>
      </c>
      <c r="BE124" s="9" t="n">
        <f aca="false">'Prices&amp;Fuel'!U124/(1-'Prices&amp;Fuel'!F124)</f>
        <v>2910.02570694087</v>
      </c>
      <c r="BF124" s="9" t="n">
        <f aca="false">('Prices&amp;Fuel'!V124+'Prices&amp;Fuel'!X124)/(1-'Prices&amp;Fuel'!F124)</f>
        <v>4628.27763496144</v>
      </c>
      <c r="BG124" s="9" t="n">
        <f aca="false">'Prices&amp;Fuel'!W124/(1-'Prices&amp;Fuel'!F124)</f>
        <v>1564.01028277635</v>
      </c>
      <c r="BH124" s="10" t="n">
        <f aca="false">('Prices&amp;Fuel'!C124+'Prices&amp;Fuel'!D124)/2-0.05+('Prices&amp;Fuel'!M124+'Prices&amp;Fuel'!P124)*(1-'Prices&amp;Fuel'!F124)</f>
        <v>6.145211111021</v>
      </c>
      <c r="BI124" s="10"/>
      <c r="BJ124" s="10"/>
      <c r="BK124" s="10" t="n">
        <f aca="false">(((BB124+BE124)*('Prices&amp;Fuel'!B124+0.025))+(('Prices&amp;Fuel'!D124+0.025)*(BD124+BG124))+(('Prices&amp;Fuel'!C124+0.025)*(BC124+BF124))-(BI124+BJ124)*0.025)/(BB124+BC124+BD124+BE124+BF124+BG124)</f>
        <v>5.45597426578291</v>
      </c>
      <c r="BL124" s="9" t="n">
        <f aca="false">(BB124+BC124+BD124+BE124+BF124+BG124)*BH124*'Prices&amp;Fuel'!H124</f>
        <v>4113658.02907417</v>
      </c>
      <c r="BM124" s="9" t="n">
        <f aca="false">'Prices&amp;Fuel'!X124*('Prices&amp;Fuel'!N124+'Prices&amp;Fuel'!O124)*'Prices&amp;Fuel'!H124</f>
        <v>13833.2050576453</v>
      </c>
      <c r="BN124" s="9" t="n">
        <f aca="false">('Prices&amp;Fuel'!U124+'Prices&amp;Fuel'!V124+'Prices&amp;Fuel'!W124)*('Prices&amp;Fuel'!L124+'Prices&amp;Fuel'!O124)*'Prices&amp;Fuel'!H124</f>
        <v>108495.996910663</v>
      </c>
      <c r="BO124" s="9" t="n">
        <f aca="false">((BB124+BC124+BD124)*(1-'Prices&amp;Fuel'!G124))*('Prices&amp;Fuel'!M124+'Prices&amp;Fuel'!P124)*'Prices&amp;Fuel'!H124</f>
        <v>288278.113999995</v>
      </c>
      <c r="BP124" s="9" t="n">
        <f aca="false">((BD124+BC124+BB124+BE124+BF124+BG124)*BK124*'Prices&amp;Fuel'!H124)+BM124+BN124+BO124</f>
        <v>4062884.17666202</v>
      </c>
      <c r="BQ124" s="5" t="n">
        <f aca="false">BL124-BP124</f>
        <v>50773.8524121544</v>
      </c>
      <c r="CA124" s="5" t="n">
        <f aca="false">(AF124+AG124+AH124+AL124)*0.005*'Prices&amp;Fuel'!H124</f>
        <v>21038.5604113111</v>
      </c>
      <c r="CB124" s="5" t="n">
        <f aca="false">(B124+C124+D124+O124+P124+Q124+X124+Y124+BB124+BC124+BD124+BE124+BF124+BG124+BR124+BS124)*0.005*'Prices&amp;Fuel'!H124</f>
        <v>7237.54370179946</v>
      </c>
      <c r="CC124" s="7" t="n">
        <f aca="false">K124+T124+AB124+AY124+BL124+BX124</f>
        <v>29904827.8635708</v>
      </c>
      <c r="CD124" s="7" t="n">
        <f aca="false">L124+U124+AC124+AZ124+BP124+BY124+CA124+CB124</f>
        <v>29689639.6689735</v>
      </c>
      <c r="CE124" s="7" t="n">
        <f aca="false">CC124-CD124</f>
        <v>215188.194597237</v>
      </c>
      <c r="CF124" s="7" t="n">
        <f aca="false">'Index Price Deals'!AR124</f>
        <v>0</v>
      </c>
      <c r="CG124" s="7" t="n">
        <f aca="false">'Index Price Deals'!AS124</f>
        <v>0</v>
      </c>
      <c r="CH124" s="7" t="n">
        <f aca="false">'Index Price Deals'!AT124</f>
        <v>0</v>
      </c>
      <c r="CI124" s="7" t="n">
        <f aca="false">'Index Price Deals'!AU124</f>
        <v>0</v>
      </c>
      <c r="CJ124" s="7" t="n">
        <f aca="false">CC124+CF124</f>
        <v>29904827.8635708</v>
      </c>
      <c r="CK124" s="7" t="n">
        <f aca="false">CD124+CH124</f>
        <v>29689639.6689735</v>
      </c>
      <c r="CL124" s="7" t="n">
        <f aca="false">CE124+CI124</f>
        <v>215188.194597237</v>
      </c>
      <c r="CM124" s="69"/>
      <c r="CN124" s="7" t="n">
        <f aca="false">Transport!U124</f>
        <v>4.39204595750198E-009</v>
      </c>
      <c r="CQ124" s="7" t="n">
        <f aca="false">(((($B124+$C124+$D124+$O124+$P124+$Q124)*0.5)+BR124+BS124)*(0.005*'Prices&amp;Fuel'!$H124)+'Index Price Deals'!AV124)+(((BB124+BC124+BD124+BE124+BF124+BG124)*(1-'Prices&amp;Fuel'!F124))*0.005*0.5*'Prices&amp;Fuel'!H124)</f>
        <v>3572.74999999999</v>
      </c>
      <c r="CR124" s="7" t="n">
        <f aca="false">(((($B124+$C124+$D124+$O124+$P124+$Q124)*0.5)+X124+Y124)*(0.005*'Prices&amp;Fuel'!$H124)+CA124+'Index Price Deals'!AW124)+(((BB124+BC124+BD124+BE124+BF124+BG124)*(1-'Prices&amp;Fuel'!F124))*0.005*0.5*'Prices&amp;Fuel'!H124)</f>
        <v>24611.310411311</v>
      </c>
      <c r="CS124" s="11"/>
      <c r="CT124" s="7" t="n">
        <f aca="false">[2]Sheet1!$O142</f>
        <v>-225445.368158105</v>
      </c>
      <c r="CU124" s="7" t="n">
        <f aca="false">'[3]Long Term Deals'!$Z123</f>
        <v>10529.1015547159</v>
      </c>
      <c r="CV124" s="70" t="n">
        <f aca="false">CL124-CN124-CT124+CU124+CS124+CO124</f>
        <v>451162.664310053</v>
      </c>
      <c r="DB124" s="1" t="n">
        <f aca="false">(O124+P124+Q124)*'Prices&amp;Fuel'!$H124</f>
        <v>778100</v>
      </c>
      <c r="DE124" s="1" t="n">
        <v>132000</v>
      </c>
    </row>
    <row r="125" customFormat="false" ht="12.75" hidden="false" customHeight="false" outlineLevel="0" collapsed="false">
      <c r="A125" s="6" t="n">
        <f aca="false">+A124+365/12</f>
        <v>39399</v>
      </c>
      <c r="O125" s="7" t="n">
        <v>9036</v>
      </c>
      <c r="P125" s="7" t="n">
        <v>10794</v>
      </c>
      <c r="Q125" s="7" t="n">
        <v>5270</v>
      </c>
      <c r="R125" s="8" t="n">
        <f aca="false">R124</f>
        <v>3.459</v>
      </c>
      <c r="S125" s="8" t="n">
        <f aca="false">S124</f>
        <v>3.4461</v>
      </c>
      <c r="T125" s="7" t="n">
        <f aca="false">(($O125*R125)+($P125*R125)+($Q125*R125))*'Prices&amp;Fuel'!$H125</f>
        <v>2604627</v>
      </c>
      <c r="U125" s="7" t="n">
        <f aca="false">(($O125*S125)+($P125*S125)+($Q125*S125))*'Prices&amp;Fuel'!$H125</f>
        <v>2594913.3</v>
      </c>
      <c r="V125" s="14" t="n">
        <f aca="false">T125-U125</f>
        <v>9713.70000000019</v>
      </c>
      <c r="AF125" s="7" t="n">
        <f aca="false">(32000/(1-'Prices&amp;Fuel'!F125))+(25000/(1-'Prices&amp;Fuel'!G125))-AI125</f>
        <v>58611.8251928021</v>
      </c>
      <c r="AG125" s="7" t="n">
        <v>0</v>
      </c>
      <c r="AH125" s="7" t="n">
        <f aca="false">(75000/(1-'Prices&amp;Fuel'!G125))-AK125</f>
        <v>77120.822622108</v>
      </c>
      <c r="AI125" s="7"/>
      <c r="AJ125" s="7"/>
      <c r="AK125" s="7"/>
      <c r="AL125" s="11" t="n">
        <f aca="false">ROUND((132000/(1-'Prices&amp;Fuel'!F125))-AF125-AG125-AH125,0)</f>
        <v>0</v>
      </c>
      <c r="AM125" s="7" t="n">
        <f aca="false">ROUND(IF(AF125&lt;AP125,0,(AF125-AP125-AI125)/2),0)</f>
        <v>29306</v>
      </c>
      <c r="AO125" s="7" t="n">
        <f aca="false">ROUND((75000/(1-'Prices&amp;Fuel'!G125)-AV125-AK125)/2,0)</f>
        <v>38560</v>
      </c>
      <c r="AR125" s="7" t="n">
        <f aca="false">IF(AP125&gt;AF125,0,AF125-AM125-AP125)</f>
        <v>29305.8251928021</v>
      </c>
      <c r="AT125" s="14" t="n">
        <f aca="false">AH125-AO125-AV125</f>
        <v>38560.822622108</v>
      </c>
      <c r="AU125" s="14" t="n">
        <f aca="false">AL125*AX125*'Prices&amp;Fuel'!H125</f>
        <v>0</v>
      </c>
      <c r="AW125" s="68" t="n">
        <f aca="false">AW124</f>
        <v>0.04</v>
      </c>
      <c r="AX125" s="68" t="n">
        <f aca="false">AX124</f>
        <v>0.025</v>
      </c>
      <c r="AY125" s="5" t="n">
        <f aca="false">('Prices&amp;Fuel'!H125*('Prices&amp;Fuel'!B125+AW125)*'Long Term Deals'!AF125)+('Prices&amp;Fuel'!H125*('Prices&amp;Fuel'!C125+'Long Term Deals'!AW125)*'Long Term Deals'!AG125)+(AH125*('Prices&amp;Fuel'!C125+AW125)*'Prices&amp;Fuel'!H125)+(AW125*AL125*'Prices&amp;Fuel'!H125)</f>
        <v>14950703.648759</v>
      </c>
      <c r="AZ125" s="5" t="n">
        <f aca="false">(AP125*'Prices&amp;Fuel'!H125*'Prices&amp;Fuel'!B125)+(AQ125*'Prices&amp;Fuel'!C125*'Prices&amp;Fuel'!H125)+((AM125+AR125)*('Prices&amp;Fuel'!B125+'Long Term Deals'!AX125)*'Prices&amp;Fuel'!H125)+((AN125+AS125)*('Prices&amp;Fuel'!C125+'Long Term Deals'!AX125)*'Prices&amp;Fuel'!H125)+((AO125+AT125)*('Prices&amp;Fuel'!D125+'Long Term Deals'!AX125)*'Prices&amp;Fuel'!H125)+(AV125*'Prices&amp;Fuel'!H125*'Prices&amp;Fuel'!Q125)+AU125</f>
        <v>14773942.7233091</v>
      </c>
      <c r="BA125" s="5" t="n">
        <f aca="false">AY125-AZ125</f>
        <v>176760.925449871</v>
      </c>
      <c r="BB125" s="5" t="n">
        <f aca="false">IF('FP Corp'!T125-((BE125+BF125+BG125)*(1-'Prices&amp;Fuel'!F125))&lt;'Prices&amp;Fuel'!R125,('FP Corp'!T125-(BE125+BF125+BG125)*(1-'Prices&amp;Fuel'!F125)),'Prices&amp;Fuel'!R125)/(1-'Prices&amp;Fuel'!F125)</f>
        <v>4325.96401028278</v>
      </c>
      <c r="BC125" s="9"/>
      <c r="BD125" s="9" t="n">
        <f aca="false">ROUND(IF('FP Corp'!T125/(1-'Prices&amp;Fuel'!F125)-BE125-BF125-BG125-BB125&gt;'Prices&amp;Fuel'!T125,'Prices&amp;Fuel'!T125,'FP Corp'!T125/(1-'Prices&amp;Fuel'!F125)-BE125-BF125-BG125-BB125),9)</f>
        <v>0</v>
      </c>
      <c r="BE125" s="9" t="n">
        <f aca="false">'Prices&amp;Fuel'!U125/(1-'Prices&amp;Fuel'!F125)</f>
        <v>2635.47557840617</v>
      </c>
      <c r="BF125" s="9" t="n">
        <f aca="false">('Prices&amp;Fuel'!V125+'Prices&amp;Fuel'!X125)/(1-'Prices&amp;Fuel'!F125)</f>
        <v>3645.2442159383</v>
      </c>
      <c r="BG125" s="9" t="n">
        <f aca="false">'Prices&amp;Fuel'!W125/(1-'Prices&amp;Fuel'!F125)</f>
        <v>1732.64781491003</v>
      </c>
      <c r="BH125" s="10" t="n">
        <f aca="false">('Prices&amp;Fuel'!C125+'Prices&amp;Fuel'!D125)/2-0.05+('Prices&amp;Fuel'!M125+'Prices&amp;Fuel'!P125)*(1-'Prices&amp;Fuel'!F125)</f>
        <v>4.326963724348</v>
      </c>
      <c r="BI125" s="10"/>
      <c r="BJ125" s="10"/>
      <c r="BK125" s="10" t="n">
        <f aca="false">(((BB125+BE125)*('Prices&amp;Fuel'!B125+0.025))+(('Prices&amp;Fuel'!D125+0.025)*(BD125+BG125))+(('Prices&amp;Fuel'!C125+0.025)*(BC125+BF125))-(BI125+BJ125)*0.025)/(BB125+BC125+BD125+BE125+BF125+BG125)</f>
        <v>3.64164414101467</v>
      </c>
      <c r="BL125" s="9" t="n">
        <f aca="false">(BB125+BC125+BD125+BE125+BF125+BG125)*BH125*'Prices&amp;Fuel'!H125</f>
        <v>1601755.20901314</v>
      </c>
      <c r="BM125" s="9" t="n">
        <f aca="false">'Prices&amp;Fuel'!X125*('Prices&amp;Fuel'!N125+'Prices&amp;Fuel'!O125)*'Prices&amp;Fuel'!H125</f>
        <v>9134.1681425398</v>
      </c>
      <c r="BN125" s="9" t="n">
        <f aca="false">('Prices&amp;Fuel'!U125+'Prices&amp;Fuel'!V125+'Prices&amp;Fuel'!W125)*('Prices&amp;Fuel'!L125+'Prices&amp;Fuel'!O125)*'Prices&amp;Fuel'!H125</f>
        <v>95086.2891558682</v>
      </c>
      <c r="BO125" s="9" t="n">
        <f aca="false">((BB125+BC125+BD125)*(1-'Prices&amp;Fuel'!G125))*('Prices&amp;Fuel'!M125+'Prices&amp;Fuel'!P125)*'Prices&amp;Fuel'!H125</f>
        <v>96613.755</v>
      </c>
      <c r="BP125" s="9" t="n">
        <f aca="false">((BD125+BC125+BB125+BE125+BF125+BG125)*BK125*'Prices&amp;Fuel'!H125)+BM125+BN125+BO125</f>
        <v>1548897.85318816</v>
      </c>
      <c r="BQ125" s="5" t="n">
        <f aca="false">BL125-BP125</f>
        <v>52857.3558249853</v>
      </c>
      <c r="CA125" s="5" t="n">
        <f aca="false">(AF125+AG125+AH125+AL125)*0.005*'Prices&amp;Fuel'!H125</f>
        <v>20359.8971722365</v>
      </c>
      <c r="CB125" s="5" t="n">
        <f aca="false">(B125+C125+D125+O125+P125+Q125+X125+Y125+BB125+BC125+BD125+BE125+BF125+BG125+BR125+BS125)*0.005*'Prices&amp;Fuel'!H125</f>
        <v>5615.89974293059</v>
      </c>
      <c r="CC125" s="7" t="n">
        <f aca="false">K125+T125+AB125+AY125+BL125+BX125</f>
        <v>19157085.8577721</v>
      </c>
      <c r="CD125" s="7" t="n">
        <f aca="false">L125+U125+AC125+AZ125+BP125+BY125+CA125+CB125</f>
        <v>18943729.6734124</v>
      </c>
      <c r="CE125" s="7" t="n">
        <f aca="false">CC125-CD125</f>
        <v>213356.184359688</v>
      </c>
      <c r="CF125" s="7" t="n">
        <f aca="false">'Index Price Deals'!AR125</f>
        <v>0</v>
      </c>
      <c r="CG125" s="7" t="n">
        <f aca="false">'Index Price Deals'!AS125</f>
        <v>0</v>
      </c>
      <c r="CH125" s="7" t="n">
        <f aca="false">'Index Price Deals'!AT125</f>
        <v>0</v>
      </c>
      <c r="CI125" s="7" t="n">
        <f aca="false">'Index Price Deals'!AU125</f>
        <v>0</v>
      </c>
      <c r="CJ125" s="7" t="n">
        <f aca="false">CC125+CF125</f>
        <v>19157085.8577721</v>
      </c>
      <c r="CK125" s="7" t="n">
        <f aca="false">CD125+CH125</f>
        <v>18943729.6734124</v>
      </c>
      <c r="CL125" s="7" t="n">
        <f aca="false">CE125+CI125</f>
        <v>213356.184359688</v>
      </c>
      <c r="CM125" s="69"/>
      <c r="CN125" s="7" t="n">
        <f aca="false">Transport!U125</f>
        <v>0</v>
      </c>
      <c r="CQ125" s="7" t="n">
        <f aca="false">(((($B125+$C125+$D125+$O125+$P125+$Q125)*0.5)+BR125+BS125)*(0.005*'Prices&amp;Fuel'!$H125)+'Index Price Deals'!AV125)+(((BB125+BC125+BD125+BE125+BF125+BG125)*(1-'Prices&amp;Fuel'!F125))*0.005*0.5*'Prices&amp;Fuel'!H125)</f>
        <v>2782.5</v>
      </c>
      <c r="CR125" s="7" t="n">
        <f aca="false">(((($B125+$C125+$D125+$O125+$P125+$Q125)*0.5)+X125+Y125)*(0.005*'Prices&amp;Fuel'!$H125)+CA125+'Index Price Deals'!AW125)+(((BB125+BC125+BD125+BE125+BF125+BG125)*(1-'Prices&amp;Fuel'!F125))*0.005*0.5*'Prices&amp;Fuel'!H125)</f>
        <v>23142.3971722365</v>
      </c>
      <c r="CS125" s="11"/>
      <c r="CT125" s="7" t="n">
        <f aca="false">[2]Sheet1!$O143</f>
        <v>-218172.936927199</v>
      </c>
      <c r="CU125" s="7" t="n">
        <f aca="false">'[3]Long Term Deals'!$Z124</f>
        <v>10189.453117467</v>
      </c>
      <c r="CV125" s="70" t="n">
        <f aca="false">CL125-CN125-CT125+CU125+CS125+CO125</f>
        <v>441718.574404354</v>
      </c>
      <c r="DB125" s="1" t="n">
        <f aca="false">(O125+P125+Q125)*'Prices&amp;Fuel'!$H125</f>
        <v>753000</v>
      </c>
      <c r="DE125" s="1" t="n">
        <v>132000</v>
      </c>
    </row>
    <row r="126" customFormat="false" ht="12.75" hidden="false" customHeight="false" outlineLevel="0" collapsed="false">
      <c r="A126" s="6" t="n">
        <f aca="false">+A125+365/12</f>
        <v>39429.4166666667</v>
      </c>
      <c r="O126" s="7" t="n">
        <v>9036</v>
      </c>
      <c r="P126" s="7" t="n">
        <v>10794</v>
      </c>
      <c r="Q126" s="7" t="n">
        <v>5270</v>
      </c>
      <c r="R126" s="8" t="n">
        <f aca="false">R125</f>
        <v>3.459</v>
      </c>
      <c r="S126" s="8" t="n">
        <f aca="false">S125</f>
        <v>3.4461</v>
      </c>
      <c r="T126" s="7" t="n">
        <f aca="false">(($O126*R126)+($P126*R126)+($Q126*R126))*'Prices&amp;Fuel'!$H126</f>
        <v>2691447.9</v>
      </c>
      <c r="U126" s="7" t="n">
        <f aca="false">(($O126*S126)+($P126*S126)+($Q126*S126))*'Prices&amp;Fuel'!$H126</f>
        <v>2681410.41</v>
      </c>
      <c r="V126" s="14" t="n">
        <f aca="false">T126-U126</f>
        <v>10037.4899999998</v>
      </c>
      <c r="AF126" s="7" t="n">
        <f aca="false">(32000/(1-'Prices&amp;Fuel'!F126))+(25000/(1-'Prices&amp;Fuel'!G126))-AI126</f>
        <v>58611.8251928021</v>
      </c>
      <c r="AG126" s="7" t="n">
        <v>0</v>
      </c>
      <c r="AH126" s="7" t="n">
        <f aca="false">(75000/(1-'Prices&amp;Fuel'!G126))-AK126</f>
        <v>77120.822622108</v>
      </c>
      <c r="AI126" s="7"/>
      <c r="AJ126" s="7"/>
      <c r="AK126" s="7"/>
      <c r="AL126" s="11" t="n">
        <f aca="false">ROUND((132000/(1-'Prices&amp;Fuel'!F126))-AF126-AG126-AH126,0)</f>
        <v>0</v>
      </c>
      <c r="AM126" s="7" t="n">
        <f aca="false">ROUND(IF(AF126&lt;AP126,0,(AF126-AP126-AI126)/2),0)</f>
        <v>29306</v>
      </c>
      <c r="AO126" s="7" t="n">
        <f aca="false">ROUND((75000/(1-'Prices&amp;Fuel'!G126)-AV126-AK126)/2,0)</f>
        <v>38560</v>
      </c>
      <c r="AR126" s="7" t="n">
        <f aca="false">IF(AP126&gt;AF126,0,AF126-AM126-AP126)</f>
        <v>29305.8251928021</v>
      </c>
      <c r="AT126" s="14" t="n">
        <f aca="false">AH126-AO126-AV126</f>
        <v>38560.822622108</v>
      </c>
      <c r="AU126" s="14" t="n">
        <f aca="false">AL126*AX126*'Prices&amp;Fuel'!H126</f>
        <v>0</v>
      </c>
      <c r="AW126" s="68" t="n">
        <f aca="false">AW125</f>
        <v>0.04</v>
      </c>
      <c r="AX126" s="68" t="n">
        <f aca="false">AX125</f>
        <v>0.025</v>
      </c>
      <c r="AY126" s="5" t="n">
        <f aca="false">('Prices&amp;Fuel'!H126*('Prices&amp;Fuel'!B126+AW126)*'Long Term Deals'!AF126)+('Prices&amp;Fuel'!H126*('Prices&amp;Fuel'!C126+'Long Term Deals'!AW126)*'Long Term Deals'!AG126)+(AH126*('Prices&amp;Fuel'!C126+AW126)*'Prices&amp;Fuel'!H126)+(AW126*AL126*'Prices&amp;Fuel'!H126)</f>
        <v>11557394.4730323</v>
      </c>
      <c r="AZ126" s="5" t="n">
        <f aca="false">(AP126*'Prices&amp;Fuel'!H126*'Prices&amp;Fuel'!B126)+(AQ126*'Prices&amp;Fuel'!C126*'Prices&amp;Fuel'!H126)+((AM126+AR126)*('Prices&amp;Fuel'!B126+'Long Term Deals'!AX126)*'Prices&amp;Fuel'!H126)+((AN126+AS126)*('Prices&amp;Fuel'!C126+'Long Term Deals'!AX126)*'Prices&amp;Fuel'!H126)+((AO126+AT126)*('Prices&amp;Fuel'!D126+'Long Term Deals'!AX126)*'Prices&amp;Fuel'!H126)+(AV126*'Prices&amp;Fuel'!H126*'Prices&amp;Fuel'!Q126)+AU126</f>
        <v>11374741.5167341</v>
      </c>
      <c r="BA126" s="5" t="n">
        <f aca="false">AY126-AZ126</f>
        <v>182652.956298199</v>
      </c>
      <c r="BB126" s="5" t="n">
        <f aca="false">IF('FP Corp'!T126-((BE126+BF126+BG126)*(1-'Prices&amp;Fuel'!F126))&lt;'Prices&amp;Fuel'!R126,('FP Corp'!T126-(BE126+BF126+BG126)*(1-'Prices&amp;Fuel'!F126)),'Prices&amp;Fuel'!R126)/(1-'Prices&amp;Fuel'!F126)</f>
        <v>4325.96401028278</v>
      </c>
      <c r="BC126" s="9"/>
      <c r="BD126" s="9" t="n">
        <f aca="false">ROUND(IF('FP Corp'!T126/(1-'Prices&amp;Fuel'!F126)-BE126-BF126-BG126-BB126&gt;'Prices&amp;Fuel'!T126,'Prices&amp;Fuel'!T126,'FP Corp'!T126/(1-'Prices&amp;Fuel'!F126)-BE126-BF126-BG126-BB126),9)</f>
        <v>0</v>
      </c>
      <c r="BE126" s="9" t="n">
        <f aca="false">'Prices&amp;Fuel'!U126/(1-'Prices&amp;Fuel'!F126)</f>
        <v>2635.47557840617</v>
      </c>
      <c r="BF126" s="9" t="n">
        <f aca="false">('Prices&amp;Fuel'!V126+'Prices&amp;Fuel'!X126)/(1-'Prices&amp;Fuel'!F126)</f>
        <v>3645.2442159383</v>
      </c>
      <c r="BG126" s="9" t="n">
        <f aca="false">'Prices&amp;Fuel'!W126/(1-'Prices&amp;Fuel'!F126)</f>
        <v>1732.64781491003</v>
      </c>
      <c r="BH126" s="10" t="n">
        <f aca="false">('Prices&amp;Fuel'!C126+'Prices&amp;Fuel'!D126)/2-0.05+('Prices&amp;Fuel'!M126+'Prices&amp;Fuel'!P126)*(1-'Prices&amp;Fuel'!F126)</f>
        <v>3.40207488026</v>
      </c>
      <c r="BI126" s="10"/>
      <c r="BJ126" s="10"/>
      <c r="BK126" s="10" t="n">
        <f aca="false">(((BB126+BE126)*('Prices&amp;Fuel'!B126+0.025))+(('Prices&amp;Fuel'!D126+0.025)*(BD126+BG126))+(('Prices&amp;Fuel'!C126+0.025)*(BC126+BF126))-(BI126+BJ126)*0.025)/(BB126+BC126+BD126+BE126+BF126+BG126)</f>
        <v>2.71675529692667</v>
      </c>
      <c r="BL126" s="9" t="n">
        <f aca="false">(BB126+BC126+BD126+BE126+BF126+BG126)*BH126*'Prices&amp;Fuel'!H126</f>
        <v>1301359.2344028</v>
      </c>
      <c r="BM126" s="9" t="n">
        <f aca="false">'Prices&amp;Fuel'!X126*('Prices&amp;Fuel'!N126+'Prices&amp;Fuel'!O126)*'Prices&amp;Fuel'!H126</f>
        <v>9438.64041395779</v>
      </c>
      <c r="BN126" s="9" t="n">
        <f aca="false">('Prices&amp;Fuel'!U126+'Prices&amp;Fuel'!V126+'Prices&amp;Fuel'!W126)*('Prices&amp;Fuel'!L126+'Prices&amp;Fuel'!O126)*'Prices&amp;Fuel'!H126</f>
        <v>98255.8321277305</v>
      </c>
      <c r="BO126" s="9" t="n">
        <f aca="false">((BB126+BC126+BD126)*(1-'Prices&amp;Fuel'!G126))*('Prices&amp;Fuel'!M126+'Prices&amp;Fuel'!P126)*'Prices&amp;Fuel'!H126</f>
        <v>99834.2135</v>
      </c>
      <c r="BP126" s="9" t="n">
        <f aca="false">((BD126+BC126+BB126+BE126+BF126+BG126)*BK126*'Prices&amp;Fuel'!H126)+BM126+BN126+BO126</f>
        <v>1246739.96671698</v>
      </c>
      <c r="BQ126" s="5" t="n">
        <f aca="false">BL126-BP126</f>
        <v>54619.267685818</v>
      </c>
      <c r="CA126" s="5" t="n">
        <f aca="false">(AF126+AG126+AH126+AL126)*0.005*'Prices&amp;Fuel'!H126</f>
        <v>21038.5604113111</v>
      </c>
      <c r="CB126" s="5" t="n">
        <f aca="false">(B126+C126+D126+O126+P126+Q126+X126+Y126+BB126+BC126+BD126+BE126+BF126+BG126+BR126+BS126)*0.005*'Prices&amp;Fuel'!H126</f>
        <v>5803.09640102828</v>
      </c>
      <c r="CC126" s="7" t="n">
        <f aca="false">K126+T126+AB126+AY126+BL126+BX126</f>
        <v>15550201.6074351</v>
      </c>
      <c r="CD126" s="7" t="n">
        <f aca="false">L126+U126+AC126+AZ126+BP126+BY126+CA126+CB126</f>
        <v>15329733.5502634</v>
      </c>
      <c r="CE126" s="7" t="n">
        <f aca="false">CC126-CD126</f>
        <v>220468.057171676</v>
      </c>
      <c r="CF126" s="7" t="n">
        <f aca="false">'Index Price Deals'!AR126</f>
        <v>0</v>
      </c>
      <c r="CG126" s="7" t="n">
        <f aca="false">'Index Price Deals'!AS126</f>
        <v>0</v>
      </c>
      <c r="CH126" s="7" t="n">
        <f aca="false">'Index Price Deals'!AT126</f>
        <v>0</v>
      </c>
      <c r="CI126" s="7" t="n">
        <f aca="false">'Index Price Deals'!AU126</f>
        <v>0</v>
      </c>
      <c r="CJ126" s="7" t="n">
        <f aca="false">CC126+CF126</f>
        <v>15550201.6074351</v>
      </c>
      <c r="CK126" s="7" t="n">
        <f aca="false">CD126+CH126</f>
        <v>15329733.5502634</v>
      </c>
      <c r="CL126" s="7" t="n">
        <f aca="false">CE126+CI126</f>
        <v>220468.057171676</v>
      </c>
      <c r="CM126" s="7" t="n">
        <f aca="false">SUM(CL115:CL126)</f>
        <v>2519738.28732728</v>
      </c>
      <c r="CN126" s="7" t="n">
        <f aca="false">Transport!U126</f>
        <v>0</v>
      </c>
      <c r="CQ126" s="7" t="n">
        <f aca="false">(((($B126+$C126+$D126+$O126+$P126+$Q126)*0.5)+BR126+BS126)*(0.005*'Prices&amp;Fuel'!$H126)+'Index Price Deals'!AV126)+(((BB126+BC126+BD126+BE126+BF126+BG126)*(1-'Prices&amp;Fuel'!F126))*0.005*0.5*'Prices&amp;Fuel'!H126)</f>
        <v>2875.25</v>
      </c>
      <c r="CR126" s="7" t="n">
        <f aca="false">(((($B126+$C126+$D126+$O126+$P126+$Q126)*0.5)+X126+Y126)*(0.005*'Prices&amp;Fuel'!$H126)+CA126+'Index Price Deals'!AW126)+(((BB126+BC126+BD126+BE126+BF126+BG126)*(1-'Prices&amp;Fuel'!F126))*0.005*0.5*'Prices&amp;Fuel'!H126)</f>
        <v>23913.8104113111</v>
      </c>
      <c r="CS126" s="11"/>
      <c r="CT126" s="7" t="n">
        <f aca="false">[2]Sheet1!$O144</f>
        <v>-225445.368158105</v>
      </c>
      <c r="CU126" s="7" t="n">
        <f aca="false">'[3]Long Term Deals'!$Z125</f>
        <v>10529.1015547159</v>
      </c>
      <c r="CV126" s="70" t="n">
        <f aca="false">CL126-CN126-CT126+CU126+CS126+CO126</f>
        <v>456442.526884497</v>
      </c>
      <c r="DB126" s="1" t="n">
        <f aca="false">(O126+P126+Q126)*'Prices&amp;Fuel'!$H126</f>
        <v>778100</v>
      </c>
      <c r="DE126" s="1" t="n">
        <v>132000</v>
      </c>
    </row>
    <row r="127" customFormat="false" ht="12.75" hidden="false" customHeight="false" outlineLevel="0" collapsed="false">
      <c r="A127" s="6" t="n">
        <f aca="false">+A126+365/12</f>
        <v>39459.8333333333</v>
      </c>
      <c r="O127" s="7" t="n">
        <v>9036</v>
      </c>
      <c r="P127" s="7" t="n">
        <v>10794</v>
      </c>
      <c r="Q127" s="7" t="n">
        <v>5270</v>
      </c>
      <c r="R127" s="8" t="n">
        <f aca="false">R126</f>
        <v>3.459</v>
      </c>
      <c r="S127" s="8" t="n">
        <f aca="false">S126</f>
        <v>3.4461</v>
      </c>
      <c r="T127" s="7" t="n">
        <f aca="false">(($O127*R127)+($P127*R127)+($Q127*R127))*'Prices&amp;Fuel'!$H127</f>
        <v>2691447.9</v>
      </c>
      <c r="U127" s="7" t="n">
        <f aca="false">(($O127*S127)+($P127*S127)+($Q127*S127))*'Prices&amp;Fuel'!$H127</f>
        <v>2681410.41</v>
      </c>
      <c r="V127" s="14" t="n">
        <f aca="false">T127-U127</f>
        <v>10037.4899999998</v>
      </c>
      <c r="AF127" s="7" t="n">
        <f aca="false">(32000/(1-'Prices&amp;Fuel'!F127))+(25000/(1-'Prices&amp;Fuel'!G127))-AI127</f>
        <v>58611.8251928021</v>
      </c>
      <c r="AG127" s="7" t="n">
        <v>0</v>
      </c>
      <c r="AH127" s="7" t="n">
        <f aca="false">(75000/(1-'Prices&amp;Fuel'!G127))-AK127</f>
        <v>77120.822622108</v>
      </c>
      <c r="AI127" s="7"/>
      <c r="AJ127" s="7"/>
      <c r="AK127" s="7"/>
      <c r="AL127" s="11" t="n">
        <f aca="false">ROUND((132000/(1-'Prices&amp;Fuel'!F127))-AF127-AG127-AH127,0)</f>
        <v>0</v>
      </c>
      <c r="AM127" s="7" t="n">
        <f aca="false">ROUND(IF(AF127&lt;AP127,0,(AF127-AP127-AI127)/2),0)</f>
        <v>29306</v>
      </c>
      <c r="AO127" s="7" t="n">
        <f aca="false">ROUND((75000/(1-'Prices&amp;Fuel'!G127)-AV127-AK127)/2,0)</f>
        <v>38560</v>
      </c>
      <c r="AR127" s="7" t="n">
        <f aca="false">IF(AP127&gt;AF127,0,AF127-AM127-AP127)</f>
        <v>29305.8251928021</v>
      </c>
      <c r="AT127" s="14" t="n">
        <f aca="false">AH127-AO127-AV127</f>
        <v>38560.822622108</v>
      </c>
      <c r="AU127" s="14" t="n">
        <f aca="false">AL127*AX127*'Prices&amp;Fuel'!H127</f>
        <v>0</v>
      </c>
      <c r="AW127" s="68" t="n">
        <v>0.03</v>
      </c>
      <c r="AX127" s="68" t="n">
        <v>0.015</v>
      </c>
      <c r="AY127" s="5" t="n">
        <f aca="false">('Prices&amp;Fuel'!H127*('Prices&amp;Fuel'!B127+AW127)*'Long Term Deals'!AF127)+('Prices&amp;Fuel'!H127*('Prices&amp;Fuel'!C127+'Long Term Deals'!AW127)*'Long Term Deals'!AG127)+(AH127*('Prices&amp;Fuel'!C127+AW127)*'Prices&amp;Fuel'!H127)+(AW127*AL127*'Prices&amp;Fuel'!H127)</f>
        <v>10156329.9081836</v>
      </c>
      <c r="AZ127" s="5" t="n">
        <f aca="false">(AP127*'Prices&amp;Fuel'!H127*'Prices&amp;Fuel'!B127)+(AQ127*'Prices&amp;Fuel'!C127*'Prices&amp;Fuel'!H127)+((AM127+AR127)*('Prices&amp;Fuel'!B127+'Long Term Deals'!AX127)*'Prices&amp;Fuel'!H127)+((AN127+AS127)*('Prices&amp;Fuel'!C127+'Long Term Deals'!AX127)*'Prices&amp;Fuel'!H127)+((AO127+AT127)*('Prices&amp;Fuel'!D127+'Long Term Deals'!AX127)*'Prices&amp;Fuel'!H127)+(AV127*'Prices&amp;Fuel'!H127*'Prices&amp;Fuel'!Q127)+AU127</f>
        <v>9973676.95188545</v>
      </c>
      <c r="BA127" s="5" t="n">
        <f aca="false">AY127-AZ127</f>
        <v>182652.9562982</v>
      </c>
      <c r="BB127" s="5" t="n">
        <f aca="false">IF('FP Corp'!T127-((BE127+BF127+BG127)*(1-'Prices&amp;Fuel'!F127))&lt;'Prices&amp;Fuel'!R127,('FP Corp'!T127-(BE127+BF127+BG127)*(1-'Prices&amp;Fuel'!F127)),'Prices&amp;Fuel'!R127)/(1-'Prices&amp;Fuel'!F127)</f>
        <v>4325.96401028278</v>
      </c>
      <c r="BC127" s="9"/>
      <c r="BD127" s="9" t="n">
        <f aca="false">ROUND(IF('FP Corp'!T127/(1-'Prices&amp;Fuel'!F127)-BE127-BF127-BG127-BB127&gt;'Prices&amp;Fuel'!T127,'Prices&amp;Fuel'!T127,'FP Corp'!T127/(1-'Prices&amp;Fuel'!F127)-BE127-BF127-BG127-BB127),9)</f>
        <v>0</v>
      </c>
      <c r="BE127" s="9" t="n">
        <f aca="false">'Prices&amp;Fuel'!U127/(1-'Prices&amp;Fuel'!F127)</f>
        <v>2635.47557840617</v>
      </c>
      <c r="BF127" s="9" t="n">
        <f aca="false">('Prices&amp;Fuel'!V127+'Prices&amp;Fuel'!X127)/(1-'Prices&amp;Fuel'!F127)</f>
        <v>3645.2442159383</v>
      </c>
      <c r="BG127" s="9" t="n">
        <f aca="false">'Prices&amp;Fuel'!W127/(1-'Prices&amp;Fuel'!F127)</f>
        <v>1732.64781491003</v>
      </c>
      <c r="BH127" s="10" t="n">
        <f aca="false">('Prices&amp;Fuel'!C127+'Prices&amp;Fuel'!D127)/2-0.05+('Prices&amp;Fuel'!M127+'Prices&amp;Fuel'!P127)*(1-'Prices&amp;Fuel'!F127)</f>
        <v>3.07909949186427</v>
      </c>
      <c r="BI127" s="10"/>
      <c r="BJ127" s="10"/>
      <c r="BK127" s="10" t="n">
        <f aca="false">(((BB127+BE127)*('Prices&amp;Fuel'!B127+0.025))+(('Prices&amp;Fuel'!D127+0.025)*(BD127+BG127))+(('Prices&amp;Fuel'!C127+0.025)*(BC127+BF127))-(BI127+BJ127)*0.025)/(BB127+BC127+BD127+BE127+BF127+BG127)</f>
        <v>2.39377990853094</v>
      </c>
      <c r="BL127" s="9" t="n">
        <f aca="false">(BB127+BC127+BD127+BE127+BF127+BG127)*BH127*'Prices&amp;Fuel'!H127</f>
        <v>1177814.92130952</v>
      </c>
      <c r="BM127" s="9" t="n">
        <f aca="false">'Prices&amp;Fuel'!X127*('Prices&amp;Fuel'!N127+'Prices&amp;Fuel'!O127)*'Prices&amp;Fuel'!H127</f>
        <v>9415.61121091419</v>
      </c>
      <c r="BN127" s="9" t="n">
        <f aca="false">('Prices&amp;Fuel'!U127+'Prices&amp;Fuel'!V127+'Prices&amp;Fuel'!W127)*('Prices&amp;Fuel'!L127+'Prices&amp;Fuel'!O127)*'Prices&amp;Fuel'!H127</f>
        <v>98016.0991355782</v>
      </c>
      <c r="BO127" s="9" t="n">
        <f aca="false">((BB127+BC127+BD127)*(1-'Prices&amp;Fuel'!G127))*('Prices&amp;Fuel'!M127+'Prices&amp;Fuel'!P127)*'Prices&amp;Fuel'!H127</f>
        <v>99834.2135</v>
      </c>
      <c r="BP127" s="9" t="n">
        <f aca="false">((BD127+BC127+BB127+BE127+BF127+BG127)*BK127*'Prices&amp;Fuel'!H127)+BM127+BN127+BO127</f>
        <v>1122932.89142851</v>
      </c>
      <c r="BQ127" s="5" t="n">
        <f aca="false">BL127-BP127</f>
        <v>54882.029881014</v>
      </c>
      <c r="CA127" s="5" t="n">
        <f aca="false">(AF127+AG127+AH127+AL127)*0.005*'Prices&amp;Fuel'!H127</f>
        <v>21038.5604113111</v>
      </c>
      <c r="CB127" s="5" t="n">
        <f aca="false">(B127+C127+D127+O127+P127+Q127+X127+Y127+BB127+BC127+BD127+BE127+BF127+BG127+BR127+BS127)*0.005*'Prices&amp;Fuel'!H127</f>
        <v>5803.09640102828</v>
      </c>
      <c r="CC127" s="7" t="n">
        <f aca="false">K127+T127+AB127+AY127+BL127+BX127</f>
        <v>14025592.7294932</v>
      </c>
      <c r="CD127" s="7" t="n">
        <f aca="false">L127+U127+AC127+AZ127+BP127+BY127+CA127+CB127</f>
        <v>13804861.9101263</v>
      </c>
      <c r="CE127" s="7" t="n">
        <f aca="false">CC127-CD127</f>
        <v>220730.819366876</v>
      </c>
      <c r="CF127" s="7" t="n">
        <f aca="false">'Index Price Deals'!AR127</f>
        <v>0</v>
      </c>
      <c r="CG127" s="7" t="n">
        <f aca="false">'Index Price Deals'!AS127</f>
        <v>0</v>
      </c>
      <c r="CH127" s="7" t="n">
        <f aca="false">'Index Price Deals'!AT127</f>
        <v>0</v>
      </c>
      <c r="CI127" s="7" t="n">
        <f aca="false">'Index Price Deals'!AU127</f>
        <v>0</v>
      </c>
      <c r="CJ127" s="7" t="n">
        <f aca="false">CC127+CF127</f>
        <v>14025592.7294932</v>
      </c>
      <c r="CK127" s="7" t="n">
        <f aca="false">CD127+CH127</f>
        <v>13804861.9101263</v>
      </c>
      <c r="CL127" s="7" t="n">
        <f aca="false">CE127+CI127</f>
        <v>220730.819366876</v>
      </c>
      <c r="CM127" s="69"/>
      <c r="CN127" s="7" t="n">
        <f aca="false">Transport!U127</f>
        <v>0</v>
      </c>
      <c r="CQ127" s="7" t="n">
        <f aca="false">(((($B127+$C127+$D127+$O127+$P127+$Q127)*0.5)+BR127+BS127)*(0.005*'Prices&amp;Fuel'!$H127)+'Index Price Deals'!AV127)+(((BB127+BC127+BD127+BE127+BF127+BG127)*(1-'Prices&amp;Fuel'!F127))*0.005*0.5*'Prices&amp;Fuel'!H127)</f>
        <v>2875.25</v>
      </c>
      <c r="CR127" s="7" t="n">
        <f aca="false">(((($B127+$C127+$D127+$O127+$P127+$Q127)*0.5)+X127+Y127)*(0.005*'Prices&amp;Fuel'!$H127)+CA127+'Index Price Deals'!AW127)+(((BB127+BC127+BD127+BE127+BF127+BG127)*(1-'Prices&amp;Fuel'!F127))*0.005*0.5*'Prices&amp;Fuel'!H127)</f>
        <v>23913.8104113111</v>
      </c>
      <c r="CS127" s="11"/>
      <c r="CT127" s="7" t="n">
        <f aca="false">[2]Sheet1!$O146</f>
        <v>-267652.691520663</v>
      </c>
      <c r="CU127" s="7" t="n">
        <f aca="false">'[3]Long Term Deals'!$Z126</f>
        <v>-31548.0192679062</v>
      </c>
      <c r="CV127" s="70" t="n">
        <f aca="false">CL127-CN127-CT127+CU127+CS127+CO127</f>
        <v>456835.491619633</v>
      </c>
      <c r="DB127" s="1" t="n">
        <f aca="false">(O127+P127+Q127)*'Prices&amp;Fuel'!$H127</f>
        <v>778100</v>
      </c>
      <c r="DE127" s="1" t="n">
        <v>132000</v>
      </c>
    </row>
    <row r="128" customFormat="false" ht="12.75" hidden="false" customHeight="false" outlineLevel="0" collapsed="false">
      <c r="A128" s="6" t="n">
        <f aca="false">+A127+365/12</f>
        <v>39490.25</v>
      </c>
      <c r="O128" s="7" t="n">
        <v>9036</v>
      </c>
      <c r="P128" s="7" t="n">
        <v>10794</v>
      </c>
      <c r="Q128" s="7" t="n">
        <v>5270</v>
      </c>
      <c r="R128" s="8" t="n">
        <f aca="false">R127</f>
        <v>3.459</v>
      </c>
      <c r="S128" s="8" t="n">
        <f aca="false">S127</f>
        <v>3.4461</v>
      </c>
      <c r="T128" s="7" t="n">
        <f aca="false">(($O128*R128)+($P128*R128)+($Q128*R128))*'Prices&amp;Fuel'!$H128</f>
        <v>2517806.1</v>
      </c>
      <c r="U128" s="7" t="n">
        <f aca="false">(($O128*S128)+($P128*S128)+($Q128*S128))*'Prices&amp;Fuel'!$H128</f>
        <v>2508416.19</v>
      </c>
      <c r="V128" s="14" t="n">
        <f aca="false">T128-U128</f>
        <v>9389.90999999968</v>
      </c>
      <c r="AF128" s="7" t="n">
        <f aca="false">(32000/(1-'Prices&amp;Fuel'!F128))+(25000/(1-'Prices&amp;Fuel'!G128))-AI128</f>
        <v>58611.8251928021</v>
      </c>
      <c r="AG128" s="7" t="n">
        <v>0</v>
      </c>
      <c r="AH128" s="7" t="n">
        <f aca="false">(75000/(1-'Prices&amp;Fuel'!G128))-AK128</f>
        <v>77120.822622108</v>
      </c>
      <c r="AI128" s="7"/>
      <c r="AJ128" s="7"/>
      <c r="AK128" s="7"/>
      <c r="AL128" s="11" t="n">
        <f aca="false">ROUND((132000/(1-'Prices&amp;Fuel'!F128))-AF128-AG128-AH128,0)</f>
        <v>0</v>
      </c>
      <c r="AM128" s="7" t="n">
        <f aca="false">ROUND(IF(AF128&lt;AP128,0,(AF128-AP128-AI128)/2),0)</f>
        <v>29306</v>
      </c>
      <c r="AO128" s="7" t="n">
        <f aca="false">ROUND((75000/(1-'Prices&amp;Fuel'!G128)-AV128-AK128)/2,0)</f>
        <v>38560</v>
      </c>
      <c r="AR128" s="7" t="n">
        <f aca="false">IF(AP128&gt;AF128,0,AF128-AM128-AP128)</f>
        <v>29305.8251928021</v>
      </c>
      <c r="AT128" s="14" t="n">
        <f aca="false">AH128-AO128-AV128</f>
        <v>38560.822622108</v>
      </c>
      <c r="AU128" s="14" t="n">
        <f aca="false">AL128*AX128*'Prices&amp;Fuel'!H128</f>
        <v>0</v>
      </c>
      <c r="AW128" s="68" t="n">
        <f aca="false">AW127</f>
        <v>0.03</v>
      </c>
      <c r="AX128" s="68" t="n">
        <f aca="false">AX127</f>
        <v>0.015</v>
      </c>
      <c r="AY128" s="5" t="n">
        <f aca="false">('Prices&amp;Fuel'!H128*('Prices&amp;Fuel'!B128+AW128)*'Long Term Deals'!AF128)+('Prices&amp;Fuel'!H128*('Prices&amp;Fuel'!C128+'Long Term Deals'!AW128)*'Long Term Deals'!AG128)+(AH128*('Prices&amp;Fuel'!C128+AW128)*'Prices&amp;Fuel'!H128)+(AW128*AL128*'Prices&amp;Fuel'!H128)</f>
        <v>10629252.2434052</v>
      </c>
      <c r="AZ128" s="5" t="n">
        <f aca="false">(AP128*'Prices&amp;Fuel'!H128*'Prices&amp;Fuel'!B128)+(AQ128*'Prices&amp;Fuel'!C128*'Prices&amp;Fuel'!H128)+((AM128+AR128)*('Prices&amp;Fuel'!B128+'Long Term Deals'!AX128)*'Prices&amp;Fuel'!H128)+((AN128+AS128)*('Prices&amp;Fuel'!C128+'Long Term Deals'!AX128)*'Prices&amp;Fuel'!H128)+((AO128+AT128)*('Prices&amp;Fuel'!D128+'Long Term Deals'!AX128)*'Prices&amp;Fuel'!H128)+(AV128*'Prices&amp;Fuel'!H128*'Prices&amp;Fuel'!Q128)+AU128</f>
        <v>10458383.3488037</v>
      </c>
      <c r="BA128" s="5" t="n">
        <f aca="false">AY128-AZ128</f>
        <v>170868.894601541</v>
      </c>
      <c r="BB128" s="5" t="n">
        <f aca="false">IF('FP Corp'!T128-((BE128+BF128+BG128)*(1-'Prices&amp;Fuel'!F128))&lt;'Prices&amp;Fuel'!R128,('FP Corp'!T128-(BE128+BF128+BG128)*(1-'Prices&amp;Fuel'!F128)),'Prices&amp;Fuel'!R128)/(1-'Prices&amp;Fuel'!F128)</f>
        <v>4325.96401028278</v>
      </c>
      <c r="BC128" s="9"/>
      <c r="BD128" s="9" t="n">
        <f aca="false">ROUND(IF('FP Corp'!T128/(1-'Prices&amp;Fuel'!F128)-BE128-BF128-BG128-BB128&gt;'Prices&amp;Fuel'!T128,'Prices&amp;Fuel'!T128,'FP Corp'!T128/(1-'Prices&amp;Fuel'!F128)-BE128-BF128-BG128-BB128),9)</f>
        <v>0</v>
      </c>
      <c r="BE128" s="9" t="n">
        <f aca="false">'Prices&amp;Fuel'!U128/(1-'Prices&amp;Fuel'!F128)</f>
        <v>2635.47557840617</v>
      </c>
      <c r="BF128" s="9" t="n">
        <f aca="false">('Prices&amp;Fuel'!V128+'Prices&amp;Fuel'!X128)/(1-'Prices&amp;Fuel'!F128)</f>
        <v>3645.2442159383</v>
      </c>
      <c r="BG128" s="9" t="n">
        <f aca="false">'Prices&amp;Fuel'!W128/(1-'Prices&amp;Fuel'!F128)</f>
        <v>1732.64781491003</v>
      </c>
      <c r="BH128" s="10" t="n">
        <f aca="false">('Prices&amp;Fuel'!C128+'Prices&amp;Fuel'!D128)/2-0.05+('Prices&amp;Fuel'!M128+'Prices&amp;Fuel'!P128)*(1-'Prices&amp;Fuel'!F128)</f>
        <v>3.36570993252654</v>
      </c>
      <c r="BI128" s="10"/>
      <c r="BJ128" s="10"/>
      <c r="BK128" s="10" t="n">
        <f aca="false">(((BB128+BE128)*('Prices&amp;Fuel'!B128+0.025))+(('Prices&amp;Fuel'!D128+0.025)*(BD128+BG128))+(('Prices&amp;Fuel'!C128+0.025)*(BC128+BF128))-(BI128+BJ128)*0.025)/(BB128+BC128+BD128+BE128+BF128+BG128)</f>
        <v>2.68039034919321</v>
      </c>
      <c r="BL128" s="9" t="n">
        <f aca="false">(BB128+BC128+BD128+BE128+BF128+BG128)*BH128*'Prices&amp;Fuel'!H128</f>
        <v>1204387.71878585</v>
      </c>
      <c r="BM128" s="9" t="n">
        <f aca="false">'Prices&amp;Fuel'!X128*('Prices&amp;Fuel'!N128+'Prices&amp;Fuel'!O128)*'Prices&amp;Fuel'!H128</f>
        <v>8808.15242311328</v>
      </c>
      <c r="BN128" s="9" t="n">
        <f aca="false">('Prices&amp;Fuel'!U128+'Prices&amp;Fuel'!V128+'Prices&amp;Fuel'!W128)*('Prices&amp;Fuel'!L128+'Prices&amp;Fuel'!O128)*'Prices&amp;Fuel'!H128</f>
        <v>91692.4798365087</v>
      </c>
      <c r="BO128" s="9" t="n">
        <f aca="false">((BB128+BC128+BD128)*(1-'Prices&amp;Fuel'!G128))*('Prices&amp;Fuel'!M128+'Prices&amp;Fuel'!P128)*'Prices&amp;Fuel'!H128</f>
        <v>93393.2965</v>
      </c>
      <c r="BP128" s="9" t="n">
        <f aca="false">((BD128+BC128+BB128+BE128+BF128+BG128)*BK128*'Prices&amp;Fuel'!H128)+BM128+BN128+BO128</f>
        <v>1153046.46502619</v>
      </c>
      <c r="BQ128" s="5" t="n">
        <f aca="false">BL128-BP128</f>
        <v>51341.2537596584</v>
      </c>
      <c r="CA128" s="5" t="n">
        <f aca="false">(AF128+AG128+AH128+AL128)*0.005*'Prices&amp;Fuel'!H128</f>
        <v>19681.233933162</v>
      </c>
      <c r="CB128" s="5" t="n">
        <f aca="false">(B128+C128+D128+O128+P128+Q128+X128+Y128+BB128+BC128+BD128+BE128+BF128+BG128+BR128+BS128)*0.005*'Prices&amp;Fuel'!H128</f>
        <v>5428.70308483291</v>
      </c>
      <c r="CC128" s="7" t="n">
        <f aca="false">K128+T128+AB128+AY128+BL128+BX128</f>
        <v>14351446.0621911</v>
      </c>
      <c r="CD128" s="7" t="n">
        <f aca="false">L128+U128+AC128+AZ128+BP128+BY128+CA128+CB128</f>
        <v>14144955.9408479</v>
      </c>
      <c r="CE128" s="7" t="n">
        <f aca="false">CC128-CD128</f>
        <v>206490.121343205</v>
      </c>
      <c r="CF128" s="7" t="n">
        <f aca="false">'Index Price Deals'!AR128</f>
        <v>0</v>
      </c>
      <c r="CG128" s="7" t="n">
        <f aca="false">'Index Price Deals'!AS128</f>
        <v>0</v>
      </c>
      <c r="CH128" s="7" t="n">
        <f aca="false">'Index Price Deals'!AT128</f>
        <v>0</v>
      </c>
      <c r="CI128" s="7" t="n">
        <f aca="false">'Index Price Deals'!AU128</f>
        <v>0</v>
      </c>
      <c r="CJ128" s="7" t="n">
        <f aca="false">CC128+CF128</f>
        <v>14351446.0621911</v>
      </c>
      <c r="CK128" s="7" t="n">
        <f aca="false">CD128+CH128</f>
        <v>14144955.9408479</v>
      </c>
      <c r="CL128" s="7" t="n">
        <f aca="false">CE128+CI128</f>
        <v>206490.121343205</v>
      </c>
      <c r="CM128" s="69"/>
      <c r="CN128" s="7" t="n">
        <f aca="false">Transport!U128</f>
        <v>0</v>
      </c>
      <c r="CQ128" s="7" t="n">
        <f aca="false">(((($B128+$C128+$D128+$O128+$P128+$Q128)*0.5)+BR128+BS128)*(0.005*'Prices&amp;Fuel'!$H128)+'Index Price Deals'!AV128)+(((BB128+BC128+BD128+BE128+BF128+BG128)*(1-'Prices&amp;Fuel'!F128))*0.005*0.5*'Prices&amp;Fuel'!H128)</f>
        <v>2689.75</v>
      </c>
      <c r="CR128" s="7" t="n">
        <f aca="false">(((($B128+$C128+$D128+$O128+$P128+$Q128)*0.5)+X128+Y128)*(0.005*'Prices&amp;Fuel'!$H128)+CA128+'Index Price Deals'!AW128)+(((BB128+BC128+BD128+BE128+BF128+BG128)*(1-'Prices&amp;Fuel'!F128))*0.005*0.5*'Prices&amp;Fuel'!H128)</f>
        <v>22370.983933162</v>
      </c>
      <c r="CS128" s="11"/>
      <c r="CT128" s="7" t="n">
        <f aca="false">[2]Sheet1!$O147</f>
        <v>-250384.775938685</v>
      </c>
      <c r="CU128" s="7" t="n">
        <f aca="false">'[3]Long Term Deals'!$Z127</f>
        <v>-29512.6631861058</v>
      </c>
      <c r="CV128" s="70" t="n">
        <f aca="false">CL128-CN128-CT128+CU128+CS128+CO128</f>
        <v>427362.234095784</v>
      </c>
      <c r="DB128" s="1" t="n">
        <f aca="false">(O128+P128+Q128)*'Prices&amp;Fuel'!$H128</f>
        <v>727900</v>
      </c>
      <c r="DE128" s="1" t="n">
        <v>132000</v>
      </c>
    </row>
    <row r="129" customFormat="false" ht="12.75" hidden="false" customHeight="false" outlineLevel="0" collapsed="false">
      <c r="A129" s="6" t="n">
        <f aca="false">+A128+365/12</f>
        <v>39520.6666666667</v>
      </c>
      <c r="O129" s="7" t="n">
        <v>9036</v>
      </c>
      <c r="P129" s="7" t="n">
        <v>10794</v>
      </c>
      <c r="Q129" s="7" t="n">
        <v>5270</v>
      </c>
      <c r="R129" s="8" t="n">
        <f aca="false">R128</f>
        <v>3.459</v>
      </c>
      <c r="S129" s="8" t="n">
        <f aca="false">S128</f>
        <v>3.4461</v>
      </c>
      <c r="T129" s="7" t="n">
        <f aca="false">(($O129*R129)+($P129*R129)+($Q129*R129))*'Prices&amp;Fuel'!$H129</f>
        <v>2691447.9</v>
      </c>
      <c r="U129" s="7" t="n">
        <f aca="false">(($O129*S129)+($P129*S129)+($Q129*S129))*'Prices&amp;Fuel'!$H129</f>
        <v>2681410.41</v>
      </c>
      <c r="V129" s="14" t="n">
        <f aca="false">T129-U129</f>
        <v>10037.4899999998</v>
      </c>
      <c r="AF129" s="7" t="n">
        <f aca="false">(32000/(1-'Prices&amp;Fuel'!F129))+(25000/(1-'Prices&amp;Fuel'!G129))-AI129</f>
        <v>58611.8251928021</v>
      </c>
      <c r="AG129" s="7" t="n">
        <v>0</v>
      </c>
      <c r="AH129" s="7" t="n">
        <f aca="false">(75000/(1-'Prices&amp;Fuel'!G129))-AK129</f>
        <v>77120.822622108</v>
      </c>
      <c r="AI129" s="7"/>
      <c r="AJ129" s="7"/>
      <c r="AK129" s="7"/>
      <c r="AL129" s="11" t="n">
        <f aca="false">ROUND((132000/(1-'Prices&amp;Fuel'!F129))-AF129-AG129-AH129,0)</f>
        <v>0</v>
      </c>
      <c r="AM129" s="7" t="n">
        <f aca="false">ROUND(IF(AF129&lt;AP129,0,(AF129-AP129-AI129)/2),0)</f>
        <v>29306</v>
      </c>
      <c r="AO129" s="7" t="n">
        <f aca="false">ROUND((75000/(1-'Prices&amp;Fuel'!G129)-AV129-AK129)/2,0)</f>
        <v>38560</v>
      </c>
      <c r="AR129" s="7" t="n">
        <f aca="false">IF(AP129&gt;AF129,0,AF129-AM129-AP129)</f>
        <v>29305.8251928021</v>
      </c>
      <c r="AT129" s="14" t="n">
        <f aca="false">AH129-AO129-AV129</f>
        <v>38560.822622108</v>
      </c>
      <c r="AU129" s="14" t="n">
        <f aca="false">AL129*AX129*'Prices&amp;Fuel'!H129</f>
        <v>0</v>
      </c>
      <c r="AW129" s="68" t="n">
        <f aca="false">AW128</f>
        <v>0.03</v>
      </c>
      <c r="AX129" s="68" t="n">
        <f aca="false">AX128</f>
        <v>0.015</v>
      </c>
      <c r="AY129" s="5" t="n">
        <f aca="false">('Prices&amp;Fuel'!H129*('Prices&amp;Fuel'!B129+AW129)*'Long Term Deals'!AF129)+('Prices&amp;Fuel'!H129*('Prices&amp;Fuel'!C129+'Long Term Deals'!AW129)*'Long Term Deals'!AG129)+(AH129*('Prices&amp;Fuel'!C129+AW129)*'Prices&amp;Fuel'!H129)+(AW129*AL129*'Prices&amp;Fuel'!H129)</f>
        <v>11362304.1222608</v>
      </c>
      <c r="AZ129" s="5" t="n">
        <f aca="false">(AP129*'Prices&amp;Fuel'!H129*'Prices&amp;Fuel'!B129)+(AQ129*'Prices&amp;Fuel'!C129*'Prices&amp;Fuel'!H129)+((AM129+AR129)*('Prices&amp;Fuel'!B129+'Long Term Deals'!AX129)*'Prices&amp;Fuel'!H129)+((AN129+AS129)*('Prices&amp;Fuel'!C129+'Long Term Deals'!AX129)*'Prices&amp;Fuel'!H129)+((AO129+AT129)*('Prices&amp;Fuel'!D129+'Long Term Deals'!AX129)*'Prices&amp;Fuel'!H129)+(AV129*'Prices&amp;Fuel'!H129*'Prices&amp;Fuel'!Q129)+AU129</f>
        <v>11179651.1659626</v>
      </c>
      <c r="BA129" s="5" t="n">
        <f aca="false">AY129-AZ129</f>
        <v>182652.956298199</v>
      </c>
      <c r="BB129" s="5" t="n">
        <f aca="false">IF('FP Corp'!T129-((BE129+BF129+BG129)*(1-'Prices&amp;Fuel'!F129))&lt;'Prices&amp;Fuel'!R129,('FP Corp'!T129-(BE129+BF129+BG129)*(1-'Prices&amp;Fuel'!F129)),'Prices&amp;Fuel'!R129)/(1-'Prices&amp;Fuel'!F129)</f>
        <v>4325.96401028278</v>
      </c>
      <c r="BC129" s="9"/>
      <c r="BD129" s="9" t="n">
        <f aca="false">ROUND(IF('FP Corp'!T129/(1-'Prices&amp;Fuel'!F129)-BE129-BF129-BG129-BB129&gt;'Prices&amp;Fuel'!T129,'Prices&amp;Fuel'!T129,'FP Corp'!T129/(1-'Prices&amp;Fuel'!F129)-BE129-BF129-BG129-BB129),9)</f>
        <v>0</v>
      </c>
      <c r="BE129" s="9" t="n">
        <f aca="false">'Prices&amp;Fuel'!U129/(1-'Prices&amp;Fuel'!F129)</f>
        <v>2635.47557840617</v>
      </c>
      <c r="BF129" s="9" t="n">
        <f aca="false">('Prices&amp;Fuel'!V129+'Prices&amp;Fuel'!X129)/(1-'Prices&amp;Fuel'!F129)</f>
        <v>3645.2442159383</v>
      </c>
      <c r="BG129" s="9" t="n">
        <f aca="false">'Prices&amp;Fuel'!W129/(1-'Prices&amp;Fuel'!F129)</f>
        <v>1732.64781491003</v>
      </c>
      <c r="BH129" s="10" t="n">
        <f aca="false">('Prices&amp;Fuel'!C129+'Prices&amp;Fuel'!D129)/2-0.05+('Prices&amp;Fuel'!M129+'Prices&amp;Fuel'!P129)*(1-'Prices&amp;Fuel'!F129)</f>
        <v>3.36570993252654</v>
      </c>
      <c r="BI129" s="10"/>
      <c r="BJ129" s="10"/>
      <c r="BK129" s="10" t="n">
        <f aca="false">(((BB129+BE129)*('Prices&amp;Fuel'!B129+0.025))+(('Prices&amp;Fuel'!D129+0.025)*(BD129+BG129))+(('Prices&amp;Fuel'!C129+0.025)*(BC129+BF129))-(BI129+BJ129)*0.025)/(BB129+BC129+BD129+BE129+BF129+BG129)</f>
        <v>2.68039034919321</v>
      </c>
      <c r="BL129" s="9" t="n">
        <f aca="false">(BB129+BC129+BD129+BE129+BF129+BG129)*BH129*'Prices&amp;Fuel'!H129</f>
        <v>1287448.94077108</v>
      </c>
      <c r="BM129" s="9" t="n">
        <f aca="false">'Prices&amp;Fuel'!X129*('Prices&amp;Fuel'!N129+'Prices&amp;Fuel'!O129)*'Prices&amp;Fuel'!H129</f>
        <v>9415.61121091419</v>
      </c>
      <c r="BN129" s="9" t="n">
        <f aca="false">('Prices&amp;Fuel'!U129+'Prices&amp;Fuel'!V129+'Prices&amp;Fuel'!W129)*('Prices&amp;Fuel'!L129+'Prices&amp;Fuel'!O129)*'Prices&amp;Fuel'!H129</f>
        <v>98016.0991355782</v>
      </c>
      <c r="BO129" s="9" t="n">
        <f aca="false">((BB129+BC129+BD129)*(1-'Prices&amp;Fuel'!G129))*('Prices&amp;Fuel'!M129+'Prices&amp;Fuel'!P129)*'Prices&amp;Fuel'!H129</f>
        <v>99834.2135</v>
      </c>
      <c r="BP129" s="9" t="n">
        <f aca="false">((BD129+BC129+BB129+BE129+BF129+BG129)*BK129*'Prices&amp;Fuel'!H129)+BM129+BN129+BO129</f>
        <v>1232566.91089006</v>
      </c>
      <c r="BQ129" s="5" t="n">
        <f aca="false">BL129-BP129</f>
        <v>54882.029881014</v>
      </c>
      <c r="CA129" s="5" t="n">
        <f aca="false">(AF129+AG129+AH129+AL129)*0.005*'Prices&amp;Fuel'!H129</f>
        <v>21038.5604113111</v>
      </c>
      <c r="CB129" s="5" t="n">
        <f aca="false">(B129+C129+D129+O129+P129+Q129+X129+Y129+BB129+BC129+BD129+BE129+BF129+BG129+BR129+BS129)*0.005*'Prices&amp;Fuel'!H129</f>
        <v>5803.09640102828</v>
      </c>
      <c r="CC129" s="7" t="n">
        <f aca="false">K129+T129+AB129+AY129+BL129+BX129</f>
        <v>15341200.9630318</v>
      </c>
      <c r="CD129" s="7" t="n">
        <f aca="false">L129+U129+AC129+AZ129+BP129+BY129+CA129+CB129</f>
        <v>15120470.143665</v>
      </c>
      <c r="CE129" s="7" t="n">
        <f aca="false">CC129-CD129</f>
        <v>220730.819366872</v>
      </c>
      <c r="CF129" s="7" t="n">
        <f aca="false">'Index Price Deals'!AR129</f>
        <v>0</v>
      </c>
      <c r="CG129" s="7" t="n">
        <f aca="false">'Index Price Deals'!AS129</f>
        <v>0</v>
      </c>
      <c r="CH129" s="7" t="n">
        <f aca="false">'Index Price Deals'!AT129</f>
        <v>0</v>
      </c>
      <c r="CI129" s="7" t="n">
        <f aca="false">'Index Price Deals'!AU129</f>
        <v>0</v>
      </c>
      <c r="CJ129" s="7" t="n">
        <f aca="false">CC129+CF129</f>
        <v>15341200.9630318</v>
      </c>
      <c r="CK129" s="7" t="n">
        <f aca="false">CD129+CH129</f>
        <v>15120470.143665</v>
      </c>
      <c r="CL129" s="7" t="n">
        <f aca="false">CE129+CI129</f>
        <v>220730.819366872</v>
      </c>
      <c r="CM129" s="69"/>
      <c r="CN129" s="7" t="n">
        <f aca="false">Transport!U129</f>
        <v>0</v>
      </c>
      <c r="CQ129" s="7" t="n">
        <f aca="false">(((($B129+$C129+$D129+$O129+$P129+$Q129)*0.5)+BR129+BS129)*(0.005*'Prices&amp;Fuel'!$H129)+'Index Price Deals'!AV129)+(((BB129+BC129+BD129+BE129+BF129+BG129)*(1-'Prices&amp;Fuel'!F129))*0.005*0.5*'Prices&amp;Fuel'!H129)</f>
        <v>2875.25</v>
      </c>
      <c r="CR129" s="7" t="n">
        <f aca="false">(((($B129+$C129+$D129+$O129+$P129+$Q129)*0.5)+X129+Y129)*(0.005*'Prices&amp;Fuel'!$H129)+CA129+'Index Price Deals'!AW129)+(((BB129+BC129+BD129+BE129+BF129+BG129)*(1-'Prices&amp;Fuel'!F129))*0.005*0.5*'Prices&amp;Fuel'!H129)</f>
        <v>23913.8104113111</v>
      </c>
      <c r="CS129" s="11"/>
      <c r="CT129" s="7" t="n">
        <f aca="false">[2]Sheet1!$O148</f>
        <v>-267652.691520663</v>
      </c>
      <c r="CU129" s="7" t="n">
        <f aca="false">'[3]Long Term Deals'!$Z128</f>
        <v>-31548.0192679062</v>
      </c>
      <c r="CV129" s="70" t="n">
        <f aca="false">CL129-CN129-CT129+CU129+CS129+CO129</f>
        <v>456835.491619629</v>
      </c>
      <c r="DB129" s="1" t="n">
        <f aca="false">(O129+P129+Q129)*'Prices&amp;Fuel'!$H129</f>
        <v>778100</v>
      </c>
      <c r="DE129" s="1" t="n">
        <v>132000</v>
      </c>
    </row>
    <row r="130" customFormat="false" ht="12.75" hidden="false" customHeight="false" outlineLevel="0" collapsed="false">
      <c r="A130" s="6" t="n">
        <f aca="false">+A129+365/12</f>
        <v>39551.0833333333</v>
      </c>
      <c r="O130" s="7" t="n">
        <v>9036</v>
      </c>
      <c r="P130" s="7" t="n">
        <v>10794</v>
      </c>
      <c r="Q130" s="7" t="n">
        <v>5270</v>
      </c>
      <c r="R130" s="8" t="n">
        <f aca="false">R129</f>
        <v>3.459</v>
      </c>
      <c r="S130" s="8" t="n">
        <f aca="false">S129</f>
        <v>3.4461</v>
      </c>
      <c r="T130" s="7" t="n">
        <f aca="false">(($O130*R130)+($P130*R130)+($Q130*R130))*'Prices&amp;Fuel'!$H130</f>
        <v>2604627</v>
      </c>
      <c r="U130" s="7" t="n">
        <f aca="false">(($O130*S130)+($P130*S130)+($Q130*S130))*'Prices&amp;Fuel'!$H130</f>
        <v>2594913.3</v>
      </c>
      <c r="V130" s="14" t="n">
        <f aca="false">T130-U130</f>
        <v>9713.70000000019</v>
      </c>
      <c r="AF130" s="7" t="n">
        <f aca="false">(32000/(1-'Prices&amp;Fuel'!F130))+(25000/(1-'Prices&amp;Fuel'!G130))-AI130</f>
        <v>58611.8251928021</v>
      </c>
      <c r="AG130" s="7" t="n">
        <v>0</v>
      </c>
      <c r="AH130" s="7" t="n">
        <f aca="false">(75000/(1-'Prices&amp;Fuel'!G130))-AK130</f>
        <v>77120.822622108</v>
      </c>
      <c r="AI130" s="7"/>
      <c r="AJ130" s="7"/>
      <c r="AK130" s="7"/>
      <c r="AL130" s="11" t="n">
        <f aca="false">ROUND((132000/(1-'Prices&amp;Fuel'!F130))-AF130-AG130-AH130,0)</f>
        <v>0</v>
      </c>
      <c r="AM130" s="7" t="n">
        <f aca="false">ROUND(IF(AF130&lt;AP130,0,(AF130-AP130-AI130)/2),0)</f>
        <v>29306</v>
      </c>
      <c r="AO130" s="7" t="n">
        <f aca="false">ROUND((75000/(1-'Prices&amp;Fuel'!G130)-AV130-AK130)/2,0)</f>
        <v>38560</v>
      </c>
      <c r="AR130" s="7" t="n">
        <f aca="false">IF(AP130&gt;AF130,0,AF130-AM130-AP130)</f>
        <v>29305.8251928021</v>
      </c>
      <c r="AT130" s="14" t="n">
        <f aca="false">AH130-AO130-AV130</f>
        <v>38560.822622108</v>
      </c>
      <c r="AU130" s="14" t="n">
        <f aca="false">AL130*AX130*'Prices&amp;Fuel'!H130</f>
        <v>0</v>
      </c>
      <c r="AW130" s="68" t="n">
        <f aca="false">AW129</f>
        <v>0.03</v>
      </c>
      <c r="AX130" s="68" t="n">
        <f aca="false">AX129</f>
        <v>0.015</v>
      </c>
      <c r="AY130" s="5" t="n">
        <f aca="false">('Prices&amp;Fuel'!H130*('Prices&amp;Fuel'!B130+AW130)*'Long Term Deals'!AF130)+('Prices&amp;Fuel'!H130*('Prices&amp;Fuel'!C130+'Long Term Deals'!AW130)*'Long Term Deals'!AG130)+(AH130*('Prices&amp;Fuel'!C130+AW130)*'Prices&amp;Fuel'!H130)+(AW130*AL130*'Prices&amp;Fuel'!H130)</f>
        <v>12162850.0029076</v>
      </c>
      <c r="AZ130" s="5" t="n">
        <f aca="false">(AP130*'Prices&amp;Fuel'!H130*'Prices&amp;Fuel'!B130)+(AQ130*'Prices&amp;Fuel'!C130*'Prices&amp;Fuel'!H130)+((AM130+AR130)*('Prices&amp;Fuel'!B130+'Long Term Deals'!AX130)*'Prices&amp;Fuel'!H130)+((AN130+AS130)*('Prices&amp;Fuel'!C130+'Long Term Deals'!AX130)*'Prices&amp;Fuel'!H130)+((AO130+AT130)*('Prices&amp;Fuel'!D130+'Long Term Deals'!AX130)*'Prices&amp;Fuel'!H130)+(AV130*'Prices&amp;Fuel'!H130*'Prices&amp;Fuel'!Q130)+AU130</f>
        <v>11986089.0774578</v>
      </c>
      <c r="BA130" s="5" t="n">
        <f aca="false">AY130-AZ130</f>
        <v>176760.925449867</v>
      </c>
      <c r="BB130" s="5" t="n">
        <f aca="false">IF('FP Corp'!T130-((BE130+BF130+BG130)*(1-'Prices&amp;Fuel'!F130))&lt;'Prices&amp;Fuel'!R130,('FP Corp'!T130-(BE130+BF130+BG130)*(1-'Prices&amp;Fuel'!F130)),'Prices&amp;Fuel'!R130)/(1-'Prices&amp;Fuel'!F130)</f>
        <v>6278.66323907455</v>
      </c>
      <c r="BC130" s="9"/>
      <c r="BD130" s="9" t="n">
        <f aca="false">ROUND(IF('FP Corp'!T130/(1-'Prices&amp;Fuel'!F130)-BE130-BF130-BG130-BB130&gt;'Prices&amp;Fuel'!T130,'Prices&amp;Fuel'!T130,'FP Corp'!T130/(1-'Prices&amp;Fuel'!F130)-BE130-BF130-BG130-BB130),9)</f>
        <v>0</v>
      </c>
      <c r="BE130" s="9" t="n">
        <f aca="false">'Prices&amp;Fuel'!U130/(1-'Prices&amp;Fuel'!F130)</f>
        <v>1933.16195372751</v>
      </c>
      <c r="BF130" s="9" t="n">
        <f aca="false">('Prices&amp;Fuel'!V130+'Prices&amp;Fuel'!X130)/(1-'Prices&amp;Fuel'!F130)</f>
        <v>2833.93316195373</v>
      </c>
      <c r="BG130" s="9" t="n">
        <f aca="false">'Prices&amp;Fuel'!W130/(1-'Prices&amp;Fuel'!F130)</f>
        <v>1293.57326478149</v>
      </c>
      <c r="BH130" s="10" t="n">
        <f aca="false">('Prices&amp;Fuel'!C130+'Prices&amp;Fuel'!D130)/2-0.05+('Prices&amp;Fuel'!M130+'Prices&amp;Fuel'!P130)*(1-'Prices&amp;Fuel'!F130)</f>
        <v>3.65232037318881</v>
      </c>
      <c r="BI130" s="10"/>
      <c r="BJ130" s="10"/>
      <c r="BK130" s="10" t="n">
        <f aca="false">(((BB130+BE130)*('Prices&amp;Fuel'!B130+0.025))+(('Prices&amp;Fuel'!D130+0.025)*(BD130+BG130))+(('Prices&amp;Fuel'!C130+0.025)*(BC130+BF130))-(BI130+BJ130)*0.025)/(BB130+BC130+BD130+BE130+BF130+BG130)</f>
        <v>2.96269995652214</v>
      </c>
      <c r="BL130" s="9" t="n">
        <f aca="false">(BB130+BC130+BD130+BE130+BF130+BG130)*BH130*'Prices&amp;Fuel'!H130</f>
        <v>1352015.76796707</v>
      </c>
      <c r="BM130" s="9" t="n">
        <f aca="false">'Prices&amp;Fuel'!X130*('Prices&amp;Fuel'!N130+'Prices&amp;Fuel'!O130)*'Prices&amp;Fuel'!H130</f>
        <v>9111.88181701374</v>
      </c>
      <c r="BN130" s="9" t="n">
        <f aca="false">('Prices&amp;Fuel'!U130+'Prices&amp;Fuel'!V130+'Prices&amp;Fuel'!W130)*('Prices&amp;Fuel'!L130+'Prices&amp;Fuel'!O130)*'Prices&amp;Fuel'!H130</f>
        <v>69519.7893828091</v>
      </c>
      <c r="BO130" s="9" t="n">
        <f aca="false">((BB130+BC130+BD130)*(1-'Prices&amp;Fuel'!G130))*('Prices&amp;Fuel'!M130+'Prices&amp;Fuel'!P130)*'Prices&amp;Fuel'!H130</f>
        <v>140224.29</v>
      </c>
      <c r="BP130" s="9" t="n">
        <f aca="false">((BD130+BC130+BB130+BE130+BF130+BG130)*BK130*'Prices&amp;Fuel'!H130)+BM130+BN130+BO130</f>
        <v>1315588.07878128</v>
      </c>
      <c r="BQ130" s="5" t="n">
        <f aca="false">BL130-BP130</f>
        <v>36427.6891857814</v>
      </c>
      <c r="CA130" s="5" t="n">
        <f aca="false">(AF130+AG130+AH130+AL130)*0.005*'Prices&amp;Fuel'!H130</f>
        <v>20359.8971722365</v>
      </c>
      <c r="CB130" s="5" t="n">
        <f aca="false">(B130+C130+D130+O130+P130+Q130+X130+Y130+BB130+BC130+BD130+BE130+BF130+BG130+BR130+BS130)*0.005*'Prices&amp;Fuel'!H130</f>
        <v>5615.89974293059</v>
      </c>
      <c r="CC130" s="7" t="n">
        <f aca="false">K130+T130+AB130+AY130+BL130+BX130</f>
        <v>16119492.7708747</v>
      </c>
      <c r="CD130" s="7" t="n">
        <f aca="false">L130+U130+AC130+AZ130+BP130+BY130+CA130+CB130</f>
        <v>15922566.2531542</v>
      </c>
      <c r="CE130" s="7" t="n">
        <f aca="false">CC130-CD130</f>
        <v>196926.51772048</v>
      </c>
      <c r="CF130" s="7" t="n">
        <f aca="false">'Index Price Deals'!AR130</f>
        <v>0</v>
      </c>
      <c r="CG130" s="7" t="n">
        <f aca="false">'Index Price Deals'!AS130</f>
        <v>0</v>
      </c>
      <c r="CH130" s="7" t="n">
        <f aca="false">'Index Price Deals'!AT130</f>
        <v>0</v>
      </c>
      <c r="CI130" s="7" t="n">
        <f aca="false">'Index Price Deals'!AU130</f>
        <v>0</v>
      </c>
      <c r="CJ130" s="7" t="n">
        <f aca="false">CC130+CF130</f>
        <v>16119492.7708747</v>
      </c>
      <c r="CK130" s="7" t="n">
        <f aca="false">CD130+CH130</f>
        <v>15922566.2531542</v>
      </c>
      <c r="CL130" s="7" t="n">
        <f aca="false">CE130+CI130</f>
        <v>196926.51772048</v>
      </c>
      <c r="CM130" s="69"/>
      <c r="CN130" s="7" t="n">
        <f aca="false">Transport!U130</f>
        <v>0</v>
      </c>
      <c r="CQ130" s="7" t="n">
        <f aca="false">(((($B130+$C130+$D130+$O130+$P130+$Q130)*0.5)+BR130+BS130)*(0.005*'Prices&amp;Fuel'!$H130)+'Index Price Deals'!AV130)+(((BB130+BC130+BD130+BE130+BF130+BG130)*(1-'Prices&amp;Fuel'!F130))*0.005*0.5*'Prices&amp;Fuel'!H130)</f>
        <v>2782.5</v>
      </c>
      <c r="CR130" s="7" t="n">
        <f aca="false">(((($B130+$C130+$D130+$O130+$P130+$Q130)*0.5)+X130+Y130)*(0.005*'Prices&amp;Fuel'!$H130)+CA130+'Index Price Deals'!AW130)+(((BB130+BC130+BD130+BE130+BF130+BG130)*(1-'Prices&amp;Fuel'!F130))*0.005*0.5*'Prices&amp;Fuel'!H130)</f>
        <v>23142.3971722365</v>
      </c>
      <c r="CS130" s="11"/>
      <c r="CT130" s="7" t="n">
        <f aca="false">[2]Sheet1!$O149</f>
        <v>-259018.733729674</v>
      </c>
      <c r="CU130" s="7" t="n">
        <f aca="false">'[3]Long Term Deals'!$Z129</f>
        <v>-30530.341227006</v>
      </c>
      <c r="CV130" s="70" t="n">
        <f aca="false">CL130-CN130-CT130+CU130+CS130+CO130</f>
        <v>425414.910223148</v>
      </c>
      <c r="DB130" s="1" t="n">
        <f aca="false">(O130+P130+Q130)*'Prices&amp;Fuel'!$H130</f>
        <v>753000</v>
      </c>
      <c r="DE130" s="1" t="n">
        <v>132000</v>
      </c>
    </row>
    <row r="131" customFormat="false" ht="12.75" hidden="false" customHeight="false" outlineLevel="0" collapsed="false">
      <c r="A131" s="6" t="n">
        <f aca="false">+A130+365/12</f>
        <v>39581.5</v>
      </c>
      <c r="O131" s="7" t="n">
        <v>9036</v>
      </c>
      <c r="P131" s="7" t="n">
        <v>10794</v>
      </c>
      <c r="Q131" s="7" t="n">
        <v>5270</v>
      </c>
      <c r="R131" s="8" t="n">
        <f aca="false">R130</f>
        <v>3.459</v>
      </c>
      <c r="S131" s="8" t="n">
        <f aca="false">S130</f>
        <v>3.4461</v>
      </c>
      <c r="T131" s="7" t="n">
        <f aca="false">(($O131*R131)+($P131*R131)+($Q131*R131))*'Prices&amp;Fuel'!$H131</f>
        <v>2691447.9</v>
      </c>
      <c r="U131" s="7" t="n">
        <f aca="false">(($O131*S131)+($P131*S131)+($Q131*S131))*'Prices&amp;Fuel'!$H131</f>
        <v>2681410.41</v>
      </c>
      <c r="V131" s="14" t="n">
        <f aca="false">T131-U131</f>
        <v>10037.4899999998</v>
      </c>
      <c r="AF131" s="7" t="n">
        <f aca="false">((100000)/(1-'Prices&amp;Fuel'!F131))+(25000/(1-'Prices&amp;Fuel'!G131))-AI131</f>
        <v>128534.70437018</v>
      </c>
      <c r="AG131" s="7" t="n">
        <v>0</v>
      </c>
      <c r="AH131" s="7" t="n">
        <f aca="false">(75000/(1-'Prices&amp;Fuel'!G131))-AK131</f>
        <v>77120.822622108</v>
      </c>
      <c r="AI131" s="7"/>
      <c r="AJ131" s="7"/>
      <c r="AK131" s="7"/>
      <c r="AL131" s="11" t="n">
        <f aca="false">ROUND((200000/(1-'Prices&amp;Fuel'!F131))-AF131-AG131-AH131,0)</f>
        <v>0</v>
      </c>
      <c r="AM131" s="7" t="n">
        <f aca="false">ROUND(IF(AF131&lt;AP131,0,(AF131-AP131-AI131)/2),0)</f>
        <v>64267</v>
      </c>
      <c r="AO131" s="7" t="n">
        <f aca="false">ROUND((75000/(1-'Prices&amp;Fuel'!G131)-AV131-AK131)/2,0)</f>
        <v>38560</v>
      </c>
      <c r="AR131" s="7" t="n">
        <f aca="false">IF(AP131&gt;AF131,0,AF131-AM131-AP131)</f>
        <v>64267.70437018</v>
      </c>
      <c r="AT131" s="14" t="n">
        <f aca="false">AH131-AO131-AV131</f>
        <v>38560.822622108</v>
      </c>
      <c r="AU131" s="14" t="n">
        <f aca="false">AL131*AX131*'Prices&amp;Fuel'!H131</f>
        <v>0</v>
      </c>
      <c r="AW131" s="68" t="n">
        <f aca="false">AW130</f>
        <v>0.03</v>
      </c>
      <c r="AX131" s="68" t="n">
        <f aca="false">AX130</f>
        <v>0.015</v>
      </c>
      <c r="AY131" s="5" t="n">
        <f aca="false">('Prices&amp;Fuel'!H131*('Prices&amp;Fuel'!B131+AW131)*'Long Term Deals'!AF131)+('Prices&amp;Fuel'!H131*('Prices&amp;Fuel'!C131+'Long Term Deals'!AW131)*'Long Term Deals'!AG131)+(AH131*('Prices&amp;Fuel'!C131+AW131)*'Prices&amp;Fuel'!H131)+(AW131*AL131*'Prices&amp;Fuel'!H131)</f>
        <v>20254781.286559</v>
      </c>
      <c r="AZ131" s="5" t="n">
        <f aca="false">(AP131*'Prices&amp;Fuel'!H131*'Prices&amp;Fuel'!B131)+(AQ131*'Prices&amp;Fuel'!C131*'Prices&amp;Fuel'!H131)+((AM131+AR131)*('Prices&amp;Fuel'!B131+'Long Term Deals'!AX131)*'Prices&amp;Fuel'!H131)+((AN131+AS131)*('Prices&amp;Fuel'!C131+'Long Term Deals'!AX131)*'Prices&amp;Fuel'!H131)+((AO131+AT131)*('Prices&amp;Fuel'!D131+'Long Term Deals'!AX131)*'Prices&amp;Fuel'!H131)+(AV131*'Prices&amp;Fuel'!H131*'Prices&amp;Fuel'!Q131)+AU131</f>
        <v>20039614.1914433</v>
      </c>
      <c r="BA131" s="5" t="n">
        <f aca="false">AY131-AZ131</f>
        <v>215167.09511568</v>
      </c>
      <c r="BB131" s="5" t="n">
        <f aca="false">IF('FP Corp'!T131-((BE131+BF131+BG131)*(1-'Prices&amp;Fuel'!F131))&lt;'Prices&amp;Fuel'!R131,('FP Corp'!T131-(BE131+BF131+BG131)*(1-'Prices&amp;Fuel'!F131)),'Prices&amp;Fuel'!R131)/(1-'Prices&amp;Fuel'!F131)</f>
        <v>8976.86375321337</v>
      </c>
      <c r="BC131" s="9"/>
      <c r="BD131" s="9" t="n">
        <f aca="false">ROUND(IF('FP Corp'!T131/(1-'Prices&amp;Fuel'!F131)-BE131-BF131-BG131-BB131&gt;'Prices&amp;Fuel'!T131,'Prices&amp;Fuel'!T131,'FP Corp'!T131/(1-'Prices&amp;Fuel'!F131)-BE131-BF131-BG131-BB131),9)</f>
        <v>6556.298200514</v>
      </c>
      <c r="BE131" s="9" t="n">
        <f aca="false">'Prices&amp;Fuel'!U131/(1-'Prices&amp;Fuel'!F131)</f>
        <v>1933.16195372751</v>
      </c>
      <c r="BF131" s="9" t="n">
        <f aca="false">('Prices&amp;Fuel'!V131+'Prices&amp;Fuel'!X131)/(1-'Prices&amp;Fuel'!F131)</f>
        <v>3062.21079691517</v>
      </c>
      <c r="BG131" s="9" t="n">
        <f aca="false">'Prices&amp;Fuel'!W131/(1-'Prices&amp;Fuel'!F131)</f>
        <v>1065.29562982005</v>
      </c>
      <c r="BH131" s="10" t="n">
        <f aca="false">('Prices&amp;Fuel'!C131+'Prices&amp;Fuel'!D131)/2-0.05+('Prices&amp;Fuel'!M131+'Prices&amp;Fuel'!P131)*(1-'Prices&amp;Fuel'!F131)</f>
        <v>3.854009201803</v>
      </c>
      <c r="BI131" s="10"/>
      <c r="BJ131" s="10"/>
      <c r="BK131" s="10" t="n">
        <f aca="false">(((BB131+BE131)*('Prices&amp;Fuel'!B131+0.025))+(('Prices&amp;Fuel'!D131+0.025)*(BD131+BG131))+(('Prices&amp;Fuel'!C131+0.025)*(BC131+BF131))-(BI131+BJ131)*0.025)/(BB131+BC131+BD131+BE131+BF131+BG131)</f>
        <v>3.1615985470411</v>
      </c>
      <c r="BL131" s="9" t="n">
        <f aca="false">(BB131+BC131+BD131+BE131+BF131+BG131)*BH131*'Prices&amp;Fuel'!H131</f>
        <v>2579907.44511438</v>
      </c>
      <c r="BM131" s="9" t="n">
        <f aca="false">'Prices&amp;Fuel'!X131*('Prices&amp;Fuel'!N131+'Prices&amp;Fuel'!O131)*'Prices&amp;Fuel'!H131</f>
        <v>9415.61121091419</v>
      </c>
      <c r="BN131" s="9" t="n">
        <f aca="false">('Prices&amp;Fuel'!U131+'Prices&amp;Fuel'!V131+'Prices&amp;Fuel'!W131)*('Prices&amp;Fuel'!L131+'Prices&amp;Fuel'!O131)*'Prices&amp;Fuel'!H131</f>
        <v>71837.1156955693</v>
      </c>
      <c r="BO131" s="9" t="n">
        <f aca="false">((BB131+BC131+BD131)*(1-'Prices&amp;Fuel'!G131))*('Prices&amp;Fuel'!M131+'Prices&amp;Fuel'!P131)*'Prices&amp;Fuel'!H131</f>
        <v>358472.932999997</v>
      </c>
      <c r="BP131" s="9" t="n">
        <f aca="false">((BD131+BC131+BB131+BE131+BF131+BG131)*BK131*'Prices&amp;Fuel'!H131)+BM131+BN131+BO131</f>
        <v>2556127.36080493</v>
      </c>
      <c r="BQ131" s="5" t="n">
        <f aca="false">BL131-BP131</f>
        <v>23780.084309455</v>
      </c>
      <c r="CA131" s="5" t="n">
        <f aca="false">(AF131+AG131+AH131+AL131)*0.005*'Prices&amp;Fuel'!H131</f>
        <v>31876.6066838046</v>
      </c>
      <c r="CB131" s="5" t="n">
        <f aca="false">(B131+C131+D131+O131+P131+Q131+X131+Y131+BB131+BC131+BD131+BE131+BF131+BG131+BR131+BS131)*0.005*'Prices&amp;Fuel'!H131</f>
        <v>7237.54370179946</v>
      </c>
      <c r="CC131" s="7" t="n">
        <f aca="false">K131+T131+AB131+AY131+BL131+BX131</f>
        <v>25526136.6316734</v>
      </c>
      <c r="CD131" s="7" t="n">
        <f aca="false">L131+U131+AC131+AZ131+BP131+BY131+CA131+CB131</f>
        <v>25316266.1126338</v>
      </c>
      <c r="CE131" s="7" t="n">
        <f aca="false">CC131-CD131</f>
        <v>209870.51903953</v>
      </c>
      <c r="CF131" s="7" t="n">
        <f aca="false">'Index Price Deals'!AR131</f>
        <v>0</v>
      </c>
      <c r="CG131" s="7" t="n">
        <f aca="false">'Index Price Deals'!AS131</f>
        <v>0</v>
      </c>
      <c r="CH131" s="7" t="n">
        <f aca="false">'Index Price Deals'!AT131</f>
        <v>0</v>
      </c>
      <c r="CI131" s="7" t="n">
        <f aca="false">'Index Price Deals'!AU131</f>
        <v>0</v>
      </c>
      <c r="CJ131" s="7" t="n">
        <f aca="false">CC131+CF131</f>
        <v>25526136.6316734</v>
      </c>
      <c r="CK131" s="7" t="n">
        <f aca="false">CD131+CH131</f>
        <v>25316266.1126338</v>
      </c>
      <c r="CL131" s="7" t="n">
        <f aca="false">CE131+CI131</f>
        <v>209870.51903953</v>
      </c>
      <c r="CM131" s="69"/>
      <c r="CN131" s="7" t="n">
        <f aca="false">Transport!U131</f>
        <v>3.14901408273727E-009</v>
      </c>
      <c r="CQ131" s="7" t="n">
        <f aca="false">(((($B131+$C131+$D131+$O131+$P131+$Q131)*0.5)+BR131+BS131)*(0.005*'Prices&amp;Fuel'!$H131)+'Index Price Deals'!AV131)+(((BB131+BC131+BD131+BE131+BF131+BG131)*(1-'Prices&amp;Fuel'!F131))*0.005*0.5*'Prices&amp;Fuel'!H131)</f>
        <v>3572.74999999999</v>
      </c>
      <c r="CR131" s="7" t="n">
        <f aca="false">(((($B131+$C131+$D131+$O131+$P131+$Q131)*0.5)+X131+Y131)*(0.005*'Prices&amp;Fuel'!$H131)+CA131+'Index Price Deals'!AW131)+(((BB131+BC131+BD131+BE131+BF131+BG131)*(1-'Prices&amp;Fuel'!F131))*0.005*0.5*'Prices&amp;Fuel'!H131)</f>
        <v>35449.3566838046</v>
      </c>
      <c r="CS131" s="11"/>
      <c r="CT131" s="7" t="n">
        <f aca="false">[2]Sheet1!$O150</f>
        <v>-405534.381091914</v>
      </c>
      <c r="CU131" s="7" t="n">
        <f aca="false">'[3]Long Term Deals'!$Z130</f>
        <v>-47800.0291937973</v>
      </c>
      <c r="CV131" s="70" t="n">
        <f aca="false">CL131-CN131-CT131+CU131+CS131+CO131</f>
        <v>567604.870937644</v>
      </c>
      <c r="DB131" s="1" t="n">
        <f aca="false">(O131+P131+Q131)*'Prices&amp;Fuel'!$H131</f>
        <v>778100</v>
      </c>
      <c r="DE131" s="1" t="n">
        <v>200000</v>
      </c>
    </row>
    <row r="132" customFormat="false" ht="12.75" hidden="false" customHeight="false" outlineLevel="0" collapsed="false">
      <c r="A132" s="6" t="n">
        <f aca="false">+A131+365/12</f>
        <v>39611.9166666667</v>
      </c>
      <c r="O132" s="7" t="n">
        <v>9036</v>
      </c>
      <c r="P132" s="7" t="n">
        <v>10794</v>
      </c>
      <c r="Q132" s="7" t="n">
        <v>5270</v>
      </c>
      <c r="R132" s="8" t="n">
        <f aca="false">R131</f>
        <v>3.459</v>
      </c>
      <c r="S132" s="8" t="n">
        <f aca="false">S131</f>
        <v>3.4461</v>
      </c>
      <c r="T132" s="7" t="n">
        <f aca="false">(($O132*R132)+($P132*R132)+($Q132*R132))*'Prices&amp;Fuel'!$H132</f>
        <v>2604627</v>
      </c>
      <c r="U132" s="7" t="n">
        <f aca="false">(($O132*S132)+($P132*S132)+($Q132*S132))*'Prices&amp;Fuel'!$H132</f>
        <v>2594913.3</v>
      </c>
      <c r="V132" s="14" t="n">
        <f aca="false">T132-U132</f>
        <v>9713.70000000019</v>
      </c>
      <c r="AF132" s="7" t="n">
        <f aca="false">((100000)/(1-'Prices&amp;Fuel'!F132))+(25000/(1-'Prices&amp;Fuel'!G132))-AI132</f>
        <v>128534.70437018</v>
      </c>
      <c r="AG132" s="7" t="n">
        <v>0</v>
      </c>
      <c r="AH132" s="7" t="n">
        <f aca="false">(75000/(1-'Prices&amp;Fuel'!G132))-AK132</f>
        <v>77120.822622108</v>
      </c>
      <c r="AI132" s="7"/>
      <c r="AJ132" s="7"/>
      <c r="AK132" s="7"/>
      <c r="AL132" s="11" t="n">
        <f aca="false">ROUND((200000/(1-'Prices&amp;Fuel'!F132))-AF132-AG132-AH132,0)</f>
        <v>0</v>
      </c>
      <c r="AM132" s="7" t="n">
        <f aca="false">ROUND(IF(AF132&lt;AP132,0,(AF132-AP132-AI132)/2),0)</f>
        <v>64267</v>
      </c>
      <c r="AO132" s="7" t="n">
        <f aca="false">ROUND((75000/(1-'Prices&amp;Fuel'!G132)-AV132-AK132)/2,0)</f>
        <v>38560</v>
      </c>
      <c r="AR132" s="7" t="n">
        <f aca="false">IF(AP132&gt;AF132,0,AF132-AM132-AP132)</f>
        <v>64267.70437018</v>
      </c>
      <c r="AT132" s="14" t="n">
        <f aca="false">AH132-AO132-AV132</f>
        <v>38560.822622108</v>
      </c>
      <c r="AU132" s="14" t="n">
        <f aca="false">AL132*AX132*'Prices&amp;Fuel'!H132</f>
        <v>0</v>
      </c>
      <c r="AW132" s="68" t="n">
        <f aca="false">AW131</f>
        <v>0.03</v>
      </c>
      <c r="AX132" s="68" t="n">
        <f aca="false">AX131</f>
        <v>0.015</v>
      </c>
      <c r="AY132" s="5" t="n">
        <f aca="false">('Prices&amp;Fuel'!H132*('Prices&amp;Fuel'!B132+AW132)*'Long Term Deals'!AF132)+('Prices&amp;Fuel'!H132*('Prices&amp;Fuel'!C132+'Long Term Deals'!AW132)*'Long Term Deals'!AG132)+(AH132*('Prices&amp;Fuel'!C132+AW132)*'Prices&amp;Fuel'!H132)+(AW132*AL132*'Prices&amp;Fuel'!H132)</f>
        <v>28180885.444259</v>
      </c>
      <c r="AZ132" s="5" t="n">
        <f aca="false">(AP132*'Prices&amp;Fuel'!H132*'Prices&amp;Fuel'!B132)+(AQ132*'Prices&amp;Fuel'!C132*'Prices&amp;Fuel'!H132)+((AM132+AR132)*('Prices&amp;Fuel'!B132+'Long Term Deals'!AX132)*'Prices&amp;Fuel'!H132)+((AN132+AS132)*('Prices&amp;Fuel'!C132+'Long Term Deals'!AX132)*'Prices&amp;Fuel'!H132)+((AO132+AT132)*('Prices&amp;Fuel'!D132+'Long Term Deals'!AX132)*'Prices&amp;Fuel'!H132)+(AV132*'Prices&amp;Fuel'!H132*'Prices&amp;Fuel'!Q132)+AU132</f>
        <v>27972659.2231793</v>
      </c>
      <c r="BA132" s="5" t="n">
        <f aca="false">AY132-AZ132</f>
        <v>208226.221079696</v>
      </c>
      <c r="BB132" s="5" t="n">
        <f aca="false">IF('FP Corp'!T132-((BE132+BF132+BG132)*(1-'Prices&amp;Fuel'!F132))&lt;'Prices&amp;Fuel'!R132,('FP Corp'!T132-(BE132+BF132+BG132)*(1-'Prices&amp;Fuel'!F132)),'Prices&amp;Fuel'!R132)/(1-'Prices&amp;Fuel'!F132)</f>
        <v>8976.86375321337</v>
      </c>
      <c r="BC132" s="9"/>
      <c r="BD132" s="9" t="n">
        <f aca="false">ROUND(IF('FP Corp'!T132/(1-'Prices&amp;Fuel'!F132)-BE132-BF132-BG132-BB132&gt;'Prices&amp;Fuel'!T132,'Prices&amp;Fuel'!T132,'FP Corp'!T132/(1-'Prices&amp;Fuel'!F132)-BE132-BF132-BG132-BB132),9)</f>
        <v>6556.298200514</v>
      </c>
      <c r="BE132" s="9" t="n">
        <f aca="false">'Prices&amp;Fuel'!U132/(1-'Prices&amp;Fuel'!F132)</f>
        <v>1933.16195372751</v>
      </c>
      <c r="BF132" s="9" t="n">
        <f aca="false">('Prices&amp;Fuel'!V132+'Prices&amp;Fuel'!X132)/(1-'Prices&amp;Fuel'!F132)</f>
        <v>3062.21079691517</v>
      </c>
      <c r="BG132" s="9" t="n">
        <f aca="false">'Prices&amp;Fuel'!W132/(1-'Prices&amp;Fuel'!F132)</f>
        <v>1065.29562982005</v>
      </c>
      <c r="BH132" s="10" t="n">
        <f aca="false">('Prices&amp;Fuel'!C132+'Prices&amp;Fuel'!D132)/2-0.05+('Prices&amp;Fuel'!M132+'Prices&amp;Fuel'!P132)*(1-'Prices&amp;Fuel'!F132)</f>
        <v>5.24460059909031</v>
      </c>
      <c r="BI132" s="10"/>
      <c r="BJ132" s="10"/>
      <c r="BK132" s="10" t="n">
        <f aca="false">(((BB132+BE132)*('Prices&amp;Fuel'!B132+0.025))+(('Prices&amp;Fuel'!D132+0.025)*(BD132+BG132))+(('Prices&amp;Fuel'!C132+0.025)*(BC132+BF132))-(BI132+BJ132)*0.025)/(BB132+BC132+BD132+BE132+BF132+BG132)</f>
        <v>4.55218994432841</v>
      </c>
      <c r="BL132" s="9" t="n">
        <f aca="false">(BB132+BC132+BD132+BE132+BF132+BG132)*BH132*'Prices&amp;Fuel'!H132</f>
        <v>3397530.46522044</v>
      </c>
      <c r="BM132" s="9" t="n">
        <f aca="false">'Prices&amp;Fuel'!X132*('Prices&amp;Fuel'!N132+'Prices&amp;Fuel'!O132)*'Prices&amp;Fuel'!H132</f>
        <v>9111.88181701374</v>
      </c>
      <c r="BN132" s="9" t="n">
        <f aca="false">('Prices&amp;Fuel'!U132+'Prices&amp;Fuel'!V132+'Prices&amp;Fuel'!W132)*('Prices&amp;Fuel'!L132+'Prices&amp;Fuel'!O132)*'Prices&amp;Fuel'!H132</f>
        <v>69519.7893828091</v>
      </c>
      <c r="BO132" s="9" t="n">
        <f aca="false">((BB132+BC132+BD132)*(1-'Prices&amp;Fuel'!G132))*('Prices&amp;Fuel'!M132+'Prices&amp;Fuel'!P132)*'Prices&amp;Fuel'!H132</f>
        <v>346909.289999997</v>
      </c>
      <c r="BP132" s="9" t="n">
        <f aca="false">((BD132+BC132+BB132+BE132+BF132+BG132)*BK132*'Prices&amp;Fuel'!H132)+BM132+BN132+BO132</f>
        <v>3374517.48040483</v>
      </c>
      <c r="BQ132" s="5" t="n">
        <f aca="false">BL132-BP132</f>
        <v>23012.9848156013</v>
      </c>
      <c r="CA132" s="5" t="n">
        <f aca="false">(AF132+AG132+AH132+AL132)*0.005*'Prices&amp;Fuel'!H132</f>
        <v>30848.3290488432</v>
      </c>
      <c r="CB132" s="5" t="n">
        <f aca="false">(B132+C132+D132+O132+P132+Q132+X132+Y132+BB132+BC132+BD132+BE132+BF132+BG132+BR132+BS132)*0.005*'Prices&amp;Fuel'!H132</f>
        <v>7004.07455012851</v>
      </c>
      <c r="CC132" s="7" t="n">
        <f aca="false">K132+T132+AB132+AY132+BL132+BX132</f>
        <v>34183042.9094794</v>
      </c>
      <c r="CD132" s="7" t="n">
        <f aca="false">L132+U132+AC132+AZ132+BP132+BY132+CA132+CB132</f>
        <v>33979942.4071831</v>
      </c>
      <c r="CE132" s="7" t="n">
        <f aca="false">CC132-CD132</f>
        <v>203100.502296321</v>
      </c>
      <c r="CF132" s="7" t="n">
        <f aca="false">'Index Price Deals'!AR132</f>
        <v>0</v>
      </c>
      <c r="CG132" s="7" t="n">
        <f aca="false">'Index Price Deals'!AS132</f>
        <v>0</v>
      </c>
      <c r="CH132" s="7" t="n">
        <f aca="false">'Index Price Deals'!AT132</f>
        <v>0</v>
      </c>
      <c r="CI132" s="7" t="n">
        <f aca="false">'Index Price Deals'!AU132</f>
        <v>0</v>
      </c>
      <c r="CJ132" s="7" t="n">
        <f aca="false">CC132+CF132</f>
        <v>34183042.9094794</v>
      </c>
      <c r="CK132" s="7" t="n">
        <f aca="false">CD132+CH132</f>
        <v>33979942.4071831</v>
      </c>
      <c r="CL132" s="7" t="n">
        <f aca="false">CE132+CI132</f>
        <v>203100.502296321</v>
      </c>
      <c r="CM132" s="69"/>
      <c r="CN132" s="7" t="n">
        <f aca="false">Transport!U132</f>
        <v>3.04743298329413E-009</v>
      </c>
      <c r="CQ132" s="7" t="n">
        <f aca="false">(((($B132+$C132+$D132+$O132+$P132+$Q132)*0.5)+BR132+BS132)*(0.005*'Prices&amp;Fuel'!$H132)+'Index Price Deals'!AV132)+(((BB132+BC132+BD132+BE132+BF132+BG132)*(1-'Prices&amp;Fuel'!F132))*0.005*0.5*'Prices&amp;Fuel'!H132)</f>
        <v>3457.49999999999</v>
      </c>
      <c r="CR132" s="7" t="n">
        <f aca="false">(((($B132+$C132+$D132+$O132+$P132+$Q132)*0.5)+X132+Y132)*(0.005*'Prices&amp;Fuel'!$H132)+CA132+'Index Price Deals'!AW132)+(((BB132+BC132+BD132+BE132+BF132+BG132)*(1-'Prices&amp;Fuel'!F132))*0.005*0.5*'Prices&amp;Fuel'!H132)</f>
        <v>34305.8290488432</v>
      </c>
      <c r="CS132" s="11"/>
      <c r="CT132" s="7" t="n">
        <f aca="false">[2]Sheet1!$O151</f>
        <v>-392452.626863143</v>
      </c>
      <c r="CU132" s="7" t="n">
        <f aca="false">'[3]Long Term Deals'!$Z131</f>
        <v>-46258.092768191</v>
      </c>
      <c r="CV132" s="70" t="n">
        <f aca="false">CL132-CN132-CT132+CU132+CS132+CO132</f>
        <v>549295.03639127</v>
      </c>
      <c r="DB132" s="1" t="n">
        <f aca="false">(O132+P132+Q132)*'Prices&amp;Fuel'!$H132</f>
        <v>753000</v>
      </c>
      <c r="DE132" s="1" t="n">
        <v>200000</v>
      </c>
    </row>
    <row r="133" customFormat="false" ht="12.75" hidden="false" customHeight="false" outlineLevel="0" collapsed="false">
      <c r="A133" s="6" t="n">
        <f aca="false">+A132+365/12</f>
        <v>39642.3333333333</v>
      </c>
      <c r="O133" s="7" t="n">
        <v>9036</v>
      </c>
      <c r="P133" s="7" t="n">
        <v>10794</v>
      </c>
      <c r="Q133" s="7" t="n">
        <v>5270</v>
      </c>
      <c r="R133" s="8" t="n">
        <f aca="false">ROUND(3.075*1.04*1.04*1.04*1.04,4)</f>
        <v>3.5973</v>
      </c>
      <c r="S133" s="8" t="n">
        <f aca="false">R133-ROUND(0.01*1.02*1.02*1.02*1.02*1.02*1.02*1.02*1.02*1.02*1.02*1.02*1.02*1.02*1.02,4)</f>
        <v>3.5841</v>
      </c>
      <c r="T133" s="7" t="n">
        <f aca="false">(($O133*R133)+($P133*R133)+($Q133*R133))*'Prices&amp;Fuel'!$H133</f>
        <v>2799059.13</v>
      </c>
      <c r="U133" s="7" t="n">
        <f aca="false">(($O133*S133)+($P133*S133)+($Q133*S133))*'Prices&amp;Fuel'!$H133</f>
        <v>2788788.21</v>
      </c>
      <c r="V133" s="14" t="n">
        <f aca="false">T133-U133</f>
        <v>10270.9200000004</v>
      </c>
      <c r="AF133" s="7" t="n">
        <f aca="false">((100000)/(1-'Prices&amp;Fuel'!F133))+(25000/(1-'Prices&amp;Fuel'!G133))-AI133</f>
        <v>128534.70437018</v>
      </c>
      <c r="AG133" s="7" t="n">
        <v>0</v>
      </c>
      <c r="AH133" s="7" t="n">
        <f aca="false">(75000/(1-'Prices&amp;Fuel'!G133))-AK133</f>
        <v>77120.822622108</v>
      </c>
      <c r="AI133" s="7"/>
      <c r="AJ133" s="7"/>
      <c r="AK133" s="7"/>
      <c r="AL133" s="11" t="n">
        <f aca="false">ROUND((200000/(1-'Prices&amp;Fuel'!F133))-AF133-AG133-AH133,0)</f>
        <v>0</v>
      </c>
      <c r="AM133" s="7" t="n">
        <f aca="false">ROUND(IF(AF133&lt;AP133,0,(AF133-AP133-AI133)/2),0)</f>
        <v>64267</v>
      </c>
      <c r="AO133" s="7" t="n">
        <f aca="false">ROUND((75000/(1-'Prices&amp;Fuel'!G133)-AV133-AK133)/2,0)</f>
        <v>38560</v>
      </c>
      <c r="AR133" s="7" t="n">
        <f aca="false">IF(AP133&gt;AF133,0,AF133-AM133-AP133)</f>
        <v>64267.70437018</v>
      </c>
      <c r="AT133" s="14" t="n">
        <f aca="false">AH133-AO133-AV133</f>
        <v>38560.822622108</v>
      </c>
      <c r="AU133" s="14" t="n">
        <f aca="false">AL133*AX133*'Prices&amp;Fuel'!H133</f>
        <v>0</v>
      </c>
      <c r="AW133" s="68" t="n">
        <f aca="false">AW132</f>
        <v>0.03</v>
      </c>
      <c r="AX133" s="68" t="n">
        <f aca="false">AX132</f>
        <v>0.015</v>
      </c>
      <c r="AY133" s="5" t="n">
        <f aca="false">('Prices&amp;Fuel'!H133*('Prices&amp;Fuel'!B133+AW133)*'Long Term Deals'!AF133)+('Prices&amp;Fuel'!H133*('Prices&amp;Fuel'!C133+'Long Term Deals'!AW133)*'Long Term Deals'!AG133)+(AH133*('Prices&amp;Fuel'!C133+AW133)*'Prices&amp;Fuel'!H133)+(AW133*AL133*'Prices&amp;Fuel'!H133)</f>
        <v>29052572.9717457</v>
      </c>
      <c r="AZ133" s="5" t="n">
        <f aca="false">(AP133*'Prices&amp;Fuel'!H133*'Prices&amp;Fuel'!B133)+(AQ133*'Prices&amp;Fuel'!C133*'Prices&amp;Fuel'!H133)+((AM133+AR133)*('Prices&amp;Fuel'!B133+'Long Term Deals'!AX133)*'Prices&amp;Fuel'!H133)+((AN133+AS133)*('Prices&amp;Fuel'!C133+'Long Term Deals'!AX133)*'Prices&amp;Fuel'!H133)+((AO133+AT133)*('Prices&amp;Fuel'!D133+'Long Term Deals'!AX133)*'Prices&amp;Fuel'!H133)+(AV133*'Prices&amp;Fuel'!H133*'Prices&amp;Fuel'!Q133)+AU133</f>
        <v>28837405.87663</v>
      </c>
      <c r="BA133" s="5" t="n">
        <f aca="false">AY133-AZ133</f>
        <v>215167.09511568</v>
      </c>
      <c r="BB133" s="5" t="n">
        <f aca="false">IF('FP Corp'!T133-((BE133+BF133+BG133)*(1-'Prices&amp;Fuel'!F133))&lt;'Prices&amp;Fuel'!R133,('FP Corp'!T133-(BE133+BF133+BG133)*(1-'Prices&amp;Fuel'!F133)),'Prices&amp;Fuel'!R133)/(1-'Prices&amp;Fuel'!F133)</f>
        <v>8976.86375321337</v>
      </c>
      <c r="BC133" s="9"/>
      <c r="BD133" s="9" t="n">
        <f aca="false">ROUND(IF('FP Corp'!T133/(1-'Prices&amp;Fuel'!F133)-BE133-BF133-BG133-BB133&gt;'Prices&amp;Fuel'!T133,'Prices&amp;Fuel'!T133,'FP Corp'!T133/(1-'Prices&amp;Fuel'!F133)-BE133-BF133-BG133-BB133),9)</f>
        <v>6556.298200514</v>
      </c>
      <c r="BE133" s="9" t="n">
        <f aca="false">'Prices&amp;Fuel'!U133/(1-'Prices&amp;Fuel'!F133)</f>
        <v>1933.16195372751</v>
      </c>
      <c r="BF133" s="9" t="n">
        <f aca="false">('Prices&amp;Fuel'!V133+'Prices&amp;Fuel'!X133)/(1-'Prices&amp;Fuel'!F133)</f>
        <v>3062.21079691517</v>
      </c>
      <c r="BG133" s="9" t="n">
        <f aca="false">'Prices&amp;Fuel'!W133/(1-'Prices&amp;Fuel'!F133)</f>
        <v>1065.29562982005</v>
      </c>
      <c r="BH133" s="10" t="n">
        <f aca="false">('Prices&amp;Fuel'!C133+'Prices&amp;Fuel'!D133)/2-0.05+('Prices&amp;Fuel'!M133+'Prices&amp;Fuel'!P133)*(1-'Prices&amp;Fuel'!F133)</f>
        <v>5.2339853975843</v>
      </c>
      <c r="BI133" s="10"/>
      <c r="BJ133" s="10"/>
      <c r="BK133" s="10" t="n">
        <f aca="false">(((BB133+BE133)*('Prices&amp;Fuel'!B133+0.025))+(('Prices&amp;Fuel'!D133+0.025)*(BD133+BG133))+(('Prices&amp;Fuel'!C133+0.025)*(BC133+BF133))-(BI133+BJ133)*0.025)/(BB133+BC133+BD133+BE133+BF133+BG133)</f>
        <v>4.5415747428224</v>
      </c>
      <c r="BL133" s="9" t="n">
        <f aca="false">(BB133+BC133+BD133+BE133+BF133+BG133)*BH133*'Prices&amp;Fuel'!H133</f>
        <v>3503675.57205898</v>
      </c>
      <c r="BM133" s="9" t="n">
        <f aca="false">'Prices&amp;Fuel'!X133*('Prices&amp;Fuel'!N133+'Prices&amp;Fuel'!O133)*'Prices&amp;Fuel'!H133</f>
        <v>9415.61121091419</v>
      </c>
      <c r="BN133" s="9" t="n">
        <f aca="false">('Prices&amp;Fuel'!U133+'Prices&amp;Fuel'!V133+'Prices&amp;Fuel'!W133)*('Prices&amp;Fuel'!L133+'Prices&amp;Fuel'!O133)*'Prices&amp;Fuel'!H133</f>
        <v>71837.1156955693</v>
      </c>
      <c r="BO133" s="9" t="n">
        <f aca="false">((BB133+BC133+BD133)*(1-'Prices&amp;Fuel'!G133))*('Prices&amp;Fuel'!M133+'Prices&amp;Fuel'!P133)*'Prices&amp;Fuel'!H133</f>
        <v>358472.932999997</v>
      </c>
      <c r="BP133" s="9" t="n">
        <f aca="false">((BD133+BC133+BB133+BE133+BF133+BG133)*BK133*'Prices&amp;Fuel'!H133)+BM133+BN133+BO133</f>
        <v>3479895.48774952</v>
      </c>
      <c r="BQ133" s="5" t="n">
        <f aca="false">BL133-BP133</f>
        <v>23780.0843094555</v>
      </c>
      <c r="CA133" s="5" t="n">
        <f aca="false">(AF133+AG133+AH133+AL133)*0.005*'Prices&amp;Fuel'!H133</f>
        <v>31876.6066838046</v>
      </c>
      <c r="CB133" s="5" t="n">
        <f aca="false">(B133+C133+D133+O133+P133+Q133+X133+Y133+BB133+BC133+BD133+BE133+BF133+BG133+BR133+BS133)*0.005*'Prices&amp;Fuel'!H133</f>
        <v>7237.54370179946</v>
      </c>
      <c r="CC133" s="7" t="n">
        <f aca="false">K133+T133+AB133+AY133+BL133+BX133</f>
        <v>35355307.6738047</v>
      </c>
      <c r="CD133" s="7" t="n">
        <f aca="false">L133+U133+AC133+AZ133+BP133+BY133+CA133+CB133</f>
        <v>35145203.7247651</v>
      </c>
      <c r="CE133" s="7" t="n">
        <f aca="false">CC133-CD133</f>
        <v>210103.949039526</v>
      </c>
      <c r="CF133" s="7" t="n">
        <f aca="false">'Index Price Deals'!AR133</f>
        <v>0</v>
      </c>
      <c r="CG133" s="7" t="n">
        <f aca="false">'Index Price Deals'!AS133</f>
        <v>0</v>
      </c>
      <c r="CH133" s="7" t="n">
        <f aca="false">'Index Price Deals'!AT133</f>
        <v>0</v>
      </c>
      <c r="CI133" s="7" t="n">
        <f aca="false">'Index Price Deals'!AU133</f>
        <v>0</v>
      </c>
      <c r="CJ133" s="7" t="n">
        <f aca="false">CC133+CF133</f>
        <v>35355307.6738047</v>
      </c>
      <c r="CK133" s="7" t="n">
        <f aca="false">CD133+CH133</f>
        <v>35145203.7247651</v>
      </c>
      <c r="CL133" s="7" t="n">
        <f aca="false">CE133+CI133</f>
        <v>210103.949039526</v>
      </c>
      <c r="CM133" s="69"/>
      <c r="CN133" s="7" t="n">
        <f aca="false">Transport!U133</f>
        <v>3.14901408273727E-009</v>
      </c>
      <c r="CQ133" s="7" t="n">
        <f aca="false">(((($B133+$C133+$D133+$O133+$P133+$Q133)*0.5)+BR133+BS133)*(0.005*'Prices&amp;Fuel'!$H133)+'Index Price Deals'!AV133)+(((BB133+BC133+BD133+BE133+BF133+BG133)*(1-'Prices&amp;Fuel'!F133))*0.005*0.5*'Prices&amp;Fuel'!H133)</f>
        <v>3572.74999999999</v>
      </c>
      <c r="CR133" s="7" t="n">
        <f aca="false">(((($B133+$C133+$D133+$O133+$P133+$Q133)*0.5)+X133+Y133)*(0.005*'Prices&amp;Fuel'!$H133)+CA133+'Index Price Deals'!AW133)+(((BB133+BC133+BD133+BE133+BF133+BG133)*(1-'Prices&amp;Fuel'!F133))*0.005*0.5*'Prices&amp;Fuel'!H133)</f>
        <v>35449.3566838046</v>
      </c>
      <c r="CS133" s="11"/>
      <c r="CT133" s="7" t="n">
        <f aca="false">[2]Sheet1!$O152</f>
        <v>-405534.381091914</v>
      </c>
      <c r="CU133" s="7" t="n">
        <f aca="false">'[3]Long Term Deals'!$Z132</f>
        <v>-47800.0291937973</v>
      </c>
      <c r="CV133" s="70" t="n">
        <f aca="false">CL133-CN133-CT133+CU133+CS133+CO133</f>
        <v>567838.30093764</v>
      </c>
      <c r="DB133" s="1" t="n">
        <f aca="false">(O133+P133+Q133)*'Prices&amp;Fuel'!$H133</f>
        <v>778100</v>
      </c>
      <c r="DE133" s="1" t="n">
        <v>200000</v>
      </c>
    </row>
    <row r="134" customFormat="false" ht="12.75" hidden="false" customHeight="false" outlineLevel="0" collapsed="false">
      <c r="A134" s="6" t="n">
        <f aca="false">+A133+365/12</f>
        <v>39672.75</v>
      </c>
      <c r="O134" s="7" t="n">
        <v>9036</v>
      </c>
      <c r="P134" s="7" t="n">
        <v>10794</v>
      </c>
      <c r="Q134" s="7" t="n">
        <v>5270</v>
      </c>
      <c r="R134" s="8" t="n">
        <f aca="false">R133</f>
        <v>3.5973</v>
      </c>
      <c r="S134" s="8" t="n">
        <f aca="false">S133</f>
        <v>3.5841</v>
      </c>
      <c r="T134" s="7" t="n">
        <f aca="false">(($O134*R134)+($P134*R134)+($Q134*R134))*'Prices&amp;Fuel'!$H134</f>
        <v>2799059.13</v>
      </c>
      <c r="U134" s="7" t="n">
        <f aca="false">(($O134*S134)+($P134*S134)+($Q134*S134))*'Prices&amp;Fuel'!$H134</f>
        <v>2788788.21</v>
      </c>
      <c r="V134" s="14" t="n">
        <f aca="false">T134-U134</f>
        <v>10270.9200000004</v>
      </c>
      <c r="AF134" s="7" t="n">
        <f aca="false">((100000)/(1-'Prices&amp;Fuel'!F134))+(25000/(1-'Prices&amp;Fuel'!G134))-AI134</f>
        <v>128534.70437018</v>
      </c>
      <c r="AG134" s="7" t="n">
        <v>0</v>
      </c>
      <c r="AH134" s="7" t="n">
        <f aca="false">(75000/(1-'Prices&amp;Fuel'!G134))-AK134</f>
        <v>77120.822622108</v>
      </c>
      <c r="AI134" s="7"/>
      <c r="AJ134" s="7"/>
      <c r="AK134" s="7"/>
      <c r="AL134" s="11" t="n">
        <f aca="false">ROUND((200000/(1-'Prices&amp;Fuel'!F134))-AF134-AG134-AH134,0)</f>
        <v>0</v>
      </c>
      <c r="AM134" s="7" t="n">
        <f aca="false">ROUND(IF(AF134&lt;AP134,0,(AF134-AP134-AI134)/2),0)</f>
        <v>64267</v>
      </c>
      <c r="AO134" s="7" t="n">
        <f aca="false">ROUND((75000/(1-'Prices&amp;Fuel'!G134)-AV134-AK134)/2,0)</f>
        <v>38560</v>
      </c>
      <c r="AR134" s="7" t="n">
        <f aca="false">IF(AP134&gt;AF134,0,AF134-AM134-AP134)</f>
        <v>64267.70437018</v>
      </c>
      <c r="AT134" s="14" t="n">
        <f aca="false">AH134-AO134-AV134</f>
        <v>38560.822622108</v>
      </c>
      <c r="AU134" s="14" t="n">
        <f aca="false">AL134*AX134*'Prices&amp;Fuel'!H134</f>
        <v>0</v>
      </c>
      <c r="AW134" s="68" t="n">
        <f aca="false">AW133</f>
        <v>0.03</v>
      </c>
      <c r="AX134" s="68" t="n">
        <f aca="false">AX133</f>
        <v>0.015</v>
      </c>
      <c r="AY134" s="5" t="n">
        <f aca="false">('Prices&amp;Fuel'!H134*('Prices&amp;Fuel'!B134+AW134)*'Long Term Deals'!AF134)+('Prices&amp;Fuel'!H134*('Prices&amp;Fuel'!C134+'Long Term Deals'!AW134)*'Long Term Deals'!AG134)+(AH134*('Prices&amp;Fuel'!C134+AW134)*'Prices&amp;Fuel'!H134)+(AW134*AL134*'Prices&amp;Fuel'!H134)</f>
        <v>25398105.6563604</v>
      </c>
      <c r="AZ134" s="5" t="n">
        <f aca="false">(AP134*'Prices&amp;Fuel'!H134*'Prices&amp;Fuel'!B134)+(AQ134*'Prices&amp;Fuel'!C134*'Prices&amp;Fuel'!H134)+((AM134+AR134)*('Prices&amp;Fuel'!B134+'Long Term Deals'!AX134)*'Prices&amp;Fuel'!H134)+((AN134+AS134)*('Prices&amp;Fuel'!C134+'Long Term Deals'!AX134)*'Prices&amp;Fuel'!H134)+((AO134+AT134)*('Prices&amp;Fuel'!D134+'Long Term Deals'!AX134)*'Prices&amp;Fuel'!H134)+(AV134*'Prices&amp;Fuel'!H134*'Prices&amp;Fuel'!Q134)+AU134</f>
        <v>25182938.5612448</v>
      </c>
      <c r="BA134" s="5" t="n">
        <f aca="false">AY134-AZ134</f>
        <v>215167.095115677</v>
      </c>
      <c r="BB134" s="5" t="n">
        <f aca="false">IF('FP Corp'!T134-((BE134+BF134+BG134)*(1-'Prices&amp;Fuel'!F134))&lt;'Prices&amp;Fuel'!R134,('FP Corp'!T134-(BE134+BF134+BG134)*(1-'Prices&amp;Fuel'!F134)),'Prices&amp;Fuel'!R134)/(1-'Prices&amp;Fuel'!F134)</f>
        <v>8976.86375321337</v>
      </c>
      <c r="BC134" s="9"/>
      <c r="BD134" s="9" t="n">
        <f aca="false">ROUND(IF('FP Corp'!T134/(1-'Prices&amp;Fuel'!F134)-BE134-BF134-BG134-BB134&gt;'Prices&amp;Fuel'!T134,'Prices&amp;Fuel'!T134,'FP Corp'!T134/(1-'Prices&amp;Fuel'!F134)-BE134-BF134-BG134-BB134),9)</f>
        <v>6556.298200514</v>
      </c>
      <c r="BE134" s="9" t="n">
        <f aca="false">'Prices&amp;Fuel'!U134/(1-'Prices&amp;Fuel'!F134)</f>
        <v>1933.16195372751</v>
      </c>
      <c r="BF134" s="9" t="n">
        <f aca="false">('Prices&amp;Fuel'!V134+'Prices&amp;Fuel'!X134)/(1-'Prices&amp;Fuel'!F134)</f>
        <v>3062.21079691517</v>
      </c>
      <c r="BG134" s="9" t="n">
        <f aca="false">'Prices&amp;Fuel'!W134/(1-'Prices&amp;Fuel'!F134)</f>
        <v>1065.29562982005</v>
      </c>
      <c r="BH134" s="10" t="n">
        <f aca="false">('Prices&amp;Fuel'!C134+'Prices&amp;Fuel'!D134)/2-0.05+('Prices&amp;Fuel'!M134+'Prices&amp;Fuel'!P134)*(1-'Prices&amp;Fuel'!F134)</f>
        <v>4.66076451625976</v>
      </c>
      <c r="BI134" s="10"/>
      <c r="BJ134" s="10"/>
      <c r="BK134" s="10" t="n">
        <f aca="false">(((BB134+BE134)*('Prices&amp;Fuel'!B134+0.025))+(('Prices&amp;Fuel'!D134+0.025)*(BD134+BG134))+(('Prices&amp;Fuel'!C134+0.025)*(BC134+BF134))-(BI134+BJ134)*0.025)/(BB134+BC134+BD134+BE134+BF134+BG134)</f>
        <v>3.96835386149786</v>
      </c>
      <c r="BL134" s="9" t="n">
        <f aca="false">(BB134+BC134+BD134+BE134+BF134+BG134)*BH134*'Prices&amp;Fuel'!H134</f>
        <v>3119956.50394353</v>
      </c>
      <c r="BM134" s="9" t="n">
        <f aca="false">'Prices&amp;Fuel'!X134*('Prices&amp;Fuel'!N134+'Prices&amp;Fuel'!O134)*'Prices&amp;Fuel'!H134</f>
        <v>9415.61121091419</v>
      </c>
      <c r="BN134" s="9" t="n">
        <f aca="false">('Prices&amp;Fuel'!U134+'Prices&amp;Fuel'!V134+'Prices&amp;Fuel'!W134)*('Prices&amp;Fuel'!L134+'Prices&amp;Fuel'!O134)*'Prices&amp;Fuel'!H134</f>
        <v>71837.1156955693</v>
      </c>
      <c r="BO134" s="9" t="n">
        <f aca="false">((BB134+BC134+BD134)*(1-'Prices&amp;Fuel'!G134))*('Prices&amp;Fuel'!M134+'Prices&amp;Fuel'!P134)*'Prices&amp;Fuel'!H134</f>
        <v>358472.932999997</v>
      </c>
      <c r="BP134" s="9" t="n">
        <f aca="false">((BD134+BC134+BB134+BE134+BF134+BG134)*BK134*'Prices&amp;Fuel'!H134)+BM134+BN134+BO134</f>
        <v>3096176.41963408</v>
      </c>
      <c r="BQ134" s="5" t="n">
        <f aca="false">BL134-BP134</f>
        <v>23780.0843094555</v>
      </c>
      <c r="CA134" s="5" t="n">
        <f aca="false">(AF134+AG134+AH134+AL134)*0.005*'Prices&amp;Fuel'!H134</f>
        <v>31876.6066838046</v>
      </c>
      <c r="CB134" s="5" t="n">
        <f aca="false">(B134+C134+D134+O134+P134+Q134+X134+Y134+BB134+BC134+BD134+BE134+BF134+BG134+BR134+BS134)*0.005*'Prices&amp;Fuel'!H134</f>
        <v>7237.54370179946</v>
      </c>
      <c r="CC134" s="7" t="n">
        <f aca="false">K134+T134+AB134+AY134+BL134+BX134</f>
        <v>31317121.290304</v>
      </c>
      <c r="CD134" s="7" t="n">
        <f aca="false">L134+U134+AC134+AZ134+BP134+BY134+CA134+CB134</f>
        <v>31107017.3412644</v>
      </c>
      <c r="CE134" s="7" t="n">
        <f aca="false">CC134-CD134</f>
        <v>210103.949039526</v>
      </c>
      <c r="CF134" s="7" t="n">
        <f aca="false">'Index Price Deals'!AR134</f>
        <v>0</v>
      </c>
      <c r="CG134" s="7" t="n">
        <f aca="false">'Index Price Deals'!AS134</f>
        <v>0</v>
      </c>
      <c r="CH134" s="7" t="n">
        <f aca="false">'Index Price Deals'!AT134</f>
        <v>0</v>
      </c>
      <c r="CI134" s="7" t="n">
        <f aca="false">'Index Price Deals'!AU134</f>
        <v>0</v>
      </c>
      <c r="CJ134" s="7" t="n">
        <f aca="false">CC134+CF134</f>
        <v>31317121.290304</v>
      </c>
      <c r="CK134" s="7" t="n">
        <f aca="false">CD134+CH134</f>
        <v>31107017.3412644</v>
      </c>
      <c r="CL134" s="7" t="n">
        <f aca="false">CE134+CI134</f>
        <v>210103.949039526</v>
      </c>
      <c r="CM134" s="69"/>
      <c r="CN134" s="7" t="n">
        <f aca="false">Transport!U134</f>
        <v>3.14901408273727E-009</v>
      </c>
      <c r="CQ134" s="7" t="n">
        <f aca="false">(((($B134+$C134+$D134+$O134+$P134+$Q134)*0.5)+BR134+BS134)*(0.005*'Prices&amp;Fuel'!$H134)+'Index Price Deals'!AV134)+(((BB134+BC134+BD134+BE134+BF134+BG134)*(1-'Prices&amp;Fuel'!F134))*0.005*0.5*'Prices&amp;Fuel'!H134)</f>
        <v>3572.74999999999</v>
      </c>
      <c r="CR134" s="7" t="n">
        <f aca="false">(((($B134+$C134+$D134+$O134+$P134+$Q134)*0.5)+X134+Y134)*(0.005*'Prices&amp;Fuel'!$H134)+CA134+'Index Price Deals'!AW134)+(((BB134+BC134+BD134+BE134+BF134+BG134)*(1-'Prices&amp;Fuel'!F134))*0.005*0.5*'Prices&amp;Fuel'!H134)</f>
        <v>35449.3566838046</v>
      </c>
      <c r="CS134" s="11"/>
      <c r="CT134" s="7" t="n">
        <f aca="false">[2]Sheet1!$O153</f>
        <v>-405534.381091914</v>
      </c>
      <c r="CU134" s="7" t="n">
        <f aca="false">'[3]Long Term Deals'!$Z133</f>
        <v>-47800.0291937973</v>
      </c>
      <c r="CV134" s="70" t="n">
        <f aca="false">CL134-CN134-CT134+CU134+CS134+CO134</f>
        <v>567838.30093764</v>
      </c>
      <c r="DB134" s="1" t="n">
        <f aca="false">(O134+P134+Q134)*'Prices&amp;Fuel'!$H134</f>
        <v>778100</v>
      </c>
      <c r="DE134" s="1" t="n">
        <v>200000</v>
      </c>
    </row>
    <row r="135" customFormat="false" ht="12.75" hidden="false" customHeight="false" outlineLevel="0" collapsed="false">
      <c r="A135" s="6" t="n">
        <f aca="false">+A134+365/12</f>
        <v>39703.1666666667</v>
      </c>
      <c r="O135" s="7" t="n">
        <v>9036</v>
      </c>
      <c r="P135" s="7" t="n">
        <v>10794</v>
      </c>
      <c r="Q135" s="7" t="n">
        <v>5270</v>
      </c>
      <c r="R135" s="8" t="n">
        <f aca="false">R134</f>
        <v>3.5973</v>
      </c>
      <c r="S135" s="8" t="n">
        <f aca="false">S134</f>
        <v>3.5841</v>
      </c>
      <c r="T135" s="7" t="n">
        <f aca="false">(($O135*R135)+($P135*R135)+($Q135*R135))*'Prices&amp;Fuel'!$H135</f>
        <v>2708766.9</v>
      </c>
      <c r="U135" s="7" t="n">
        <f aca="false">(($O135*S135)+($P135*S135)+($Q135*S135))*'Prices&amp;Fuel'!$H135</f>
        <v>2698827.3</v>
      </c>
      <c r="V135" s="14" t="n">
        <f aca="false">T135-U135</f>
        <v>9939.60000000009</v>
      </c>
      <c r="AF135" s="7" t="n">
        <f aca="false">((100000)/(1-'Prices&amp;Fuel'!F135))+(25000/(1-'Prices&amp;Fuel'!G135))-AI135</f>
        <v>128534.70437018</v>
      </c>
      <c r="AG135" s="7" t="n">
        <v>0</v>
      </c>
      <c r="AH135" s="7" t="n">
        <f aca="false">(75000/(1-'Prices&amp;Fuel'!G135))-AK135</f>
        <v>77120.822622108</v>
      </c>
      <c r="AI135" s="7"/>
      <c r="AJ135" s="7"/>
      <c r="AK135" s="7"/>
      <c r="AL135" s="11" t="n">
        <f aca="false">ROUND((200000/(1-'Prices&amp;Fuel'!F135))-AF135-AG135-AH135,0)</f>
        <v>0</v>
      </c>
      <c r="AM135" s="7" t="n">
        <f aca="false">ROUND(IF(AF135&lt;AP135,0,(AF135-AP135-AI135)/2),0)</f>
        <v>64267</v>
      </c>
      <c r="AO135" s="7" t="n">
        <f aca="false">ROUND((75000/(1-'Prices&amp;Fuel'!G135)-AV135-AK135)/2,0)</f>
        <v>38560</v>
      </c>
      <c r="AR135" s="7" t="n">
        <f aca="false">IF(AP135&gt;AF135,0,AF135-AM135-AP135)</f>
        <v>64267.70437018</v>
      </c>
      <c r="AT135" s="14" t="n">
        <f aca="false">AH135-AO135-AV135</f>
        <v>38560.822622108</v>
      </c>
      <c r="AU135" s="14" t="n">
        <f aca="false">AL135*AX135*'Prices&amp;Fuel'!H135</f>
        <v>0</v>
      </c>
      <c r="AW135" s="68" t="n">
        <f aca="false">AW134</f>
        <v>0.03</v>
      </c>
      <c r="AX135" s="68" t="n">
        <f aca="false">AX134</f>
        <v>0.015</v>
      </c>
      <c r="AY135" s="5" t="n">
        <f aca="false">('Prices&amp;Fuel'!H135*('Prices&amp;Fuel'!B135+AW135)*'Long Term Deals'!AF135)+('Prices&amp;Fuel'!H135*('Prices&amp;Fuel'!C135+'Long Term Deals'!AW135)*'Long Term Deals'!AG135)+(AH135*('Prices&amp;Fuel'!C135+AW135)*'Prices&amp;Fuel'!H135)+(AW135*AL135*'Prices&amp;Fuel'!H135)</f>
        <v>29621714.8517586</v>
      </c>
      <c r="AZ135" s="5" t="n">
        <f aca="false">(AP135*'Prices&amp;Fuel'!H135*'Prices&amp;Fuel'!B135)+(AQ135*'Prices&amp;Fuel'!C135*'Prices&amp;Fuel'!H135)+((AM135+AR135)*('Prices&amp;Fuel'!B135+'Long Term Deals'!AX135)*'Prices&amp;Fuel'!H135)+((AN135+AS135)*('Prices&amp;Fuel'!C135+'Long Term Deals'!AX135)*'Prices&amp;Fuel'!H135)+((AO135+AT135)*('Prices&amp;Fuel'!D135+'Long Term Deals'!AX135)*'Prices&amp;Fuel'!H135)+(AV135*'Prices&amp;Fuel'!H135*'Prices&amp;Fuel'!Q135)+AU135</f>
        <v>29413488.6306789</v>
      </c>
      <c r="BA135" s="5" t="n">
        <f aca="false">AY135-AZ135</f>
        <v>208226.221079692</v>
      </c>
      <c r="BB135" s="5" t="n">
        <f aca="false">IF('FP Corp'!T135-((BE135+BF135+BG135)*(1-'Prices&amp;Fuel'!F135))&lt;'Prices&amp;Fuel'!R135,('FP Corp'!T135-(BE135+BF135+BG135)*(1-'Prices&amp;Fuel'!F135)),'Prices&amp;Fuel'!R135)/(1-'Prices&amp;Fuel'!F135)</f>
        <v>8976.86375321337</v>
      </c>
      <c r="BC135" s="9"/>
      <c r="BD135" s="9" t="n">
        <f aca="false">ROUND(IF('FP Corp'!T135/(1-'Prices&amp;Fuel'!F135)-BE135-BF135-BG135-BB135&gt;'Prices&amp;Fuel'!T135,'Prices&amp;Fuel'!T135,'FP Corp'!T135/(1-'Prices&amp;Fuel'!F135)-BE135-BF135-BG135-BB135),9)</f>
        <v>6556.298200514</v>
      </c>
      <c r="BE135" s="9" t="n">
        <f aca="false">'Prices&amp;Fuel'!U135/(1-'Prices&amp;Fuel'!F135)</f>
        <v>1933.16195372751</v>
      </c>
      <c r="BF135" s="9" t="n">
        <f aca="false">('Prices&amp;Fuel'!V135+'Prices&amp;Fuel'!X135)/(1-'Prices&amp;Fuel'!F135)</f>
        <v>3062.21079691517</v>
      </c>
      <c r="BG135" s="9" t="n">
        <f aca="false">'Prices&amp;Fuel'!W135/(1-'Prices&amp;Fuel'!F135)</f>
        <v>1065.29562982005</v>
      </c>
      <c r="BH135" s="10" t="n">
        <f aca="false">('Prices&amp;Fuel'!C135+'Prices&amp;Fuel'!D135)/2-0.05+('Prices&amp;Fuel'!M135+'Prices&amp;Fuel'!P135)*(1-'Prices&amp;Fuel'!F135)</f>
        <v>5.47813503222253</v>
      </c>
      <c r="BI135" s="10"/>
      <c r="BJ135" s="10"/>
      <c r="BK135" s="10" t="n">
        <f aca="false">(((BB135+BE135)*('Prices&amp;Fuel'!B135+0.025))+(('Prices&amp;Fuel'!D135+0.025)*(BD135+BG135))+(('Prices&amp;Fuel'!C135+0.025)*(BC135+BF135))-(BI135+BJ135)*0.025)/(BB135+BC135+BD135+BE135+BF135+BG135)</f>
        <v>4.78572437746063</v>
      </c>
      <c r="BL135" s="9" t="n">
        <f aca="false">(BB135+BC135+BD135+BE135+BF135+BG135)*BH135*'Prices&amp;Fuel'!H135</f>
        <v>3548817.55300789</v>
      </c>
      <c r="BM135" s="9" t="n">
        <f aca="false">'Prices&amp;Fuel'!X135*('Prices&amp;Fuel'!N135+'Prices&amp;Fuel'!O135)*'Prices&amp;Fuel'!H135</f>
        <v>9111.88181701374</v>
      </c>
      <c r="BN135" s="9" t="n">
        <f aca="false">('Prices&amp;Fuel'!U135+'Prices&amp;Fuel'!V135+'Prices&amp;Fuel'!W135)*('Prices&amp;Fuel'!L135+'Prices&amp;Fuel'!O135)*'Prices&amp;Fuel'!H135</f>
        <v>69519.7893828091</v>
      </c>
      <c r="BO135" s="9" t="n">
        <f aca="false">((BB135+BC135+BD135)*(1-'Prices&amp;Fuel'!G135))*('Prices&amp;Fuel'!M135+'Prices&amp;Fuel'!P135)*'Prices&amp;Fuel'!H135</f>
        <v>346909.289999997</v>
      </c>
      <c r="BP135" s="9" t="n">
        <f aca="false">((BD135+BC135+BB135+BE135+BF135+BG135)*BK135*'Prices&amp;Fuel'!H135)+BM135+BN135+BO135</f>
        <v>3525804.56819229</v>
      </c>
      <c r="BQ135" s="5" t="n">
        <f aca="false">BL135-BP135</f>
        <v>23012.9848156008</v>
      </c>
      <c r="CA135" s="5" t="n">
        <f aca="false">(AF135+AG135+AH135+AL135)*0.005*'Prices&amp;Fuel'!H135</f>
        <v>30848.3290488432</v>
      </c>
      <c r="CB135" s="5" t="n">
        <f aca="false">(B135+C135+D135+O135+P135+Q135+X135+Y135+BB135+BC135+BD135+BE135+BF135+BG135+BR135+BS135)*0.005*'Prices&amp;Fuel'!H135</f>
        <v>7004.07455012851</v>
      </c>
      <c r="CC135" s="7" t="n">
        <f aca="false">K135+T135+AB135+AY135+BL135+BX135</f>
        <v>35879299.3047664</v>
      </c>
      <c r="CD135" s="7" t="n">
        <f aca="false">L135+U135+AC135+AZ135+BP135+BY135+CA135+CB135</f>
        <v>35675972.9024701</v>
      </c>
      <c r="CE135" s="7" t="n">
        <f aca="false">CC135-CD135</f>
        <v>203326.40229632</v>
      </c>
      <c r="CF135" s="7" t="n">
        <f aca="false">'Index Price Deals'!AR135</f>
        <v>0</v>
      </c>
      <c r="CG135" s="7" t="n">
        <f aca="false">'Index Price Deals'!AS135</f>
        <v>0</v>
      </c>
      <c r="CH135" s="7" t="n">
        <f aca="false">'Index Price Deals'!AT135</f>
        <v>0</v>
      </c>
      <c r="CI135" s="7" t="n">
        <f aca="false">'Index Price Deals'!AU135</f>
        <v>0</v>
      </c>
      <c r="CJ135" s="7" t="n">
        <f aca="false">CC135+CF135</f>
        <v>35879299.3047664</v>
      </c>
      <c r="CK135" s="7" t="n">
        <f aca="false">CD135+CH135</f>
        <v>35675972.9024701</v>
      </c>
      <c r="CL135" s="7" t="n">
        <f aca="false">CE135+CI135</f>
        <v>203326.40229632</v>
      </c>
      <c r="CM135" s="69"/>
      <c r="CN135" s="7" t="n">
        <f aca="false">Transport!U135</f>
        <v>3.04743298329413E-009</v>
      </c>
      <c r="CQ135" s="7" t="n">
        <f aca="false">(((($B135+$C135+$D135+$O135+$P135+$Q135)*0.5)+BR135+BS135)*(0.005*'Prices&amp;Fuel'!$H135)+'Index Price Deals'!AV135)+(((BB135+BC135+BD135+BE135+BF135+BG135)*(1-'Prices&amp;Fuel'!F135))*0.005*0.5*'Prices&amp;Fuel'!H135)</f>
        <v>3457.49999999999</v>
      </c>
      <c r="CR135" s="7" t="n">
        <f aca="false">(((($B135+$C135+$D135+$O135+$P135+$Q135)*0.5)+X135+Y135)*(0.005*'Prices&amp;Fuel'!$H135)+CA135+'Index Price Deals'!AW135)+(((BB135+BC135+BD135+BE135+BF135+BG135)*(1-'Prices&amp;Fuel'!F135))*0.005*0.5*'Prices&amp;Fuel'!H135)</f>
        <v>34305.8290488432</v>
      </c>
      <c r="CS135" s="11"/>
      <c r="CT135" s="7" t="n">
        <f aca="false">[2]Sheet1!$O154</f>
        <v>-392452.626863143</v>
      </c>
      <c r="CU135" s="7" t="n">
        <f aca="false">'[3]Long Term Deals'!$Z134</f>
        <v>-46258.092768191</v>
      </c>
      <c r="CV135" s="70" t="n">
        <f aca="false">CL135-CN135-CT135+CU135+CS135+CO135</f>
        <v>549520.936391268</v>
      </c>
      <c r="DB135" s="1" t="n">
        <f aca="false">(O135+P135+Q135)*'Prices&amp;Fuel'!$H135</f>
        <v>753000</v>
      </c>
      <c r="DE135" s="1" t="n">
        <v>200000</v>
      </c>
    </row>
    <row r="136" customFormat="false" ht="12.75" hidden="false" customHeight="false" outlineLevel="0" collapsed="false">
      <c r="A136" s="6" t="n">
        <f aca="false">+A135+365/12</f>
        <v>39733.5833333333</v>
      </c>
      <c r="O136" s="7" t="n">
        <v>9036</v>
      </c>
      <c r="P136" s="7" t="n">
        <v>10794</v>
      </c>
      <c r="Q136" s="7" t="n">
        <v>5270</v>
      </c>
      <c r="R136" s="8" t="n">
        <f aca="false">R135</f>
        <v>3.5973</v>
      </c>
      <c r="S136" s="8" t="n">
        <f aca="false">S135</f>
        <v>3.5841</v>
      </c>
      <c r="T136" s="7" t="n">
        <f aca="false">(($O136*R136)+($P136*R136)+($Q136*R136))*'Prices&amp;Fuel'!$H136</f>
        <v>2799059.13</v>
      </c>
      <c r="U136" s="7" t="n">
        <f aca="false">(($O136*S136)+($P136*S136)+($Q136*S136))*'Prices&amp;Fuel'!$H136</f>
        <v>2788788.21</v>
      </c>
      <c r="V136" s="14" t="n">
        <f aca="false">T136-U136</f>
        <v>10270.9200000004</v>
      </c>
      <c r="AF136" s="7" t="n">
        <f aca="false">(32000/(1-'Prices&amp;Fuel'!F136))+(25000/(1-'Prices&amp;Fuel'!G136))-AI136</f>
        <v>58611.8251928021</v>
      </c>
      <c r="AG136" s="7" t="n">
        <v>0</v>
      </c>
      <c r="AH136" s="7" t="n">
        <f aca="false">(75000/(1-'Prices&amp;Fuel'!G136))-AK136</f>
        <v>77120.822622108</v>
      </c>
      <c r="AI136" s="7"/>
      <c r="AJ136" s="7"/>
      <c r="AK136" s="7"/>
      <c r="AL136" s="11" t="n">
        <f aca="false">ROUND((132000/(1-'Prices&amp;Fuel'!F136))-AF136-AG136-AH136,0)</f>
        <v>0</v>
      </c>
      <c r="AM136" s="7" t="n">
        <f aca="false">ROUND(IF(AF136&lt;AP136,0,(AF136-AP136-AI136)/2),0)</f>
        <v>29306</v>
      </c>
      <c r="AO136" s="7" t="n">
        <f aca="false">ROUND((75000/(1-'Prices&amp;Fuel'!G136)-AV136-AK136)/2,0)</f>
        <v>38560</v>
      </c>
      <c r="AR136" s="7" t="n">
        <f aca="false">IF(AP136&gt;AF136,0,AF136-AM136-AP136)</f>
        <v>29305.8251928021</v>
      </c>
      <c r="AT136" s="14" t="n">
        <f aca="false">AH136-AO136-AV136</f>
        <v>38560.822622108</v>
      </c>
      <c r="AU136" s="14" t="n">
        <f aca="false">AL136*AX136*'Prices&amp;Fuel'!H136</f>
        <v>0</v>
      </c>
      <c r="AW136" s="68" t="n">
        <f aca="false">AW135</f>
        <v>0.03</v>
      </c>
      <c r="AX136" s="68" t="n">
        <f aca="false">AX135</f>
        <v>0.015</v>
      </c>
      <c r="AY136" s="5" t="n">
        <f aca="false">('Prices&amp;Fuel'!H136*('Prices&amp;Fuel'!B136+AW136)*'Long Term Deals'!AF136)+('Prices&amp;Fuel'!H136*('Prices&amp;Fuel'!C136+'Long Term Deals'!AW136)*'Long Term Deals'!AG136)+(AH136*('Prices&amp;Fuel'!C136+AW136)*'Prices&amp;Fuel'!H136)+(AW136*AL136*'Prices&amp;Fuel'!H136)</f>
        <v>23288049.1281346</v>
      </c>
      <c r="AZ136" s="5" t="n">
        <f aca="false">(AP136*'Prices&amp;Fuel'!H136*'Prices&amp;Fuel'!B136)+(AQ136*'Prices&amp;Fuel'!C136*'Prices&amp;Fuel'!H136)+((AM136+AR136)*('Prices&amp;Fuel'!B136+'Long Term Deals'!AX136)*'Prices&amp;Fuel'!H136)+((AN136+AS136)*('Prices&amp;Fuel'!C136+'Long Term Deals'!AX136)*'Prices&amp;Fuel'!H136)+((AO136+AT136)*('Prices&amp;Fuel'!D136+'Long Term Deals'!AX136)*'Prices&amp;Fuel'!H136)+(AV136*'Prices&amp;Fuel'!H136*'Prices&amp;Fuel'!Q136)+AU136</f>
        <v>23105396.1718364</v>
      </c>
      <c r="BA136" s="5" t="n">
        <f aca="false">AY136-AZ136</f>
        <v>182652.956298202</v>
      </c>
      <c r="BB136" s="5" t="n">
        <f aca="false">IF('FP Corp'!T136-((BE136+BF136+BG136)*(1-'Prices&amp;Fuel'!F136))&lt;'Prices&amp;Fuel'!R136,('FP Corp'!T136-(BE136+BF136+BG136)*(1-'Prices&amp;Fuel'!F136)),'Prices&amp;Fuel'!R136)/(1-'Prices&amp;Fuel'!F136)</f>
        <v>8976.86375321337</v>
      </c>
      <c r="BC136" s="9"/>
      <c r="BD136" s="9" t="n">
        <f aca="false">ROUND(IF('FP Corp'!T136/(1-'Prices&amp;Fuel'!F136)-BE136-BF136-BG136-BB136&gt;'Prices&amp;Fuel'!T136,'Prices&amp;Fuel'!T136,'FP Corp'!T136/(1-'Prices&amp;Fuel'!F136)-BE136-BF136-BG136-BB136),9)</f>
        <v>3514.652956298</v>
      </c>
      <c r="BE136" s="9" t="n">
        <f aca="false">'Prices&amp;Fuel'!U136/(1-'Prices&amp;Fuel'!F136)</f>
        <v>2910.02570694087</v>
      </c>
      <c r="BF136" s="9" t="n">
        <f aca="false">('Prices&amp;Fuel'!V136+'Prices&amp;Fuel'!X136)/(1-'Prices&amp;Fuel'!F136)</f>
        <v>4628.27763496144</v>
      </c>
      <c r="BG136" s="9" t="n">
        <f aca="false">'Prices&amp;Fuel'!W136/(1-'Prices&amp;Fuel'!F136)</f>
        <v>1564.01028277635</v>
      </c>
      <c r="BH136" s="10" t="n">
        <f aca="false">('Prices&amp;Fuel'!C136+'Prices&amp;Fuel'!D136)/2-0.05+('Prices&amp;Fuel'!M136+'Prices&amp;Fuel'!P136)*(1-'Prices&amp;Fuel'!F136)</f>
        <v>6.19996873463121</v>
      </c>
      <c r="BI136" s="10"/>
      <c r="BJ136" s="10"/>
      <c r="BK136" s="10" t="n">
        <f aca="false">(((BB136+BE136)*('Prices&amp;Fuel'!B136+0.025))+(('Prices&amp;Fuel'!D136+0.025)*(BD136+BG136))+(('Prices&amp;Fuel'!C136+0.025)*(BC136+BF136))-(BI136+BJ136)*0.025)/(BB136+BC136+BD136+BE136+BF136+BG136)</f>
        <v>5.51073188939312</v>
      </c>
      <c r="BL136" s="9" t="n">
        <f aca="false">(BB136+BC136+BD136+BE136+BF136+BG136)*BH136*'Prices&amp;Fuel'!H136</f>
        <v>4150313.26092019</v>
      </c>
      <c r="BM136" s="9" t="n">
        <f aca="false">'Prices&amp;Fuel'!X136*('Prices&amp;Fuel'!N136+'Prices&amp;Fuel'!O136)*'Prices&amp;Fuel'!H136</f>
        <v>13799.4536195097</v>
      </c>
      <c r="BN136" s="9" t="n">
        <f aca="false">('Prices&amp;Fuel'!U136+'Prices&amp;Fuel'!V136+'Prices&amp;Fuel'!W136)*('Prices&amp;Fuel'!L136+'Prices&amp;Fuel'!O136)*'Prices&amp;Fuel'!H136</f>
        <v>108231.279087683</v>
      </c>
      <c r="BO136" s="9" t="n">
        <f aca="false">((BB136+BC136+BD136)*(1-'Prices&amp;Fuel'!G136))*('Prices&amp;Fuel'!M136+'Prices&amp;Fuel'!P136)*'Prices&amp;Fuel'!H136</f>
        <v>288278.113999995</v>
      </c>
      <c r="BP136" s="9" t="n">
        <f aca="false">((BD136+BC136+BB136+BE136+BF136+BG136)*BK136*'Prices&amp;Fuel'!H136)+BM136+BN136+BO136</f>
        <v>4099240.93924692</v>
      </c>
      <c r="BQ136" s="5" t="n">
        <f aca="false">BL136-BP136</f>
        <v>51072.3216732708</v>
      </c>
      <c r="CA136" s="5" t="n">
        <f aca="false">(AF136+AG136+AH136+AL136)*0.005*'Prices&amp;Fuel'!H136</f>
        <v>21038.5604113111</v>
      </c>
      <c r="CB136" s="5" t="n">
        <f aca="false">(B136+C136+D136+O136+P136+Q136+X136+Y136+BB136+BC136+BD136+BE136+BF136+BG136+BR136+BS136)*0.005*'Prices&amp;Fuel'!H136</f>
        <v>7237.54370179946</v>
      </c>
      <c r="CC136" s="7" t="n">
        <f aca="false">K136+T136+AB136+AY136+BL136+BX136</f>
        <v>30237421.5190548</v>
      </c>
      <c r="CD136" s="7" t="n">
        <f aca="false">L136+U136+AC136+AZ136+BP136+BY136+CA136+CB136</f>
        <v>30021701.4251964</v>
      </c>
      <c r="CE136" s="7" t="n">
        <f aca="false">CC136-CD136</f>
        <v>215720.093858361</v>
      </c>
      <c r="CF136" s="7" t="n">
        <f aca="false">'Index Price Deals'!AR136</f>
        <v>0</v>
      </c>
      <c r="CG136" s="7" t="n">
        <f aca="false">'Index Price Deals'!AS136</f>
        <v>0</v>
      </c>
      <c r="CH136" s="7" t="n">
        <f aca="false">'Index Price Deals'!AT136</f>
        <v>0</v>
      </c>
      <c r="CI136" s="7" t="n">
        <f aca="false">'Index Price Deals'!AU136</f>
        <v>0</v>
      </c>
      <c r="CJ136" s="7" t="n">
        <f aca="false">CC136+CF136</f>
        <v>30237421.5190548</v>
      </c>
      <c r="CK136" s="7" t="n">
        <f aca="false">CD136+CH136</f>
        <v>30021701.4251964</v>
      </c>
      <c r="CL136" s="7" t="n">
        <f aca="false">CE136+CI136</f>
        <v>215720.093858361</v>
      </c>
      <c r="CM136" s="69"/>
      <c r="CN136" s="7" t="n">
        <f aca="false">Transport!U136</f>
        <v>4.39204595750198E-009</v>
      </c>
      <c r="CQ136" s="7" t="n">
        <f aca="false">(((($B136+$C136+$D136+$O136+$P136+$Q136)*0.5)+BR136+BS136)*(0.005*'Prices&amp;Fuel'!$H136)+'Index Price Deals'!AV136)+(((BB136+BC136+BD136+BE136+BF136+BG136)*(1-'Prices&amp;Fuel'!F136))*0.005*0.5*'Prices&amp;Fuel'!H136)</f>
        <v>3572.74999999999</v>
      </c>
      <c r="CR136" s="7" t="n">
        <f aca="false">(((($B136+$C136+$D136+$O136+$P136+$Q136)*0.5)+X136+Y136)*(0.005*'Prices&amp;Fuel'!$H136)+CA136+'Index Price Deals'!AW136)+(((BB136+BC136+BD136+BE136+BF136+BG136)*(1-'Prices&amp;Fuel'!F136))*0.005*0.5*'Prices&amp;Fuel'!H136)</f>
        <v>24611.310411311</v>
      </c>
      <c r="CS136" s="11"/>
      <c r="CT136" s="7" t="n">
        <f aca="false">[2]Sheet1!$O155</f>
        <v>-267652.691520663</v>
      </c>
      <c r="CU136" s="7" t="n">
        <f aca="false">'[3]Long Term Deals'!$Z135</f>
        <v>-31548.0192679062</v>
      </c>
      <c r="CV136" s="70" t="n">
        <f aca="false">CL136-CN136-CT136+CU136+CS136+CO136</f>
        <v>451824.766111114</v>
      </c>
      <c r="DB136" s="1" t="n">
        <f aca="false">(O136+P136+Q136)*'Prices&amp;Fuel'!$H136</f>
        <v>778100</v>
      </c>
      <c r="DE136" s="1" t="n">
        <v>132000</v>
      </c>
    </row>
    <row r="137" customFormat="false" ht="12.75" hidden="false" customHeight="false" outlineLevel="0" collapsed="false">
      <c r="A137" s="6" t="n">
        <f aca="false">+A136+365/12</f>
        <v>39764</v>
      </c>
      <c r="O137" s="7" t="n">
        <v>9036</v>
      </c>
      <c r="P137" s="7" t="n">
        <v>10794</v>
      </c>
      <c r="Q137" s="7" t="n">
        <v>5270</v>
      </c>
      <c r="R137" s="8" t="n">
        <f aca="false">R136</f>
        <v>3.5973</v>
      </c>
      <c r="S137" s="8" t="n">
        <f aca="false">S136</f>
        <v>3.5841</v>
      </c>
      <c r="T137" s="7" t="n">
        <f aca="false">(($O137*R137)+($P137*R137)+($Q137*R137))*'Prices&amp;Fuel'!$H137</f>
        <v>2708766.9</v>
      </c>
      <c r="U137" s="7" t="n">
        <f aca="false">(($O137*S137)+($P137*S137)+($Q137*S137))*'Prices&amp;Fuel'!$H137</f>
        <v>2698827.3</v>
      </c>
      <c r="V137" s="14" t="n">
        <f aca="false">T137-U137</f>
        <v>9939.60000000009</v>
      </c>
      <c r="AF137" s="7" t="n">
        <f aca="false">(32000/(1-'Prices&amp;Fuel'!F137))+(25000/(1-'Prices&amp;Fuel'!G137))-AI137</f>
        <v>58611.8251928021</v>
      </c>
      <c r="AG137" s="7" t="n">
        <v>0</v>
      </c>
      <c r="AH137" s="7" t="n">
        <f aca="false">(75000/(1-'Prices&amp;Fuel'!G137))-AK137</f>
        <v>77120.822622108</v>
      </c>
      <c r="AI137" s="7"/>
      <c r="AJ137" s="7"/>
      <c r="AK137" s="7"/>
      <c r="AL137" s="11" t="n">
        <f aca="false">ROUND((132000/(1-'Prices&amp;Fuel'!F137))-AF137-AG137-AH137,0)</f>
        <v>0</v>
      </c>
      <c r="AM137" s="7" t="n">
        <f aca="false">ROUND(IF(AF137&lt;AP137,0,(AF137-AP137-AI137)/2),0)</f>
        <v>29306</v>
      </c>
      <c r="AO137" s="7" t="n">
        <f aca="false">ROUND((75000/(1-'Prices&amp;Fuel'!G137)-AV137-AK137)/2,0)</f>
        <v>38560</v>
      </c>
      <c r="AR137" s="7" t="n">
        <f aca="false">IF(AP137&gt;AF137,0,AF137-AM137-AP137)</f>
        <v>29305.8251928021</v>
      </c>
      <c r="AT137" s="14" t="n">
        <f aca="false">AH137-AO137-AV137</f>
        <v>38560.822622108</v>
      </c>
      <c r="AU137" s="14" t="n">
        <f aca="false">AL137*AX137*'Prices&amp;Fuel'!H137</f>
        <v>0</v>
      </c>
      <c r="AW137" s="68" t="n">
        <f aca="false">AW136</f>
        <v>0.03</v>
      </c>
      <c r="AX137" s="68" t="n">
        <f aca="false">AX136</f>
        <v>0.015</v>
      </c>
      <c r="AY137" s="5" t="n">
        <f aca="false">('Prices&amp;Fuel'!H137*('Prices&amp;Fuel'!B137+AW137)*'Long Term Deals'!AF137)+('Prices&amp;Fuel'!H137*('Prices&amp;Fuel'!C137+'Long Term Deals'!AW137)*'Long Term Deals'!AG137)+(AH137*('Prices&amp;Fuel'!C137+AW137)*'Prices&amp;Fuel'!H137)+(AW137*AL137*'Prices&amp;Fuel'!H137)</f>
        <v>15058917.1119818</v>
      </c>
      <c r="AZ137" s="5" t="n">
        <f aca="false">(AP137*'Prices&amp;Fuel'!H137*'Prices&amp;Fuel'!B137)+(AQ137*'Prices&amp;Fuel'!C137*'Prices&amp;Fuel'!H137)+((AM137+AR137)*('Prices&amp;Fuel'!B137+'Long Term Deals'!AX137)*'Prices&amp;Fuel'!H137)+((AN137+AS137)*('Prices&amp;Fuel'!C137+'Long Term Deals'!AX137)*'Prices&amp;Fuel'!H137)+((AO137+AT137)*('Prices&amp;Fuel'!D137+'Long Term Deals'!AX137)*'Prices&amp;Fuel'!H137)+(AV137*'Prices&amp;Fuel'!H137*'Prices&amp;Fuel'!Q137)+AU137</f>
        <v>14882156.1865319</v>
      </c>
      <c r="BA137" s="5" t="n">
        <f aca="false">AY137-AZ137</f>
        <v>176760.925449871</v>
      </c>
      <c r="BB137" s="5" t="n">
        <f aca="false">IF('FP Corp'!T137-((BE137+BF137+BG137)*(1-'Prices&amp;Fuel'!F137))&lt;'Prices&amp;Fuel'!R137,('FP Corp'!T137-(BE137+BF137+BG137)*(1-'Prices&amp;Fuel'!F137)),'Prices&amp;Fuel'!R137)/(1-'Prices&amp;Fuel'!F137)</f>
        <v>4325.96401028278</v>
      </c>
      <c r="BC137" s="9"/>
      <c r="BD137" s="9" t="n">
        <f aca="false">ROUND(IF('FP Corp'!T137/(1-'Prices&amp;Fuel'!F137)-BE137-BF137-BG137-BB137&gt;'Prices&amp;Fuel'!T137,'Prices&amp;Fuel'!T137,'FP Corp'!T137/(1-'Prices&amp;Fuel'!F137)-BE137-BF137-BG137-BB137),9)</f>
        <v>0</v>
      </c>
      <c r="BE137" s="9" t="n">
        <f aca="false">'Prices&amp;Fuel'!U137/(1-'Prices&amp;Fuel'!F137)</f>
        <v>2635.47557840617</v>
      </c>
      <c r="BF137" s="9" t="n">
        <f aca="false">('Prices&amp;Fuel'!V137+'Prices&amp;Fuel'!X137)/(1-'Prices&amp;Fuel'!F137)</f>
        <v>3645.2442159383</v>
      </c>
      <c r="BG137" s="9" t="n">
        <f aca="false">'Prices&amp;Fuel'!W137/(1-'Prices&amp;Fuel'!F137)</f>
        <v>1732.64781491003</v>
      </c>
      <c r="BH137" s="10" t="n">
        <f aca="false">('Prices&amp;Fuel'!C137+'Prices&amp;Fuel'!D137)/2-0.05+('Prices&amp;Fuel'!M137+'Prices&amp;Fuel'!P137)*(1-'Prices&amp;Fuel'!F137)</f>
        <v>4.36353887409148</v>
      </c>
      <c r="BI137" s="10"/>
      <c r="BJ137" s="10"/>
      <c r="BK137" s="10" t="n">
        <f aca="false">(((BB137+BE137)*('Prices&amp;Fuel'!B137+0.025))+(('Prices&amp;Fuel'!D137+0.025)*(BD137+BG137))+(('Prices&amp;Fuel'!C137+0.025)*(BC137+BF137))-(BI137+BJ137)*0.025)/(BB137+BC137+BD137+BE137+BF137+BG137)</f>
        <v>3.67821929075815</v>
      </c>
      <c r="BL137" s="9" t="n">
        <f aca="false">(BB137+BC137+BD137+BE137+BF137+BG137)*BH137*'Prices&amp;Fuel'!H137</f>
        <v>1615294.59606471</v>
      </c>
      <c r="BM137" s="9" t="n">
        <f aca="false">'Prices&amp;Fuel'!X137*('Prices&amp;Fuel'!N137+'Prices&amp;Fuel'!O137)*'Prices&amp;Fuel'!H137</f>
        <v>9111.88181701374</v>
      </c>
      <c r="BN137" s="9" t="n">
        <f aca="false">('Prices&amp;Fuel'!U137+'Prices&amp;Fuel'!V137+'Prices&amp;Fuel'!W137)*('Prices&amp;Fuel'!L137+'Prices&amp;Fuel'!O137)*'Prices&amp;Fuel'!H137</f>
        <v>94854.2894860434</v>
      </c>
      <c r="BO137" s="9" t="n">
        <f aca="false">((BB137+BC137+BD137)*(1-'Prices&amp;Fuel'!G137))*('Prices&amp;Fuel'!M137+'Prices&amp;Fuel'!P137)*'Prices&amp;Fuel'!H137</f>
        <v>96613.755</v>
      </c>
      <c r="BP137" s="9" t="n">
        <f aca="false">((BD137+BC137+BB137+BE137+BF137+BG137)*BK137*'Prices&amp;Fuel'!H137)+BM137+BN137+BO137</f>
        <v>1562182.95424438</v>
      </c>
      <c r="BQ137" s="5" t="n">
        <f aca="false">BL137-BP137</f>
        <v>53111.6418203365</v>
      </c>
      <c r="CA137" s="5" t="n">
        <f aca="false">(AF137+AG137+AH137+AL137)*0.005*'Prices&amp;Fuel'!H137</f>
        <v>20359.8971722365</v>
      </c>
      <c r="CB137" s="5" t="n">
        <f aca="false">(B137+C137+D137+O137+P137+Q137+X137+Y137+BB137+BC137+BD137+BE137+BF137+BG137+BR137+BS137)*0.005*'Prices&amp;Fuel'!H137</f>
        <v>5615.89974293059</v>
      </c>
      <c r="CC137" s="7" t="n">
        <f aca="false">K137+T137+AB137+AY137+BL137+BX137</f>
        <v>19382978.6080465</v>
      </c>
      <c r="CD137" s="7" t="n">
        <f aca="false">L137+U137+AC137+AZ137+BP137+BY137+CA137+CB137</f>
        <v>19169142.2376914</v>
      </c>
      <c r="CE137" s="7" t="n">
        <f aca="false">CC137-CD137</f>
        <v>213836.370355044</v>
      </c>
      <c r="CF137" s="7" t="n">
        <f aca="false">'Index Price Deals'!AR137</f>
        <v>0</v>
      </c>
      <c r="CG137" s="7" t="n">
        <f aca="false">'Index Price Deals'!AS137</f>
        <v>0</v>
      </c>
      <c r="CH137" s="7" t="n">
        <f aca="false">'Index Price Deals'!AT137</f>
        <v>0</v>
      </c>
      <c r="CI137" s="7" t="n">
        <f aca="false">'Index Price Deals'!AU137</f>
        <v>0</v>
      </c>
      <c r="CJ137" s="7" t="n">
        <f aca="false">CC137+CF137</f>
        <v>19382978.6080465</v>
      </c>
      <c r="CK137" s="7" t="n">
        <f aca="false">CD137+CH137</f>
        <v>19169142.2376914</v>
      </c>
      <c r="CL137" s="7" t="n">
        <f aca="false">CE137+CI137</f>
        <v>213836.370355044</v>
      </c>
      <c r="CM137" s="69"/>
      <c r="CN137" s="7" t="n">
        <f aca="false">Transport!U137</f>
        <v>0</v>
      </c>
      <c r="CQ137" s="7" t="n">
        <f aca="false">(((($B137+$C137+$D137+$O137+$P137+$Q137)*0.5)+BR137+BS137)*(0.005*'Prices&amp;Fuel'!$H137)+'Index Price Deals'!AV137)+(((BB137+BC137+BD137+BE137+BF137+BG137)*(1-'Prices&amp;Fuel'!F137))*0.005*0.5*'Prices&amp;Fuel'!H137)</f>
        <v>2782.5</v>
      </c>
      <c r="CR137" s="7" t="n">
        <f aca="false">(((($B137+$C137+$D137+$O137+$P137+$Q137)*0.5)+X137+Y137)*(0.005*'Prices&amp;Fuel'!$H137)+CA137+'Index Price Deals'!AW137)+(((BB137+BC137+BD137+BE137+BF137+BG137)*(1-'Prices&amp;Fuel'!F137))*0.005*0.5*'Prices&amp;Fuel'!H137)</f>
        <v>23142.3971722365</v>
      </c>
      <c r="CS137" s="11"/>
      <c r="CT137" s="7" t="n">
        <f aca="false">[2]Sheet1!$O156</f>
        <v>-259018.733729674</v>
      </c>
      <c r="CU137" s="7" t="n">
        <f aca="false">'[3]Long Term Deals'!$Z136</f>
        <v>-30530.341227006</v>
      </c>
      <c r="CV137" s="70" t="n">
        <f aca="false">CL137-CN137-CT137+CU137+CS137+CO137</f>
        <v>442324.762857712</v>
      </c>
      <c r="DB137" s="1" t="n">
        <f aca="false">(O137+P137+Q137)*'Prices&amp;Fuel'!$H137</f>
        <v>753000</v>
      </c>
      <c r="DE137" s="1" t="n">
        <v>132000</v>
      </c>
    </row>
    <row r="138" customFormat="false" ht="12.75" hidden="false" customHeight="false" outlineLevel="0" collapsed="false">
      <c r="A138" s="6" t="n">
        <f aca="false">+A137+365/12</f>
        <v>39794.4166666667</v>
      </c>
      <c r="O138" s="7" t="n">
        <v>9036</v>
      </c>
      <c r="P138" s="7" t="n">
        <v>10794</v>
      </c>
      <c r="Q138" s="7" t="n">
        <v>5270</v>
      </c>
      <c r="R138" s="8" t="n">
        <f aca="false">R137</f>
        <v>3.5973</v>
      </c>
      <c r="S138" s="8" t="n">
        <f aca="false">S137</f>
        <v>3.5841</v>
      </c>
      <c r="T138" s="7" t="n">
        <f aca="false">(($O138*R138)+($P138*R138)+($Q138*R138))*'Prices&amp;Fuel'!$H138</f>
        <v>2799059.13</v>
      </c>
      <c r="U138" s="7" t="n">
        <f aca="false">(($O138*S138)+($P138*S138)+($Q138*S138))*'Prices&amp;Fuel'!$H138</f>
        <v>2788788.21</v>
      </c>
      <c r="V138" s="14" t="n">
        <f aca="false">T138-U138</f>
        <v>10270.9200000004</v>
      </c>
      <c r="AF138" s="7" t="n">
        <f aca="false">(32000/(1-'Prices&amp;Fuel'!F138))+(25000/(1-'Prices&amp;Fuel'!G138))-AI138</f>
        <v>58611.8251928021</v>
      </c>
      <c r="AG138" s="7" t="n">
        <v>0</v>
      </c>
      <c r="AH138" s="7" t="n">
        <f aca="false">(75000/(1-'Prices&amp;Fuel'!G138))-AK138</f>
        <v>77120.822622108</v>
      </c>
      <c r="AI138" s="7"/>
      <c r="AJ138" s="7"/>
      <c r="AK138" s="7"/>
      <c r="AL138" s="11" t="n">
        <f aca="false">ROUND((132000/(1-'Prices&amp;Fuel'!F138))-AF138-AG138-AH138,0)</f>
        <v>0</v>
      </c>
      <c r="AM138" s="7" t="n">
        <f aca="false">ROUND(IF(AF138&lt;AP138,0,(AF138-AP138-AI138)/2),0)</f>
        <v>29306</v>
      </c>
      <c r="AO138" s="7" t="n">
        <f aca="false">ROUND((75000/(1-'Prices&amp;Fuel'!G138)-AV138-AK138)/2,0)</f>
        <v>38560</v>
      </c>
      <c r="AR138" s="7" t="n">
        <f aca="false">IF(AP138&gt;AF138,0,AF138-AM138-AP138)</f>
        <v>29305.8251928021</v>
      </c>
      <c r="AT138" s="14" t="n">
        <f aca="false">AH138-AO138-AV138</f>
        <v>38560.822622108</v>
      </c>
      <c r="AU138" s="14" t="n">
        <f aca="false">AL138*AX138*'Prices&amp;Fuel'!H138</f>
        <v>0</v>
      </c>
      <c r="AW138" s="68" t="n">
        <f aca="false">AW137</f>
        <v>0.03</v>
      </c>
      <c r="AX138" s="68" t="n">
        <f aca="false">AX137</f>
        <v>0.015</v>
      </c>
      <c r="AY138" s="5" t="n">
        <f aca="false">('Prices&amp;Fuel'!H138*('Prices&amp;Fuel'!B138+AW138)*'Long Term Deals'!AF138)+('Prices&amp;Fuel'!H138*('Prices&amp;Fuel'!C138+'Long Term Deals'!AW138)*'Long Term Deals'!AG138)+(AH138*('Prices&amp;Fuel'!C138+AW138)*'Prices&amp;Fuel'!H138)+(AW138*AL138*'Prices&amp;Fuel'!H138)</f>
        <v>11630298.3920557</v>
      </c>
      <c r="AZ138" s="5" t="n">
        <f aca="false">(AP138*'Prices&amp;Fuel'!H138*'Prices&amp;Fuel'!B138)+(AQ138*'Prices&amp;Fuel'!C138*'Prices&amp;Fuel'!H138)+((AM138+AR138)*('Prices&amp;Fuel'!B138+'Long Term Deals'!AX138)*'Prices&amp;Fuel'!H138)+((AN138+AS138)*('Prices&amp;Fuel'!C138+'Long Term Deals'!AX138)*'Prices&amp;Fuel'!H138)+((AO138+AT138)*('Prices&amp;Fuel'!D138+'Long Term Deals'!AX138)*'Prices&amp;Fuel'!H138)+(AV138*'Prices&amp;Fuel'!H138*'Prices&amp;Fuel'!Q138)+AU138</f>
        <v>11447645.4357575</v>
      </c>
      <c r="BA138" s="5" t="n">
        <f aca="false">AY138-AZ138</f>
        <v>182652.956298199</v>
      </c>
      <c r="BB138" s="5" t="n">
        <f aca="false">IF('FP Corp'!T138-((BE138+BF138+BG138)*(1-'Prices&amp;Fuel'!F138))&lt;'Prices&amp;Fuel'!R138,('FP Corp'!T138-(BE138+BF138+BG138)*(1-'Prices&amp;Fuel'!F138)),'Prices&amp;Fuel'!R138)/(1-'Prices&amp;Fuel'!F138)</f>
        <v>4325.96401028278</v>
      </c>
      <c r="BC138" s="9"/>
      <c r="BD138" s="9" t="n">
        <f aca="false">ROUND(IF('FP Corp'!T138/(1-'Prices&amp;Fuel'!F138)-BE138-BF138-BG138-BB138&gt;'Prices&amp;Fuel'!T138,'Prices&amp;Fuel'!T138,'FP Corp'!T138/(1-'Prices&amp;Fuel'!F138)-BE138-BF138-BG138-BB138),9)</f>
        <v>0</v>
      </c>
      <c r="BE138" s="9" t="n">
        <f aca="false">'Prices&amp;Fuel'!U138/(1-'Prices&amp;Fuel'!F138)</f>
        <v>2635.47557840617</v>
      </c>
      <c r="BF138" s="9" t="n">
        <f aca="false">('Prices&amp;Fuel'!V138+'Prices&amp;Fuel'!X138)/(1-'Prices&amp;Fuel'!F138)</f>
        <v>3645.2442159383</v>
      </c>
      <c r="BG138" s="9" t="n">
        <f aca="false">'Prices&amp;Fuel'!W138/(1-'Prices&amp;Fuel'!F138)</f>
        <v>1732.64781491003</v>
      </c>
      <c r="BH138" s="10" t="n">
        <f aca="false">('Prices&amp;Fuel'!C138+'Prices&amp;Fuel'!D138)/2-0.05+('Prices&amp;Fuel'!M138+'Prices&amp;Fuel'!P138)*(1-'Prices&amp;Fuel'!F138)</f>
        <v>3.4294011415626</v>
      </c>
      <c r="BI138" s="10"/>
      <c r="BJ138" s="10"/>
      <c r="BK138" s="10" t="n">
        <f aca="false">(((BB138+BE138)*('Prices&amp;Fuel'!B138+0.025))+(('Prices&amp;Fuel'!D138+0.025)*(BD138+BG138))+(('Prices&amp;Fuel'!C138+0.025)*(BC138+BF138))-(BI138+BJ138)*0.025)/(BB138+BC138+BD138+BE138+BF138+BG138)</f>
        <v>2.74408155822927</v>
      </c>
      <c r="BL138" s="9" t="n">
        <f aca="false">(BB138+BC138+BD138+BE138+BF138+BG138)*BH138*'Prices&amp;Fuel'!H138</f>
        <v>1311812.05620698</v>
      </c>
      <c r="BM138" s="9" t="n">
        <f aca="false">'Prices&amp;Fuel'!X138*('Prices&amp;Fuel'!N138+'Prices&amp;Fuel'!O138)*'Prices&amp;Fuel'!H138</f>
        <v>9415.61121091419</v>
      </c>
      <c r="BN138" s="9" t="n">
        <f aca="false">('Prices&amp;Fuel'!U138+'Prices&amp;Fuel'!V138+'Prices&amp;Fuel'!W138)*('Prices&amp;Fuel'!L138+'Prices&amp;Fuel'!O138)*'Prices&amp;Fuel'!H138</f>
        <v>98016.0991355782</v>
      </c>
      <c r="BO138" s="9" t="n">
        <f aca="false">((BB138+BC138+BD138)*(1-'Prices&amp;Fuel'!G138))*('Prices&amp;Fuel'!M138+'Prices&amp;Fuel'!P138)*'Prices&amp;Fuel'!H138</f>
        <v>99834.2135</v>
      </c>
      <c r="BP138" s="9" t="n">
        <f aca="false">((BD138+BC138+BB138+BE138+BF138+BG138)*BK138*'Prices&amp;Fuel'!H138)+BM138+BN138+BO138</f>
        <v>1256930.02632597</v>
      </c>
      <c r="BQ138" s="5" t="n">
        <f aca="false">BL138-BP138</f>
        <v>54882.0298810143</v>
      </c>
      <c r="CA138" s="5" t="n">
        <f aca="false">(AF138+AG138+AH138+AL138)*0.005*'Prices&amp;Fuel'!H138</f>
        <v>21038.5604113111</v>
      </c>
      <c r="CB138" s="5" t="n">
        <f aca="false">(B138+C138+D138+O138+P138+Q138+X138+Y138+BB138+BC138+BD138+BE138+BF138+BG138+BR138+BS138)*0.005*'Prices&amp;Fuel'!H138</f>
        <v>5803.09640102828</v>
      </c>
      <c r="CC138" s="7" t="n">
        <f aca="false">K138+T138+AB138+AY138+BL138+BX138</f>
        <v>15741169.5782627</v>
      </c>
      <c r="CD138" s="7" t="n">
        <f aca="false">L138+U138+AC138+AZ138+BP138+BY138+CA138+CB138</f>
        <v>15520205.3288958</v>
      </c>
      <c r="CE138" s="7" t="n">
        <f aca="false">CC138-CD138</f>
        <v>220964.249366872</v>
      </c>
      <c r="CF138" s="7" t="n">
        <f aca="false">'Index Price Deals'!AR138</f>
        <v>0</v>
      </c>
      <c r="CG138" s="7" t="n">
        <f aca="false">'Index Price Deals'!AS138</f>
        <v>0</v>
      </c>
      <c r="CH138" s="7" t="n">
        <f aca="false">'Index Price Deals'!AT138</f>
        <v>0</v>
      </c>
      <c r="CI138" s="7" t="n">
        <f aca="false">'Index Price Deals'!AU138</f>
        <v>0</v>
      </c>
      <c r="CJ138" s="7" t="n">
        <f aca="false">CC138+CF138</f>
        <v>15741169.5782627</v>
      </c>
      <c r="CK138" s="7" t="n">
        <f aca="false">CD138+CH138</f>
        <v>15520205.3288958</v>
      </c>
      <c r="CL138" s="7" t="n">
        <f aca="false">CE138+CI138</f>
        <v>220964.249366872</v>
      </c>
      <c r="CM138" s="7" t="n">
        <f aca="false">SUM(CL127:CL138)</f>
        <v>2531904.31308893</v>
      </c>
      <c r="CN138" s="7" t="n">
        <f aca="false">Transport!U138</f>
        <v>0</v>
      </c>
      <c r="CQ138" s="7" t="n">
        <f aca="false">(((($B138+$C138+$D138+$O138+$P138+$Q138)*0.5)+BR138+BS138)*(0.005*'Prices&amp;Fuel'!$H138)+'Index Price Deals'!AV138)+(((BB138+BC138+BD138+BE138+BF138+BG138)*(1-'Prices&amp;Fuel'!F138))*0.005*0.5*'Prices&amp;Fuel'!H138)</f>
        <v>2875.25</v>
      </c>
      <c r="CR138" s="7" t="n">
        <f aca="false">(((($B138+$C138+$D138+$O138+$P138+$Q138)*0.5)+X138+Y138)*(0.005*'Prices&amp;Fuel'!$H138)+CA138+'Index Price Deals'!AW138)+(((BB138+BC138+BD138+BE138+BF138+BG138)*(1-'Prices&amp;Fuel'!F138))*0.005*0.5*'Prices&amp;Fuel'!H138)</f>
        <v>23913.8104113111</v>
      </c>
      <c r="CS138" s="11"/>
      <c r="CT138" s="7" t="n">
        <f aca="false">[2]Sheet1!$O157</f>
        <v>-267652.691520663</v>
      </c>
      <c r="CU138" s="7" t="n">
        <f aca="false">'[3]Long Term Deals'!$Z137</f>
        <v>-31548.0192679062</v>
      </c>
      <c r="CV138" s="70" t="n">
        <f aca="false">CL138-CN138-CT138+CU138+CS138+CO138</f>
        <v>457068.921619629</v>
      </c>
      <c r="DB138" s="1" t="n">
        <f aca="false">(O138+P138+Q138)*'Prices&amp;Fuel'!$H138</f>
        <v>778100</v>
      </c>
      <c r="DE138" s="1" t="n">
        <v>132000</v>
      </c>
    </row>
    <row r="139" customFormat="false" ht="12.75" hidden="false" customHeight="false" outlineLevel="0" collapsed="false">
      <c r="A139" s="6" t="n">
        <f aca="false">+A138+365/12</f>
        <v>39824.8333333333</v>
      </c>
      <c r="O139" s="7" t="n">
        <v>9036</v>
      </c>
      <c r="P139" s="7" t="n">
        <v>10794</v>
      </c>
      <c r="Q139" s="7" t="n">
        <v>5270</v>
      </c>
      <c r="R139" s="8" t="n">
        <f aca="false">R138</f>
        <v>3.5973</v>
      </c>
      <c r="S139" s="8" t="n">
        <f aca="false">S138</f>
        <v>3.5841</v>
      </c>
      <c r="T139" s="7" t="n">
        <f aca="false">(($O139*R139)+($P139*R139)+($Q139*R139))*'Prices&amp;Fuel'!$H139</f>
        <v>2799059.13</v>
      </c>
      <c r="U139" s="7" t="n">
        <f aca="false">(($O139*S139)+($P139*S139)+($Q139*S139))*'Prices&amp;Fuel'!$H139</f>
        <v>2788788.21</v>
      </c>
      <c r="V139" s="14" t="n">
        <f aca="false">T139-U139</f>
        <v>10270.9200000004</v>
      </c>
      <c r="AF139" s="7" t="n">
        <f aca="false">(32000/(1-'Prices&amp;Fuel'!F139))+(25000/(1-'Prices&amp;Fuel'!G139))-AI139</f>
        <v>58611.8251928021</v>
      </c>
      <c r="AG139" s="7" t="n">
        <v>0</v>
      </c>
      <c r="AH139" s="7" t="n">
        <f aca="false">(75000/(1-'Prices&amp;Fuel'!G139))-AK139</f>
        <v>77120.822622108</v>
      </c>
      <c r="AI139" s="7"/>
      <c r="AJ139" s="7"/>
      <c r="AK139" s="7"/>
      <c r="AL139" s="11" t="n">
        <f aca="false">ROUND((132000/(1-'Prices&amp;Fuel'!F139))-AF139-AG139-AH139,0)</f>
        <v>0</v>
      </c>
      <c r="AM139" s="7" t="n">
        <f aca="false">ROUND(IF(AF139&lt;AP139,0,(AF139-AP139-AI139)/2),0)</f>
        <v>29306</v>
      </c>
      <c r="AO139" s="7" t="n">
        <f aca="false">ROUND((75000/(1-'Prices&amp;Fuel'!G139)-AV139-AK139)/2,0)</f>
        <v>38560</v>
      </c>
      <c r="AR139" s="7" t="n">
        <f aca="false">IF(AP139&gt;AF139,0,AF139-AM139-AP139)</f>
        <v>29305.8251928021</v>
      </c>
      <c r="AT139" s="14" t="n">
        <f aca="false">AH139-AO139-AV139</f>
        <v>38560.822622108</v>
      </c>
      <c r="AU139" s="14" t="n">
        <f aca="false">AL139*AX139*'Prices&amp;Fuel'!H139</f>
        <v>0</v>
      </c>
      <c r="AW139" s="68" t="n">
        <v>0.02</v>
      </c>
      <c r="AX139" s="68" t="n">
        <f aca="false">AX138</f>
        <v>0.015</v>
      </c>
      <c r="AY139" s="5" t="n">
        <f aca="false">('Prices&amp;Fuel'!H139*('Prices&amp;Fuel'!B139+AW139)*'Long Term Deals'!AF139)+('Prices&amp;Fuel'!H139*('Prices&amp;Fuel'!C139+'Long Term Deals'!AW139)*'Long Term Deals'!AG139)+(AH139*('Prices&amp;Fuel'!C139+AW139)*'Prices&amp;Fuel'!H139)+(AW139*AL139*'Prices&amp;Fuel'!H139)</f>
        <v>10215643.9527668</v>
      </c>
      <c r="AZ139" s="5" t="n">
        <f aca="false">(AP139*'Prices&amp;Fuel'!H139*'Prices&amp;Fuel'!B139)+(AQ139*'Prices&amp;Fuel'!C139*'Prices&amp;Fuel'!H139)+((AM139+AR139)*('Prices&amp;Fuel'!B139+'Long Term Deals'!AX139)*'Prices&amp;Fuel'!H139)+((AN139+AS139)*('Prices&amp;Fuel'!C139+'Long Term Deals'!AX139)*'Prices&amp;Fuel'!H139)+((AO139+AT139)*('Prices&amp;Fuel'!D139+'Long Term Deals'!AX139)*'Prices&amp;Fuel'!H139)+(AV139*'Prices&amp;Fuel'!H139*'Prices&amp;Fuel'!Q139)+AU139</f>
        <v>10075068.1172912</v>
      </c>
      <c r="BA139" s="5" t="n">
        <f aca="false">AY139-AZ139</f>
        <v>140575.835475579</v>
      </c>
      <c r="BB139" s="5" t="n">
        <f aca="false">IF('FP Corp'!T139-((BE139+BF139+BG139)*(1-'Prices&amp;Fuel'!F139))&lt;'Prices&amp;Fuel'!R139,('FP Corp'!T139-(BE139+BF139+BG139)*(1-'Prices&amp;Fuel'!F139)),'Prices&amp;Fuel'!R139)/(1-'Prices&amp;Fuel'!F139)</f>
        <v>4325.96401028278</v>
      </c>
      <c r="BC139" s="9"/>
      <c r="BD139" s="9" t="n">
        <f aca="false">ROUND(IF('FP Corp'!T139/(1-'Prices&amp;Fuel'!F139)-BE139-BF139-BG139-BB139&gt;'Prices&amp;Fuel'!T139,'Prices&amp;Fuel'!T139,'FP Corp'!T139/(1-'Prices&amp;Fuel'!F139)-BE139-BF139-BG139-BB139),9)</f>
        <v>0</v>
      </c>
      <c r="BE139" s="9" t="n">
        <f aca="false">'Prices&amp;Fuel'!U139/(1-'Prices&amp;Fuel'!F139)</f>
        <v>2635.47557840617</v>
      </c>
      <c r="BF139" s="9" t="n">
        <f aca="false">('Prices&amp;Fuel'!V139+'Prices&amp;Fuel'!X139)/(1-'Prices&amp;Fuel'!F139)</f>
        <v>3645.2442159383</v>
      </c>
      <c r="BG139" s="9" t="n">
        <f aca="false">'Prices&amp;Fuel'!W139/(1-'Prices&amp;Fuel'!F139)</f>
        <v>1732.64781491003</v>
      </c>
      <c r="BH139" s="10" t="n">
        <f aca="false">('Prices&amp;Fuel'!C139+'Prices&amp;Fuel'!D139)/2-0.05+('Prices&amp;Fuel'!M139+'Prices&amp;Fuel'!P139)*(1-'Prices&amp;Fuel'!F139)</f>
        <v>3.10319599928291</v>
      </c>
      <c r="BI139" s="10"/>
      <c r="BJ139" s="10"/>
      <c r="BK139" s="10" t="n">
        <f aca="false">(((BB139+BE139)*('Prices&amp;Fuel'!B139+0.025))+(('Prices&amp;Fuel'!D139+0.025)*(BD139+BG139))+(('Prices&amp;Fuel'!C139+0.025)*(BC139+BF139))-(BI139+BJ139)*0.025)/(BB139+BC139+BD139+BE139+BF139+BG139)</f>
        <v>2.41787641594958</v>
      </c>
      <c r="BL139" s="9" t="n">
        <f aca="false">(BB139+BC139+BD139+BE139+BF139+BG139)*BH139*'Prices&amp;Fuel'!H139</f>
        <v>1187032.29998277</v>
      </c>
      <c r="BM139" s="9" t="n">
        <f aca="false">'Prices&amp;Fuel'!X139*('Prices&amp;Fuel'!N139+'Prices&amp;Fuel'!O139)*'Prices&amp;Fuel'!H139</f>
        <v>9438.64041395779</v>
      </c>
      <c r="BN139" s="9" t="n">
        <f aca="false">('Prices&amp;Fuel'!U139+'Prices&amp;Fuel'!V139+'Prices&amp;Fuel'!W139)*('Prices&amp;Fuel'!L139+'Prices&amp;Fuel'!O139)*'Prices&amp;Fuel'!H139</f>
        <v>98255.8321277305</v>
      </c>
      <c r="BO139" s="9" t="n">
        <f aca="false">((BB139+BC139+BD139)*(1-'Prices&amp;Fuel'!G139))*('Prices&amp;Fuel'!M139+'Prices&amp;Fuel'!P139)*'Prices&amp;Fuel'!H139</f>
        <v>99834.2135</v>
      </c>
      <c r="BP139" s="9" t="n">
        <f aca="false">((BD139+BC139+BB139+BE139+BF139+BG139)*BK139*'Prices&amp;Fuel'!H139)+BM139+BN139+BO139</f>
        <v>1132413.03229695</v>
      </c>
      <c r="BQ139" s="5" t="n">
        <f aca="false">BL139-BP139</f>
        <v>54619.2676858183</v>
      </c>
      <c r="CA139" s="5" t="n">
        <f aca="false">(AF139+AG139+AH139+AL139)*0.005*'Prices&amp;Fuel'!H139</f>
        <v>21038.5604113111</v>
      </c>
      <c r="CB139" s="5" t="n">
        <f aca="false">(B139+C139+D139+O139+P139+Q139+X139+Y139+BB139+BC139+BD139+BE139+BF139+BG139+BR139+BS139)*0.005*'Prices&amp;Fuel'!H139</f>
        <v>5803.09640102828</v>
      </c>
      <c r="CC139" s="7" t="n">
        <f aca="false">K139+T139+AB139+AY139+BL139+BX139</f>
        <v>14201735.3827495</v>
      </c>
      <c r="CD139" s="7" t="n">
        <f aca="false">L139+U139+AC139+AZ139+BP139+BY139+CA139+CB139</f>
        <v>14023111.0164005</v>
      </c>
      <c r="CE139" s="7" t="n">
        <f aca="false">CC139-CD139</f>
        <v>178624.366349056</v>
      </c>
      <c r="CF139" s="7" t="n">
        <f aca="false">'Index Price Deals'!AR139</f>
        <v>0</v>
      </c>
      <c r="CG139" s="7" t="n">
        <f aca="false">'Index Price Deals'!AS139</f>
        <v>0</v>
      </c>
      <c r="CH139" s="7" t="n">
        <f aca="false">'Index Price Deals'!AT139</f>
        <v>0</v>
      </c>
      <c r="CI139" s="7" t="n">
        <f aca="false">'Index Price Deals'!AU139</f>
        <v>0</v>
      </c>
      <c r="CJ139" s="7" t="n">
        <f aca="false">CC139+CF139</f>
        <v>14201735.3827495</v>
      </c>
      <c r="CK139" s="7" t="n">
        <f aca="false">CD139+CH139</f>
        <v>14023111.0164005</v>
      </c>
      <c r="CL139" s="7" t="n">
        <f aca="false">CE139+CI139</f>
        <v>178624.366349056</v>
      </c>
      <c r="CM139" s="69"/>
      <c r="CN139" s="7" t="n">
        <f aca="false">Transport!U139</f>
        <v>0</v>
      </c>
      <c r="CQ139" s="7" t="n">
        <f aca="false">(((($B139+$C139+$D139+$O139+$P139+$Q139)*0.5)+BR139+BS139)*(0.005*'Prices&amp;Fuel'!$H139)+'Index Price Deals'!AV139)+(((BB139+BC139+BD139+BE139+BF139+BG139)*(1-'Prices&amp;Fuel'!F139))*0.005*0.5*'Prices&amp;Fuel'!H139)</f>
        <v>2875.25</v>
      </c>
      <c r="CR139" s="7" t="n">
        <f aca="false">(((($B139+$C139+$D139+$O139+$P139+$Q139)*0.5)+X139+Y139)*(0.005*'Prices&amp;Fuel'!$H139)+CA139+'Index Price Deals'!AW139)+(((BB139+BC139+BD139+BE139+BF139+BG139)*(1-'Prices&amp;Fuel'!F139))*0.005*0.5*'Prices&amp;Fuel'!H139)</f>
        <v>23913.8104113111</v>
      </c>
      <c r="CS139" s="11"/>
      <c r="CT139" s="7" t="n">
        <f aca="false">[2]Sheet1!$O159</f>
        <v>-309860.014883221</v>
      </c>
      <c r="CU139" s="7" t="n">
        <f aca="false">'[3]Long Term Deals'!$Z138</f>
        <v>-31548.0192679062</v>
      </c>
      <c r="CV139" s="70" t="n">
        <f aca="false">CL139-CN139-CT139+CU139+CS139+CO139</f>
        <v>456936.361964371</v>
      </c>
      <c r="DB139" s="1" t="n">
        <f aca="false">(O139+P139+Q139)*'Prices&amp;Fuel'!$H139</f>
        <v>778100</v>
      </c>
      <c r="DE139" s="1" t="n">
        <v>132000</v>
      </c>
    </row>
    <row r="140" customFormat="false" ht="12.75" hidden="false" customHeight="false" outlineLevel="0" collapsed="false">
      <c r="A140" s="6" t="n">
        <f aca="false">+A139+365/12</f>
        <v>39855.25</v>
      </c>
      <c r="O140" s="7" t="n">
        <v>9036</v>
      </c>
      <c r="P140" s="7" t="n">
        <v>10794</v>
      </c>
      <c r="Q140" s="7" t="n">
        <v>5270</v>
      </c>
      <c r="R140" s="8" t="n">
        <f aca="false">R139</f>
        <v>3.5973</v>
      </c>
      <c r="S140" s="8" t="n">
        <f aca="false">S139</f>
        <v>3.5841</v>
      </c>
      <c r="T140" s="7" t="n">
        <f aca="false">(($O140*R140)+($P140*R140)+($Q140*R140))*'Prices&amp;Fuel'!$H140</f>
        <v>2528182.44</v>
      </c>
      <c r="U140" s="7" t="n">
        <f aca="false">(($O140*S140)+($P140*S140)+($Q140*S140))*'Prices&amp;Fuel'!$H140</f>
        <v>2518905.48</v>
      </c>
      <c r="V140" s="14" t="n">
        <f aca="false">T140-U140</f>
        <v>9276.96000000043</v>
      </c>
      <c r="AF140" s="7" t="n">
        <f aca="false">(32000/(1-'Prices&amp;Fuel'!F140))+(25000/(1-'Prices&amp;Fuel'!G140))-AI140</f>
        <v>58611.8251928021</v>
      </c>
      <c r="AG140" s="7" t="n">
        <v>0</v>
      </c>
      <c r="AH140" s="7" t="n">
        <f aca="false">(75000/(1-'Prices&amp;Fuel'!G140))-AK140</f>
        <v>77120.822622108</v>
      </c>
      <c r="AI140" s="7"/>
      <c r="AJ140" s="7"/>
      <c r="AK140" s="7"/>
      <c r="AL140" s="11" t="n">
        <f aca="false">ROUND((132000/(1-'Prices&amp;Fuel'!F140))-AF140-AG140-AH140,0)</f>
        <v>0</v>
      </c>
      <c r="AM140" s="7" t="n">
        <f aca="false">ROUND(IF(AF140&lt;AP140,0,(AF140-AP140-AI140)/2),0)</f>
        <v>29306</v>
      </c>
      <c r="AO140" s="7" t="n">
        <f aca="false">ROUND((75000/(1-'Prices&amp;Fuel'!G140)-AV140-AK140)/2,0)</f>
        <v>38560</v>
      </c>
      <c r="AR140" s="7" t="n">
        <f aca="false">IF(AP140&gt;AF140,0,AF140-AM140-AP140)</f>
        <v>29305.8251928021</v>
      </c>
      <c r="AT140" s="14" t="n">
        <f aca="false">AH140-AO140-AV140</f>
        <v>38560.822622108</v>
      </c>
      <c r="AU140" s="14" t="n">
        <f aca="false">AL140*AX140*'Prices&amp;Fuel'!H140</f>
        <v>0</v>
      </c>
      <c r="AW140" s="68" t="n">
        <f aca="false">AW139</f>
        <v>0.02</v>
      </c>
      <c r="AX140" s="68" t="n">
        <f aca="false">AX139</f>
        <v>0.015</v>
      </c>
      <c r="AY140" s="5" t="n">
        <f aca="false">('Prices&amp;Fuel'!H140*('Prices&amp;Fuel'!B140+AW140)*'Long Term Deals'!AF140)+('Prices&amp;Fuel'!H140*('Prices&amp;Fuel'!C140+'Long Term Deals'!AW140)*'Long Term Deals'!AG140)+(AH140*('Prices&amp;Fuel'!C140+AW140)*'Prices&amp;Fuel'!H140)+(AW140*AL140*'Prices&amp;Fuel'!H140)</f>
        <v>10327192.9500507</v>
      </c>
      <c r="AZ140" s="5" t="n">
        <f aca="false">(AP140*'Prices&amp;Fuel'!H140*'Prices&amp;Fuel'!B140)+(AQ140*'Prices&amp;Fuel'!C140*'Prices&amp;Fuel'!H140)+((AM140+AR140)*('Prices&amp;Fuel'!B140+'Long Term Deals'!AX140)*'Prices&amp;Fuel'!H140)+((AN140+AS140)*('Prices&amp;Fuel'!C140+'Long Term Deals'!AX140)*'Prices&amp;Fuel'!H140)+((AO140+AT140)*('Prices&amp;Fuel'!D140+'Long Term Deals'!AX140)*'Prices&amp;Fuel'!H140)+(AV140*'Prices&amp;Fuel'!H140*'Prices&amp;Fuel'!Q140)+AU140</f>
        <v>10200221.2276856</v>
      </c>
      <c r="BA140" s="5" t="n">
        <f aca="false">AY140-AZ140</f>
        <v>126971.72236504</v>
      </c>
      <c r="BB140" s="5" t="n">
        <f aca="false">IF('FP Corp'!T140-((BE140+BF140+BG140)*(1-'Prices&amp;Fuel'!F140))&lt;'Prices&amp;Fuel'!R140,('FP Corp'!T140-(BE140+BF140+BG140)*(1-'Prices&amp;Fuel'!F140)),'Prices&amp;Fuel'!R140)/(1-'Prices&amp;Fuel'!F140)</f>
        <v>4325.96401028278</v>
      </c>
      <c r="BC140" s="9"/>
      <c r="BD140" s="9" t="n">
        <f aca="false">ROUND(IF('FP Corp'!T140/(1-'Prices&amp;Fuel'!F140)-BE140-BF140-BG140-BB140&gt;'Prices&amp;Fuel'!T140,'Prices&amp;Fuel'!T140,'FP Corp'!T140/(1-'Prices&amp;Fuel'!F140)-BE140-BF140-BG140-BB140),9)</f>
        <v>0</v>
      </c>
      <c r="BE140" s="9" t="n">
        <f aca="false">'Prices&amp;Fuel'!U140/(1-'Prices&amp;Fuel'!F140)</f>
        <v>2635.47557840617</v>
      </c>
      <c r="BF140" s="9" t="n">
        <f aca="false">('Prices&amp;Fuel'!V140+'Prices&amp;Fuel'!X140)/(1-'Prices&amp;Fuel'!F140)</f>
        <v>3645.2442159383</v>
      </c>
      <c r="BG140" s="9" t="n">
        <f aca="false">'Prices&amp;Fuel'!W140/(1-'Prices&amp;Fuel'!F140)</f>
        <v>1732.64781491003</v>
      </c>
      <c r="BH140" s="10" t="n">
        <f aca="false">('Prices&amp;Fuel'!C140+'Prices&amp;Fuel'!D140)/2-0.05+('Prices&amp;Fuel'!M140+'Prices&amp;Fuel'!P140)*(1-'Prices&amp;Fuel'!F140)</f>
        <v>3.39267254435181</v>
      </c>
      <c r="BI140" s="10"/>
      <c r="BJ140" s="10"/>
      <c r="BK140" s="10" t="n">
        <f aca="false">(((BB140+BE140)*('Prices&amp;Fuel'!B140+0.025))+(('Prices&amp;Fuel'!D140+0.025)*(BD140+BG140))+(('Prices&amp;Fuel'!C140+0.025)*(BC140+BF140))-(BI140+BJ140)*0.025)/(BB140+BC140+BD140+BE140+BF140+BG140)</f>
        <v>2.70735296101847</v>
      </c>
      <c r="BL140" s="9" t="n">
        <f aca="false">(BB140+BC140+BD140+BE140+BF140+BG140)*BH140*'Prices&amp;Fuel'!H140</f>
        <v>1172172.72483517</v>
      </c>
      <c r="BM140" s="9" t="n">
        <f aca="false">'Prices&amp;Fuel'!X140*('Prices&amp;Fuel'!N140+'Prices&amp;Fuel'!O140)*'Prices&amp;Fuel'!H140</f>
        <v>8525.22359970381</v>
      </c>
      <c r="BN140" s="9" t="n">
        <f aca="false">('Prices&amp;Fuel'!U140+'Prices&amp;Fuel'!V140+'Prices&amp;Fuel'!W140)*('Prices&amp;Fuel'!L140+'Prices&amp;Fuel'!O140)*'Prices&amp;Fuel'!H140</f>
        <v>88747.2032121437</v>
      </c>
      <c r="BO140" s="9" t="n">
        <f aca="false">((BB140+BC140+BD140)*(1-'Prices&amp;Fuel'!G140))*('Prices&amp;Fuel'!M140+'Prices&amp;Fuel'!P140)*'Prices&amp;Fuel'!H140</f>
        <v>90172.838</v>
      </c>
      <c r="BP140" s="9" t="n">
        <f aca="false">((BD140+BC140+BB140+BE140+BF140+BG140)*BK140*'Prices&amp;Fuel'!H140)+BM140+BN140+BO140</f>
        <v>1122839.19273185</v>
      </c>
      <c r="BQ140" s="5" t="n">
        <f aca="false">BL140-BP140</f>
        <v>49333.5321033199</v>
      </c>
      <c r="CA140" s="5" t="n">
        <f aca="false">(AF140+AG140+AH140+AL140)*0.005*'Prices&amp;Fuel'!H140</f>
        <v>19002.5706940874</v>
      </c>
      <c r="CB140" s="5" t="n">
        <f aca="false">(B140+C140+D140+O140+P140+Q140+X140+Y140+BB140+BC140+BD140+BE140+BF140+BG140+BR140+BS140)*0.005*'Prices&amp;Fuel'!H140</f>
        <v>5241.50642673522</v>
      </c>
      <c r="CC140" s="7" t="n">
        <f aca="false">K140+T140+AB140+AY140+BL140+BX140</f>
        <v>14027548.1148858</v>
      </c>
      <c r="CD140" s="7" t="n">
        <f aca="false">L140+U140+AC140+AZ140+BP140+BY140+CA140+CB140</f>
        <v>13866209.9775383</v>
      </c>
      <c r="CE140" s="7" t="n">
        <f aca="false">CC140-CD140</f>
        <v>161338.13734754</v>
      </c>
      <c r="CF140" s="7" t="n">
        <f aca="false">'Index Price Deals'!AR140</f>
        <v>0</v>
      </c>
      <c r="CG140" s="7" t="n">
        <f aca="false">'Index Price Deals'!AS140</f>
        <v>0</v>
      </c>
      <c r="CH140" s="7" t="n">
        <f aca="false">'Index Price Deals'!AT140</f>
        <v>0</v>
      </c>
      <c r="CI140" s="7" t="n">
        <f aca="false">'Index Price Deals'!AU140</f>
        <v>0</v>
      </c>
      <c r="CJ140" s="7" t="n">
        <f aca="false">CC140+CF140</f>
        <v>14027548.1148858</v>
      </c>
      <c r="CK140" s="7" t="n">
        <f aca="false">CD140+CH140</f>
        <v>13866209.9775383</v>
      </c>
      <c r="CL140" s="7" t="n">
        <f aca="false">CE140+CI140</f>
        <v>161338.13734754</v>
      </c>
      <c r="CM140" s="69"/>
      <c r="CN140" s="7" t="n">
        <f aca="false">Transport!U140</f>
        <v>0</v>
      </c>
      <c r="CQ140" s="7" t="n">
        <f aca="false">(((($B140+$C140+$D140+$O140+$P140+$Q140)*0.5)+BR140+BS140)*(0.005*'Prices&amp;Fuel'!$H140)+'Index Price Deals'!AV140)+(((BB140+BC140+BD140+BE140+BF140+BG140)*(1-'Prices&amp;Fuel'!F140))*0.005*0.5*'Prices&amp;Fuel'!H140)</f>
        <v>2597</v>
      </c>
      <c r="CR140" s="7" t="n">
        <f aca="false">(((($B140+$C140+$D140+$O140+$P140+$Q140)*0.5)+X140+Y140)*(0.005*'Prices&amp;Fuel'!$H140)+CA140+'Index Price Deals'!AW140)+(((BB140+BC140+BD140+BE140+BF140+BG140)*(1-'Prices&amp;Fuel'!F140))*0.005*0.5*'Prices&amp;Fuel'!H140)</f>
        <v>21599.5706940874</v>
      </c>
      <c r="CS140" s="11"/>
      <c r="CT140" s="7" t="n">
        <f aca="false">[2]Sheet1!$O160</f>
        <v>-279873.561830006</v>
      </c>
      <c r="CU140" s="7" t="n">
        <f aca="false">'[3]Long Term Deals'!$Z139</f>
        <v>-28494.9851452056</v>
      </c>
      <c r="CV140" s="70" t="n">
        <f aca="false">CL140-CN140-CT140+CU140+CS140+CO140</f>
        <v>412716.714032341</v>
      </c>
      <c r="DB140" s="1" t="n">
        <f aca="false">(O140+P140+Q140)*'Prices&amp;Fuel'!$H140</f>
        <v>702800</v>
      </c>
      <c r="DE140" s="1" t="n">
        <v>132000</v>
      </c>
    </row>
    <row r="141" customFormat="false" ht="12.75" hidden="false" customHeight="false" outlineLevel="0" collapsed="false">
      <c r="A141" s="6" t="n">
        <f aca="false">+A140+365/12</f>
        <v>39885.6666666667</v>
      </c>
      <c r="O141" s="7" t="n">
        <v>9036</v>
      </c>
      <c r="P141" s="7" t="n">
        <v>10794</v>
      </c>
      <c r="Q141" s="7" t="n">
        <v>5270</v>
      </c>
      <c r="R141" s="8" t="n">
        <f aca="false">R140</f>
        <v>3.5973</v>
      </c>
      <c r="S141" s="8" t="n">
        <f aca="false">S140</f>
        <v>3.5841</v>
      </c>
      <c r="T141" s="7" t="n">
        <f aca="false">(($O141*R141)+($P141*R141)+($Q141*R141))*'Prices&amp;Fuel'!$H141</f>
        <v>2799059.13</v>
      </c>
      <c r="U141" s="7" t="n">
        <f aca="false">(($O141*S141)+($P141*S141)+($Q141*S141))*'Prices&amp;Fuel'!$H141</f>
        <v>2788788.21</v>
      </c>
      <c r="V141" s="14" t="n">
        <f aca="false">T141-U141</f>
        <v>10270.9200000004</v>
      </c>
      <c r="AF141" s="7" t="n">
        <f aca="false">(32000/(1-'Prices&amp;Fuel'!F141))+(25000/(1-'Prices&amp;Fuel'!G141))-AI141</f>
        <v>58611.8251928021</v>
      </c>
      <c r="AG141" s="7" t="n">
        <v>0</v>
      </c>
      <c r="AH141" s="7" t="n">
        <f aca="false">(75000/(1-'Prices&amp;Fuel'!G141))-AK141</f>
        <v>77120.822622108</v>
      </c>
      <c r="AI141" s="7"/>
      <c r="AJ141" s="7"/>
      <c r="AK141" s="7"/>
      <c r="AL141" s="11" t="n">
        <f aca="false">ROUND((132000/(1-'Prices&amp;Fuel'!F141))-AF141-AG141-AH141,0)</f>
        <v>0</v>
      </c>
      <c r="AM141" s="7" t="n">
        <f aca="false">ROUND(IF(AF141&lt;AP141,0,(AF141-AP141-AI141)/2),0)</f>
        <v>29306</v>
      </c>
      <c r="AO141" s="7" t="n">
        <f aca="false">ROUND((75000/(1-'Prices&amp;Fuel'!G141)-AV141-AK141)/2,0)</f>
        <v>38560</v>
      </c>
      <c r="AR141" s="7" t="n">
        <f aca="false">IF(AP141&gt;AF141,0,AF141-AM141-AP141)</f>
        <v>29305.8251928021</v>
      </c>
      <c r="AT141" s="14" t="n">
        <f aca="false">AH141-AO141-AV141</f>
        <v>38560.822622108</v>
      </c>
      <c r="AU141" s="14" t="n">
        <f aca="false">AL141*AX141*'Prices&amp;Fuel'!H141</f>
        <v>0</v>
      </c>
      <c r="AW141" s="68" t="n">
        <f aca="false">AW140</f>
        <v>0.02</v>
      </c>
      <c r="AX141" s="68" t="n">
        <f aca="false">AX140</f>
        <v>0.015</v>
      </c>
      <c r="AY141" s="5" t="n">
        <f aca="false">('Prices&amp;Fuel'!H141*('Prices&amp;Fuel'!B141+AW141)*'Long Term Deals'!AF141)+('Prices&amp;Fuel'!H141*('Prices&amp;Fuel'!C141+'Long Term Deals'!AW141)*'Long Term Deals'!AG141)+(AH141*('Prices&amp;Fuel'!C141+AW141)*'Prices&amp;Fuel'!H141)+(AW141*AL141*'Prices&amp;Fuel'!H141)</f>
        <v>11433677.9089847</v>
      </c>
      <c r="AZ141" s="5" t="n">
        <f aca="false">(AP141*'Prices&amp;Fuel'!H141*'Prices&amp;Fuel'!B141)+(AQ141*'Prices&amp;Fuel'!C141*'Prices&amp;Fuel'!H141)+((AM141+AR141)*('Prices&amp;Fuel'!B141+'Long Term Deals'!AX141)*'Prices&amp;Fuel'!H141)+((AN141+AS141)*('Prices&amp;Fuel'!C141+'Long Term Deals'!AX141)*'Prices&amp;Fuel'!H141)+((AO141+AT141)*('Prices&amp;Fuel'!D141+'Long Term Deals'!AX141)*'Prices&amp;Fuel'!H141)+(AV141*'Prices&amp;Fuel'!H141*'Prices&amp;Fuel'!Q141)+AU141</f>
        <v>11293102.0735091</v>
      </c>
      <c r="BA141" s="5" t="n">
        <f aca="false">AY141-AZ141</f>
        <v>140575.835475575</v>
      </c>
      <c r="BB141" s="5" t="n">
        <f aca="false">IF('FP Corp'!T141-((BE141+BF141+BG141)*(1-'Prices&amp;Fuel'!F141))&lt;'Prices&amp;Fuel'!R141,('FP Corp'!T141-(BE141+BF141+BG141)*(1-'Prices&amp;Fuel'!F141)),'Prices&amp;Fuel'!R141)/(1-'Prices&amp;Fuel'!F141)</f>
        <v>4325.96401028278</v>
      </c>
      <c r="BC141" s="9"/>
      <c r="BD141" s="9" t="n">
        <f aca="false">ROUND(IF('FP Corp'!T141/(1-'Prices&amp;Fuel'!F141)-BE141-BF141-BG141-BB141&gt;'Prices&amp;Fuel'!T141,'Prices&amp;Fuel'!T141,'FP Corp'!T141/(1-'Prices&amp;Fuel'!F141)-BE141-BF141-BG141-BB141),9)</f>
        <v>0</v>
      </c>
      <c r="BE141" s="9" t="n">
        <f aca="false">'Prices&amp;Fuel'!U141/(1-'Prices&amp;Fuel'!F141)</f>
        <v>2635.47557840617</v>
      </c>
      <c r="BF141" s="9" t="n">
        <f aca="false">('Prices&amp;Fuel'!V141+'Prices&amp;Fuel'!X141)/(1-'Prices&amp;Fuel'!F141)</f>
        <v>3645.2442159383</v>
      </c>
      <c r="BG141" s="9" t="n">
        <f aca="false">'Prices&amp;Fuel'!W141/(1-'Prices&amp;Fuel'!F141)</f>
        <v>1732.64781491003</v>
      </c>
      <c r="BH141" s="10" t="n">
        <f aca="false">('Prices&amp;Fuel'!C141+'Prices&amp;Fuel'!D141)/2-0.05+('Prices&amp;Fuel'!M141+'Prices&amp;Fuel'!P141)*(1-'Prices&amp;Fuel'!F141)</f>
        <v>3.39267254435181</v>
      </c>
      <c r="BI141" s="10"/>
      <c r="BJ141" s="10"/>
      <c r="BK141" s="10" t="n">
        <f aca="false">(((BB141+BE141)*('Prices&amp;Fuel'!B141+0.025))+(('Prices&amp;Fuel'!D141+0.025)*(BD141+BG141))+(('Prices&amp;Fuel'!C141+0.025)*(BC141+BF141))-(BI141+BJ141)*0.025)/(BB141+BC141+BD141+BE141+BF141+BG141)</f>
        <v>2.70735296101847</v>
      </c>
      <c r="BL141" s="9" t="n">
        <f aca="false">(BB141+BC141+BD141+BE141+BF141+BG141)*BH141*'Prices&amp;Fuel'!H141</f>
        <v>1297762.65963894</v>
      </c>
      <c r="BM141" s="9" t="n">
        <f aca="false">'Prices&amp;Fuel'!X141*('Prices&amp;Fuel'!N141+'Prices&amp;Fuel'!O141)*'Prices&amp;Fuel'!H141</f>
        <v>9438.64041395779</v>
      </c>
      <c r="BN141" s="9" t="n">
        <f aca="false">('Prices&amp;Fuel'!U141+'Prices&amp;Fuel'!V141+'Prices&amp;Fuel'!W141)*('Prices&amp;Fuel'!L141+'Prices&amp;Fuel'!O141)*'Prices&amp;Fuel'!H141</f>
        <v>98255.8321277305</v>
      </c>
      <c r="BO141" s="9" t="n">
        <f aca="false">((BB141+BC141+BD141)*(1-'Prices&amp;Fuel'!G141))*('Prices&amp;Fuel'!M141+'Prices&amp;Fuel'!P141)*'Prices&amp;Fuel'!H141</f>
        <v>99834.2135</v>
      </c>
      <c r="BP141" s="9" t="n">
        <f aca="false">((BD141+BC141+BB141+BE141+BF141+BG141)*BK141*'Prices&amp;Fuel'!H141)+BM141+BN141+BO141</f>
        <v>1243143.39195312</v>
      </c>
      <c r="BQ141" s="5" t="n">
        <f aca="false">BL141-BP141</f>
        <v>54619.2676858183</v>
      </c>
      <c r="CA141" s="5" t="n">
        <f aca="false">(AF141+AG141+AH141+AL141)*0.005*'Prices&amp;Fuel'!H141</f>
        <v>21038.5604113111</v>
      </c>
      <c r="CB141" s="5" t="n">
        <f aca="false">(B141+C141+D141+O141+P141+Q141+X141+Y141+BB141+BC141+BD141+BE141+BF141+BG141+BR141+BS141)*0.005*'Prices&amp;Fuel'!H141</f>
        <v>5803.09640102828</v>
      </c>
      <c r="CC141" s="7" t="n">
        <f aca="false">K141+T141+AB141+AY141+BL141+BX141</f>
        <v>15530499.6986236</v>
      </c>
      <c r="CD141" s="7" t="n">
        <f aca="false">L141+U141+AC141+AZ141+BP141+BY141+CA141+CB141</f>
        <v>15351875.3322746</v>
      </c>
      <c r="CE141" s="7" t="n">
        <f aca="false">CC141-CD141</f>
        <v>178624.366349055</v>
      </c>
      <c r="CF141" s="7" t="n">
        <f aca="false">'Index Price Deals'!AR141</f>
        <v>0</v>
      </c>
      <c r="CG141" s="7" t="n">
        <f aca="false">'Index Price Deals'!AS141</f>
        <v>0</v>
      </c>
      <c r="CH141" s="7" t="n">
        <f aca="false">'Index Price Deals'!AT141</f>
        <v>0</v>
      </c>
      <c r="CI141" s="7" t="n">
        <f aca="false">'Index Price Deals'!AU141</f>
        <v>0</v>
      </c>
      <c r="CJ141" s="7" t="n">
        <f aca="false">CC141+CF141</f>
        <v>15530499.6986236</v>
      </c>
      <c r="CK141" s="7" t="n">
        <f aca="false">CD141+CH141</f>
        <v>15351875.3322746</v>
      </c>
      <c r="CL141" s="7" t="n">
        <f aca="false">CE141+CI141</f>
        <v>178624.366349055</v>
      </c>
      <c r="CM141" s="69"/>
      <c r="CN141" s="7" t="n">
        <f aca="false">Transport!U141</f>
        <v>0</v>
      </c>
      <c r="CQ141" s="7" t="n">
        <f aca="false">(((($B141+$C141+$D141+$O141+$P141+$Q141)*0.5)+BR141+BS141)*(0.005*'Prices&amp;Fuel'!$H141)+'Index Price Deals'!AV141)+(((BB141+BC141+BD141+BE141+BF141+BG141)*(1-'Prices&amp;Fuel'!F141))*0.005*0.5*'Prices&amp;Fuel'!H141)</f>
        <v>2875.25</v>
      </c>
      <c r="CR141" s="7" t="n">
        <f aca="false">(((($B141+$C141+$D141+$O141+$P141+$Q141)*0.5)+X141+Y141)*(0.005*'Prices&amp;Fuel'!$H141)+CA141+'Index Price Deals'!AW141)+(((BB141+BC141+BD141+BE141+BF141+BG141)*(1-'Prices&amp;Fuel'!F141))*0.005*0.5*'Prices&amp;Fuel'!H141)</f>
        <v>23913.8104113111</v>
      </c>
      <c r="CS141" s="11"/>
      <c r="CT141" s="7" t="n">
        <f aca="false">[2]Sheet1!$O161</f>
        <v>-309860.014883221</v>
      </c>
      <c r="CU141" s="7" t="n">
        <f aca="false">'[3]Long Term Deals'!$Z140</f>
        <v>-31548.0192679062</v>
      </c>
      <c r="CV141" s="70" t="n">
        <f aca="false">CL141-CN141-CT141+CU141+CS141+CO141</f>
        <v>456936.361964369</v>
      </c>
      <c r="DB141" s="1" t="n">
        <f aca="false">(O141+P141+Q141)*'Prices&amp;Fuel'!$H141</f>
        <v>778100</v>
      </c>
      <c r="DE141" s="1" t="n">
        <v>132000</v>
      </c>
    </row>
    <row r="142" customFormat="false" ht="12.75" hidden="false" customHeight="false" outlineLevel="0" collapsed="false">
      <c r="A142" s="6" t="n">
        <f aca="false">+A141+365/12</f>
        <v>39916.0833333333</v>
      </c>
      <c r="O142" s="7" t="n">
        <v>9036</v>
      </c>
      <c r="P142" s="7" t="n">
        <v>10794</v>
      </c>
      <c r="Q142" s="7" t="n">
        <v>5270</v>
      </c>
      <c r="R142" s="8" t="n">
        <f aca="false">R141</f>
        <v>3.5973</v>
      </c>
      <c r="S142" s="8" t="n">
        <f aca="false">S141</f>
        <v>3.5841</v>
      </c>
      <c r="T142" s="7" t="n">
        <f aca="false">(($O142*R142)+($P142*R142)+($Q142*R142))*'Prices&amp;Fuel'!$H142</f>
        <v>2708766.9</v>
      </c>
      <c r="U142" s="7" t="n">
        <f aca="false">(($O142*S142)+($P142*S142)+($Q142*S142))*'Prices&amp;Fuel'!$H142</f>
        <v>2698827.3</v>
      </c>
      <c r="V142" s="14" t="n">
        <f aca="false">T142-U142</f>
        <v>9939.60000000009</v>
      </c>
      <c r="AF142" s="7" t="n">
        <f aca="false">(32000/(1-'Prices&amp;Fuel'!F142))+(25000/(1-'Prices&amp;Fuel'!G142))-AI142</f>
        <v>58611.8251928021</v>
      </c>
      <c r="AG142" s="7" t="n">
        <v>0</v>
      </c>
      <c r="AH142" s="7" t="n">
        <f aca="false">(75000/(1-'Prices&amp;Fuel'!G142))-AK142</f>
        <v>77120.822622108</v>
      </c>
      <c r="AI142" s="7"/>
      <c r="AJ142" s="7"/>
      <c r="AK142" s="7"/>
      <c r="AL142" s="11" t="n">
        <f aca="false">ROUND((132000/(1-'Prices&amp;Fuel'!F142))-AF142-AG142-AH142,0)</f>
        <v>0</v>
      </c>
      <c r="AM142" s="7" t="n">
        <f aca="false">ROUND(IF(AF142&lt;AP142,0,(AF142-AP142-AI142)/2),0)</f>
        <v>29306</v>
      </c>
      <c r="AO142" s="7" t="n">
        <f aca="false">ROUND((75000/(1-'Prices&amp;Fuel'!G142)-AV142-AK142)/2,0)</f>
        <v>38560</v>
      </c>
      <c r="AR142" s="7" t="n">
        <f aca="false">IF(AP142&gt;AF142,0,AF142-AM142-AP142)</f>
        <v>29305.8251928021</v>
      </c>
      <c r="AT142" s="14" t="n">
        <f aca="false">AH142-AO142-AV142</f>
        <v>38560.822622108</v>
      </c>
      <c r="AU142" s="14" t="n">
        <f aca="false">AL142*AX142*'Prices&amp;Fuel'!H142</f>
        <v>0</v>
      </c>
      <c r="AW142" s="68" t="n">
        <f aca="false">AW141</f>
        <v>0.02</v>
      </c>
      <c r="AX142" s="68" t="n">
        <f aca="false">AX141</f>
        <v>0.015</v>
      </c>
      <c r="AY142" s="5" t="n">
        <f aca="false">('Prices&amp;Fuel'!H142*('Prices&amp;Fuel'!B142+AW142)*'Long Term Deals'!AF142)+('Prices&amp;Fuel'!H142*('Prices&amp;Fuel'!C142+'Long Term Deals'!AW142)*'Long Term Deals'!AG142)+(AH142*('Prices&amp;Fuel'!C142+AW142)*'Prices&amp;Fuel'!H142)+(AW142*AL142*'Prices&amp;Fuel'!H142)</f>
        <v>12243592.1276154</v>
      </c>
      <c r="AZ142" s="5" t="n">
        <f aca="false">(AP142*'Prices&amp;Fuel'!H142*'Prices&amp;Fuel'!B142)+(AQ142*'Prices&amp;Fuel'!C142*'Prices&amp;Fuel'!H142)+((AM142+AR142)*('Prices&amp;Fuel'!B142+'Long Term Deals'!AX142)*'Prices&amp;Fuel'!H142)+((AN142+AS142)*('Prices&amp;Fuel'!C142+'Long Term Deals'!AX142)*'Prices&amp;Fuel'!H142)+((AO142+AT142)*('Prices&amp;Fuel'!D142+'Long Term Deals'!AX142)*'Prices&amp;Fuel'!H142)+(AV142*'Prices&amp;Fuel'!H142*'Prices&amp;Fuel'!Q142)+AU142</f>
        <v>12107550.99651</v>
      </c>
      <c r="BA142" s="5" t="n">
        <f aca="false">AY142-AZ142</f>
        <v>136041.131105397</v>
      </c>
      <c r="BB142" s="5" t="n">
        <f aca="false">IF('FP Corp'!T142-((BE142+BF142+BG142)*(1-'Prices&amp;Fuel'!F142))&lt;'Prices&amp;Fuel'!R142,('FP Corp'!T142-(BE142+BF142+BG142)*(1-'Prices&amp;Fuel'!F142)),'Prices&amp;Fuel'!R142)/(1-'Prices&amp;Fuel'!F142)</f>
        <v>6278.66323907455</v>
      </c>
      <c r="BC142" s="9"/>
      <c r="BD142" s="9" t="n">
        <f aca="false">ROUND(IF('FP Corp'!T142/(1-'Prices&amp;Fuel'!F142)-BE142-BF142-BG142-BB142&gt;'Prices&amp;Fuel'!T142,'Prices&amp;Fuel'!T142,'FP Corp'!T142/(1-'Prices&amp;Fuel'!F142)-BE142-BF142-BG142-BB142),9)</f>
        <v>0</v>
      </c>
      <c r="BE142" s="9" t="n">
        <f aca="false">'Prices&amp;Fuel'!U142/(1-'Prices&amp;Fuel'!F142)</f>
        <v>1933.16195372751</v>
      </c>
      <c r="BF142" s="9" t="n">
        <f aca="false">('Prices&amp;Fuel'!V142+'Prices&amp;Fuel'!X142)/(1-'Prices&amp;Fuel'!F142)</f>
        <v>2833.93316195373</v>
      </c>
      <c r="BG142" s="9" t="n">
        <f aca="false">'Prices&amp;Fuel'!W142/(1-'Prices&amp;Fuel'!F142)</f>
        <v>1293.57326478149</v>
      </c>
      <c r="BH142" s="10" t="n">
        <f aca="false">('Prices&amp;Fuel'!C142+'Prices&amp;Fuel'!D142)/2-0.05+('Prices&amp;Fuel'!M142+'Prices&amp;Fuel'!P142)*(1-'Prices&amp;Fuel'!F142)</f>
        <v>3.6821490894207</v>
      </c>
      <c r="BI142" s="10"/>
      <c r="BJ142" s="10"/>
      <c r="BK142" s="10" t="n">
        <f aca="false">(((BB142+BE142)*('Prices&amp;Fuel'!B142+0.025))+(('Prices&amp;Fuel'!D142+0.025)*(BD142+BG142))+(('Prices&amp;Fuel'!C142+0.025)*(BC142+BF142))-(BI142+BJ142)*0.025)/(BB142+BC142+BD142+BE142+BF142+BG142)</f>
        <v>2.99252867275403</v>
      </c>
      <c r="BL142" s="9" t="n">
        <f aca="false">(BB142+BC142+BD142+BE142+BF142+BG142)*BH142*'Prices&amp;Fuel'!H142</f>
        <v>1363057.76060818</v>
      </c>
      <c r="BM142" s="9" t="n">
        <f aca="false">'Prices&amp;Fuel'!X142*('Prices&amp;Fuel'!N142+'Prices&amp;Fuel'!O142)*'Prices&amp;Fuel'!H142</f>
        <v>9134.1681425398</v>
      </c>
      <c r="BN142" s="9" t="n">
        <f aca="false">('Prices&amp;Fuel'!U142+'Prices&amp;Fuel'!V142+'Prices&amp;Fuel'!W142)*('Prices&amp;Fuel'!L142+'Prices&amp;Fuel'!O142)*'Prices&amp;Fuel'!H142</f>
        <v>69689.8245838578</v>
      </c>
      <c r="BO142" s="9" t="n">
        <f aca="false">((BB142+BC142+BD142)*(1-'Prices&amp;Fuel'!G142))*('Prices&amp;Fuel'!M142+'Prices&amp;Fuel'!P142)*'Prices&amp;Fuel'!H142</f>
        <v>140224.29</v>
      </c>
      <c r="BP142" s="9" t="n">
        <f aca="false">((BD142+BC142+BB142+BE142+BF142+BG142)*BK142*'Prices&amp;Fuel'!H142)+BM142+BN142+BO142</f>
        <v>1326822.39294897</v>
      </c>
      <c r="BQ142" s="5" t="n">
        <f aca="false">BL142-BP142</f>
        <v>36235.3676592065</v>
      </c>
      <c r="CA142" s="5" t="n">
        <f aca="false">(AF142+AG142+AH142+AL142)*0.005*'Prices&amp;Fuel'!H142</f>
        <v>20359.8971722365</v>
      </c>
      <c r="CB142" s="5" t="n">
        <f aca="false">(B142+C142+D142+O142+P142+Q142+X142+Y142+BB142+BC142+BD142+BE142+BF142+BG142+BR142+BS142)*0.005*'Prices&amp;Fuel'!H142</f>
        <v>5615.89974293059</v>
      </c>
      <c r="CC142" s="7" t="n">
        <f aca="false">K142+T142+AB142+AY142+BL142+BX142</f>
        <v>16315416.7882236</v>
      </c>
      <c r="CD142" s="7" t="n">
        <f aca="false">L142+U142+AC142+AZ142+BP142+BY142+CA142+CB142</f>
        <v>16159176.4863741</v>
      </c>
      <c r="CE142" s="7" t="n">
        <f aca="false">CC142-CD142</f>
        <v>156240.301849434</v>
      </c>
      <c r="CF142" s="7" t="n">
        <f aca="false">'Index Price Deals'!AR142</f>
        <v>0</v>
      </c>
      <c r="CG142" s="7" t="n">
        <f aca="false">'Index Price Deals'!AS142</f>
        <v>0</v>
      </c>
      <c r="CH142" s="7" t="n">
        <f aca="false">'Index Price Deals'!AT142</f>
        <v>0</v>
      </c>
      <c r="CI142" s="7" t="n">
        <f aca="false">'Index Price Deals'!AU142</f>
        <v>0</v>
      </c>
      <c r="CJ142" s="7" t="n">
        <f aca="false">CC142+CF142</f>
        <v>16315416.7882236</v>
      </c>
      <c r="CK142" s="7" t="n">
        <f aca="false">CD142+CH142</f>
        <v>16159176.4863741</v>
      </c>
      <c r="CL142" s="7" t="n">
        <f aca="false">CE142+CI142</f>
        <v>156240.301849434</v>
      </c>
      <c r="CM142" s="69"/>
      <c r="CN142" s="7" t="n">
        <f aca="false">Transport!U142</f>
        <v>0</v>
      </c>
      <c r="CQ142" s="7" t="n">
        <f aca="false">(((($B142+$C142+$D142+$O142+$P142+$Q142)*0.5)+BR142+BS142)*(0.005*'Prices&amp;Fuel'!$H142)+'Index Price Deals'!AV142)+(((BB142+BC142+BD142+BE142+BF142+BG142)*(1-'Prices&amp;Fuel'!F142))*0.005*0.5*'Prices&amp;Fuel'!H142)</f>
        <v>2782.5</v>
      </c>
      <c r="CR142" s="7" t="n">
        <f aca="false">(((($B142+$C142+$D142+$O142+$P142+$Q142)*0.5)+X142+Y142)*(0.005*'Prices&amp;Fuel'!$H142)+CA142+'Index Price Deals'!AW142)+(((BB142+BC142+BD142+BE142+BF142+BG142)*(1-'Prices&amp;Fuel'!F142))*0.005*0.5*'Prices&amp;Fuel'!H142)</f>
        <v>23142.3971722365</v>
      </c>
      <c r="CS142" s="11"/>
      <c r="CT142" s="7" t="n">
        <f aca="false">[2]Sheet1!$O162</f>
        <v>-299864.53053215</v>
      </c>
      <c r="CU142" s="7" t="n">
        <f aca="false">'[3]Long Term Deals'!$Z141</f>
        <v>-30530.341227006</v>
      </c>
      <c r="CV142" s="70" t="n">
        <f aca="false">CL142-CN142-CT142+CU142+CS142+CO142</f>
        <v>425574.491154578</v>
      </c>
      <c r="DB142" s="1" t="n">
        <f aca="false">(O142+P142+Q142)*'Prices&amp;Fuel'!$H142</f>
        <v>753000</v>
      </c>
      <c r="DE142" s="1" t="n">
        <v>132000</v>
      </c>
    </row>
    <row r="143" customFormat="false" ht="12.75" hidden="false" customHeight="false" outlineLevel="0" collapsed="false">
      <c r="A143" s="6" t="n">
        <f aca="false">+A142+365/12</f>
        <v>39946.5</v>
      </c>
      <c r="O143" s="7" t="n">
        <v>9036</v>
      </c>
      <c r="P143" s="7" t="n">
        <v>10794</v>
      </c>
      <c r="Q143" s="7" t="n">
        <v>5270</v>
      </c>
      <c r="R143" s="8" t="n">
        <f aca="false">R142</f>
        <v>3.5973</v>
      </c>
      <c r="S143" s="8" t="n">
        <f aca="false">S142</f>
        <v>3.5841</v>
      </c>
      <c r="T143" s="7" t="n">
        <f aca="false">(($O143*R143)+($P143*R143)+($Q143*R143))*'Prices&amp;Fuel'!$H143</f>
        <v>2799059.13</v>
      </c>
      <c r="U143" s="7" t="n">
        <f aca="false">(($O143*S143)+($P143*S143)+($Q143*S143))*'Prices&amp;Fuel'!$H143</f>
        <v>2788788.21</v>
      </c>
      <c r="V143" s="14" t="n">
        <f aca="false">T143-U143</f>
        <v>10270.9200000004</v>
      </c>
      <c r="AF143" s="7" t="n">
        <f aca="false">((100000)/(1-'Prices&amp;Fuel'!F143))+(25000/(1-'Prices&amp;Fuel'!G143))-AI143</f>
        <v>128534.70437018</v>
      </c>
      <c r="AG143" s="7" t="n">
        <v>0</v>
      </c>
      <c r="AH143" s="7" t="n">
        <f aca="false">(75000/(1-'Prices&amp;Fuel'!G143))-AK143</f>
        <v>77120.822622108</v>
      </c>
      <c r="AI143" s="7"/>
      <c r="AJ143" s="7"/>
      <c r="AK143" s="7"/>
      <c r="AL143" s="11" t="n">
        <f aca="false">ROUND((200000/(1-'Prices&amp;Fuel'!F143))-AF143-AG143-AH143,0)</f>
        <v>0</v>
      </c>
      <c r="AM143" s="7" t="n">
        <f aca="false">ROUND(IF(AF143&lt;AP143,0,(AF143-AP143-AI143)/2),0)</f>
        <v>64267</v>
      </c>
      <c r="AO143" s="7" t="n">
        <f aca="false">ROUND((75000/(1-'Prices&amp;Fuel'!G143)-AV143-AK143)/2,0)</f>
        <v>38560</v>
      </c>
      <c r="AR143" s="7" t="n">
        <f aca="false">IF(AP143&gt;AF143,0,AF143-AM143-AP143)</f>
        <v>64267.70437018</v>
      </c>
      <c r="AT143" s="14" t="n">
        <f aca="false">AH143-AO143-AV143</f>
        <v>38560.822622108</v>
      </c>
      <c r="AU143" s="14" t="n">
        <f aca="false">AL143*AX143*'Prices&amp;Fuel'!H143</f>
        <v>0</v>
      </c>
      <c r="AW143" s="68" t="n">
        <f aca="false">AW142</f>
        <v>0.02</v>
      </c>
      <c r="AX143" s="68" t="n">
        <f aca="false">AX142</f>
        <v>0.015</v>
      </c>
      <c r="AY143" s="5" t="n">
        <f aca="false">('Prices&amp;Fuel'!H143*('Prices&amp;Fuel'!B143+AW143)*'Long Term Deals'!AF143)+('Prices&amp;Fuel'!H143*('Prices&amp;Fuel'!C143+'Long Term Deals'!AW143)*'Long Term Deals'!AG143)+(AH143*('Prices&amp;Fuel'!C143+AW143)*'Prices&amp;Fuel'!H143)+(AW143*AL143*'Prices&amp;Fuel'!H143)</f>
        <v>20394054.0351572</v>
      </c>
      <c r="AZ143" s="5" t="n">
        <f aca="false">(AP143*'Prices&amp;Fuel'!H143*'Prices&amp;Fuel'!B143)+(AQ143*'Prices&amp;Fuel'!C143*'Prices&amp;Fuel'!H143)+((AM143+AR143)*('Prices&amp;Fuel'!B143+'Long Term Deals'!AX143)*'Prices&amp;Fuel'!H143)+((AN143+AS143)*('Prices&amp;Fuel'!C143+'Long Term Deals'!AX143)*'Prices&amp;Fuel'!H143)+((AO143+AT143)*('Prices&amp;Fuel'!D143+'Long Term Deals'!AX143)*'Prices&amp;Fuel'!H143)+(AV143*'Prices&amp;Fuel'!H143*'Prices&amp;Fuel'!Q143)+AU143</f>
        <v>20242640.1534091</v>
      </c>
      <c r="BA143" s="5" t="n">
        <f aca="false">AY143-AZ143</f>
        <v>151413.881748073</v>
      </c>
      <c r="BB143" s="5" t="n">
        <f aca="false">IF('FP Corp'!T143-((BE143+BF143+BG143)*(1-'Prices&amp;Fuel'!F143))&lt;'Prices&amp;Fuel'!R143,('FP Corp'!T143-(BE143+BF143+BG143)*(1-'Prices&amp;Fuel'!F143)),'Prices&amp;Fuel'!R143)/(1-'Prices&amp;Fuel'!F143)</f>
        <v>8976.86375321337</v>
      </c>
      <c r="BC143" s="9"/>
      <c r="BD143" s="9" t="n">
        <f aca="false">ROUND(IF('FP Corp'!T143/(1-'Prices&amp;Fuel'!F143)-BE143-BF143-BG143-BB143&gt;'Prices&amp;Fuel'!T143,'Prices&amp;Fuel'!T143,'FP Corp'!T143/(1-'Prices&amp;Fuel'!F143)-BE143-BF143-BG143-BB143),9)</f>
        <v>6556.298200514</v>
      </c>
      <c r="BE143" s="9" t="n">
        <f aca="false">'Prices&amp;Fuel'!U143/(1-'Prices&amp;Fuel'!F143)</f>
        <v>1933.16195372751</v>
      </c>
      <c r="BF143" s="9" t="n">
        <f aca="false">('Prices&amp;Fuel'!V143+'Prices&amp;Fuel'!X143)/(1-'Prices&amp;Fuel'!F143)</f>
        <v>3062.21079691517</v>
      </c>
      <c r="BG143" s="9" t="n">
        <f aca="false">'Prices&amp;Fuel'!W143/(1-'Prices&amp;Fuel'!F143)</f>
        <v>1065.29562982005</v>
      </c>
      <c r="BH143" s="10" t="n">
        <f aca="false">('Prices&amp;Fuel'!C143+'Prices&amp;Fuel'!D143)/2-0.05+('Prices&amp;Fuel'!M143+'Prices&amp;Fuel'!P143)*(1-'Prices&amp;Fuel'!F143)</f>
        <v>3.88585480632103</v>
      </c>
      <c r="BI143" s="10"/>
      <c r="BJ143" s="10"/>
      <c r="BK143" s="10" t="n">
        <f aca="false">(((BB143+BE143)*('Prices&amp;Fuel'!B143+0.025))+(('Prices&amp;Fuel'!D143+0.025)*(BD143+BG143))+(('Prices&amp;Fuel'!C143+0.025)*(BC143+BF143))-(BI143+BJ143)*0.025)/(BB143+BC143+BD143+BE143+BF143+BG143)</f>
        <v>3.19344415155913</v>
      </c>
      <c r="BL143" s="9" t="n">
        <f aca="false">(BB143+BC143+BD143+BE143+BF143+BG143)*BH143*'Prices&amp;Fuel'!H143</f>
        <v>2601225.1711208</v>
      </c>
      <c r="BM143" s="9" t="n">
        <f aca="false">'Prices&amp;Fuel'!X143*('Prices&amp;Fuel'!N143+'Prices&amp;Fuel'!O143)*'Prices&amp;Fuel'!H143</f>
        <v>9438.64041395779</v>
      </c>
      <c r="BN143" s="9" t="n">
        <f aca="false">('Prices&amp;Fuel'!U143+'Prices&amp;Fuel'!V143+'Prices&amp;Fuel'!W143)*('Prices&amp;Fuel'!L143+'Prices&amp;Fuel'!O143)*'Prices&amp;Fuel'!H143</f>
        <v>72012.8187366531</v>
      </c>
      <c r="BO143" s="9" t="n">
        <f aca="false">((BB143+BC143+BD143)*(1-'Prices&amp;Fuel'!G143))*('Prices&amp;Fuel'!M143+'Prices&amp;Fuel'!P143)*'Prices&amp;Fuel'!H143</f>
        <v>358472.932999997</v>
      </c>
      <c r="BP143" s="9" t="n">
        <f aca="false">((BD143+BC143+BB143+BE143+BF143+BG143)*BK143*'Prices&amp;Fuel'!H143)+BM143+BN143+BO143</f>
        <v>2577643.81905547</v>
      </c>
      <c r="BQ143" s="5" t="n">
        <f aca="false">BL143-BP143</f>
        <v>23581.3520653276</v>
      </c>
      <c r="CA143" s="5" t="n">
        <f aca="false">(AF143+AG143+AH143+AL143)*0.005*'Prices&amp;Fuel'!H143</f>
        <v>31876.6066838046</v>
      </c>
      <c r="CB143" s="5" t="n">
        <f aca="false">(B143+C143+D143+O143+P143+Q143+X143+Y143+BB143+BC143+BD143+BE143+BF143+BG143+BR143+BS143)*0.005*'Prices&amp;Fuel'!H143</f>
        <v>7237.54370179946</v>
      </c>
      <c r="CC143" s="7" t="n">
        <f aca="false">K143+T143+AB143+AY143+BL143+BX143</f>
        <v>25794338.336278</v>
      </c>
      <c r="CD143" s="7" t="n">
        <f aca="false">L143+U143+AC143+AZ143+BP143+BY143+CA143+CB143</f>
        <v>25648186.3328502</v>
      </c>
      <c r="CE143" s="7" t="n">
        <f aca="false">CC143-CD143</f>
        <v>146152.003427796</v>
      </c>
      <c r="CF143" s="7" t="n">
        <f aca="false">'Index Price Deals'!AR143</f>
        <v>0</v>
      </c>
      <c r="CG143" s="7" t="n">
        <f aca="false">'Index Price Deals'!AS143</f>
        <v>0</v>
      </c>
      <c r="CH143" s="7" t="n">
        <f aca="false">'Index Price Deals'!AT143</f>
        <v>0</v>
      </c>
      <c r="CI143" s="7" t="n">
        <f aca="false">'Index Price Deals'!AU143</f>
        <v>0</v>
      </c>
      <c r="CJ143" s="7" t="n">
        <f aca="false">CC143+CF143</f>
        <v>25794338.336278</v>
      </c>
      <c r="CK143" s="7" t="n">
        <f aca="false">CD143+CH143</f>
        <v>25648186.3328502</v>
      </c>
      <c r="CL143" s="7" t="n">
        <f aca="false">CE143+CI143</f>
        <v>146152.003427796</v>
      </c>
      <c r="CM143" s="69"/>
      <c r="CN143" s="7" t="n">
        <f aca="false">Transport!U143</f>
        <v>3.14901408273727E-009</v>
      </c>
      <c r="CQ143" s="7" t="n">
        <f aca="false">(((($B143+$C143+$D143+$O143+$P143+$Q143)*0.5)+BR143+BS143)*(0.005*'Prices&amp;Fuel'!$H143)+'Index Price Deals'!AV143)+(((BB143+BC143+BD143+BE143+BF143+BG143)*(1-'Prices&amp;Fuel'!F143))*0.005*0.5*'Prices&amp;Fuel'!H143)</f>
        <v>3572.74999999999</v>
      </c>
      <c r="CR143" s="7" t="n">
        <f aca="false">(((($B143+$C143+$D143+$O143+$P143+$Q143)*0.5)+X143+Y143)*(0.005*'Prices&amp;Fuel'!$H143)+CA143+'Index Price Deals'!AW143)+(((BB143+BC143+BD143+BE143+BF143+BG143)*(1-'Prices&amp;Fuel'!F143))*0.005*0.5*'Prices&amp;Fuel'!H143)</f>
        <v>35449.3566838046</v>
      </c>
      <c r="CS143" s="11"/>
      <c r="CT143" s="7" t="n">
        <f aca="false">[2]Sheet1!$O163</f>
        <v>-469484.871035184</v>
      </c>
      <c r="CU143" s="7" t="n">
        <f aca="false">'[3]Long Term Deals'!$Z142</f>
        <v>-47800.0291937973</v>
      </c>
      <c r="CV143" s="70" t="n">
        <f aca="false">CL143-CN143-CT143+CU143+CS143+CO143</f>
        <v>567836.845269179</v>
      </c>
      <c r="DB143" s="1" t="n">
        <f aca="false">(O143+P143+Q143)*'Prices&amp;Fuel'!$H143</f>
        <v>778100</v>
      </c>
      <c r="DE143" s="1" t="n">
        <v>200000</v>
      </c>
    </row>
    <row r="144" customFormat="false" ht="12.75" hidden="false" customHeight="false" outlineLevel="0" collapsed="false">
      <c r="A144" s="6" t="n">
        <f aca="false">+A143+365/12</f>
        <v>39976.9166666667</v>
      </c>
      <c r="O144" s="7" t="n">
        <v>9036</v>
      </c>
      <c r="P144" s="7" t="n">
        <v>10794</v>
      </c>
      <c r="Q144" s="7" t="n">
        <v>5270</v>
      </c>
      <c r="R144" s="8" t="n">
        <f aca="false">R143</f>
        <v>3.5973</v>
      </c>
      <c r="S144" s="8" t="n">
        <f aca="false">S143</f>
        <v>3.5841</v>
      </c>
      <c r="T144" s="7" t="n">
        <f aca="false">(($O144*R144)+($P144*R144)+($Q144*R144))*'Prices&amp;Fuel'!$H144</f>
        <v>2708766.9</v>
      </c>
      <c r="U144" s="7" t="n">
        <f aca="false">(($O144*S144)+($P144*S144)+($Q144*S144))*'Prices&amp;Fuel'!$H144</f>
        <v>2698827.3</v>
      </c>
      <c r="V144" s="14" t="n">
        <f aca="false">T144-U144</f>
        <v>9939.60000000009</v>
      </c>
      <c r="AF144" s="7" t="n">
        <f aca="false">((100000)/(1-'Prices&amp;Fuel'!F144))+(25000/(1-'Prices&amp;Fuel'!G144))-AI144</f>
        <v>128534.70437018</v>
      </c>
      <c r="AG144" s="7" t="n">
        <v>0</v>
      </c>
      <c r="AH144" s="7" t="n">
        <f aca="false">(75000/(1-'Prices&amp;Fuel'!G144))-AK144</f>
        <v>77120.822622108</v>
      </c>
      <c r="AI144" s="7"/>
      <c r="AJ144" s="7"/>
      <c r="AK144" s="7"/>
      <c r="AL144" s="11" t="n">
        <f aca="false">ROUND((200000/(1-'Prices&amp;Fuel'!F144))-AF144-AG144-AH144,0)</f>
        <v>0</v>
      </c>
      <c r="AM144" s="7" t="n">
        <f aca="false">ROUND(IF(AF144&lt;AP144,0,(AF144-AP144-AI144)/2),0)</f>
        <v>64267</v>
      </c>
      <c r="AO144" s="7" t="n">
        <f aca="false">ROUND((75000/(1-'Prices&amp;Fuel'!G144)-AV144-AK144)/2,0)</f>
        <v>38560</v>
      </c>
      <c r="AR144" s="7" t="n">
        <f aca="false">IF(AP144&gt;AF144,0,AF144-AM144-AP144)</f>
        <v>64267.70437018</v>
      </c>
      <c r="AT144" s="14" t="n">
        <f aca="false">AH144-AO144-AV144</f>
        <v>38560.822622108</v>
      </c>
      <c r="AU144" s="14" t="n">
        <f aca="false">AL144*AX144*'Prices&amp;Fuel'!H144</f>
        <v>0</v>
      </c>
      <c r="AW144" s="68" t="n">
        <f aca="false">AW143</f>
        <v>0.02</v>
      </c>
      <c r="AX144" s="68" t="n">
        <f aca="false">AX143</f>
        <v>0.015</v>
      </c>
      <c r="AY144" s="5" t="n">
        <f aca="false">('Prices&amp;Fuel'!H144*('Prices&amp;Fuel'!B144+AW144)*'Long Term Deals'!AF144)+('Prices&amp;Fuel'!H144*('Prices&amp;Fuel'!C144+'Long Term Deals'!AW144)*'Long Term Deals'!AG144)+(AH144*('Prices&amp;Fuel'!C144+AW144)*'Prices&amp;Fuel'!H144)+(AW144*AL144*'Prices&amp;Fuel'!H144)</f>
        <v>28401460.3655396</v>
      </c>
      <c r="AZ144" s="5" t="n">
        <f aca="false">(AP144*'Prices&amp;Fuel'!H144*'Prices&amp;Fuel'!B144)+(AQ144*'Prices&amp;Fuel'!C144*'Prices&amp;Fuel'!H144)+((AM144+AR144)*('Prices&amp;Fuel'!B144+'Long Term Deals'!AX144)*'Prices&amp;Fuel'!H144)+((AN144+AS144)*('Prices&amp;Fuel'!C144+'Long Term Deals'!AX144)*'Prices&amp;Fuel'!H144)+((AO144+AT144)*('Prices&amp;Fuel'!D144+'Long Term Deals'!AX144)*'Prices&amp;Fuel'!H144)+(AV144*'Prices&amp;Fuel'!H144*'Prices&amp;Fuel'!Q144)+AU144</f>
        <v>28254930.8025576</v>
      </c>
      <c r="BA144" s="5" t="n">
        <f aca="false">AY144-AZ144</f>
        <v>146529.562982004</v>
      </c>
      <c r="BB144" s="5" t="n">
        <f aca="false">IF('FP Corp'!T144-((BE144+BF144+BG144)*(1-'Prices&amp;Fuel'!F144))&lt;'Prices&amp;Fuel'!R144,('FP Corp'!T144-(BE144+BF144+BG144)*(1-'Prices&amp;Fuel'!F144)),'Prices&amp;Fuel'!R144)/(1-'Prices&amp;Fuel'!F144)</f>
        <v>8976.86375321337</v>
      </c>
      <c r="BC144" s="9"/>
      <c r="BD144" s="9" t="n">
        <f aca="false">ROUND(IF('FP Corp'!T144/(1-'Prices&amp;Fuel'!F144)-BE144-BF144-BG144-BB144&gt;'Prices&amp;Fuel'!T144,'Prices&amp;Fuel'!T144,'FP Corp'!T144/(1-'Prices&amp;Fuel'!F144)-BE144-BF144-BG144-BB144),9)</f>
        <v>6556.298200514</v>
      </c>
      <c r="BE144" s="9" t="n">
        <f aca="false">'Prices&amp;Fuel'!U144/(1-'Prices&amp;Fuel'!F144)</f>
        <v>1933.16195372751</v>
      </c>
      <c r="BF144" s="9" t="n">
        <f aca="false">('Prices&amp;Fuel'!V144+'Prices&amp;Fuel'!X144)/(1-'Prices&amp;Fuel'!F144)</f>
        <v>3062.21079691517</v>
      </c>
      <c r="BG144" s="9" t="n">
        <f aca="false">'Prices&amp;Fuel'!W144/(1-'Prices&amp;Fuel'!F144)</f>
        <v>1065.29562982005</v>
      </c>
      <c r="BH144" s="10" t="n">
        <f aca="false">('Prices&amp;Fuel'!C144+'Prices&amp;Fuel'!D144)/2-0.05+('Prices&amp;Fuel'!M144+'Prices&amp;Fuel'!P144)*(1-'Prices&amp;Fuel'!F144)</f>
        <v>5.29035211758121</v>
      </c>
      <c r="BI144" s="10"/>
      <c r="BJ144" s="10"/>
      <c r="BK144" s="10" t="n">
        <f aca="false">(((BB144+BE144)*('Prices&amp;Fuel'!B144+0.025))+(('Prices&amp;Fuel'!D144+0.025)*(BD144+BG144))+(('Prices&amp;Fuel'!C144+0.025)*(BC144+BF144))-(BI144+BJ144)*0.025)/(BB144+BC144+BD144+BE144+BF144+BG144)</f>
        <v>4.59794146281931</v>
      </c>
      <c r="BL144" s="9" t="n">
        <f aca="false">(BB144+BC144+BD144+BE144+BF144+BG144)*BH144*'Prices&amp;Fuel'!H144</f>
        <v>3427168.98105516</v>
      </c>
      <c r="BM144" s="9" t="n">
        <f aca="false">'Prices&amp;Fuel'!X144*('Prices&amp;Fuel'!N144+'Prices&amp;Fuel'!O144)*'Prices&amp;Fuel'!H144</f>
        <v>9134.1681425398</v>
      </c>
      <c r="BN144" s="9" t="n">
        <f aca="false">('Prices&amp;Fuel'!U144+'Prices&amp;Fuel'!V144+'Prices&amp;Fuel'!W144)*('Prices&amp;Fuel'!L144+'Prices&amp;Fuel'!O144)*'Prices&amp;Fuel'!H144</f>
        <v>69689.8245838578</v>
      </c>
      <c r="BO144" s="9" t="n">
        <f aca="false">((BB144+BC144+BD144)*(1-'Prices&amp;Fuel'!G144))*('Prices&amp;Fuel'!M144+'Prices&amp;Fuel'!P144)*'Prices&amp;Fuel'!H144</f>
        <v>346909.289999997</v>
      </c>
      <c r="BP144" s="9" t="n">
        <f aca="false">((BD144+BC144+BB144+BE144+BF144+BG144)*BK144*'Prices&amp;Fuel'!H144)+BM144+BN144+BO144</f>
        <v>3404348.31776613</v>
      </c>
      <c r="BQ144" s="5" t="n">
        <f aca="false">BL144-BP144</f>
        <v>22820.6632890273</v>
      </c>
      <c r="CA144" s="5" t="n">
        <f aca="false">(AF144+AG144+AH144+AL144)*0.005*'Prices&amp;Fuel'!H144</f>
        <v>30848.3290488432</v>
      </c>
      <c r="CB144" s="5" t="n">
        <f aca="false">(B144+C144+D144+O144+P144+Q144+X144+Y144+BB144+BC144+BD144+BE144+BF144+BG144+BR144+BS144)*0.005*'Prices&amp;Fuel'!H144</f>
        <v>7004.07455012851</v>
      </c>
      <c r="CC144" s="7" t="n">
        <f aca="false">K144+T144+AB144+AY144+BL144+BX144</f>
        <v>34537396.2465948</v>
      </c>
      <c r="CD144" s="7" t="n">
        <f aca="false">L144+U144+AC144+AZ144+BP144+BY144+CA144+CB144</f>
        <v>34395958.8239227</v>
      </c>
      <c r="CE144" s="7" t="n">
        <f aca="false">CC144-CD144</f>
        <v>141437.422672063</v>
      </c>
      <c r="CF144" s="7" t="n">
        <f aca="false">'Index Price Deals'!AR144</f>
        <v>0</v>
      </c>
      <c r="CG144" s="7" t="n">
        <f aca="false">'Index Price Deals'!AS144</f>
        <v>0</v>
      </c>
      <c r="CH144" s="7" t="n">
        <f aca="false">'Index Price Deals'!AT144</f>
        <v>0</v>
      </c>
      <c r="CI144" s="7" t="n">
        <f aca="false">'Index Price Deals'!AU144</f>
        <v>0</v>
      </c>
      <c r="CJ144" s="7" t="n">
        <f aca="false">CC144+CF144</f>
        <v>34537396.2465948</v>
      </c>
      <c r="CK144" s="7" t="n">
        <f aca="false">CD144+CH144</f>
        <v>34395958.8239227</v>
      </c>
      <c r="CL144" s="7" t="n">
        <f aca="false">CE144+CI144</f>
        <v>141437.422672063</v>
      </c>
      <c r="CM144" s="69"/>
      <c r="CN144" s="7" t="n">
        <f aca="false">Transport!U144</f>
        <v>3.04743298329413E-009</v>
      </c>
      <c r="CQ144" s="7" t="n">
        <f aca="false">(((($B144+$C144+$D144+$O144+$P144+$Q144)*0.5)+BR144+BS144)*(0.005*'Prices&amp;Fuel'!$H144)+'Index Price Deals'!AV144)+(((BB144+BC144+BD144+BE144+BF144+BG144)*(1-'Prices&amp;Fuel'!F144))*0.005*0.5*'Prices&amp;Fuel'!H144)</f>
        <v>3457.49999999999</v>
      </c>
      <c r="CR144" s="7" t="n">
        <f aca="false">(((($B144+$C144+$D144+$O144+$P144+$Q144)*0.5)+X144+Y144)*(0.005*'Prices&amp;Fuel'!$H144)+CA144+'Index Price Deals'!AW144)+(((BB144+BC144+BD144+BE144+BF144+BG144)*(1-'Prices&amp;Fuel'!F144))*0.005*0.5*'Prices&amp;Fuel'!H144)</f>
        <v>34305.8290488432</v>
      </c>
      <c r="CS144" s="11"/>
      <c r="CT144" s="7" t="n">
        <f aca="false">[2]Sheet1!$O164</f>
        <v>-454340.197775984</v>
      </c>
      <c r="CU144" s="7" t="n">
        <f aca="false">'[3]Long Term Deals'!$Z143</f>
        <v>-46258.092768191</v>
      </c>
      <c r="CV144" s="70" t="n">
        <f aca="false">CL144-CN144-CT144+CU144+CS144+CO144</f>
        <v>549519.527679853</v>
      </c>
      <c r="DB144" s="1" t="n">
        <f aca="false">(O144+P144+Q144)*'Prices&amp;Fuel'!$H144</f>
        <v>753000</v>
      </c>
      <c r="DE144" s="1" t="n">
        <v>200000</v>
      </c>
    </row>
    <row r="145" customFormat="false" ht="12.75" hidden="false" customHeight="false" outlineLevel="0" collapsed="false">
      <c r="A145" s="6" t="n">
        <f aca="false">+A144+365/12</f>
        <v>40007.3333333333</v>
      </c>
      <c r="O145" s="7" t="n">
        <v>9036</v>
      </c>
      <c r="P145" s="7" t="n">
        <v>10794</v>
      </c>
      <c r="Q145" s="7" t="n">
        <v>5270</v>
      </c>
      <c r="R145" s="8" t="n">
        <f aca="false">ROUND(3.075*1.04*1.04*1.04*1.04*1.04,4)</f>
        <v>3.7412</v>
      </c>
      <c r="S145" s="8" t="n">
        <f aca="false">R145-ROUND(0.01*1.02*1.02*1.02*1.02*1.02*1.02*1.02*1.02*1.02*1.02*1.02*1.02*1.02*1.02*1.02,4)</f>
        <v>3.7277</v>
      </c>
      <c r="T145" s="7" t="n">
        <f aca="false">(($O145*R145)+($P145*R145)+($Q145*R145))*'Prices&amp;Fuel'!$H145</f>
        <v>2911027.72</v>
      </c>
      <c r="U145" s="7" t="n">
        <f aca="false">(($O145*S145)+($P145*S145)+($Q145*S145))*'Prices&amp;Fuel'!$H145</f>
        <v>2900523.37</v>
      </c>
      <c r="V145" s="14" t="n">
        <f aca="false">T145-U145</f>
        <v>10504.3500000006</v>
      </c>
      <c r="AF145" s="7" t="n">
        <f aca="false">((100000)/(1-'Prices&amp;Fuel'!F145))+(25000/(1-'Prices&amp;Fuel'!G145))-AI145</f>
        <v>128534.70437018</v>
      </c>
      <c r="AG145" s="7" t="n">
        <v>0</v>
      </c>
      <c r="AH145" s="7" t="n">
        <f aca="false">(75000/(1-'Prices&amp;Fuel'!G145))-AK145</f>
        <v>77120.822622108</v>
      </c>
      <c r="AI145" s="7"/>
      <c r="AJ145" s="7"/>
      <c r="AK145" s="7"/>
      <c r="AL145" s="11" t="n">
        <f aca="false">ROUND((200000/(1-'Prices&amp;Fuel'!F145))-AF145-AG145-AH145,0)</f>
        <v>0</v>
      </c>
      <c r="AM145" s="7" t="n">
        <f aca="false">ROUND(IF(AF145&lt;AP145,0,(AF145-AP145-AI145)/2),0)</f>
        <v>64267</v>
      </c>
      <c r="AO145" s="7" t="n">
        <f aca="false">ROUND((75000/(1-'Prices&amp;Fuel'!G145)-AV145-AK145)/2,0)</f>
        <v>38560</v>
      </c>
      <c r="AR145" s="7" t="n">
        <f aca="false">IF(AP145&gt;AF145,0,AF145-AM145-AP145)</f>
        <v>64267.70437018</v>
      </c>
      <c r="AT145" s="14" t="n">
        <f aca="false">AH145-AO145-AV145</f>
        <v>38560.822622108</v>
      </c>
      <c r="AU145" s="14" t="n">
        <f aca="false">AL145*AX145*'Prices&amp;Fuel'!H145</f>
        <v>0</v>
      </c>
      <c r="AW145" s="68" t="n">
        <f aca="false">AW144</f>
        <v>0.02</v>
      </c>
      <c r="AX145" s="68" t="n">
        <f aca="false">AX144</f>
        <v>0.015</v>
      </c>
      <c r="AY145" s="5" t="n">
        <f aca="false">('Prices&amp;Fuel'!H145*('Prices&amp;Fuel'!B145+AW145)*'Long Term Deals'!AF145)+('Prices&amp;Fuel'!H145*('Prices&amp;Fuel'!C145+'Long Term Deals'!AW145)*'Long Term Deals'!AG145)+(AH145*('Prices&amp;Fuel'!C145+AW145)*'Prices&amp;Fuel'!H145)+(AW145*AL145*'Prices&amp;Fuel'!H145)</f>
        <v>29279823.6371958</v>
      </c>
      <c r="AZ145" s="5" t="n">
        <f aca="false">(AP145*'Prices&amp;Fuel'!H145*'Prices&amp;Fuel'!B145)+(AQ145*'Prices&amp;Fuel'!C145*'Prices&amp;Fuel'!H145)+((AM145+AR145)*('Prices&amp;Fuel'!B145+'Long Term Deals'!AX145)*'Prices&amp;Fuel'!H145)+((AN145+AS145)*('Prices&amp;Fuel'!C145+'Long Term Deals'!AX145)*'Prices&amp;Fuel'!H145)+((AO145+AT145)*('Prices&amp;Fuel'!D145+'Long Term Deals'!AX145)*'Prices&amp;Fuel'!H145)+(AV145*'Prices&amp;Fuel'!H145*'Prices&amp;Fuel'!Q145)+AU145</f>
        <v>29128409.7554477</v>
      </c>
      <c r="BA145" s="5" t="n">
        <f aca="false">AY145-AZ145</f>
        <v>151413.881748069</v>
      </c>
      <c r="BB145" s="5" t="n">
        <f aca="false">IF('FP Corp'!T145-((BE145+BF145+BG145)*(1-'Prices&amp;Fuel'!F145))&lt;'Prices&amp;Fuel'!R145,('FP Corp'!T145-(BE145+BF145+BG145)*(1-'Prices&amp;Fuel'!F145)),'Prices&amp;Fuel'!R145)/(1-'Prices&amp;Fuel'!F145)</f>
        <v>8976.86375321337</v>
      </c>
      <c r="BC145" s="9"/>
      <c r="BD145" s="9" t="n">
        <f aca="false">ROUND(IF('FP Corp'!T145/(1-'Prices&amp;Fuel'!F145)-BE145-BF145-BG145-BB145&gt;'Prices&amp;Fuel'!T145,'Prices&amp;Fuel'!T145,'FP Corp'!T145/(1-'Prices&amp;Fuel'!F145)-BE145-BF145-BG145-BB145),9)</f>
        <v>6556.298200514</v>
      </c>
      <c r="BE145" s="9" t="n">
        <f aca="false">'Prices&amp;Fuel'!U145/(1-'Prices&amp;Fuel'!F145)</f>
        <v>1933.16195372751</v>
      </c>
      <c r="BF145" s="9" t="n">
        <f aca="false">('Prices&amp;Fuel'!V145+'Prices&amp;Fuel'!X145)/(1-'Prices&amp;Fuel'!F145)</f>
        <v>3062.21079691517</v>
      </c>
      <c r="BG145" s="9" t="n">
        <f aca="false">'Prices&amp;Fuel'!W145/(1-'Prices&amp;Fuel'!F145)</f>
        <v>1065.29562982005</v>
      </c>
      <c r="BH145" s="10" t="n">
        <f aca="false">('Prices&amp;Fuel'!C145+'Prices&amp;Fuel'!D145)/2-0.05+('Prices&amp;Fuel'!M145+'Prices&amp;Fuel'!P145)*(1-'Prices&amp;Fuel'!F145)</f>
        <v>5.27963076406014</v>
      </c>
      <c r="BI145" s="10"/>
      <c r="BJ145" s="10"/>
      <c r="BK145" s="10" t="n">
        <f aca="false">(((BB145+BE145)*('Prices&amp;Fuel'!B145+0.025))+(('Prices&amp;Fuel'!D145+0.025)*(BD145+BG145))+(('Prices&amp;Fuel'!C145+0.025)*(BC145+BF145))-(BI145+BJ145)*0.025)/(BB145+BC145+BD145+BE145+BF145+BG145)</f>
        <v>4.58722010929824</v>
      </c>
      <c r="BL145" s="9" t="n">
        <f aca="false">(BB145+BC145+BD145+BE145+BF145+BG145)*BH145*'Prices&amp;Fuel'!H145</f>
        <v>3534230.97933484</v>
      </c>
      <c r="BM145" s="9" t="n">
        <f aca="false">'Prices&amp;Fuel'!X145*('Prices&amp;Fuel'!N145+'Prices&amp;Fuel'!O145)*'Prices&amp;Fuel'!H145</f>
        <v>9438.64041395779</v>
      </c>
      <c r="BN145" s="9" t="n">
        <f aca="false">('Prices&amp;Fuel'!U145+'Prices&amp;Fuel'!V145+'Prices&amp;Fuel'!W145)*('Prices&amp;Fuel'!L145+'Prices&amp;Fuel'!O145)*'Prices&amp;Fuel'!H145</f>
        <v>72012.8187366531</v>
      </c>
      <c r="BO145" s="9" t="n">
        <f aca="false">((BB145+BC145+BD145)*(1-'Prices&amp;Fuel'!G145))*('Prices&amp;Fuel'!M145+'Prices&amp;Fuel'!P145)*'Prices&amp;Fuel'!H145</f>
        <v>358472.932999997</v>
      </c>
      <c r="BP145" s="9" t="n">
        <f aca="false">((BD145+BC145+BB145+BE145+BF145+BG145)*BK145*'Prices&amp;Fuel'!H145)+BM145+BN145+BO145</f>
        <v>3510649.62726951</v>
      </c>
      <c r="BQ145" s="5" t="n">
        <f aca="false">BL145-BP145</f>
        <v>23581.3520653276</v>
      </c>
      <c r="CA145" s="5" t="n">
        <f aca="false">(AF145+AG145+AH145+AL145)*0.005*'Prices&amp;Fuel'!H145</f>
        <v>31876.6066838046</v>
      </c>
      <c r="CB145" s="5" t="n">
        <f aca="false">(B145+C145+D145+O145+P145+Q145+X145+Y145+BB145+BC145+BD145+BE145+BF145+BG145+BR145+BS145)*0.005*'Prices&amp;Fuel'!H145</f>
        <v>7237.54370179946</v>
      </c>
      <c r="CC145" s="7" t="n">
        <f aca="false">K145+T145+AB145+AY145+BL145+BX145</f>
        <v>35725082.3365306</v>
      </c>
      <c r="CD145" s="7" t="n">
        <f aca="false">L145+U145+AC145+AZ145+BP145+BY145+CA145+CB145</f>
        <v>35578696.9031028</v>
      </c>
      <c r="CE145" s="7" t="n">
        <f aca="false">CC145-CD145</f>
        <v>146385.433427796</v>
      </c>
      <c r="CF145" s="7" t="n">
        <f aca="false">'Index Price Deals'!AR145</f>
        <v>0</v>
      </c>
      <c r="CG145" s="7" t="n">
        <f aca="false">'Index Price Deals'!AS145</f>
        <v>0</v>
      </c>
      <c r="CH145" s="7" t="n">
        <f aca="false">'Index Price Deals'!AT145</f>
        <v>0</v>
      </c>
      <c r="CI145" s="7" t="n">
        <f aca="false">'Index Price Deals'!AU145</f>
        <v>0</v>
      </c>
      <c r="CJ145" s="7" t="n">
        <f aca="false">CC145+CF145</f>
        <v>35725082.3365306</v>
      </c>
      <c r="CK145" s="7" t="n">
        <f aca="false">CD145+CH145</f>
        <v>35578696.9031028</v>
      </c>
      <c r="CL145" s="7" t="n">
        <f aca="false">CE145+CI145</f>
        <v>146385.433427796</v>
      </c>
      <c r="CM145" s="69"/>
      <c r="CN145" s="7" t="n">
        <f aca="false">Transport!U145</f>
        <v>3.14901408273727E-009</v>
      </c>
      <c r="CQ145" s="7" t="n">
        <f aca="false">(((($B145+$C145+$D145+$O145+$P145+$Q145)*0.5)+BR145+BS145)*(0.005*'Prices&amp;Fuel'!$H145)+'Index Price Deals'!AV145)+(((BB145+BC145+BD145+BE145+BF145+BG145)*(1-'Prices&amp;Fuel'!F145))*0.005*0.5*'Prices&amp;Fuel'!H145)</f>
        <v>3572.74999999999</v>
      </c>
      <c r="CR145" s="7" t="n">
        <f aca="false">(((($B145+$C145+$D145+$O145+$P145+$Q145)*0.5)+X145+Y145)*(0.005*'Prices&amp;Fuel'!$H145)+CA145+'Index Price Deals'!AW145)+(((BB145+BC145+BD145+BE145+BF145+BG145)*(1-'Prices&amp;Fuel'!F145))*0.005*0.5*'Prices&amp;Fuel'!H145)</f>
        <v>35449.3566838046</v>
      </c>
      <c r="CS145" s="11"/>
      <c r="CT145" s="7" t="n">
        <f aca="false">[2]Sheet1!$O165</f>
        <v>-469484.871035184</v>
      </c>
      <c r="CU145" s="7" t="n">
        <f aca="false">'[3]Long Term Deals'!$Z144</f>
        <v>-47800.0291937973</v>
      </c>
      <c r="CV145" s="70" t="n">
        <f aca="false">CL145-CN145-CT145+CU145+CS145+CO145</f>
        <v>568070.275269179</v>
      </c>
      <c r="DB145" s="1" t="n">
        <f aca="false">(O145+P145+Q145)*'Prices&amp;Fuel'!$H145</f>
        <v>778100</v>
      </c>
      <c r="DE145" s="1" t="n">
        <v>200000</v>
      </c>
    </row>
    <row r="146" customFormat="false" ht="12.75" hidden="false" customHeight="false" outlineLevel="0" collapsed="false">
      <c r="A146" s="6" t="n">
        <f aca="false">+A145+365/12</f>
        <v>40037.75</v>
      </c>
      <c r="O146" s="7" t="n">
        <v>9036</v>
      </c>
      <c r="P146" s="7" t="n">
        <v>10794</v>
      </c>
      <c r="Q146" s="7" t="n">
        <v>5270</v>
      </c>
      <c r="R146" s="8" t="n">
        <f aca="false">R145</f>
        <v>3.7412</v>
      </c>
      <c r="S146" s="8" t="n">
        <f aca="false">S145</f>
        <v>3.7277</v>
      </c>
      <c r="T146" s="7" t="n">
        <f aca="false">(($O146*R146)+($P146*R146)+($Q146*R146))*'Prices&amp;Fuel'!$H146</f>
        <v>2911027.72</v>
      </c>
      <c r="U146" s="7" t="n">
        <f aca="false">(($O146*S146)+($P146*S146)+($Q146*S146))*'Prices&amp;Fuel'!$H146</f>
        <v>2900523.37</v>
      </c>
      <c r="V146" s="14" t="n">
        <f aca="false">T146-U146</f>
        <v>10504.3500000006</v>
      </c>
      <c r="AF146" s="7" t="n">
        <f aca="false">((100000)/(1-'Prices&amp;Fuel'!F146))+(25000/(1-'Prices&amp;Fuel'!G146))-AI146</f>
        <v>128534.70437018</v>
      </c>
      <c r="AG146" s="7" t="n">
        <v>0</v>
      </c>
      <c r="AH146" s="7" t="n">
        <f aca="false">(75000/(1-'Prices&amp;Fuel'!G146))-AK146</f>
        <v>77120.822622108</v>
      </c>
      <c r="AI146" s="7"/>
      <c r="AJ146" s="7"/>
      <c r="AK146" s="7"/>
      <c r="AL146" s="11" t="n">
        <f aca="false">ROUND((200000/(1-'Prices&amp;Fuel'!F146))-AF146-AG146-AH146,0)</f>
        <v>0</v>
      </c>
      <c r="AM146" s="7" t="n">
        <f aca="false">ROUND(IF(AF146&lt;AP146,0,(AF146-AP146-AI146)/2),0)</f>
        <v>64267</v>
      </c>
      <c r="AO146" s="7" t="n">
        <f aca="false">ROUND((75000/(1-'Prices&amp;Fuel'!G146)-AV146-AK146)/2,0)</f>
        <v>38560</v>
      </c>
      <c r="AR146" s="7" t="n">
        <f aca="false">IF(AP146&gt;AF146,0,AF146-AM146-AP146)</f>
        <v>64267.70437018</v>
      </c>
      <c r="AT146" s="14" t="n">
        <f aca="false">AH146-AO146-AV146</f>
        <v>38560.822622108</v>
      </c>
      <c r="AU146" s="14" t="n">
        <f aca="false">AL146*AX146*'Prices&amp;Fuel'!H146</f>
        <v>0</v>
      </c>
      <c r="AW146" s="68" t="n">
        <f aca="false">AW145</f>
        <v>0.02</v>
      </c>
      <c r="AX146" s="68" t="n">
        <f aca="false">AX145</f>
        <v>0.015</v>
      </c>
      <c r="AY146" s="5" t="n">
        <f aca="false">('Prices&amp;Fuel'!H146*('Prices&amp;Fuel'!B146+AW146)*'Long Term Deals'!AF146)+('Prices&amp;Fuel'!H146*('Prices&amp;Fuel'!C146+'Long Term Deals'!AW146)*'Long Term Deals'!AG146)+(AH146*('Prices&amp;Fuel'!C146+AW146)*'Prices&amp;Fuel'!H146)+(AW146*AL146*'Prices&amp;Fuel'!H146)</f>
        <v>25588811.6486567</v>
      </c>
      <c r="AZ146" s="5" t="n">
        <f aca="false">(AP146*'Prices&amp;Fuel'!H146*'Prices&amp;Fuel'!B146)+(AQ146*'Prices&amp;Fuel'!C146*'Prices&amp;Fuel'!H146)+((AM146+AR146)*('Prices&amp;Fuel'!B146+'Long Term Deals'!AX146)*'Prices&amp;Fuel'!H146)+((AN146+AS146)*('Prices&amp;Fuel'!C146+'Long Term Deals'!AX146)*'Prices&amp;Fuel'!H146)+((AO146+AT146)*('Prices&amp;Fuel'!D146+'Long Term Deals'!AX146)*'Prices&amp;Fuel'!H146)+(AV146*'Prices&amp;Fuel'!H146*'Prices&amp;Fuel'!Q146)+AU146</f>
        <v>25437397.7669086</v>
      </c>
      <c r="BA146" s="5" t="n">
        <f aca="false">AY146-AZ146</f>
        <v>151413.881748069</v>
      </c>
      <c r="BB146" s="5" t="n">
        <f aca="false">IF('FP Corp'!T146-((BE146+BF146+BG146)*(1-'Prices&amp;Fuel'!F146))&lt;'Prices&amp;Fuel'!R146,('FP Corp'!T146-(BE146+BF146+BG146)*(1-'Prices&amp;Fuel'!F146)),'Prices&amp;Fuel'!R146)/(1-'Prices&amp;Fuel'!F146)</f>
        <v>8976.86375321337</v>
      </c>
      <c r="BC146" s="9"/>
      <c r="BD146" s="9" t="n">
        <f aca="false">ROUND(IF('FP Corp'!T146/(1-'Prices&amp;Fuel'!F146)-BE146-BF146-BG146-BB146&gt;'Prices&amp;Fuel'!T146,'Prices&amp;Fuel'!T146,'FP Corp'!T146/(1-'Prices&amp;Fuel'!F146)-BE146-BF146-BG146-BB146),9)</f>
        <v>6556.298200514</v>
      </c>
      <c r="BE146" s="9" t="n">
        <f aca="false">'Prices&amp;Fuel'!U146/(1-'Prices&amp;Fuel'!F146)</f>
        <v>1933.16195372751</v>
      </c>
      <c r="BF146" s="9" t="n">
        <f aca="false">('Prices&amp;Fuel'!V146+'Prices&amp;Fuel'!X146)/(1-'Prices&amp;Fuel'!F146)</f>
        <v>3062.21079691517</v>
      </c>
      <c r="BG146" s="9" t="n">
        <f aca="false">'Prices&amp;Fuel'!W146/(1-'Prices&amp;Fuel'!F146)</f>
        <v>1065.29562982005</v>
      </c>
      <c r="BH146" s="10" t="n">
        <f aca="false">('Prices&amp;Fuel'!C146+'Prices&amp;Fuel'!D146)/2-0.05+('Prices&amp;Fuel'!M146+'Prices&amp;Fuel'!P146)*(1-'Prices&amp;Fuel'!F146)</f>
        <v>4.70067767392236</v>
      </c>
      <c r="BI146" s="10"/>
      <c r="BJ146" s="10"/>
      <c r="BK146" s="10" t="n">
        <f aca="false">(((BB146+BE146)*('Prices&amp;Fuel'!B146+0.025))+(('Prices&amp;Fuel'!D146+0.025)*(BD146+BG146))+(('Prices&amp;Fuel'!C146+0.025)*(BC146+BF146))-(BI146+BJ146)*0.025)/(BB146+BC146+BD146+BE146+BF146+BG146)</f>
        <v>4.00826701916045</v>
      </c>
      <c r="BL146" s="9" t="n">
        <f aca="false">(BB146+BC146+BD146+BE146+BF146+BG146)*BH146*'Prices&amp;Fuel'!H146</f>
        <v>3146674.72053824</v>
      </c>
      <c r="BM146" s="9" t="n">
        <f aca="false">'Prices&amp;Fuel'!X146*('Prices&amp;Fuel'!N146+'Prices&amp;Fuel'!O146)*'Prices&amp;Fuel'!H146</f>
        <v>9438.64041395779</v>
      </c>
      <c r="BN146" s="9" t="n">
        <f aca="false">('Prices&amp;Fuel'!U146+'Prices&amp;Fuel'!V146+'Prices&amp;Fuel'!W146)*('Prices&amp;Fuel'!L146+'Prices&amp;Fuel'!O146)*'Prices&amp;Fuel'!H146</f>
        <v>72012.8187366531</v>
      </c>
      <c r="BO146" s="9" t="n">
        <f aca="false">((BB146+BC146+BD146)*(1-'Prices&amp;Fuel'!G146))*('Prices&amp;Fuel'!M146+'Prices&amp;Fuel'!P146)*'Prices&amp;Fuel'!H146</f>
        <v>358472.932999997</v>
      </c>
      <c r="BP146" s="9" t="n">
        <f aca="false">((BD146+BC146+BB146+BE146+BF146+BG146)*BK146*'Prices&amp;Fuel'!H146)+BM146+BN146+BO146</f>
        <v>3123093.36847291</v>
      </c>
      <c r="BQ146" s="5" t="n">
        <f aca="false">BL146-BP146</f>
        <v>23581.3520653271</v>
      </c>
      <c r="CA146" s="5" t="n">
        <f aca="false">(AF146+AG146+AH146+AL146)*0.005*'Prices&amp;Fuel'!H146</f>
        <v>31876.6066838046</v>
      </c>
      <c r="CB146" s="5" t="n">
        <f aca="false">(B146+C146+D146+O146+P146+Q146+X146+Y146+BB146+BC146+BD146+BE146+BF146+BG146+BR146+BS146)*0.005*'Prices&amp;Fuel'!H146</f>
        <v>7237.54370179946</v>
      </c>
      <c r="CC146" s="7" t="n">
        <f aca="false">K146+T146+AB146+AY146+BL146+BX146</f>
        <v>31646514.0891949</v>
      </c>
      <c r="CD146" s="7" t="n">
        <f aca="false">L146+U146+AC146+AZ146+BP146+BY146+CA146+CB146</f>
        <v>31500128.6557671</v>
      </c>
      <c r="CE146" s="7" t="n">
        <f aca="false">CC146-CD146</f>
        <v>146385.433427788</v>
      </c>
      <c r="CF146" s="7" t="n">
        <f aca="false">'Index Price Deals'!AR146</f>
        <v>0</v>
      </c>
      <c r="CG146" s="7" t="n">
        <f aca="false">'Index Price Deals'!AS146</f>
        <v>0</v>
      </c>
      <c r="CH146" s="7" t="n">
        <f aca="false">'Index Price Deals'!AT146</f>
        <v>0</v>
      </c>
      <c r="CI146" s="7" t="n">
        <f aca="false">'Index Price Deals'!AU146</f>
        <v>0</v>
      </c>
      <c r="CJ146" s="7" t="n">
        <f aca="false">CC146+CF146</f>
        <v>31646514.0891949</v>
      </c>
      <c r="CK146" s="7" t="n">
        <f aca="false">CD146+CH146</f>
        <v>31500128.6557671</v>
      </c>
      <c r="CL146" s="7" t="n">
        <f aca="false">CE146+CI146</f>
        <v>146385.433427788</v>
      </c>
      <c r="CM146" s="69"/>
      <c r="CN146" s="7" t="n">
        <f aca="false">Transport!U146</f>
        <v>3.14901408273727E-009</v>
      </c>
      <c r="CQ146" s="7" t="n">
        <f aca="false">(((($B146+$C146+$D146+$O146+$P146+$Q146)*0.5)+BR146+BS146)*(0.005*'Prices&amp;Fuel'!$H146)+'Index Price Deals'!AV146)+(((BB146+BC146+BD146+BE146+BF146+BG146)*(1-'Prices&amp;Fuel'!F146))*0.005*0.5*'Prices&amp;Fuel'!H146)</f>
        <v>3572.74999999999</v>
      </c>
      <c r="CR146" s="7" t="n">
        <f aca="false">(((($B146+$C146+$D146+$O146+$P146+$Q146)*0.5)+X146+Y146)*(0.005*'Prices&amp;Fuel'!$H146)+CA146+'Index Price Deals'!AW146)+(((BB146+BC146+BD146+BE146+BF146+BG146)*(1-'Prices&amp;Fuel'!F146))*0.005*0.5*'Prices&amp;Fuel'!H146)</f>
        <v>35449.3566838046</v>
      </c>
      <c r="CS146" s="11"/>
      <c r="CT146" s="7" t="n">
        <f aca="false">[2]Sheet1!$O166</f>
        <v>-469484.871035184</v>
      </c>
      <c r="CU146" s="7" t="n">
        <f aca="false">'[3]Long Term Deals'!$Z145</f>
        <v>-47800.0291937973</v>
      </c>
      <c r="CV146" s="70" t="n">
        <f aca="false">CL146-CN146-CT146+CU146+CS146+CO146</f>
        <v>568070.275269172</v>
      </c>
      <c r="DB146" s="1" t="n">
        <f aca="false">(O146+P146+Q146)*'Prices&amp;Fuel'!$H146</f>
        <v>778100</v>
      </c>
      <c r="DE146" s="1" t="n">
        <v>200000</v>
      </c>
    </row>
    <row r="147" customFormat="false" ht="12.75" hidden="false" customHeight="false" outlineLevel="0" collapsed="false">
      <c r="A147" s="6" t="n">
        <f aca="false">+A146+365/12</f>
        <v>40068.1666666667</v>
      </c>
      <c r="O147" s="7" t="n">
        <v>9036</v>
      </c>
      <c r="P147" s="7" t="n">
        <v>10794</v>
      </c>
      <c r="Q147" s="7" t="n">
        <v>5270</v>
      </c>
      <c r="R147" s="8" t="n">
        <f aca="false">R146</f>
        <v>3.7412</v>
      </c>
      <c r="S147" s="8" t="n">
        <f aca="false">S146</f>
        <v>3.7277</v>
      </c>
      <c r="T147" s="7" t="n">
        <f aca="false">(($O147*R147)+($P147*R147)+($Q147*R147))*'Prices&amp;Fuel'!$H147</f>
        <v>2817123.6</v>
      </c>
      <c r="U147" s="7" t="n">
        <f aca="false">(($O147*S147)+($P147*S147)+($Q147*S147))*'Prices&amp;Fuel'!$H147</f>
        <v>2806958.1</v>
      </c>
      <c r="V147" s="14" t="n">
        <f aca="false">T147-U147</f>
        <v>10165.5000000005</v>
      </c>
      <c r="AF147" s="7" t="n">
        <f aca="false">((100000)/(1-'Prices&amp;Fuel'!F147))+(25000/(1-'Prices&amp;Fuel'!G147))-AI147</f>
        <v>128534.70437018</v>
      </c>
      <c r="AG147" s="7" t="n">
        <v>0</v>
      </c>
      <c r="AH147" s="7" t="n">
        <f aca="false">(75000/(1-'Prices&amp;Fuel'!G147))-AK147</f>
        <v>77120.822622108</v>
      </c>
      <c r="AI147" s="7"/>
      <c r="AJ147" s="7"/>
      <c r="AK147" s="7"/>
      <c r="AL147" s="11" t="n">
        <f aca="false">ROUND((200000/(1-'Prices&amp;Fuel'!F147))-AF147-AG147-AH147,0)</f>
        <v>0</v>
      </c>
      <c r="AM147" s="7" t="n">
        <f aca="false">ROUND(IF(AF147&lt;AP147,0,(AF147-AP147-AI147)/2),0)</f>
        <v>64267</v>
      </c>
      <c r="AO147" s="7" t="n">
        <f aca="false">ROUND((75000/(1-'Prices&amp;Fuel'!G147)-AV147-AK147)/2,0)</f>
        <v>38560</v>
      </c>
      <c r="AR147" s="7" t="n">
        <f aca="false">IF(AP147&gt;AF147,0,AF147-AM147-AP147)</f>
        <v>64267.70437018</v>
      </c>
      <c r="AT147" s="14" t="n">
        <f aca="false">AH147-AO147-AV147</f>
        <v>38560.822622108</v>
      </c>
      <c r="AU147" s="14" t="n">
        <f aca="false">AL147*AX147*'Prices&amp;Fuel'!H147</f>
        <v>0</v>
      </c>
      <c r="AW147" s="68" t="n">
        <f aca="false">AW146</f>
        <v>0.02</v>
      </c>
      <c r="AX147" s="68" t="n">
        <f aca="false">AX146</f>
        <v>0.015</v>
      </c>
      <c r="AY147" s="5" t="n">
        <f aca="false">('Prices&amp;Fuel'!H147*('Prices&amp;Fuel'!B147+AW147)*'Long Term Deals'!AF147)+('Prices&amp;Fuel'!H147*('Prices&amp;Fuel'!C147+'Long Term Deals'!AW147)*'Long Term Deals'!AG147)+(AH147*('Prices&amp;Fuel'!C147+AW147)*'Prices&amp;Fuel'!H147)+(AW147*AL147*'Prices&amp;Fuel'!H147)</f>
        <v>29856698.0671142</v>
      </c>
      <c r="AZ147" s="5" t="n">
        <f aca="false">(AP147*'Prices&amp;Fuel'!H147*'Prices&amp;Fuel'!B147)+(AQ147*'Prices&amp;Fuel'!C147*'Prices&amp;Fuel'!H147)+((AM147+AR147)*('Prices&amp;Fuel'!B147+'Long Term Deals'!AX147)*'Prices&amp;Fuel'!H147)+((AN147+AS147)*('Prices&amp;Fuel'!C147+'Long Term Deals'!AX147)*'Prices&amp;Fuel'!H147)+((AO147+AT147)*('Prices&amp;Fuel'!D147+'Long Term Deals'!AX147)*'Prices&amp;Fuel'!H147)+(AV147*'Prices&amp;Fuel'!H147*'Prices&amp;Fuel'!Q147)+AU147</f>
        <v>29710168.5041322</v>
      </c>
      <c r="BA147" s="5" t="n">
        <f aca="false">AY147-AZ147</f>
        <v>146529.562982004</v>
      </c>
      <c r="BB147" s="5" t="n">
        <f aca="false">IF('FP Corp'!T147-((BE147+BF147+BG147)*(1-'Prices&amp;Fuel'!F147))&lt;'Prices&amp;Fuel'!R147,('FP Corp'!T147-(BE147+BF147+BG147)*(1-'Prices&amp;Fuel'!F147)),'Prices&amp;Fuel'!R147)/(1-'Prices&amp;Fuel'!F147)</f>
        <v>8976.86375321337</v>
      </c>
      <c r="BC147" s="9"/>
      <c r="BD147" s="9" t="n">
        <f aca="false">ROUND(IF('FP Corp'!T147/(1-'Prices&amp;Fuel'!F147)-BE147-BF147-BG147-BB147&gt;'Prices&amp;Fuel'!T147,'Prices&amp;Fuel'!T147,'FP Corp'!T147/(1-'Prices&amp;Fuel'!F147)-BE147-BF147-BG147-BB147),9)</f>
        <v>6556.298200514</v>
      </c>
      <c r="BE147" s="9" t="n">
        <f aca="false">'Prices&amp;Fuel'!U147/(1-'Prices&amp;Fuel'!F147)</f>
        <v>1933.16195372751</v>
      </c>
      <c r="BF147" s="9" t="n">
        <f aca="false">('Prices&amp;Fuel'!V147+'Prices&amp;Fuel'!X147)/(1-'Prices&amp;Fuel'!F147)</f>
        <v>3062.21079691517</v>
      </c>
      <c r="BG147" s="9" t="n">
        <f aca="false">'Prices&amp;Fuel'!W147/(1-'Prices&amp;Fuel'!F147)</f>
        <v>1065.29562982005</v>
      </c>
      <c r="BH147" s="10" t="n">
        <f aca="false">('Prices&amp;Fuel'!C147+'Prices&amp;Fuel'!D147)/2-0.05+('Prices&amp;Fuel'!M147+'Prices&amp;Fuel'!P147)*(1-'Prices&amp;Fuel'!F147)</f>
        <v>5.52622189504476</v>
      </c>
      <c r="BI147" s="10"/>
      <c r="BJ147" s="10"/>
      <c r="BK147" s="10" t="n">
        <f aca="false">(((BB147+BE147)*('Prices&amp;Fuel'!B147+0.025))+(('Prices&amp;Fuel'!D147+0.025)*(BD147+BG147))+(('Prices&amp;Fuel'!C147+0.025)*(BC147+BF147))-(BI147+BJ147)*0.025)/(BB147+BC147+BD147+BE147+BF147+BG147)</f>
        <v>4.83381124028285</v>
      </c>
      <c r="BL147" s="9" t="n">
        <f aca="false">(BB147+BC147+BD147+BE147+BF147+BG147)*BH147*'Prices&amp;Fuel'!H147</f>
        <v>3579968.93972049</v>
      </c>
      <c r="BM147" s="9" t="n">
        <f aca="false">'Prices&amp;Fuel'!X147*('Prices&amp;Fuel'!N147+'Prices&amp;Fuel'!O147)*'Prices&amp;Fuel'!H147</f>
        <v>9134.1681425398</v>
      </c>
      <c r="BN147" s="9" t="n">
        <f aca="false">('Prices&amp;Fuel'!U147+'Prices&amp;Fuel'!V147+'Prices&amp;Fuel'!W147)*('Prices&amp;Fuel'!L147+'Prices&amp;Fuel'!O147)*'Prices&amp;Fuel'!H147</f>
        <v>69689.8245838578</v>
      </c>
      <c r="BO147" s="9" t="n">
        <f aca="false">((BB147+BC147+BD147)*(1-'Prices&amp;Fuel'!G147))*('Prices&amp;Fuel'!M147+'Prices&amp;Fuel'!P147)*'Prices&amp;Fuel'!H147</f>
        <v>346909.289999997</v>
      </c>
      <c r="BP147" s="9" t="n">
        <f aca="false">((BD147+BC147+BB147+BE147+BF147+BG147)*BK147*'Prices&amp;Fuel'!H147)+BM147+BN147+BO147</f>
        <v>3557148.27643146</v>
      </c>
      <c r="BQ147" s="5" t="n">
        <f aca="false">BL147-BP147</f>
        <v>22820.663289025</v>
      </c>
      <c r="CA147" s="5" t="n">
        <f aca="false">(AF147+AG147+AH147+AL147)*0.005*'Prices&amp;Fuel'!H147</f>
        <v>30848.3290488432</v>
      </c>
      <c r="CB147" s="5" t="n">
        <f aca="false">(B147+C147+D147+O147+P147+Q147+X147+Y147+BB147+BC147+BD147+BE147+BF147+BG147+BR147+BS147)*0.005*'Prices&amp;Fuel'!H147</f>
        <v>7004.07455012851</v>
      </c>
      <c r="CC147" s="7" t="n">
        <f aca="false">K147+T147+AB147+AY147+BL147+BX147</f>
        <v>36253790.6068347</v>
      </c>
      <c r="CD147" s="7" t="n">
        <f aca="false">L147+U147+AC147+AZ147+BP147+BY147+CA147+CB147</f>
        <v>36112127.2841626</v>
      </c>
      <c r="CE147" s="7" t="n">
        <f aca="false">CC147-CD147</f>
        <v>141663.322672062</v>
      </c>
      <c r="CF147" s="7" t="n">
        <f aca="false">'Index Price Deals'!AR147</f>
        <v>0</v>
      </c>
      <c r="CG147" s="7" t="n">
        <f aca="false">'Index Price Deals'!AS147</f>
        <v>0</v>
      </c>
      <c r="CH147" s="7" t="n">
        <f aca="false">'Index Price Deals'!AT147</f>
        <v>0</v>
      </c>
      <c r="CI147" s="7" t="n">
        <f aca="false">'Index Price Deals'!AU147</f>
        <v>0</v>
      </c>
      <c r="CJ147" s="7" t="n">
        <f aca="false">CC147+CF147</f>
        <v>36253790.6068347</v>
      </c>
      <c r="CK147" s="7" t="n">
        <f aca="false">CD147+CH147</f>
        <v>36112127.2841626</v>
      </c>
      <c r="CL147" s="7" t="n">
        <f aca="false">CE147+CI147</f>
        <v>141663.322672062</v>
      </c>
      <c r="CM147" s="69"/>
      <c r="CN147" s="7" t="n">
        <f aca="false">Transport!U147</f>
        <v>3.04743298329413E-009</v>
      </c>
      <c r="CQ147" s="7" t="n">
        <f aca="false">(((($B147+$C147+$D147+$O147+$P147+$Q147)*0.5)+BR147+BS147)*(0.005*'Prices&amp;Fuel'!$H147)+'Index Price Deals'!AV147)+(((BB147+BC147+BD147+BE147+BF147+BG147)*(1-'Prices&amp;Fuel'!F147))*0.005*0.5*'Prices&amp;Fuel'!H147)</f>
        <v>3457.49999999999</v>
      </c>
      <c r="CR147" s="7" t="n">
        <f aca="false">(((($B147+$C147+$D147+$O147+$P147+$Q147)*0.5)+X147+Y147)*(0.005*'Prices&amp;Fuel'!$H147)+CA147+'Index Price Deals'!AW147)+(((BB147+BC147+BD147+BE147+BF147+BG147)*(1-'Prices&amp;Fuel'!F147))*0.005*0.5*'Prices&amp;Fuel'!H147)</f>
        <v>34305.8290488432</v>
      </c>
      <c r="CS147" s="11"/>
      <c r="CT147" s="7" t="n">
        <f aca="false">[2]Sheet1!$O167</f>
        <v>-454340.197775984</v>
      </c>
      <c r="CU147" s="7" t="n">
        <f aca="false">'[3]Long Term Deals'!$Z146</f>
        <v>-46258.092768191</v>
      </c>
      <c r="CV147" s="70" t="n">
        <f aca="false">CL147-CN147-CT147+CU147+CS147+CO147</f>
        <v>549745.427679852</v>
      </c>
      <c r="DB147" s="1" t="n">
        <f aca="false">(O147+P147+Q147)*'Prices&amp;Fuel'!$H147</f>
        <v>753000</v>
      </c>
      <c r="DE147" s="1" t="n">
        <v>200000</v>
      </c>
    </row>
    <row r="148" customFormat="false" ht="12.75" hidden="false" customHeight="false" outlineLevel="0" collapsed="false">
      <c r="A148" s="6" t="n">
        <f aca="false">+A147+365/12</f>
        <v>40098.5833333333</v>
      </c>
      <c r="O148" s="7" t="n">
        <v>9036</v>
      </c>
      <c r="P148" s="7" t="n">
        <v>10794</v>
      </c>
      <c r="Q148" s="7" t="n">
        <v>5270</v>
      </c>
      <c r="R148" s="8" t="n">
        <f aca="false">R147</f>
        <v>3.7412</v>
      </c>
      <c r="S148" s="8" t="n">
        <f aca="false">S147</f>
        <v>3.7277</v>
      </c>
      <c r="T148" s="7" t="n">
        <f aca="false">(($O148*R148)+($P148*R148)+($Q148*R148))*'Prices&amp;Fuel'!$H148</f>
        <v>2911027.72</v>
      </c>
      <c r="U148" s="7" t="n">
        <f aca="false">(($O148*S148)+($P148*S148)+($Q148*S148))*'Prices&amp;Fuel'!$H148</f>
        <v>2900523.37</v>
      </c>
      <c r="V148" s="14" t="n">
        <f aca="false">T148-U148</f>
        <v>10504.3500000006</v>
      </c>
      <c r="AF148" s="7" t="n">
        <f aca="false">(32000/(1-'Prices&amp;Fuel'!F148))+(25000/(1-'Prices&amp;Fuel'!G148))-AI148</f>
        <v>58611.8251928021</v>
      </c>
      <c r="AG148" s="7" t="n">
        <v>0</v>
      </c>
      <c r="AH148" s="7" t="n">
        <f aca="false">(75000/(1-'Prices&amp;Fuel'!G148))-AK148</f>
        <v>77120.822622108</v>
      </c>
      <c r="AI148" s="7"/>
      <c r="AJ148" s="7"/>
      <c r="AK148" s="7"/>
      <c r="AL148" s="11" t="n">
        <f aca="false">ROUND((132000/(1-'Prices&amp;Fuel'!F148))-AF148-AG148-AH148,0)</f>
        <v>0</v>
      </c>
      <c r="AM148" s="7" t="n">
        <f aca="false">ROUND(IF(AF148&lt;AP148,0,(AF148-AP148-AI148)/2),0)</f>
        <v>29306</v>
      </c>
      <c r="AO148" s="7" t="n">
        <f aca="false">ROUND((75000/(1-'Prices&amp;Fuel'!G148)-AV148-AK148)/2,0)</f>
        <v>38560</v>
      </c>
      <c r="AR148" s="7" t="n">
        <f aca="false">IF(AP148&gt;AF148,0,AF148-AM148-AP148)</f>
        <v>29305.8251928021</v>
      </c>
      <c r="AT148" s="14" t="n">
        <f aca="false">AH148-AO148-AV148</f>
        <v>38560.822622108</v>
      </c>
      <c r="AU148" s="14" t="n">
        <f aca="false">AL148*AX148*'Prices&amp;Fuel'!H148</f>
        <v>0</v>
      </c>
      <c r="AW148" s="68" t="n">
        <f aca="false">AW147</f>
        <v>0.02</v>
      </c>
      <c r="AX148" s="68" t="n">
        <f aca="false">AX147</f>
        <v>0.015</v>
      </c>
      <c r="AY148" s="5" t="n">
        <f aca="false">('Prices&amp;Fuel'!H148*('Prices&amp;Fuel'!B148+AW148)*'Long Term Deals'!AF148)+('Prices&amp;Fuel'!H148*('Prices&amp;Fuel'!C148+'Long Term Deals'!AW148)*'Long Term Deals'!AG148)+(AH148*('Prices&amp;Fuel'!C148+AW148)*'Prices&amp;Fuel'!H148)+(AW148*AL148*'Prices&amp;Fuel'!H148)</f>
        <v>23478680.3649173</v>
      </c>
      <c r="AZ148" s="5" t="n">
        <f aca="false">(AP148*'Prices&amp;Fuel'!H148*'Prices&amp;Fuel'!B148)+(AQ148*'Prices&amp;Fuel'!C148*'Prices&amp;Fuel'!H148)+((AM148+AR148)*('Prices&amp;Fuel'!B148+'Long Term Deals'!AX148)*'Prices&amp;Fuel'!H148)+((AN148+AS148)*('Prices&amp;Fuel'!C148+'Long Term Deals'!AX148)*'Prices&amp;Fuel'!H148)+((AO148+AT148)*('Prices&amp;Fuel'!D148+'Long Term Deals'!AX148)*'Prices&amp;Fuel'!H148)+(AV148*'Prices&amp;Fuel'!H148*'Prices&amp;Fuel'!Q148)+AU148</f>
        <v>23338104.5294417</v>
      </c>
      <c r="BA148" s="5" t="n">
        <f aca="false">AY148-AZ148</f>
        <v>140575.835475579</v>
      </c>
      <c r="BB148" s="5" t="n">
        <f aca="false">IF('FP Corp'!T148-((BE148+BF148+BG148)*(1-'Prices&amp;Fuel'!F148))&lt;'Prices&amp;Fuel'!R148,('FP Corp'!T148-(BE148+BF148+BG148)*(1-'Prices&amp;Fuel'!F148)),'Prices&amp;Fuel'!R148)/(1-'Prices&amp;Fuel'!F148)</f>
        <v>8976.86375321337</v>
      </c>
      <c r="BC148" s="9"/>
      <c r="BD148" s="9" t="n">
        <f aca="false">ROUND(IF('FP Corp'!T148/(1-'Prices&amp;Fuel'!F148)-BE148-BF148-BG148-BB148&gt;'Prices&amp;Fuel'!T148,'Prices&amp;Fuel'!T148,'FP Corp'!T148/(1-'Prices&amp;Fuel'!F148)-BE148-BF148-BG148-BB148),9)</f>
        <v>3514.652956298</v>
      </c>
      <c r="BE148" s="9" t="n">
        <f aca="false">'Prices&amp;Fuel'!U148/(1-'Prices&amp;Fuel'!F148)</f>
        <v>2910.02570694087</v>
      </c>
      <c r="BF148" s="9" t="n">
        <f aca="false">('Prices&amp;Fuel'!V148+'Prices&amp;Fuel'!X148)/(1-'Prices&amp;Fuel'!F148)</f>
        <v>4628.27763496144</v>
      </c>
      <c r="BG148" s="9" t="n">
        <f aca="false">'Prices&amp;Fuel'!W148/(1-'Prices&amp;Fuel'!F148)</f>
        <v>1564.01028277635</v>
      </c>
      <c r="BH148" s="10" t="n">
        <f aca="false">('Prices&amp;Fuel'!C148+'Prices&amp;Fuel'!D148)/2-0.05+('Prices&amp;Fuel'!M148+'Prices&amp;Fuel'!P148)*(1-'Prices&amp;Fuel'!F148)</f>
        <v>6.25527393447752</v>
      </c>
      <c r="BI148" s="10"/>
      <c r="BJ148" s="10"/>
      <c r="BK148" s="10" t="n">
        <f aca="false">(((BB148+BE148)*('Prices&amp;Fuel'!B148+0.025))+(('Prices&amp;Fuel'!D148+0.025)*(BD148+BG148))+(('Prices&amp;Fuel'!C148+0.025)*(BC148+BF148))-(BI148+BJ148)*0.025)/(BB148+BC148+BD148+BE148+BF148+BG148)</f>
        <v>5.56603708923943</v>
      </c>
      <c r="BL148" s="9" t="n">
        <f aca="false">(BB148+BC148+BD148+BE148+BF148+BG148)*BH148*'Prices&amp;Fuel'!H148</f>
        <v>4187335.04508466</v>
      </c>
      <c r="BM148" s="9" t="n">
        <f aca="false">'Prices&amp;Fuel'!X148*('Prices&amp;Fuel'!N148+'Prices&amp;Fuel'!O148)*'Prices&amp;Fuel'!H148</f>
        <v>13833.2050576453</v>
      </c>
      <c r="BN148" s="9" t="n">
        <f aca="false">('Prices&amp;Fuel'!U148+'Prices&amp;Fuel'!V148+'Prices&amp;Fuel'!W148)*('Prices&amp;Fuel'!L148+'Prices&amp;Fuel'!O148)*'Prices&amp;Fuel'!H148</f>
        <v>108495.996910663</v>
      </c>
      <c r="BO148" s="9" t="n">
        <f aca="false">((BB148+BC148+BD148)*(1-'Prices&amp;Fuel'!G148))*('Prices&amp;Fuel'!M148+'Prices&amp;Fuel'!P148)*'Prices&amp;Fuel'!H148</f>
        <v>288278.113999995</v>
      </c>
      <c r="BP148" s="9" t="n">
        <f aca="false">((BD148+BC148+BB148+BE148+BF148+BG148)*BK148*'Prices&amp;Fuel'!H148)+BM148+BN148+BO148</f>
        <v>4136561.1926725</v>
      </c>
      <c r="BQ148" s="5" t="n">
        <f aca="false">BL148-BP148</f>
        <v>50773.8524121549</v>
      </c>
      <c r="CA148" s="5" t="n">
        <f aca="false">(AF148+AG148+AH148+AL148)*0.005*'Prices&amp;Fuel'!H148</f>
        <v>21038.5604113111</v>
      </c>
      <c r="CB148" s="5" t="n">
        <f aca="false">(B148+C148+D148+O148+P148+Q148+X148+Y148+BB148+BC148+BD148+BE148+BF148+BG148+BR148+BS148)*0.005*'Prices&amp;Fuel'!H148</f>
        <v>7237.54370179946</v>
      </c>
      <c r="CC148" s="7" t="n">
        <f aca="false">K148+T148+AB148+AY148+BL148+BX148</f>
        <v>30577043.1300019</v>
      </c>
      <c r="CD148" s="7" t="n">
        <f aca="false">L148+U148+AC148+AZ148+BP148+BY148+CA148+CB148</f>
        <v>30403465.1962273</v>
      </c>
      <c r="CE148" s="7" t="n">
        <f aca="false">CC148-CD148</f>
        <v>173577.933774624</v>
      </c>
      <c r="CF148" s="7" t="n">
        <f aca="false">'Index Price Deals'!AR148</f>
        <v>0</v>
      </c>
      <c r="CG148" s="7" t="n">
        <f aca="false">'Index Price Deals'!AS148</f>
        <v>0</v>
      </c>
      <c r="CH148" s="7" t="n">
        <f aca="false">'Index Price Deals'!AT148</f>
        <v>0</v>
      </c>
      <c r="CI148" s="7" t="n">
        <f aca="false">'Index Price Deals'!AU148</f>
        <v>0</v>
      </c>
      <c r="CJ148" s="7" t="n">
        <f aca="false">CC148+CF148</f>
        <v>30577043.1300019</v>
      </c>
      <c r="CK148" s="7" t="n">
        <f aca="false">CD148+CH148</f>
        <v>30403465.1962273</v>
      </c>
      <c r="CL148" s="7" t="n">
        <f aca="false">CE148+CI148</f>
        <v>173577.933774624</v>
      </c>
      <c r="CM148" s="69"/>
      <c r="CN148" s="7" t="n">
        <f aca="false">Transport!U148</f>
        <v>4.39204595750198E-009</v>
      </c>
      <c r="CQ148" s="7" t="n">
        <f aca="false">(((($B148+$C148+$D148+$O148+$P148+$Q148)*0.5)+BR148+BS148)*(0.005*'Prices&amp;Fuel'!$H148)+'Index Price Deals'!AV148)+(((BB148+BC148+BD148+BE148+BF148+BG148)*(1-'Prices&amp;Fuel'!F148))*0.005*0.5*'Prices&amp;Fuel'!H148)</f>
        <v>3572.74999999999</v>
      </c>
      <c r="CR148" s="7" t="n">
        <f aca="false">(((($B148+$C148+$D148+$O148+$P148+$Q148)*0.5)+X148+Y148)*(0.005*'Prices&amp;Fuel'!$H148)+CA148+'Index Price Deals'!AW148)+(((BB148+BC148+BD148+BE148+BF148+BG148)*(1-'Prices&amp;Fuel'!F148))*0.005*0.5*'Prices&amp;Fuel'!H148)</f>
        <v>24611.310411311</v>
      </c>
      <c r="CS148" s="11"/>
      <c r="CT148" s="7" t="n">
        <f aca="false">[2]Sheet1!$O168</f>
        <v>-309860.014883221</v>
      </c>
      <c r="CU148" s="7" t="n">
        <f aca="false">'[3]Long Term Deals'!$Z147</f>
        <v>-31548.0192679062</v>
      </c>
      <c r="CV148" s="70" t="n">
        <f aca="false">CL148-CN148-CT148+CU148+CS148+CO148</f>
        <v>451889.929389935</v>
      </c>
      <c r="DB148" s="1" t="n">
        <f aca="false">(O148+P148+Q148)*'Prices&amp;Fuel'!$H148</f>
        <v>778100</v>
      </c>
      <c r="DE148" s="1" t="n">
        <v>132000</v>
      </c>
    </row>
    <row r="149" customFormat="false" ht="12.75" hidden="false" customHeight="false" outlineLevel="0" collapsed="false">
      <c r="A149" s="6" t="n">
        <f aca="false">+A148+365/12</f>
        <v>40129</v>
      </c>
      <c r="O149" s="7" t="n">
        <v>9036</v>
      </c>
      <c r="P149" s="7" t="n">
        <v>10794</v>
      </c>
      <c r="Q149" s="7" t="n">
        <v>5270</v>
      </c>
      <c r="R149" s="8" t="n">
        <f aca="false">R148</f>
        <v>3.7412</v>
      </c>
      <c r="S149" s="8" t="n">
        <f aca="false">S148</f>
        <v>3.7277</v>
      </c>
      <c r="T149" s="7" t="n">
        <f aca="false">(($O149*R149)+($P149*R149)+($Q149*R149))*'Prices&amp;Fuel'!$H149</f>
        <v>2817123.6</v>
      </c>
      <c r="U149" s="7" t="n">
        <f aca="false">(($O149*S149)+($P149*S149)+($Q149*S149))*'Prices&amp;Fuel'!$H149</f>
        <v>2806958.1</v>
      </c>
      <c r="V149" s="14" t="n">
        <f aca="false">T149-U149</f>
        <v>10165.5000000005</v>
      </c>
      <c r="AF149" s="7" t="n">
        <f aca="false">(32000/(1-'Prices&amp;Fuel'!F149))+(25000/(1-'Prices&amp;Fuel'!G149))-AI149</f>
        <v>58611.8251928021</v>
      </c>
      <c r="AG149" s="7" t="n">
        <v>0</v>
      </c>
      <c r="AH149" s="7" t="n">
        <f aca="false">(75000/(1-'Prices&amp;Fuel'!G149))-AK149</f>
        <v>77120.822622108</v>
      </c>
      <c r="AI149" s="7"/>
      <c r="AJ149" s="7"/>
      <c r="AK149" s="7"/>
      <c r="AL149" s="11" t="n">
        <f aca="false">ROUND((132000/(1-'Prices&amp;Fuel'!F149))-AF149-AG149-AH149,0)</f>
        <v>0</v>
      </c>
      <c r="AM149" s="7" t="n">
        <f aca="false">ROUND(IF(AF149&lt;AP149,0,(AF149-AP149-AI149)/2),0)</f>
        <v>29306</v>
      </c>
      <c r="AO149" s="7" t="n">
        <f aca="false">ROUND((75000/(1-'Prices&amp;Fuel'!G149)-AV149-AK149)/2,0)</f>
        <v>38560</v>
      </c>
      <c r="AR149" s="7" t="n">
        <f aca="false">IF(AP149&gt;AF149,0,AF149-AM149-AP149)</f>
        <v>29305.8251928021</v>
      </c>
      <c r="AT149" s="14" t="n">
        <f aca="false">AH149-AO149-AV149</f>
        <v>38560.822622108</v>
      </c>
      <c r="AU149" s="14" t="n">
        <f aca="false">AL149*AX149*'Prices&amp;Fuel'!H149</f>
        <v>0</v>
      </c>
      <c r="AW149" s="68" t="n">
        <f aca="false">AW148</f>
        <v>0.02</v>
      </c>
      <c r="AX149" s="68" t="n">
        <f aca="false">AX148</f>
        <v>0.015</v>
      </c>
      <c r="AY149" s="5" t="n">
        <f aca="false">('Prices&amp;Fuel'!H149*('Prices&amp;Fuel'!B149+AW149)*'Long Term Deals'!AF149)+('Prices&amp;Fuel'!H149*('Prices&amp;Fuel'!C149+'Long Term Deals'!AW149)*'Long Term Deals'!AG149)+(AH149*('Prices&amp;Fuel'!C149+AW149)*'Prices&amp;Fuel'!H149)+(AW149*AL149*'Prices&amp;Fuel'!H149)</f>
        <v>15168619.9077802</v>
      </c>
      <c r="AZ149" s="5" t="n">
        <f aca="false">(AP149*'Prices&amp;Fuel'!H149*'Prices&amp;Fuel'!B149)+(AQ149*'Prices&amp;Fuel'!C149*'Prices&amp;Fuel'!H149)+((AM149+AR149)*('Prices&amp;Fuel'!B149+'Long Term Deals'!AX149)*'Prices&amp;Fuel'!H149)+((AN149+AS149)*('Prices&amp;Fuel'!C149+'Long Term Deals'!AX149)*'Prices&amp;Fuel'!H149)+((AO149+AT149)*('Prices&amp;Fuel'!D149+'Long Term Deals'!AX149)*'Prices&amp;Fuel'!H149)+(AV149*'Prices&amp;Fuel'!H149*'Prices&amp;Fuel'!Q149)+AU149</f>
        <v>15032578.7766748</v>
      </c>
      <c r="BA149" s="5" t="n">
        <f aca="false">AY149-AZ149</f>
        <v>136041.131105399</v>
      </c>
      <c r="BB149" s="5" t="n">
        <f aca="false">IF('FP Corp'!T149-((BE149+BF149+BG149)*(1-'Prices&amp;Fuel'!F149))&lt;'Prices&amp;Fuel'!R149,('FP Corp'!T149-(BE149+BF149+BG149)*(1-'Prices&amp;Fuel'!F149)),'Prices&amp;Fuel'!R149)/(1-'Prices&amp;Fuel'!F149)</f>
        <v>4325.96401028278</v>
      </c>
      <c r="BC149" s="9"/>
      <c r="BD149" s="9" t="n">
        <f aca="false">ROUND(IF('FP Corp'!T149/(1-'Prices&amp;Fuel'!F149)-BE149-BF149-BG149-BB149&gt;'Prices&amp;Fuel'!T149,'Prices&amp;Fuel'!T149,'FP Corp'!T149/(1-'Prices&amp;Fuel'!F149)-BE149-BF149-BG149-BB149),9)</f>
        <v>0</v>
      </c>
      <c r="BE149" s="9" t="n">
        <f aca="false">'Prices&amp;Fuel'!U149/(1-'Prices&amp;Fuel'!F149)</f>
        <v>2635.47557840617</v>
      </c>
      <c r="BF149" s="9" t="n">
        <f aca="false">('Prices&amp;Fuel'!V149+'Prices&amp;Fuel'!X149)/(1-'Prices&amp;Fuel'!F149)</f>
        <v>3645.2442159383</v>
      </c>
      <c r="BG149" s="9" t="n">
        <f aca="false">'Prices&amp;Fuel'!W149/(1-'Prices&amp;Fuel'!F149)</f>
        <v>1732.64781491003</v>
      </c>
      <c r="BH149" s="10" t="n">
        <f aca="false">('Prices&amp;Fuel'!C149+'Prices&amp;Fuel'!D149)/2-0.05+('Prices&amp;Fuel'!M149+'Prices&amp;Fuel'!P149)*(1-'Prices&amp;Fuel'!F149)</f>
        <v>4.4004797753324</v>
      </c>
      <c r="BI149" s="10"/>
      <c r="BJ149" s="10"/>
      <c r="BK149" s="10" t="n">
        <f aca="false">(((BB149+BE149)*('Prices&amp;Fuel'!B149+0.025))+(('Prices&amp;Fuel'!D149+0.025)*(BD149+BG149))+(('Prices&amp;Fuel'!C149+0.025)*(BC149+BF149))-(BI149+BJ149)*0.025)/(BB149+BC149+BD149+BE149+BF149+BG149)</f>
        <v>3.71516019199906</v>
      </c>
      <c r="BL149" s="9" t="n">
        <f aca="false">(BB149+BC149+BD149+BE149+BF149+BG149)*BH149*'Prices&amp;Fuel'!H149</f>
        <v>1628969.3769868</v>
      </c>
      <c r="BM149" s="9" t="n">
        <f aca="false">'Prices&amp;Fuel'!X149*('Prices&amp;Fuel'!N149+'Prices&amp;Fuel'!O149)*'Prices&amp;Fuel'!H149</f>
        <v>9134.1681425398</v>
      </c>
      <c r="BN149" s="9" t="n">
        <f aca="false">('Prices&amp;Fuel'!U149+'Prices&amp;Fuel'!V149+'Prices&amp;Fuel'!W149)*('Prices&amp;Fuel'!L149+'Prices&amp;Fuel'!O149)*'Prices&amp;Fuel'!H149</f>
        <v>95086.2891558682</v>
      </c>
      <c r="BO149" s="9" t="n">
        <f aca="false">((BB149+BC149+BD149)*(1-'Prices&amp;Fuel'!G149))*('Prices&amp;Fuel'!M149+'Prices&amp;Fuel'!P149)*'Prices&amp;Fuel'!H149</f>
        <v>96613.755</v>
      </c>
      <c r="BP149" s="9" t="n">
        <f aca="false">((BD149+BC149+BB149+BE149+BF149+BG149)*BK149*'Prices&amp;Fuel'!H149)+BM149+BN149+BO149</f>
        <v>1576112.02116181</v>
      </c>
      <c r="BQ149" s="5" t="n">
        <f aca="false">BL149-BP149</f>
        <v>52857.3558249853</v>
      </c>
      <c r="CA149" s="5" t="n">
        <f aca="false">(AF149+AG149+AH149+AL149)*0.005*'Prices&amp;Fuel'!H149</f>
        <v>20359.8971722365</v>
      </c>
      <c r="CB149" s="5" t="n">
        <f aca="false">(B149+C149+D149+O149+P149+Q149+X149+Y149+BB149+BC149+BD149+BE149+BF149+BG149+BR149+BS149)*0.005*'Prices&amp;Fuel'!H149</f>
        <v>5615.89974293059</v>
      </c>
      <c r="CC149" s="7" t="n">
        <f aca="false">K149+T149+AB149+AY149+BL149+BX149</f>
        <v>19614712.884767</v>
      </c>
      <c r="CD149" s="7" t="n">
        <f aca="false">L149+U149+AC149+AZ149+BP149+BY149+CA149+CB149</f>
        <v>19441624.6947518</v>
      </c>
      <c r="CE149" s="7" t="n">
        <f aca="false">CC149-CD149</f>
        <v>173088.190015215</v>
      </c>
      <c r="CF149" s="7" t="n">
        <f aca="false">'Index Price Deals'!AR149</f>
        <v>0</v>
      </c>
      <c r="CG149" s="7" t="n">
        <f aca="false">'Index Price Deals'!AS149</f>
        <v>0</v>
      </c>
      <c r="CH149" s="7" t="n">
        <f aca="false">'Index Price Deals'!AT149</f>
        <v>0</v>
      </c>
      <c r="CI149" s="7" t="n">
        <f aca="false">'Index Price Deals'!AU149</f>
        <v>0</v>
      </c>
      <c r="CJ149" s="7" t="n">
        <f aca="false">CC149+CF149</f>
        <v>19614712.884767</v>
      </c>
      <c r="CK149" s="7" t="n">
        <f aca="false">CD149+CH149</f>
        <v>19441624.6947518</v>
      </c>
      <c r="CL149" s="7" t="n">
        <f aca="false">CE149+CI149</f>
        <v>173088.190015215</v>
      </c>
      <c r="CM149" s="69"/>
      <c r="CN149" s="7" t="n">
        <f aca="false">Transport!U149</f>
        <v>0</v>
      </c>
      <c r="CQ149" s="7" t="n">
        <f aca="false">(((($B149+$C149+$D149+$O149+$P149+$Q149)*0.5)+BR149+BS149)*(0.005*'Prices&amp;Fuel'!$H149)+'Index Price Deals'!AV149)+(((BB149+BC149+BD149+BE149+BF149+BG149)*(1-'Prices&amp;Fuel'!F149))*0.005*0.5*'Prices&amp;Fuel'!H149)</f>
        <v>2782.5</v>
      </c>
      <c r="CR149" s="7" t="n">
        <f aca="false">(((($B149+$C149+$D149+$O149+$P149+$Q149)*0.5)+X149+Y149)*(0.005*'Prices&amp;Fuel'!$H149)+CA149+'Index Price Deals'!AW149)+(((BB149+BC149+BD149+BE149+BF149+BG149)*(1-'Prices&amp;Fuel'!F149))*0.005*0.5*'Prices&amp;Fuel'!H149)</f>
        <v>23142.3971722365</v>
      </c>
      <c r="CS149" s="11"/>
      <c r="CT149" s="7" t="n">
        <f aca="false">[2]Sheet1!$O169</f>
        <v>-299864.53053215</v>
      </c>
      <c r="CU149" s="7" t="n">
        <f aca="false">'[3]Long Term Deals'!$Z148</f>
        <v>-30530.341227006</v>
      </c>
      <c r="CV149" s="70" t="n">
        <f aca="false">CL149-CN149-CT149+CU149+CS149+CO149</f>
        <v>442422.379320359</v>
      </c>
      <c r="DB149" s="1" t="n">
        <f aca="false">(O149+P149+Q149)*'Prices&amp;Fuel'!$H149</f>
        <v>753000</v>
      </c>
      <c r="DE149" s="1" t="n">
        <v>132000</v>
      </c>
    </row>
    <row r="150" customFormat="false" ht="12.75" hidden="false" customHeight="false" outlineLevel="0" collapsed="false">
      <c r="A150" s="6" t="n">
        <f aca="false">+A149+365/12</f>
        <v>40159.4166666667</v>
      </c>
      <c r="O150" s="7" t="n">
        <v>9036</v>
      </c>
      <c r="P150" s="7" t="n">
        <v>10794</v>
      </c>
      <c r="Q150" s="7" t="n">
        <v>5270</v>
      </c>
      <c r="R150" s="8" t="n">
        <f aca="false">R149</f>
        <v>3.7412</v>
      </c>
      <c r="S150" s="8" t="n">
        <f aca="false">S149</f>
        <v>3.7277</v>
      </c>
      <c r="T150" s="7" t="n">
        <f aca="false">(($O150*R150)+($P150*R150)+($Q150*R150))*'Prices&amp;Fuel'!$H150</f>
        <v>2911027.72</v>
      </c>
      <c r="U150" s="7" t="n">
        <f aca="false">(($O150*S150)+($P150*S150)+($Q150*S150))*'Prices&amp;Fuel'!$H150</f>
        <v>2900523.37</v>
      </c>
      <c r="V150" s="14" t="n">
        <f aca="false">T150-U150</f>
        <v>10504.3500000006</v>
      </c>
      <c r="AF150" s="7" t="n">
        <f aca="false">(32000/(1-'Prices&amp;Fuel'!F150))+(25000/(1-'Prices&amp;Fuel'!G150))-AI150</f>
        <v>58611.8251928021</v>
      </c>
      <c r="AG150" s="7" t="n">
        <v>0</v>
      </c>
      <c r="AH150" s="7" t="n">
        <f aca="false">(75000/(1-'Prices&amp;Fuel'!G150))-AK150</f>
        <v>77120.822622108</v>
      </c>
      <c r="AI150" s="7"/>
      <c r="AJ150" s="7"/>
      <c r="AK150" s="7"/>
      <c r="AL150" s="11" t="n">
        <f aca="false">ROUND((132000/(1-'Prices&amp;Fuel'!F150))-AF150-AG150-AH150,0)</f>
        <v>0</v>
      </c>
      <c r="AM150" s="7" t="n">
        <f aca="false">ROUND(IF(AF150&lt;AP150,0,(AF150-AP150-AI150)/2),0)</f>
        <v>29306</v>
      </c>
      <c r="AO150" s="7" t="n">
        <f aca="false">ROUND((75000/(1-'Prices&amp;Fuel'!G150)-AV150-AK150)/2,0)</f>
        <v>38560</v>
      </c>
      <c r="AR150" s="7" t="n">
        <f aca="false">IF(AP150&gt;AF150,0,AF150-AM150-AP150)</f>
        <v>29305.8251928021</v>
      </c>
      <c r="AT150" s="14" t="n">
        <f aca="false">AH150-AO150-AV150</f>
        <v>38560.822622108</v>
      </c>
      <c r="AU150" s="14" t="n">
        <f aca="false">AL150*AX150*'Prices&amp;Fuel'!H150</f>
        <v>0</v>
      </c>
      <c r="AW150" s="68" t="n">
        <f aca="false">AW149</f>
        <v>0.02</v>
      </c>
      <c r="AX150" s="68" t="n">
        <f aca="false">AX149</f>
        <v>0.015</v>
      </c>
      <c r="AY150" s="5" t="n">
        <f aca="false">('Prices&amp;Fuel'!H150*('Prices&amp;Fuel'!B150+AW150)*'Long Term Deals'!AF150)+('Prices&amp;Fuel'!H150*('Prices&amp;Fuel'!C150+'Long Term Deals'!AW150)*'Long Term Deals'!AG150)+(AH150*('Prices&amp;Fuel'!C150+AW150)*'Prices&amp;Fuel'!H150)+(AW150*AL150*'Prices&amp;Fuel'!H150)</f>
        <v>11704352.1214775</v>
      </c>
      <c r="AZ150" s="5" t="n">
        <f aca="false">(AP150*'Prices&amp;Fuel'!H150*'Prices&amp;Fuel'!B150)+(AQ150*'Prices&amp;Fuel'!C150*'Prices&amp;Fuel'!H150)+((AM150+AR150)*('Prices&amp;Fuel'!B150+'Long Term Deals'!AX150)*'Prices&amp;Fuel'!H150)+((AN150+AS150)*('Prices&amp;Fuel'!C150+'Long Term Deals'!AX150)*'Prices&amp;Fuel'!H150)+((AO150+AT150)*('Prices&amp;Fuel'!D150+'Long Term Deals'!AX150)*'Prices&amp;Fuel'!H150)+(AV150*'Prices&amp;Fuel'!H150*'Prices&amp;Fuel'!Q150)+AU150</f>
        <v>11563776.286002</v>
      </c>
      <c r="BA150" s="5" t="n">
        <f aca="false">AY150-AZ150</f>
        <v>140575.835475579</v>
      </c>
      <c r="BB150" s="5" t="n">
        <f aca="false">IF('FP Corp'!T150-((BE150+BF150+BG150)*(1-'Prices&amp;Fuel'!F150))&lt;'Prices&amp;Fuel'!R150,('FP Corp'!T150-(BE150+BF150+BG150)*(1-'Prices&amp;Fuel'!F150)),'Prices&amp;Fuel'!R150)/(1-'Prices&amp;Fuel'!F150)</f>
        <v>4325.96401028278</v>
      </c>
      <c r="BC150" s="9"/>
      <c r="BD150" s="9" t="n">
        <f aca="false">ROUND(IF('FP Corp'!T150/(1-'Prices&amp;Fuel'!F150)-BE150-BF150-BG150-BB150&gt;'Prices&amp;Fuel'!T150,'Prices&amp;Fuel'!T150,'FP Corp'!T150/(1-'Prices&amp;Fuel'!F150)-BE150-BF150-BG150-BB150),9)</f>
        <v>0</v>
      </c>
      <c r="BE150" s="9" t="n">
        <f aca="false">'Prices&amp;Fuel'!U150/(1-'Prices&amp;Fuel'!F150)</f>
        <v>2635.47557840617</v>
      </c>
      <c r="BF150" s="9" t="n">
        <f aca="false">('Prices&amp;Fuel'!V150+'Prices&amp;Fuel'!X150)/(1-'Prices&amp;Fuel'!F150)</f>
        <v>3645.2442159383</v>
      </c>
      <c r="BG150" s="9" t="n">
        <f aca="false">'Prices&amp;Fuel'!W150/(1-'Prices&amp;Fuel'!F150)</f>
        <v>1732.64781491003</v>
      </c>
      <c r="BH150" s="10" t="n">
        <f aca="false">('Prices&amp;Fuel'!C150+'Prices&amp;Fuel'!D150)/2-0.05+('Prices&amp;Fuel'!M150+'Prices&amp;Fuel'!P150)*(1-'Prices&amp;Fuel'!F150)</f>
        <v>3.45700066547823</v>
      </c>
      <c r="BI150" s="10"/>
      <c r="BJ150" s="10"/>
      <c r="BK150" s="10" t="n">
        <f aca="false">(((BB150+BE150)*('Prices&amp;Fuel'!B150+0.025))+(('Prices&amp;Fuel'!D150+0.025)*(BD150+BG150))+(('Prices&amp;Fuel'!C150+0.025)*(BC150+BF150))-(BI150+BJ150)*0.025)/(BB150+BC150+BD150+BE150+BF150+BG150)</f>
        <v>2.77168108214489</v>
      </c>
      <c r="BL150" s="9" t="n">
        <f aca="false">(BB150+BC150+BD150+BE150+BF150+BG150)*BH150*'Prices&amp;Fuel'!H150</f>
        <v>1322369.4062292</v>
      </c>
      <c r="BM150" s="9" t="n">
        <f aca="false">'Prices&amp;Fuel'!X150*('Prices&amp;Fuel'!N150+'Prices&amp;Fuel'!O150)*'Prices&amp;Fuel'!H150</f>
        <v>9438.64041395779</v>
      </c>
      <c r="BN150" s="9" t="n">
        <f aca="false">('Prices&amp;Fuel'!U150+'Prices&amp;Fuel'!V150+'Prices&amp;Fuel'!W150)*('Prices&amp;Fuel'!L150+'Prices&amp;Fuel'!O150)*'Prices&amp;Fuel'!H150</f>
        <v>98255.8321277305</v>
      </c>
      <c r="BO150" s="9" t="n">
        <f aca="false">((BB150+BC150+BD150)*(1-'Prices&amp;Fuel'!G150))*('Prices&amp;Fuel'!M150+'Prices&amp;Fuel'!P150)*'Prices&amp;Fuel'!H150</f>
        <v>99834.2135</v>
      </c>
      <c r="BP150" s="9" t="n">
        <f aca="false">((BD150+BC150+BB150+BE150+BF150+BG150)*BK150*'Prices&amp;Fuel'!H150)+BM150+BN150+BO150</f>
        <v>1267750.13854339</v>
      </c>
      <c r="BQ150" s="5" t="n">
        <f aca="false">BL150-BP150</f>
        <v>54619.2676858183</v>
      </c>
      <c r="CA150" s="5" t="n">
        <f aca="false">(AF150+AG150+AH150+AL150)*0.005*'Prices&amp;Fuel'!H150</f>
        <v>21038.5604113111</v>
      </c>
      <c r="CB150" s="5" t="n">
        <f aca="false">(B150+C150+D150+O150+P150+Q150+X150+Y150+BB150+BC150+BD150+BE150+BF150+BG150+BR150+BS150)*0.005*'Prices&amp;Fuel'!H150</f>
        <v>5803.09640102828</v>
      </c>
      <c r="CC150" s="7" t="n">
        <f aca="false">K150+T150+AB150+AY150+BL150+BX150</f>
        <v>15937749.2477067</v>
      </c>
      <c r="CD150" s="7" t="n">
        <f aca="false">L150+U150+AC150+AZ150+BP150+BY150+CA150+CB150</f>
        <v>15758891.4513577</v>
      </c>
      <c r="CE150" s="7" t="n">
        <f aca="false">CC150-CD150</f>
        <v>178857.79634906</v>
      </c>
      <c r="CF150" s="7" t="n">
        <f aca="false">'Index Price Deals'!AR150</f>
        <v>0</v>
      </c>
      <c r="CG150" s="7" t="n">
        <f aca="false">'Index Price Deals'!AS150</f>
        <v>0</v>
      </c>
      <c r="CH150" s="7" t="n">
        <f aca="false">'Index Price Deals'!AT150</f>
        <v>0</v>
      </c>
      <c r="CI150" s="7" t="n">
        <f aca="false">'Index Price Deals'!AU150</f>
        <v>0</v>
      </c>
      <c r="CJ150" s="7" t="n">
        <f aca="false">CC150+CF150</f>
        <v>15937749.2477067</v>
      </c>
      <c r="CK150" s="7" t="n">
        <f aca="false">CD150+CH150</f>
        <v>15758891.4513577</v>
      </c>
      <c r="CL150" s="7" t="n">
        <f aca="false">CE150+CI150</f>
        <v>178857.79634906</v>
      </c>
      <c r="CM150" s="7" t="n">
        <f aca="false">SUM(CL139:CL150)</f>
        <v>1922374.70766149</v>
      </c>
      <c r="CN150" s="7" t="n">
        <f aca="false">Transport!U150</f>
        <v>0</v>
      </c>
      <c r="CQ150" s="7" t="n">
        <f aca="false">(((($B150+$C150+$D150+$O150+$P150+$Q150)*0.5)+BR150+BS150)*(0.005*'Prices&amp;Fuel'!$H150)+'Index Price Deals'!AV150)+(((BB150+BC150+BD150+BE150+BF150+BG150)*(1-'Prices&amp;Fuel'!F150))*0.005*0.5*'Prices&amp;Fuel'!H150)</f>
        <v>2875.25</v>
      </c>
      <c r="CR150" s="7" t="n">
        <f aca="false">(((($B150+$C150+$D150+$O150+$P150+$Q150)*0.5)+X150+Y150)*(0.005*'Prices&amp;Fuel'!$H150)+CA150+'Index Price Deals'!AW150)+(((BB150+BC150+BD150+BE150+BF150+BG150)*(1-'Prices&amp;Fuel'!F150))*0.005*0.5*'Prices&amp;Fuel'!H150)</f>
        <v>23913.8104113111</v>
      </c>
      <c r="CS150" s="11"/>
      <c r="CT150" s="7" t="n">
        <f aca="false">[2]Sheet1!$O170</f>
        <v>-309860.014883221</v>
      </c>
      <c r="CU150" s="7" t="n">
        <f aca="false">'[3]Long Term Deals'!$Z149</f>
        <v>-31548.0192679062</v>
      </c>
      <c r="CV150" s="70" t="n">
        <f aca="false">CL150-CN150-CT150+CU150+CS150+CO150</f>
        <v>457169.791964375</v>
      </c>
      <c r="DB150" s="1" t="n">
        <f aca="false">(O150+P150+Q150)*'Prices&amp;Fuel'!$H150</f>
        <v>778100</v>
      </c>
      <c r="DE150" s="1" t="n">
        <v>132000</v>
      </c>
    </row>
    <row r="151" customFormat="false" ht="12.75" hidden="false" customHeight="false" outlineLevel="0" collapsed="false">
      <c r="A151" s="6" t="n">
        <f aca="false">+A150+365/12</f>
        <v>40189.8333333333</v>
      </c>
      <c r="O151" s="7" t="n">
        <v>9036</v>
      </c>
      <c r="P151" s="7" t="n">
        <v>10794</v>
      </c>
      <c r="Q151" s="7" t="n">
        <v>5270</v>
      </c>
      <c r="R151" s="8" t="n">
        <f aca="false">R150</f>
        <v>3.7412</v>
      </c>
      <c r="S151" s="8" t="n">
        <f aca="false">S150</f>
        <v>3.7277</v>
      </c>
      <c r="T151" s="7" t="n">
        <f aca="false">(($O151*R151)+($P151*R151)+($Q151*R151))*'Prices&amp;Fuel'!$H151</f>
        <v>2911027.72</v>
      </c>
      <c r="U151" s="7" t="n">
        <f aca="false">(($O151*S151)+($P151*S151)+($Q151*S151))*'Prices&amp;Fuel'!$H151</f>
        <v>2900523.37</v>
      </c>
      <c r="V151" s="14" t="n">
        <f aca="false">T151-U151</f>
        <v>10504.3500000006</v>
      </c>
      <c r="AF151" s="7" t="n">
        <f aca="false">(32000/(1-'Prices&amp;Fuel'!F151))+(25000/(1-'Prices&amp;Fuel'!G151))-AI151</f>
        <v>58611.8251928021</v>
      </c>
      <c r="AG151" s="7" t="n">
        <v>0</v>
      </c>
      <c r="AH151" s="7" t="n">
        <f aca="false">(75000/(1-'Prices&amp;Fuel'!G151))-AK151</f>
        <v>77120.822622108</v>
      </c>
      <c r="AI151" s="7"/>
      <c r="AJ151" s="7"/>
      <c r="AK151" s="7"/>
      <c r="AL151" s="11" t="n">
        <f aca="false">ROUND((132000/(1-'Prices&amp;Fuel'!F151))-AF151-AG151-AH151,0)</f>
        <v>0</v>
      </c>
      <c r="AM151" s="7" t="n">
        <f aca="false">ROUND(IF(AF151&lt;AP151,0,(AF151-AP151-AI151)/2),0)</f>
        <v>29306</v>
      </c>
      <c r="AO151" s="7" t="n">
        <f aca="false">ROUND((75000/(1-'Prices&amp;Fuel'!G151)-AV151-AK151)/2,0)</f>
        <v>38560</v>
      </c>
      <c r="AR151" s="7" t="n">
        <f aca="false">IF(AP151&gt;AF151,0,AF151-AM151-AP151)</f>
        <v>29305.8251928021</v>
      </c>
      <c r="AT151" s="14" t="n">
        <f aca="false">AH151-AO151-AV151</f>
        <v>38560.822622108</v>
      </c>
      <c r="AU151" s="14" t="n">
        <f aca="false">AL151*AX151*'Prices&amp;Fuel'!H151</f>
        <v>0</v>
      </c>
      <c r="AW151" s="68" t="n">
        <v>0.02</v>
      </c>
      <c r="AX151" s="68" t="n">
        <f aca="false">AX150</f>
        <v>0.015</v>
      </c>
      <c r="AY151" s="5" t="n">
        <f aca="false">('Prices&amp;Fuel'!H151*('Prices&amp;Fuel'!B151+AW151)*'Long Term Deals'!AF151)+('Prices&amp;Fuel'!H151*('Prices&amp;Fuel'!C151+'Long Term Deals'!AW151)*'Long Term Deals'!AG151)+(AH151*('Prices&amp;Fuel'!C151+AW151)*'Prices&amp;Fuel'!H151)+(AW151*AL151*'Prices&amp;Fuel'!H151)</f>
        <v>10318049.0298266</v>
      </c>
      <c r="AZ151" s="5" t="n">
        <f aca="false">(AP151*'Prices&amp;Fuel'!H151*'Prices&amp;Fuel'!B151)+(AQ151*'Prices&amp;Fuel'!C151*'Prices&amp;Fuel'!H151)+((AM151+AR151)*('Prices&amp;Fuel'!B151+'Long Term Deals'!AX151)*'Prices&amp;Fuel'!H151)+((AN151+AS151)*('Prices&amp;Fuel'!C151+'Long Term Deals'!AX151)*'Prices&amp;Fuel'!H151)+((AO151+AT151)*('Prices&amp;Fuel'!D151+'Long Term Deals'!AX151)*'Prices&amp;Fuel'!H151)+(AV151*'Prices&amp;Fuel'!H151*'Prices&amp;Fuel'!Q151)+AU151</f>
        <v>10177473.194351</v>
      </c>
      <c r="BA151" s="5" t="n">
        <f aca="false">AY151-AZ151</f>
        <v>140575.835475579</v>
      </c>
      <c r="BB151" s="5" t="n">
        <f aca="false">IF('FP Corp'!T151-((BE151+BF151+BG151)*(1-'Prices&amp;Fuel'!F151))&lt;'Prices&amp;Fuel'!R151,('FP Corp'!T151-(BE151+BF151+BG151)*(1-'Prices&amp;Fuel'!F151)),'Prices&amp;Fuel'!R151)/(1-'Prices&amp;Fuel'!F151)</f>
        <v>4325.96401028278</v>
      </c>
      <c r="BC151" s="9"/>
      <c r="BD151" s="9" t="n">
        <f aca="false">ROUND(IF('FP Corp'!T151/(1-'Prices&amp;Fuel'!F151)-BE151-BF151-BG151-BB151&gt;'Prices&amp;Fuel'!T151,'Prices&amp;Fuel'!T151,'FP Corp'!T151/(1-'Prices&amp;Fuel'!F151)-BE151-BF151-BG151-BB151),9)</f>
        <v>0</v>
      </c>
      <c r="BE151" s="9" t="n">
        <f aca="false">'Prices&amp;Fuel'!U151/(1-'Prices&amp;Fuel'!F151)</f>
        <v>2635.47557840617</v>
      </c>
      <c r="BF151" s="9" t="n">
        <f aca="false">('Prices&amp;Fuel'!V151+'Prices&amp;Fuel'!X151)/(1-'Prices&amp;Fuel'!F151)</f>
        <v>3645.2442159383</v>
      </c>
      <c r="BG151" s="9" t="n">
        <f aca="false">'Prices&amp;Fuel'!W151/(1-'Prices&amp;Fuel'!F151)</f>
        <v>1732.64781491003</v>
      </c>
      <c r="BH151" s="10" t="n">
        <f aca="false">('Prices&amp;Fuel'!C151+'Prices&amp;Fuel'!D151)/2-0.05+('Prices&amp;Fuel'!M151+'Prices&amp;Fuel'!P151)*(1-'Prices&amp;Fuel'!F151)</f>
        <v>3.12753347177574</v>
      </c>
      <c r="BI151" s="10"/>
      <c r="BJ151" s="10"/>
      <c r="BK151" s="10" t="n">
        <f aca="false">(((BB151+BE151)*('Prices&amp;Fuel'!B151+0.025))+(('Prices&amp;Fuel'!D151+0.025)*(BD151+BG151))+(('Prices&amp;Fuel'!C151+0.025)*(BC151+BF151))-(BI151+BJ151)*0.025)/(BB151+BC151+BD151+BE151+BF151+BG151)</f>
        <v>2.44221388844241</v>
      </c>
      <c r="BL151" s="9" t="n">
        <f aca="false">(BB151+BC151+BD151+BE151+BF151+BG151)*BH151*'Prices&amp;Fuel'!H151</f>
        <v>1196341.85244275</v>
      </c>
      <c r="BM151" s="9" t="n">
        <f aca="false">'Prices&amp;Fuel'!X151*('Prices&amp;Fuel'!N151+'Prices&amp;Fuel'!O151)*'Prices&amp;Fuel'!H151</f>
        <v>9438.64041395779</v>
      </c>
      <c r="BN151" s="9" t="n">
        <f aca="false">('Prices&amp;Fuel'!U151+'Prices&amp;Fuel'!V151+'Prices&amp;Fuel'!W151)*('Prices&amp;Fuel'!L151+'Prices&amp;Fuel'!O151)*'Prices&amp;Fuel'!H151</f>
        <v>98255.8321277305</v>
      </c>
      <c r="BO151" s="9" t="n">
        <f aca="false">((BB151+BC151+BD151)*(1-'Prices&amp;Fuel'!G151))*('Prices&amp;Fuel'!M151+'Prices&amp;Fuel'!P151)*'Prices&amp;Fuel'!H151</f>
        <v>99834.2135</v>
      </c>
      <c r="BP151" s="9" t="n">
        <f aca="false">((BD151+BC151+BB151+BE151+BF151+BG151)*BK151*'Prices&amp;Fuel'!H151)+BM151+BN151+BO151</f>
        <v>1141722.58475693</v>
      </c>
      <c r="BQ151" s="5" t="n">
        <f aca="false">BL151-BP151</f>
        <v>54619.2676858183</v>
      </c>
      <c r="CA151" s="5" t="n">
        <f aca="false">(AF151+AG151+AH151+AL151)*0.005*'Prices&amp;Fuel'!H151</f>
        <v>21038.5604113111</v>
      </c>
      <c r="CB151" s="5" t="n">
        <f aca="false">(B151+C151+D151+O151+P151+Q151+X151+Y151+BB151+BC151+BD151+BE151+BF151+BG151+BR151+BS151)*0.005*'Prices&amp;Fuel'!H151</f>
        <v>5803.09640102828</v>
      </c>
      <c r="CC151" s="7" t="n">
        <f aca="false">K151+T151+AB151+AY151+BL151+BX151</f>
        <v>14425418.6022693</v>
      </c>
      <c r="CD151" s="7" t="n">
        <f aca="false">L151+U151+AC151+AZ151+BP151+BY151+CA151+CB151</f>
        <v>14246560.8059203</v>
      </c>
      <c r="CE151" s="7" t="n">
        <f aca="false">CC151-CD151</f>
        <v>178857.79634906</v>
      </c>
      <c r="CF151" s="7" t="n">
        <f aca="false">'Index Price Deals'!AR151</f>
        <v>0</v>
      </c>
      <c r="CG151" s="7" t="n">
        <f aca="false">'Index Price Deals'!AS151</f>
        <v>0</v>
      </c>
      <c r="CH151" s="7" t="n">
        <f aca="false">'Index Price Deals'!AT151</f>
        <v>0</v>
      </c>
      <c r="CI151" s="7" t="n">
        <f aca="false">'Index Price Deals'!AU151</f>
        <v>0</v>
      </c>
      <c r="CJ151" s="7" t="n">
        <f aca="false">CC151+CF151</f>
        <v>14425418.6022693</v>
      </c>
      <c r="CK151" s="7" t="n">
        <f aca="false">CD151+CH151</f>
        <v>14246560.8059203</v>
      </c>
      <c r="CL151" s="7" t="n">
        <f aca="false">CE151+CI151</f>
        <v>178857.79634906</v>
      </c>
      <c r="CM151" s="69"/>
      <c r="CN151" s="7" t="n">
        <f aca="false">Transport!U151</f>
        <v>0</v>
      </c>
      <c r="CQ151" s="7" t="n">
        <f aca="false">(((($B151+$C151+$D151+$O151+$P151+$Q151)*0.5)+BR151+BS151)*(0.005*'Prices&amp;Fuel'!$H151)+'Index Price Deals'!AV151)+(((BB151+BC151+BD151+BE151+BF151+BG151)*(1-'Prices&amp;Fuel'!F151))*0.005*0.5*'Prices&amp;Fuel'!H151)</f>
        <v>2875.25</v>
      </c>
      <c r="CR151" s="7" t="n">
        <f aca="false">(((($B151+$C151+$D151+$O151+$P151+$Q151)*0.5)+X151+Y151)*(0.005*'Prices&amp;Fuel'!$H151)+CA151+'Index Price Deals'!AW151)+(((BB151+BC151+BD151+BE151+BF151+BG151)*(1-'Prices&amp;Fuel'!F151))*0.005*0.5*'Prices&amp;Fuel'!H151)</f>
        <v>23913.8104113111</v>
      </c>
      <c r="CS151" s="11"/>
      <c r="CT151" s="7" t="n">
        <f aca="false">[2]Sheet1!$O172</f>
        <v>-309860.014883221</v>
      </c>
      <c r="CU151" s="7" t="n">
        <f aca="false">'[3]Long Term Deals'!$Z150</f>
        <v>-31548.0192679062</v>
      </c>
      <c r="CV151" s="70" t="n">
        <f aca="false">CL151-CN151-CT151+CU151+CS151+CO151</f>
        <v>457169.791964375</v>
      </c>
      <c r="DB151" s="1" t="n">
        <f aca="false">(O151+P151+Q151)*'Prices&amp;Fuel'!$H151</f>
        <v>778100</v>
      </c>
      <c r="DE151" s="1" t="n">
        <v>132000</v>
      </c>
    </row>
    <row r="152" customFormat="false" ht="12.75" hidden="false" customHeight="false" outlineLevel="0" collapsed="false">
      <c r="A152" s="6" t="n">
        <f aca="false">+A151+365/12</f>
        <v>40220.25</v>
      </c>
      <c r="O152" s="7" t="n">
        <v>9036</v>
      </c>
      <c r="P152" s="7" t="n">
        <v>10794</v>
      </c>
      <c r="Q152" s="7" t="n">
        <v>5270</v>
      </c>
      <c r="R152" s="8" t="n">
        <f aca="false">R151</f>
        <v>3.7412</v>
      </c>
      <c r="S152" s="8" t="n">
        <f aca="false">S151</f>
        <v>3.7277</v>
      </c>
      <c r="T152" s="7" t="n">
        <f aca="false">(($O152*R152)+($P152*R152)+($Q152*R152))*'Prices&amp;Fuel'!$H152</f>
        <v>2629315.36</v>
      </c>
      <c r="U152" s="7" t="n">
        <f aca="false">(($O152*S152)+($P152*S152)+($Q152*S152))*'Prices&amp;Fuel'!$H152</f>
        <v>2619827.56</v>
      </c>
      <c r="V152" s="14" t="n">
        <f aca="false">T152-U152</f>
        <v>9487.80000000075</v>
      </c>
      <c r="AF152" s="7" t="n">
        <f aca="false">(32000/(1-'Prices&amp;Fuel'!F152))+(25000/(1-'Prices&amp;Fuel'!G152))-AI152</f>
        <v>58611.8251928021</v>
      </c>
      <c r="AG152" s="7" t="n">
        <v>0</v>
      </c>
      <c r="AH152" s="7" t="n">
        <f aca="false">(75000/(1-'Prices&amp;Fuel'!G152))-AK152</f>
        <v>77120.822622108</v>
      </c>
      <c r="AI152" s="7"/>
      <c r="AJ152" s="7"/>
      <c r="AK152" s="7"/>
      <c r="AL152" s="11" t="n">
        <f aca="false">ROUND((132000/(1-'Prices&amp;Fuel'!F152))-AF152-AG152-AH152,0)</f>
        <v>0</v>
      </c>
      <c r="AM152" s="7" t="n">
        <f aca="false">ROUND(IF(AF152&lt;AP152,0,(AF152-AP152-AI152)/2),0)</f>
        <v>29306</v>
      </c>
      <c r="AO152" s="7" t="n">
        <f aca="false">ROUND((75000/(1-'Prices&amp;Fuel'!G152)-AV152-AK152)/2,0)</f>
        <v>38560</v>
      </c>
      <c r="AR152" s="7" t="n">
        <f aca="false">IF(AP152&gt;AF152,0,AF152-AM152-AP152)</f>
        <v>29305.8251928021</v>
      </c>
      <c r="AT152" s="14" t="n">
        <f aca="false">AH152-AO152-AV152</f>
        <v>38560.822622108</v>
      </c>
      <c r="AU152" s="14" t="n">
        <f aca="false">AL152*AX152*'Prices&amp;Fuel'!H152</f>
        <v>0</v>
      </c>
      <c r="AW152" s="68" t="n">
        <f aca="false">AW151</f>
        <v>0.02</v>
      </c>
      <c r="AX152" s="68" t="n">
        <f aca="false">AX151</f>
        <v>0.015</v>
      </c>
      <c r="AY152" s="5" t="n">
        <f aca="false">('Prices&amp;Fuel'!H152*('Prices&amp;Fuel'!B152+AW152)*'Long Term Deals'!AF152)+('Prices&amp;Fuel'!H152*('Prices&amp;Fuel'!C152+'Long Term Deals'!AW152)*'Long Term Deals'!AG152)+(AH152*('Prices&amp;Fuel'!C152+AW152)*'Prices&amp;Fuel'!H152)+(AW152*AL152*'Prices&amp;Fuel'!H152)</f>
        <v>10430689.4553866</v>
      </c>
      <c r="AZ152" s="5" t="n">
        <f aca="false">(AP152*'Prices&amp;Fuel'!H152*'Prices&amp;Fuel'!B152)+(AQ152*'Prices&amp;Fuel'!C152*'Prices&amp;Fuel'!H152)+((AM152+AR152)*('Prices&amp;Fuel'!B152+'Long Term Deals'!AX152)*'Prices&amp;Fuel'!H152)+((AN152+AS152)*('Prices&amp;Fuel'!C152+'Long Term Deals'!AX152)*'Prices&amp;Fuel'!H152)+((AO152+AT152)*('Prices&amp;Fuel'!D152+'Long Term Deals'!AX152)*'Prices&amp;Fuel'!H152)+(AV152*'Prices&amp;Fuel'!H152*'Prices&amp;Fuel'!Q152)+AU152</f>
        <v>10303717.7330216</v>
      </c>
      <c r="BA152" s="5" t="n">
        <f aca="false">AY152-AZ152</f>
        <v>126971.722365037</v>
      </c>
      <c r="BB152" s="5" t="n">
        <f aca="false">IF('FP Corp'!T152-((BE152+BF152+BG152)*(1-'Prices&amp;Fuel'!F152))&lt;'Prices&amp;Fuel'!R152,('FP Corp'!T152-(BE152+BF152+BG152)*(1-'Prices&amp;Fuel'!F152)),'Prices&amp;Fuel'!R152)/(1-'Prices&amp;Fuel'!F152)</f>
        <v>4325.96401028278</v>
      </c>
      <c r="BC152" s="9"/>
      <c r="BD152" s="9" t="n">
        <f aca="false">ROUND(IF('FP Corp'!T152/(1-'Prices&amp;Fuel'!F152)-BE152-BF152-BG152-BB152&gt;'Prices&amp;Fuel'!T152,'Prices&amp;Fuel'!T152,'FP Corp'!T152/(1-'Prices&amp;Fuel'!F152)-BE152-BF152-BG152-BB152),9)</f>
        <v>0</v>
      </c>
      <c r="BE152" s="9" t="n">
        <f aca="false">'Prices&amp;Fuel'!U152/(1-'Prices&amp;Fuel'!F152)</f>
        <v>2635.47557840617</v>
      </c>
      <c r="BF152" s="9" t="n">
        <f aca="false">('Prices&amp;Fuel'!V152+'Prices&amp;Fuel'!X152)/(1-'Prices&amp;Fuel'!F152)</f>
        <v>3645.2442159383</v>
      </c>
      <c r="BG152" s="9" t="n">
        <f aca="false">'Prices&amp;Fuel'!W152/(1-'Prices&amp;Fuel'!F152)</f>
        <v>1732.64781491003</v>
      </c>
      <c r="BH152" s="10" t="n">
        <f aca="false">('Prices&amp;Fuel'!C152+'Prices&amp;Fuel'!D152)/2-0.05+('Prices&amp;Fuel'!M152+'Prices&amp;Fuel'!P152)*(1-'Prices&amp;Fuel'!F152)</f>
        <v>3.41990478229532</v>
      </c>
      <c r="BI152" s="10"/>
      <c r="BJ152" s="10"/>
      <c r="BK152" s="10" t="n">
        <f aca="false">(((BB152+BE152)*('Prices&amp;Fuel'!B152+0.025))+(('Prices&amp;Fuel'!D152+0.025)*(BD152+BG152))+(('Prices&amp;Fuel'!C152+0.025)*(BC152+BF152))-(BI152+BJ152)*0.025)/(BB152+BC152+BD152+BE152+BF152+BG152)</f>
        <v>2.73458519896199</v>
      </c>
      <c r="BL152" s="9" t="n">
        <f aca="false">(BB152+BC152+BD152+BE152+BF152+BG152)*BH152*'Prices&amp;Fuel'!H152</f>
        <v>1181581.49804754</v>
      </c>
      <c r="BM152" s="9" t="n">
        <f aca="false">'Prices&amp;Fuel'!X152*('Prices&amp;Fuel'!N152+'Prices&amp;Fuel'!O152)*'Prices&amp;Fuel'!H152</f>
        <v>8525.22359970381</v>
      </c>
      <c r="BN152" s="9" t="n">
        <f aca="false">('Prices&amp;Fuel'!U152+'Prices&amp;Fuel'!V152+'Prices&amp;Fuel'!W152)*('Prices&amp;Fuel'!L152+'Prices&amp;Fuel'!O152)*'Prices&amp;Fuel'!H152</f>
        <v>88747.2032121437</v>
      </c>
      <c r="BO152" s="9" t="n">
        <f aca="false">((BB152+BC152+BD152)*(1-'Prices&amp;Fuel'!G152))*('Prices&amp;Fuel'!M152+'Prices&amp;Fuel'!P152)*'Prices&amp;Fuel'!H152</f>
        <v>90172.838</v>
      </c>
      <c r="BP152" s="9" t="n">
        <f aca="false">((BD152+BC152+BB152+BE152+BF152+BG152)*BK152*'Prices&amp;Fuel'!H152)+BM152+BN152+BO152</f>
        <v>1132247.96594422</v>
      </c>
      <c r="BQ152" s="5" t="n">
        <f aca="false">BL152-BP152</f>
        <v>49333.5321033197</v>
      </c>
      <c r="CA152" s="5" t="n">
        <f aca="false">(AF152+AG152+AH152+AL152)*0.005*'Prices&amp;Fuel'!H152</f>
        <v>19002.5706940874</v>
      </c>
      <c r="CB152" s="5" t="n">
        <f aca="false">(B152+C152+D152+O152+P152+Q152+X152+Y152+BB152+BC152+BD152+BE152+BF152+BG152+BR152+BS152)*0.005*'Prices&amp;Fuel'!H152</f>
        <v>5241.50642673522</v>
      </c>
      <c r="CC152" s="7" t="n">
        <f aca="false">K152+T152+AB152+AY152+BL152+BX152</f>
        <v>14241586.3134342</v>
      </c>
      <c r="CD152" s="7" t="n">
        <f aca="false">L152+U152+AC152+AZ152+BP152+BY152+CA152+CB152</f>
        <v>14080037.3360866</v>
      </c>
      <c r="CE152" s="7" t="n">
        <f aca="false">CC152-CD152</f>
        <v>161548.977347536</v>
      </c>
      <c r="CF152" s="7" t="n">
        <f aca="false">'Index Price Deals'!AR152</f>
        <v>0</v>
      </c>
      <c r="CG152" s="7" t="n">
        <f aca="false">'Index Price Deals'!AS152</f>
        <v>0</v>
      </c>
      <c r="CH152" s="7" t="n">
        <f aca="false">'Index Price Deals'!AT152</f>
        <v>0</v>
      </c>
      <c r="CI152" s="7" t="n">
        <f aca="false">'Index Price Deals'!AU152</f>
        <v>0</v>
      </c>
      <c r="CJ152" s="7" t="n">
        <f aca="false">CC152+CF152</f>
        <v>14241586.3134342</v>
      </c>
      <c r="CK152" s="7" t="n">
        <f aca="false">CD152+CH152</f>
        <v>14080037.3360866</v>
      </c>
      <c r="CL152" s="7" t="n">
        <f aca="false">CE152+CI152</f>
        <v>161548.977347536</v>
      </c>
      <c r="CM152" s="69"/>
      <c r="CN152" s="7" t="n">
        <f aca="false">Transport!U152</f>
        <v>0</v>
      </c>
      <c r="CQ152" s="7" t="n">
        <f aca="false">(((($B152+$C152+$D152+$O152+$P152+$Q152)*0.5)+BR152+BS152)*(0.005*'Prices&amp;Fuel'!$H152)+'Index Price Deals'!AV152)+(((BB152+BC152+BD152+BE152+BF152+BG152)*(1-'Prices&amp;Fuel'!F152))*0.005*0.5*'Prices&amp;Fuel'!H152)</f>
        <v>2597</v>
      </c>
      <c r="CR152" s="7" t="n">
        <f aca="false">(((($B152+$C152+$D152+$O152+$P152+$Q152)*0.5)+X152+Y152)*(0.005*'Prices&amp;Fuel'!$H152)+CA152+'Index Price Deals'!AW152)+(((BB152+BC152+BD152+BE152+BF152+BG152)*(1-'Prices&amp;Fuel'!F152))*0.005*0.5*'Prices&amp;Fuel'!H152)</f>
        <v>21599.5706940874</v>
      </c>
      <c r="CS152" s="11"/>
      <c r="CT152" s="7" t="n">
        <f aca="false">[2]Sheet1!$O173</f>
        <v>-279873.561830006</v>
      </c>
      <c r="CU152" s="7" t="n">
        <f aca="false">'[3]Long Term Deals'!$Z151</f>
        <v>-28494.9851452056</v>
      </c>
      <c r="CV152" s="70" t="n">
        <f aca="false">CL152-CN152-CT152+CU152+CS152+CO152</f>
        <v>412927.554032337</v>
      </c>
      <c r="DB152" s="1" t="n">
        <f aca="false">(O152+P152+Q152)*'Prices&amp;Fuel'!$H152</f>
        <v>702800</v>
      </c>
      <c r="DE152" s="1" t="n">
        <v>132000</v>
      </c>
    </row>
    <row r="153" customFormat="false" ht="12.75" hidden="false" customHeight="false" outlineLevel="0" collapsed="false">
      <c r="A153" s="6" t="n">
        <f aca="false">+A152+365/12</f>
        <v>40250.6666666667</v>
      </c>
      <c r="O153" s="7" t="n">
        <v>9036</v>
      </c>
      <c r="P153" s="7" t="n">
        <v>10794</v>
      </c>
      <c r="Q153" s="7" t="n">
        <v>5270</v>
      </c>
      <c r="R153" s="8" t="n">
        <f aca="false">R152</f>
        <v>3.7412</v>
      </c>
      <c r="S153" s="8" t="n">
        <f aca="false">S152</f>
        <v>3.7277</v>
      </c>
      <c r="T153" s="7" t="n">
        <f aca="false">(($O153*R153)+($P153*R153)+($Q153*R153))*'Prices&amp;Fuel'!$H153</f>
        <v>2911027.72</v>
      </c>
      <c r="U153" s="7" t="n">
        <f aca="false">(($O153*S153)+($P153*S153)+($Q153*S153))*'Prices&amp;Fuel'!$H153</f>
        <v>2900523.37</v>
      </c>
      <c r="V153" s="14" t="n">
        <f aca="false">T153-U153</f>
        <v>10504.3500000006</v>
      </c>
      <c r="AF153" s="7"/>
      <c r="AY153" s="14"/>
      <c r="AZ153" s="14"/>
      <c r="BA153" s="14"/>
      <c r="BB153" s="5" t="n">
        <f aca="false">IF('FP Corp'!T153-((BE153+BF153+BG153)*(1-'Prices&amp;Fuel'!F153))&lt;'Prices&amp;Fuel'!R153,('FP Corp'!T153-(BE153+BF153+BG153)*(1-'Prices&amp;Fuel'!F153)),'Prices&amp;Fuel'!R153)/(1-'Prices&amp;Fuel'!F153)</f>
        <v>4325.96401028278</v>
      </c>
      <c r="BC153" s="9"/>
      <c r="BD153" s="9" t="n">
        <f aca="false">ROUND(IF('FP Corp'!T153/(1-'Prices&amp;Fuel'!F153)-BE153-BF153-BG153-BB153&gt;'Prices&amp;Fuel'!T153,'Prices&amp;Fuel'!T153,'FP Corp'!T153/(1-'Prices&amp;Fuel'!F153)-BE153-BF153-BG153-BB153),9)</f>
        <v>0</v>
      </c>
      <c r="BE153" s="9" t="n">
        <f aca="false">'Prices&amp;Fuel'!U153/(1-'Prices&amp;Fuel'!F153)</f>
        <v>2635.47557840617</v>
      </c>
      <c r="BF153" s="9" t="n">
        <f aca="false">('Prices&amp;Fuel'!V153+'Prices&amp;Fuel'!X153)/(1-'Prices&amp;Fuel'!F153)</f>
        <v>3645.2442159383</v>
      </c>
      <c r="BG153" s="9" t="n">
        <f aca="false">'Prices&amp;Fuel'!W153/(1-'Prices&amp;Fuel'!F153)</f>
        <v>1732.64781491003</v>
      </c>
      <c r="BH153" s="10" t="n">
        <f aca="false">('Prices&amp;Fuel'!C153+'Prices&amp;Fuel'!D153)/2-0.05+('Prices&amp;Fuel'!M153+'Prices&amp;Fuel'!P153)*(1-'Prices&amp;Fuel'!F153)</f>
        <v>3.41990478229532</v>
      </c>
      <c r="BI153" s="10"/>
      <c r="BJ153" s="10"/>
      <c r="BK153" s="10" t="n">
        <f aca="false">(((BB153+BE153)*('Prices&amp;Fuel'!B153+0.025))+(('Prices&amp;Fuel'!D153+0.025)*(BD153+BG153))+(('Prices&amp;Fuel'!C153+0.025)*(BC153+BF153))-(BI153+BJ153)*0.025)/(BB153+BC153+BD153+BE153+BF153+BG153)</f>
        <v>2.73458519896199</v>
      </c>
      <c r="BL153" s="9" t="n">
        <f aca="false">(BB153+BC153+BD153+BE153+BF153+BG153)*BH153*'Prices&amp;Fuel'!H153</f>
        <v>1308179.51569549</v>
      </c>
      <c r="BM153" s="9" t="n">
        <f aca="false">'Prices&amp;Fuel'!X153*('Prices&amp;Fuel'!N153+'Prices&amp;Fuel'!O153)*'Prices&amp;Fuel'!H153</f>
        <v>9438.64041395779</v>
      </c>
      <c r="BN153" s="9" t="n">
        <f aca="false">('Prices&amp;Fuel'!U153+'Prices&amp;Fuel'!V153+'Prices&amp;Fuel'!W153)*('Prices&amp;Fuel'!L153+'Prices&amp;Fuel'!O153)*'Prices&amp;Fuel'!H153</f>
        <v>98255.8321277305</v>
      </c>
      <c r="BO153" s="9" t="n">
        <f aca="false">((BB153+BC153+BD153)*(1-'Prices&amp;Fuel'!G153))*('Prices&amp;Fuel'!M153+'Prices&amp;Fuel'!P153)*'Prices&amp;Fuel'!H153</f>
        <v>99834.2135</v>
      </c>
      <c r="BP153" s="9" t="n">
        <f aca="false">((BD153+BC153+BB153+BE153+BF153+BG153)*BK153*'Prices&amp;Fuel'!H153)+BM153+BN153+BO153</f>
        <v>1253560.24800967</v>
      </c>
      <c r="BQ153" s="5" t="n">
        <f aca="false">BL153-BP153</f>
        <v>54619.2676858183</v>
      </c>
      <c r="CA153" s="5" t="n">
        <f aca="false">(AF153+AG153+AH153+AL153)*0.005*'Prices&amp;Fuel'!H153</f>
        <v>0</v>
      </c>
      <c r="CB153" s="5" t="n">
        <f aca="false">(B153+C153+D153+O153+P153+Q153+X153+Y153+BB153+BC153+BD153+BE153+BF153+BG153+BR153+BS153)*0.005*'Prices&amp;Fuel'!H153</f>
        <v>5803.09640102828</v>
      </c>
      <c r="CC153" s="7" t="n">
        <f aca="false">K153+T153+AB153+AY153+BL153+BX153</f>
        <v>4219207.23569549</v>
      </c>
      <c r="CD153" s="7" t="n">
        <f aca="false">L153+U153+AC153+AZ153+BP153+BY153+CA153+CB153</f>
        <v>4159886.7144107</v>
      </c>
      <c r="CE153" s="7" t="n">
        <f aca="false">CC153-CD153</f>
        <v>59320.5212847902</v>
      </c>
      <c r="CF153" s="7" t="n">
        <f aca="false">'Index Price Deals'!AR153</f>
        <v>0</v>
      </c>
      <c r="CG153" s="7" t="n">
        <f aca="false">'Index Price Deals'!AS153</f>
        <v>0</v>
      </c>
      <c r="CH153" s="7" t="n">
        <f aca="false">'Index Price Deals'!AT153</f>
        <v>0</v>
      </c>
      <c r="CI153" s="7" t="n">
        <f aca="false">'Index Price Deals'!AU153</f>
        <v>0</v>
      </c>
      <c r="CJ153" s="7" t="n">
        <f aca="false">CC153+CF153</f>
        <v>4219207.23569549</v>
      </c>
      <c r="CK153" s="7" t="n">
        <f aca="false">CD153+CH153</f>
        <v>4159886.7144107</v>
      </c>
      <c r="CL153" s="7" t="n">
        <f aca="false">CE153+CI153</f>
        <v>59320.5212847902</v>
      </c>
      <c r="CM153" s="69"/>
      <c r="CN153" s="7" t="n">
        <f aca="false">Transport!U153</f>
        <v>0</v>
      </c>
      <c r="CQ153" s="7" t="n">
        <f aca="false">(((($B153+$C153+$D153+$O153+$P153+$Q153)*0.5)+BR153+BS153)*(0.005*'Prices&amp;Fuel'!$H153)+'Index Price Deals'!AV153)+(((BB153+BC153+BD153+BE153+BF153+BG153)*(1-'Prices&amp;Fuel'!F153))*0.005*0.5*'Prices&amp;Fuel'!H153)</f>
        <v>2875.25</v>
      </c>
      <c r="CR153" s="7" t="n">
        <f aca="false">(((($B153+$C153+$D153+$O153+$P153+$Q153)*0.5)+X153+Y153)*(0.005*'Prices&amp;Fuel'!$H153)+CA153+'Index Price Deals'!AW153)+(((BB153+BC153+BD153+BE153+BF153+BG153)*(1-'Prices&amp;Fuel'!F153))*0.005*0.5*'Prices&amp;Fuel'!H153)</f>
        <v>2875.25</v>
      </c>
      <c r="CS153" s="11"/>
      <c r="CT153" s="7"/>
      <c r="CU153" s="7"/>
      <c r="CV153" s="70" t="n">
        <f aca="false">CL153-CN153-CT153+CU153+CS153+CO153</f>
        <v>59320.5212847902</v>
      </c>
      <c r="DB153" s="1" t="n">
        <f aca="false">(O153+P153+Q153)*'Prices&amp;Fuel'!$H153</f>
        <v>778100</v>
      </c>
      <c r="DE153" s="1" t="n">
        <v>132000</v>
      </c>
    </row>
    <row r="154" customFormat="false" ht="12.75" hidden="false" customHeight="false" outlineLevel="0" collapsed="false">
      <c r="A154" s="6" t="n">
        <f aca="false">+A153+365/12</f>
        <v>40281.0833333333</v>
      </c>
      <c r="O154" s="7" t="n">
        <v>9036</v>
      </c>
      <c r="P154" s="7" t="n">
        <v>10794</v>
      </c>
      <c r="Q154" s="7" t="n">
        <v>5270</v>
      </c>
      <c r="R154" s="8" t="n">
        <f aca="false">R153</f>
        <v>3.7412</v>
      </c>
      <c r="S154" s="8" t="n">
        <f aca="false">S153</f>
        <v>3.7277</v>
      </c>
      <c r="T154" s="7" t="n">
        <f aca="false">(($O154*R154)+($P154*R154)+($Q154*R154))*'Prices&amp;Fuel'!$H154</f>
        <v>2817123.6</v>
      </c>
      <c r="U154" s="7" t="n">
        <f aca="false">(($O154*S154)+($P154*S154)+($Q154*S154))*'Prices&amp;Fuel'!$H154</f>
        <v>2806958.1</v>
      </c>
      <c r="V154" s="14" t="n">
        <f aca="false">T154-U154</f>
        <v>10165.5000000005</v>
      </c>
      <c r="BB154" s="5" t="n">
        <f aca="false">IF('FP Corp'!T154-((BE154+BF154+BG154)*(1-'Prices&amp;Fuel'!F154))&lt;'Prices&amp;Fuel'!R154,('FP Corp'!T154-(BE154+BF154+BG154)*(1-'Prices&amp;Fuel'!F154)),'Prices&amp;Fuel'!R154)/(1-'Prices&amp;Fuel'!F154)</f>
        <v>6278.66323907455</v>
      </c>
      <c r="BC154" s="9"/>
      <c r="BD154" s="9" t="n">
        <f aca="false">ROUND(IF('FP Corp'!T154/(1-'Prices&amp;Fuel'!F154)-BE154-BF154-BG154-BB154&gt;'Prices&amp;Fuel'!T154,'Prices&amp;Fuel'!T154,'FP Corp'!T154/(1-'Prices&amp;Fuel'!F154)-BE154-BF154-BG154-BB154),9)</f>
        <v>0</v>
      </c>
      <c r="BE154" s="9" t="n">
        <f aca="false">'Prices&amp;Fuel'!U154/(1-'Prices&amp;Fuel'!F154)</f>
        <v>1933.16195372751</v>
      </c>
      <c r="BF154" s="9" t="n">
        <f aca="false">('Prices&amp;Fuel'!V154+'Prices&amp;Fuel'!X154)/(1-'Prices&amp;Fuel'!F154)</f>
        <v>2833.93316195373</v>
      </c>
      <c r="BG154" s="9" t="n">
        <f aca="false">'Prices&amp;Fuel'!W154/(1-'Prices&amp;Fuel'!F154)</f>
        <v>1293.57326478149</v>
      </c>
      <c r="BH154" s="10" t="n">
        <f aca="false">('Prices&amp;Fuel'!C154+'Prices&amp;Fuel'!D154)/2-0.05+('Prices&amp;Fuel'!M154+'Prices&amp;Fuel'!P154)*(1-'Prices&amp;Fuel'!F154)</f>
        <v>3.71227609281491</v>
      </c>
      <c r="BI154" s="10"/>
      <c r="BJ154" s="10"/>
      <c r="BK154" s="10" t="n">
        <f aca="false">(((BB154+BE154)*('Prices&amp;Fuel'!B154+0.025))+(('Prices&amp;Fuel'!D154+0.025)*(BD154+BG154))+(('Prices&amp;Fuel'!C154+0.025)*(BC154+BF154))-(BI154+BJ154)*0.025)/(BB154+BC154+BD154+BE154+BF154+BG154)</f>
        <v>3.02265567614824</v>
      </c>
      <c r="BL154" s="9" t="n">
        <f aca="false">(BB154+BC154+BD154+BE154+BF154+BG154)*BH154*'Prices&amp;Fuel'!H154</f>
        <v>1374210.1731757</v>
      </c>
      <c r="BM154" s="9" t="n">
        <f aca="false">'Prices&amp;Fuel'!X154*('Prices&amp;Fuel'!N154+'Prices&amp;Fuel'!O154)*'Prices&amp;Fuel'!H154</f>
        <v>9134.1681425398</v>
      </c>
      <c r="BN154" s="9" t="n">
        <f aca="false">('Prices&amp;Fuel'!U154+'Prices&amp;Fuel'!V154+'Prices&amp;Fuel'!W154)*('Prices&amp;Fuel'!L154+'Prices&amp;Fuel'!O154)*'Prices&amp;Fuel'!H154</f>
        <v>69689.8245838578</v>
      </c>
      <c r="BO154" s="9" t="n">
        <f aca="false">((BB154+BC154+BD154)*(1-'Prices&amp;Fuel'!G154))*('Prices&amp;Fuel'!M154+'Prices&amp;Fuel'!P154)*'Prices&amp;Fuel'!H154</f>
        <v>140224.29</v>
      </c>
      <c r="BP154" s="9" t="n">
        <f aca="false">((BD154+BC154+BB154+BE154+BF154+BG154)*BK154*'Prices&amp;Fuel'!H154)+BM154+BN154+BO154</f>
        <v>1337974.80551649</v>
      </c>
      <c r="BQ154" s="5" t="n">
        <f aca="false">BL154-BP154</f>
        <v>36235.3676592065</v>
      </c>
      <c r="CA154" s="5" t="n">
        <f aca="false">(AF154+AG154+AH154+AL154)*0.005*'Prices&amp;Fuel'!H154</f>
        <v>0</v>
      </c>
      <c r="CB154" s="5" t="n">
        <f aca="false">(B154+C154+D154+O154+P154+Q154+X154+Y154+BB154+BC154+BD154+BE154+BF154+BG154+BR154+BS154)*0.005*'Prices&amp;Fuel'!H154</f>
        <v>5615.89974293059</v>
      </c>
      <c r="CC154" s="7" t="n">
        <f aca="false">K154+T154+AB154+AY154+BL154+BX154</f>
        <v>4191333.7731757</v>
      </c>
      <c r="CD154" s="7" t="n">
        <f aca="false">L154+U154+AC154+AZ154+BP154+BY154+CA154+CB154</f>
        <v>4150548.80525942</v>
      </c>
      <c r="CE154" s="7" t="n">
        <f aca="false">CC154-CD154</f>
        <v>40784.9679162758</v>
      </c>
      <c r="CF154" s="7" t="n">
        <f aca="false">'Index Price Deals'!AR154</f>
        <v>0</v>
      </c>
      <c r="CG154" s="7" t="n">
        <f aca="false">'Index Price Deals'!AS154</f>
        <v>0</v>
      </c>
      <c r="CH154" s="7" t="n">
        <f aca="false">'Index Price Deals'!AT154</f>
        <v>0</v>
      </c>
      <c r="CI154" s="7" t="n">
        <f aca="false">'Index Price Deals'!AU154</f>
        <v>0</v>
      </c>
      <c r="CJ154" s="7" t="n">
        <f aca="false">CC154+CF154</f>
        <v>4191333.7731757</v>
      </c>
      <c r="CK154" s="7" t="n">
        <f aca="false">CD154+CH154</f>
        <v>4150548.80525942</v>
      </c>
      <c r="CL154" s="7" t="n">
        <f aca="false">CE154+CI154</f>
        <v>40784.9679162758</v>
      </c>
      <c r="CM154" s="69"/>
      <c r="CN154" s="7" t="n">
        <f aca="false">Transport!U154</f>
        <v>0</v>
      </c>
      <c r="CQ154" s="7" t="n">
        <f aca="false">(((($B154+$C154+$D154+$O154+$P154+$Q154)*0.5)+BR154+BS154)*(0.005*'Prices&amp;Fuel'!$H154)+'Index Price Deals'!AV154)+(((BB154+BC154+BD154+BE154+BF154+BG154)*(1-'Prices&amp;Fuel'!F154))*0.005*0.5*'Prices&amp;Fuel'!H154)</f>
        <v>2782.5</v>
      </c>
      <c r="CR154" s="7" t="n">
        <f aca="false">(((($B154+$C154+$D154+$O154+$P154+$Q154)*0.5)+X154+Y154)*(0.005*'Prices&amp;Fuel'!$H154)+CA154+'Index Price Deals'!AW154)+(((BB154+BC154+BD154+BE154+BF154+BG154)*(1-'Prices&amp;Fuel'!F154))*0.005*0.5*'Prices&amp;Fuel'!H154)</f>
        <v>2782.5</v>
      </c>
      <c r="CS154" s="11"/>
      <c r="CT154" s="7"/>
      <c r="CU154" s="7"/>
      <c r="CV154" s="70" t="n">
        <f aca="false">CL154-CN154-CT154+CU154+CS154+CO154</f>
        <v>40784.9679162758</v>
      </c>
      <c r="DB154" s="1" t="n">
        <f aca="false">(O154+P154+Q154)*'Prices&amp;Fuel'!$H154</f>
        <v>753000</v>
      </c>
      <c r="DE154" s="1" t="n">
        <v>132000</v>
      </c>
    </row>
    <row r="155" customFormat="false" ht="12.75" hidden="false" customHeight="false" outlineLevel="0" collapsed="false">
      <c r="A155" s="6" t="n">
        <f aca="false">+A154+365/12</f>
        <v>40311.5</v>
      </c>
      <c r="O155" s="7" t="n">
        <v>9036</v>
      </c>
      <c r="P155" s="7" t="n">
        <v>10794</v>
      </c>
      <c r="Q155" s="7" t="n">
        <v>5270</v>
      </c>
      <c r="R155" s="8" t="n">
        <f aca="false">R154</f>
        <v>3.7412</v>
      </c>
      <c r="S155" s="8" t="n">
        <f aca="false">S154</f>
        <v>3.7277</v>
      </c>
      <c r="T155" s="7" t="n">
        <f aca="false">(($O155*R155)+($P155*R155)+($Q155*R155))*'Prices&amp;Fuel'!$H155</f>
        <v>2911027.72</v>
      </c>
      <c r="U155" s="7" t="n">
        <f aca="false">(($O155*S155)+($P155*S155)+($Q155*S155))*'Prices&amp;Fuel'!$H155</f>
        <v>2900523.37</v>
      </c>
      <c r="V155" s="14" t="n">
        <f aca="false">T155-U155</f>
        <v>10504.3500000006</v>
      </c>
      <c r="BB155" s="5" t="n">
        <f aca="false">IF('FP Corp'!T155-((BE155+BF155+BG155)*(1-'Prices&amp;Fuel'!F155))&lt;'Prices&amp;Fuel'!R155,('FP Corp'!T155-(BE155+BF155+BG155)*(1-'Prices&amp;Fuel'!F155)),'Prices&amp;Fuel'!R155)/(1-'Prices&amp;Fuel'!F155)</f>
        <v>8976.86375321337</v>
      </c>
      <c r="BC155" s="9"/>
      <c r="BD155" s="9" t="n">
        <f aca="false">ROUND(IF('FP Corp'!T155/(1-'Prices&amp;Fuel'!F155)-BE155-BF155-BG155-BB155&gt;'Prices&amp;Fuel'!T155,'Prices&amp;Fuel'!T155,'FP Corp'!T155/(1-'Prices&amp;Fuel'!F155)-BE155-BF155-BG155-BB155),9)</f>
        <v>6556.298200514</v>
      </c>
      <c r="BE155" s="9" t="n">
        <f aca="false">'Prices&amp;Fuel'!U155/(1-'Prices&amp;Fuel'!F155)</f>
        <v>1933.16195372751</v>
      </c>
      <c r="BF155" s="9" t="n">
        <f aca="false">('Prices&amp;Fuel'!V155+'Prices&amp;Fuel'!X155)/(1-'Prices&amp;Fuel'!F155)</f>
        <v>3062.21079691517</v>
      </c>
      <c r="BG155" s="9" t="n">
        <f aca="false">'Prices&amp;Fuel'!W155/(1-'Prices&amp;Fuel'!F155)</f>
        <v>1065.29562982005</v>
      </c>
      <c r="BH155" s="10" t="n">
        <f aca="false">('Prices&amp;Fuel'!C155+'Prices&amp;Fuel'!D155)/2-0.05+('Prices&amp;Fuel'!M155+'Prices&amp;Fuel'!P155)*(1-'Prices&amp;Fuel'!F155)</f>
        <v>3.91801886688424</v>
      </c>
      <c r="BI155" s="10"/>
      <c r="BJ155" s="10"/>
      <c r="BK155" s="10" t="n">
        <f aca="false">(((BB155+BE155)*('Prices&amp;Fuel'!B155+0.025))+(('Prices&amp;Fuel'!D155+0.025)*(BD155+BG155))+(('Prices&amp;Fuel'!C155+0.025)*(BC155+BF155))-(BI155+BJ155)*0.025)/(BB155+BC155+BD155+BE155+BF155+BG155)</f>
        <v>3.22560821212234</v>
      </c>
      <c r="BL155" s="9" t="n">
        <f aca="false">(BB155+BC155+BD155+BE155+BF155+BG155)*BH155*'Prices&amp;Fuel'!H155</f>
        <v>2622756.07438727</v>
      </c>
      <c r="BM155" s="9" t="n">
        <f aca="false">'Prices&amp;Fuel'!X155*('Prices&amp;Fuel'!N155+'Prices&amp;Fuel'!O155)*'Prices&amp;Fuel'!H155</f>
        <v>9438.64041395779</v>
      </c>
      <c r="BN155" s="9" t="n">
        <f aca="false">('Prices&amp;Fuel'!U155+'Prices&amp;Fuel'!V155+'Prices&amp;Fuel'!W155)*('Prices&amp;Fuel'!L155+'Prices&amp;Fuel'!O155)*'Prices&amp;Fuel'!H155</f>
        <v>72012.8187366531</v>
      </c>
      <c r="BO155" s="9" t="n">
        <f aca="false">((BB155+BC155+BD155)*(1-'Prices&amp;Fuel'!G155))*('Prices&amp;Fuel'!M155+'Prices&amp;Fuel'!P155)*'Prices&amp;Fuel'!H155</f>
        <v>358472.932999997</v>
      </c>
      <c r="BP155" s="9" t="n">
        <f aca="false">((BD155+BC155+BB155+BE155+BF155+BG155)*BK155*'Prices&amp;Fuel'!H155)+BM155+BN155+BO155</f>
        <v>2599174.72232195</v>
      </c>
      <c r="BQ155" s="5" t="n">
        <f aca="false">BL155-BP155</f>
        <v>23581.3520653276</v>
      </c>
      <c r="CA155" s="5" t="n">
        <f aca="false">(AF155+AG155+AH155+AL155)*0.005*'Prices&amp;Fuel'!H155</f>
        <v>0</v>
      </c>
      <c r="CB155" s="5" t="n">
        <f aca="false">(B155+C155+D155+O155+P155+Q155+X155+Y155+BB155+BC155+BD155+BE155+BF155+BG155+BR155+BS155)*0.005*'Prices&amp;Fuel'!H155</f>
        <v>7237.54370179946</v>
      </c>
      <c r="CC155" s="7" t="n">
        <f aca="false">K155+T155+AB155+AY155+BL155+BX155</f>
        <v>5533783.79438728</v>
      </c>
      <c r="CD155" s="7" t="n">
        <f aca="false">L155+U155+AC155+AZ155+BP155+BY155+CA155+CB155</f>
        <v>5506935.63602375</v>
      </c>
      <c r="CE155" s="7" t="n">
        <f aca="false">CC155-CD155</f>
        <v>26848.1583635286</v>
      </c>
      <c r="CF155" s="7" t="n">
        <f aca="false">'Index Price Deals'!AR155</f>
        <v>0</v>
      </c>
      <c r="CG155" s="7" t="n">
        <f aca="false">'Index Price Deals'!AS155</f>
        <v>0</v>
      </c>
      <c r="CH155" s="7" t="n">
        <f aca="false">'Index Price Deals'!AT155</f>
        <v>0</v>
      </c>
      <c r="CI155" s="7" t="n">
        <f aca="false">'Index Price Deals'!AU155</f>
        <v>0</v>
      </c>
      <c r="CJ155" s="7" t="n">
        <f aca="false">CC155+CF155</f>
        <v>5533783.79438728</v>
      </c>
      <c r="CK155" s="7" t="n">
        <f aca="false">CD155+CH155</f>
        <v>5506935.63602375</v>
      </c>
      <c r="CL155" s="7" t="n">
        <f aca="false">CE155+CI155</f>
        <v>26848.1583635286</v>
      </c>
      <c r="CM155" s="69"/>
      <c r="CN155" s="7" t="n">
        <f aca="false">Transport!U155</f>
        <v>3.14901408273727E-009</v>
      </c>
      <c r="CQ155" s="7" t="n">
        <f aca="false">(((($B155+$C155+$D155+$O155+$P155+$Q155)*0.5)+BR155+BS155)*(0.005*'Prices&amp;Fuel'!$H155)+'Index Price Deals'!AV155)+(((BB155+BC155+BD155+BE155+BF155+BG155)*(1-'Prices&amp;Fuel'!F155))*0.005*0.5*'Prices&amp;Fuel'!H155)</f>
        <v>3572.74999999999</v>
      </c>
      <c r="CR155" s="7" t="n">
        <f aca="false">(((($B155+$C155+$D155+$O155+$P155+$Q155)*0.5)+X155+Y155)*(0.005*'Prices&amp;Fuel'!$H155)+CA155+'Index Price Deals'!AW155)+(((BB155+BC155+BD155+BE155+BF155+BG155)*(1-'Prices&amp;Fuel'!F155))*0.005*0.5*'Prices&amp;Fuel'!H155)</f>
        <v>3572.74999999999</v>
      </c>
      <c r="CS155" s="11"/>
      <c r="CT155" s="7"/>
      <c r="CU155" s="7"/>
      <c r="CV155" s="70" t="n">
        <f aca="false">CL155-CN155-CT155+CU155+CS155+CO155</f>
        <v>26848.1583635254</v>
      </c>
      <c r="DB155" s="1" t="n">
        <f aca="false">(O155+P155+Q155)*'Prices&amp;Fuel'!$H155</f>
        <v>778100</v>
      </c>
      <c r="DE155" s="1" t="n">
        <v>200000</v>
      </c>
    </row>
    <row r="156" customFormat="false" ht="12.75" hidden="false" customHeight="false" outlineLevel="0" collapsed="false">
      <c r="A156" s="6" t="n">
        <f aca="false">+A155+365/12</f>
        <v>40341.9166666667</v>
      </c>
      <c r="O156" s="7" t="n">
        <v>9036</v>
      </c>
      <c r="P156" s="7" t="n">
        <v>10794</v>
      </c>
      <c r="Q156" s="7" t="n">
        <v>5270</v>
      </c>
      <c r="R156" s="8" t="n">
        <f aca="false">R155</f>
        <v>3.7412</v>
      </c>
      <c r="S156" s="8" t="n">
        <f aca="false">S155</f>
        <v>3.7277</v>
      </c>
      <c r="T156" s="7" t="n">
        <f aca="false">(($O156*R156)+($P156*R156)+($Q156*R156))*'Prices&amp;Fuel'!$H156</f>
        <v>2817123.6</v>
      </c>
      <c r="U156" s="7" t="n">
        <f aca="false">(($O156*S156)+($P156*S156)+($Q156*S156))*'Prices&amp;Fuel'!$H156</f>
        <v>2806958.1</v>
      </c>
      <c r="V156" s="14" t="n">
        <f aca="false">T156-U156</f>
        <v>10165.5000000005</v>
      </c>
      <c r="BB156" s="5" t="n">
        <f aca="false">IF('FP Corp'!T156-((BE156+BF156+BG156)*(1-'Prices&amp;Fuel'!F156))&lt;'Prices&amp;Fuel'!R156,('FP Corp'!T156-(BE156+BF156+BG156)*(1-'Prices&amp;Fuel'!F156)),'Prices&amp;Fuel'!R156)/(1-'Prices&amp;Fuel'!F156)</f>
        <v>8976.86375321337</v>
      </c>
      <c r="BC156" s="9"/>
      <c r="BD156" s="9" t="n">
        <f aca="false">ROUND(IF('FP Corp'!T156/(1-'Prices&amp;Fuel'!F156)-BE156-BF156-BG156-BB156&gt;'Prices&amp;Fuel'!T156,'Prices&amp;Fuel'!T156,'FP Corp'!T156/(1-'Prices&amp;Fuel'!F156)-BE156-BF156-BG156-BB156),9)</f>
        <v>6556.298200514</v>
      </c>
      <c r="BE156" s="9" t="n">
        <f aca="false">'Prices&amp;Fuel'!U156/(1-'Prices&amp;Fuel'!F156)</f>
        <v>1933.16195372751</v>
      </c>
      <c r="BF156" s="9" t="n">
        <f aca="false">('Prices&amp;Fuel'!V156+'Prices&amp;Fuel'!X156)/(1-'Prices&amp;Fuel'!F156)</f>
        <v>3062.21079691517</v>
      </c>
      <c r="BG156" s="9" t="n">
        <f aca="false">'Prices&amp;Fuel'!W156/(1-'Prices&amp;Fuel'!F156)</f>
        <v>1065.29562982005</v>
      </c>
      <c r="BH156" s="10" t="n">
        <f aca="false">('Prices&amp;Fuel'!C156+'Prices&amp;Fuel'!D156)/2-0.05+('Prices&amp;Fuel'!M156+'Prices&amp;Fuel'!P156)*(1-'Prices&amp;Fuel'!F156)</f>
        <v>5.33656115125703</v>
      </c>
      <c r="BI156" s="10"/>
      <c r="BJ156" s="10"/>
      <c r="BK156" s="10" t="n">
        <f aca="false">(((BB156+BE156)*('Prices&amp;Fuel'!B156+0.025))+(('Prices&amp;Fuel'!D156+0.025)*(BD156+BG156))+(('Prices&amp;Fuel'!C156+0.025)*(BC156+BF156))-(BI156+BJ156)*0.025)/(BB156+BC156+BD156+BE156+BF156+BG156)</f>
        <v>4.64415049649512</v>
      </c>
      <c r="BL156" s="9" t="n">
        <f aca="false">(BB156+BC156+BD156+BE156+BF156+BG156)*BH156*'Prices&amp;Fuel'!H156</f>
        <v>3457103.88204823</v>
      </c>
      <c r="BM156" s="9" t="n">
        <f aca="false">'Prices&amp;Fuel'!X156*('Prices&amp;Fuel'!N156+'Prices&amp;Fuel'!O156)*'Prices&amp;Fuel'!H156</f>
        <v>9134.1681425398</v>
      </c>
      <c r="BN156" s="9" t="n">
        <f aca="false">('Prices&amp;Fuel'!U156+'Prices&amp;Fuel'!V156+'Prices&amp;Fuel'!W156)*('Prices&amp;Fuel'!L156+'Prices&amp;Fuel'!O156)*'Prices&amp;Fuel'!H156</f>
        <v>69689.8245838578</v>
      </c>
      <c r="BO156" s="9" t="n">
        <f aca="false">((BB156+BC156+BD156)*(1-'Prices&amp;Fuel'!G156))*('Prices&amp;Fuel'!M156+'Prices&amp;Fuel'!P156)*'Prices&amp;Fuel'!H156</f>
        <v>346909.289999997</v>
      </c>
      <c r="BP156" s="9" t="n">
        <f aca="false">((BD156+BC156+BB156+BE156+BF156+BG156)*BK156*'Prices&amp;Fuel'!H156)+BM156+BN156+BO156</f>
        <v>3434283.2187592</v>
      </c>
      <c r="BQ156" s="5" t="n">
        <f aca="false">BL156-BP156</f>
        <v>22820.6632890254</v>
      </c>
      <c r="CA156" s="5" t="n">
        <f aca="false">(AF156+AG156+AH156+AL156)*0.005*'Prices&amp;Fuel'!H156</f>
        <v>0</v>
      </c>
      <c r="CB156" s="5" t="n">
        <f aca="false">(B156+C156+D156+O156+P156+Q156+X156+Y156+BB156+BC156+BD156+BE156+BF156+BG156+BR156+BS156)*0.005*'Prices&amp;Fuel'!H156</f>
        <v>7004.07455012851</v>
      </c>
      <c r="CC156" s="7" t="n">
        <f aca="false">K156+T156+AB156+AY156+BL156+BX156</f>
        <v>6274227.48204823</v>
      </c>
      <c r="CD156" s="7" t="n">
        <f aca="false">L156+U156+AC156+AZ156+BP156+BY156+CA156+CB156</f>
        <v>6248245.39330933</v>
      </c>
      <c r="CE156" s="7" t="n">
        <f aca="false">CC156-CD156</f>
        <v>25982.0887388969</v>
      </c>
      <c r="CF156" s="7" t="n">
        <f aca="false">'Index Price Deals'!AR156</f>
        <v>0</v>
      </c>
      <c r="CG156" s="7" t="n">
        <f aca="false">'Index Price Deals'!AS156</f>
        <v>0</v>
      </c>
      <c r="CH156" s="7" t="n">
        <f aca="false">'Index Price Deals'!AT156</f>
        <v>0</v>
      </c>
      <c r="CI156" s="7" t="n">
        <f aca="false">'Index Price Deals'!AU156</f>
        <v>0</v>
      </c>
      <c r="CJ156" s="7" t="n">
        <f aca="false">CC156+CF156</f>
        <v>6274227.48204823</v>
      </c>
      <c r="CK156" s="7" t="n">
        <f aca="false">CD156+CH156</f>
        <v>6248245.39330933</v>
      </c>
      <c r="CL156" s="7" t="n">
        <f aca="false">CE156+CI156</f>
        <v>25982.0887388969</v>
      </c>
      <c r="CM156" s="69"/>
      <c r="CN156" s="7" t="n">
        <f aca="false">Transport!U156</f>
        <v>3.04743298329413E-009</v>
      </c>
      <c r="CQ156" s="7" t="n">
        <f aca="false">(((($B156+$C156+$D156+$O156+$P156+$Q156)*0.5)+BR156+BS156)*(0.005*'Prices&amp;Fuel'!$H156)+'Index Price Deals'!AV156)+(((BB156+BC156+BD156+BE156+BF156+BG156)*(1-'Prices&amp;Fuel'!F156))*0.005*0.5*'Prices&amp;Fuel'!H156)</f>
        <v>3457.49999999999</v>
      </c>
      <c r="CR156" s="7" t="n">
        <f aca="false">(((($B156+$C156+$D156+$O156+$P156+$Q156)*0.5)+X156+Y156)*(0.005*'Prices&amp;Fuel'!$H156)+CA156+'Index Price Deals'!AW156)+(((BB156+BC156+BD156+BE156+BF156+BG156)*(1-'Prices&amp;Fuel'!F156))*0.005*0.5*'Prices&amp;Fuel'!H156)</f>
        <v>3457.49999999999</v>
      </c>
      <c r="CS156" s="11"/>
      <c r="CU156" s="7"/>
      <c r="CV156" s="70" t="n">
        <f aca="false">CL156-CN156-CT156+CU156+CS156+CO156</f>
        <v>25982.0887388938</v>
      </c>
      <c r="DB156" s="1" t="n">
        <f aca="false">(O156+P156+Q156)*'Prices&amp;Fuel'!$H156</f>
        <v>753000</v>
      </c>
      <c r="DE156" s="1" t="n">
        <v>200000</v>
      </c>
    </row>
    <row r="157" customFormat="false" ht="12.75" hidden="false" customHeight="false" outlineLevel="0" collapsed="false">
      <c r="A157" s="6" t="n">
        <f aca="false">+A156+365/12</f>
        <v>40372.3333333333</v>
      </c>
      <c r="O157" s="7" t="n">
        <v>9036</v>
      </c>
      <c r="P157" s="7" t="n">
        <v>10794</v>
      </c>
      <c r="Q157" s="7" t="n">
        <v>5270</v>
      </c>
      <c r="R157" s="8" t="n">
        <f aca="false">ROUND(3.075*1.04*1.04*1.04*1.04*1.04*1.04,4)</f>
        <v>3.8909</v>
      </c>
      <c r="S157" s="8" t="n">
        <f aca="false">R157-ROUND(0.01*1.02*1.02*1.02*1.02*1.02*1.02*1.02*1.02*1.02*1.02*1.02*1.02*1.02*1.02*1.02*1.02,4)</f>
        <v>3.8772</v>
      </c>
      <c r="T157" s="7" t="n">
        <f aca="false">(($O157*R157)+($P157*R157)+($Q157*R157))*'Prices&amp;Fuel'!$H157</f>
        <v>3027509.29</v>
      </c>
      <c r="U157" s="7" t="n">
        <f aca="false">(($O157*S157)+($P157*S157)+($Q157*S157))*'Prices&amp;Fuel'!$H157</f>
        <v>3016849.32</v>
      </c>
      <c r="V157" s="14" t="n">
        <f aca="false">T157-U157</f>
        <v>10659.9700000007</v>
      </c>
      <c r="BB157" s="5" t="n">
        <f aca="false">IF('FP Corp'!T157-((BE157+BF157+BG157)*(1-'Prices&amp;Fuel'!F157))&lt;'Prices&amp;Fuel'!R157,('FP Corp'!T157-(BE157+BF157+BG157)*(1-'Prices&amp;Fuel'!F157)),'Prices&amp;Fuel'!R157)/(1-'Prices&amp;Fuel'!F157)</f>
        <v>8976.86375321337</v>
      </c>
      <c r="BC157" s="9"/>
      <c r="BD157" s="9" t="n">
        <f aca="false">ROUND(IF('FP Corp'!T157/(1-'Prices&amp;Fuel'!F157)-BE157-BF157-BG157-BB157&gt;'Prices&amp;Fuel'!T157,'Prices&amp;Fuel'!T157,'FP Corp'!T157/(1-'Prices&amp;Fuel'!F157)-BE157-BF157-BG157-BB157),9)</f>
        <v>6556.298200514</v>
      </c>
      <c r="BE157" s="9" t="n">
        <f aca="false">'Prices&amp;Fuel'!U157/(1-'Prices&amp;Fuel'!F157)</f>
        <v>1933.16195372751</v>
      </c>
      <c r="BF157" s="9" t="n">
        <f aca="false">('Prices&amp;Fuel'!V157+'Prices&amp;Fuel'!X157)/(1-'Prices&amp;Fuel'!F157)</f>
        <v>3062.21079691517</v>
      </c>
      <c r="BG157" s="9" t="n">
        <f aca="false">'Prices&amp;Fuel'!W157/(1-'Prices&amp;Fuel'!F157)</f>
        <v>1065.29562982005</v>
      </c>
      <c r="BH157" s="10" t="n">
        <f aca="false">('Prices&amp;Fuel'!C157+'Prices&amp;Fuel'!D157)/2-0.05+('Prices&amp;Fuel'!M157+'Prices&amp;Fuel'!P157)*(1-'Prices&amp;Fuel'!F157)</f>
        <v>5.32573258420075</v>
      </c>
      <c r="BI157" s="10"/>
      <c r="BJ157" s="10"/>
      <c r="BK157" s="10" t="n">
        <f aca="false">(((BB157+BE157)*('Prices&amp;Fuel'!B157+0.025))+(('Prices&amp;Fuel'!D157+0.025)*(BD157+BG157))+(('Prices&amp;Fuel'!C157+0.025)*(BC157+BF157))-(BI157+BJ157)*0.025)/(BB157+BC157+BD157+BE157+BF157+BG157)</f>
        <v>4.63332192943884</v>
      </c>
      <c r="BL157" s="9" t="n">
        <f aca="false">(BB157+BC157+BD157+BE157+BF157+BG157)*BH157*'Prices&amp;Fuel'!H157</f>
        <v>3565091.94068346</v>
      </c>
      <c r="BM157" s="9" t="n">
        <f aca="false">'Prices&amp;Fuel'!X157*('Prices&amp;Fuel'!N157+'Prices&amp;Fuel'!O157)*'Prices&amp;Fuel'!H157</f>
        <v>9438.64041395779</v>
      </c>
      <c r="BN157" s="9" t="n">
        <f aca="false">('Prices&amp;Fuel'!U157+'Prices&amp;Fuel'!V157+'Prices&amp;Fuel'!W157)*('Prices&amp;Fuel'!L157+'Prices&amp;Fuel'!O157)*'Prices&amp;Fuel'!H157</f>
        <v>72012.8187366531</v>
      </c>
      <c r="BO157" s="9" t="n">
        <f aca="false">((BB157+BC157+BD157)*(1-'Prices&amp;Fuel'!G157))*('Prices&amp;Fuel'!M157+'Prices&amp;Fuel'!P157)*'Prices&amp;Fuel'!H157</f>
        <v>358472.932999997</v>
      </c>
      <c r="BP157" s="9" t="n">
        <f aca="false">((BD157+BC157+BB157+BE157+BF157+BG157)*BK157*'Prices&amp;Fuel'!H157)+BM157+BN157+BO157</f>
        <v>3541510.58861813</v>
      </c>
      <c r="BQ157" s="5" t="n">
        <f aca="false">BL157-BP157</f>
        <v>23581.3520653276</v>
      </c>
      <c r="CA157" s="5" t="n">
        <f aca="false">(AF157+AG157+AH157+AL157)*0.005*'Prices&amp;Fuel'!H157</f>
        <v>0</v>
      </c>
      <c r="CB157" s="5" t="n">
        <f aca="false">(B157+C157+D157+O157+P157+Q157+X157+Y157+BB157+BC157+BD157+BE157+BF157+BG157+BR157+BS157)*0.005*'Prices&amp;Fuel'!H157</f>
        <v>7237.54370179946</v>
      </c>
      <c r="CC157" s="7" t="n">
        <f aca="false">K157+T157+AB157+AY157+BL157+BX157</f>
        <v>6592601.23068346</v>
      </c>
      <c r="CD157" s="7" t="n">
        <f aca="false">L157+U157+AC157+AZ157+BP157+BY157+CA157+CB157</f>
        <v>6565597.45231993</v>
      </c>
      <c r="CE157" s="7" t="n">
        <f aca="false">CC157-CD157</f>
        <v>27003.7783635287</v>
      </c>
      <c r="CF157" s="7" t="n">
        <f aca="false">'Index Price Deals'!AR157</f>
        <v>0</v>
      </c>
      <c r="CG157" s="7" t="n">
        <f aca="false">'Index Price Deals'!AS157</f>
        <v>0</v>
      </c>
      <c r="CH157" s="7" t="n">
        <f aca="false">'Index Price Deals'!AT157</f>
        <v>0</v>
      </c>
      <c r="CI157" s="7" t="n">
        <f aca="false">'Index Price Deals'!AU157</f>
        <v>0</v>
      </c>
      <c r="CJ157" s="7" t="n">
        <f aca="false">CC157+CF157</f>
        <v>6592601.23068346</v>
      </c>
      <c r="CK157" s="7" t="n">
        <f aca="false">CD157+CH157</f>
        <v>6565597.45231993</v>
      </c>
      <c r="CL157" s="7" t="n">
        <f aca="false">CE157+CI157</f>
        <v>27003.7783635287</v>
      </c>
      <c r="CM157" s="69"/>
      <c r="CN157" s="7" t="n">
        <f aca="false">Transport!U157</f>
        <v>3.14901408273727E-009</v>
      </c>
      <c r="CQ157" s="7" t="n">
        <f aca="false">(((($B157+$C157+$D157+$O157+$P157+$Q157)*0.5)+BR157+BS157)*(0.005*'Prices&amp;Fuel'!$H157)+'Index Price Deals'!AV157)+(((BB157+BC157+BD157+BE157+BF157+BG157)*(1-'Prices&amp;Fuel'!F157))*0.005*0.5*'Prices&amp;Fuel'!H157)</f>
        <v>3572.74999999999</v>
      </c>
      <c r="CR157" s="7" t="n">
        <f aca="false">(((($B157+$C157+$D157+$O157+$P157+$Q157)*0.5)+X157+Y157)*(0.005*'Prices&amp;Fuel'!$H157)+CA157+'Index Price Deals'!AW157)+(((BB157+BC157+BD157+BE157+BF157+BG157)*(1-'Prices&amp;Fuel'!F157))*0.005*0.5*'Prices&amp;Fuel'!H157)</f>
        <v>3572.74999999999</v>
      </c>
      <c r="CS157" s="11"/>
      <c r="CU157" s="7"/>
      <c r="CV157" s="70" t="n">
        <f aca="false">CL157-CN157-CT157+CU157+CS157+CO157</f>
        <v>27003.7783635255</v>
      </c>
      <c r="DB157" s="1" t="n">
        <f aca="false">(O157+P157+Q157)*'Prices&amp;Fuel'!$H157</f>
        <v>778100</v>
      </c>
      <c r="DE157" s="1" t="n">
        <v>200000</v>
      </c>
    </row>
    <row r="158" customFormat="false" ht="12.75" hidden="false" customHeight="false" outlineLevel="0" collapsed="false">
      <c r="A158" s="6" t="n">
        <f aca="false">+A157+365/12</f>
        <v>40402.75</v>
      </c>
      <c r="O158" s="7" t="n">
        <v>9036</v>
      </c>
      <c r="P158" s="7" t="n">
        <v>10794</v>
      </c>
      <c r="Q158" s="7" t="n">
        <v>5270</v>
      </c>
      <c r="R158" s="8" t="n">
        <f aca="false">R157</f>
        <v>3.8909</v>
      </c>
      <c r="S158" s="8" t="n">
        <f aca="false">S157</f>
        <v>3.8772</v>
      </c>
      <c r="T158" s="7" t="n">
        <f aca="false">(($O158*R158)+($P158*R158)+($Q158*R158))*'Prices&amp;Fuel'!$H158</f>
        <v>3027509.29</v>
      </c>
      <c r="U158" s="7" t="n">
        <f aca="false">(($O158*S158)+($P158*S158)+($Q158*S158))*'Prices&amp;Fuel'!$H158</f>
        <v>3016849.32</v>
      </c>
      <c r="V158" s="14" t="n">
        <f aca="false">T158-U158</f>
        <v>10659.9700000007</v>
      </c>
      <c r="BB158" s="5" t="n">
        <f aca="false">IF('FP Corp'!T158-((BE158+BF158+BG158)*(1-'Prices&amp;Fuel'!F158))&lt;'Prices&amp;Fuel'!R158,('FP Corp'!T158-(BE158+BF158+BG158)*(1-'Prices&amp;Fuel'!F158)),'Prices&amp;Fuel'!R158)/(1-'Prices&amp;Fuel'!F158)</f>
        <v>8976.86375321337</v>
      </c>
      <c r="BC158" s="9"/>
      <c r="BD158" s="9" t="n">
        <f aca="false">ROUND(IF('FP Corp'!T158/(1-'Prices&amp;Fuel'!F158)-BE158-BF158-BG158-BB158&gt;'Prices&amp;Fuel'!T158,'Prices&amp;Fuel'!T158,'FP Corp'!T158/(1-'Prices&amp;Fuel'!F158)-BE158-BF158-BG158-BB158),9)</f>
        <v>6556.298200514</v>
      </c>
      <c r="BE158" s="9" t="n">
        <f aca="false">'Prices&amp;Fuel'!U158/(1-'Prices&amp;Fuel'!F158)</f>
        <v>1933.16195372751</v>
      </c>
      <c r="BF158" s="9" t="n">
        <f aca="false">('Prices&amp;Fuel'!V158+'Prices&amp;Fuel'!X158)/(1-'Prices&amp;Fuel'!F158)</f>
        <v>3062.21079691517</v>
      </c>
      <c r="BG158" s="9" t="n">
        <f aca="false">'Prices&amp;Fuel'!W158/(1-'Prices&amp;Fuel'!F158)</f>
        <v>1065.29562982005</v>
      </c>
      <c r="BH158" s="10" t="n">
        <f aca="false">('Prices&amp;Fuel'!C158+'Prices&amp;Fuel'!D158)/2-0.05+('Prices&amp;Fuel'!M158+'Prices&amp;Fuel'!P158)*(1-'Prices&amp;Fuel'!F158)</f>
        <v>4.74098996316158</v>
      </c>
      <c r="BI158" s="10"/>
      <c r="BJ158" s="10"/>
      <c r="BK158" s="10" t="n">
        <f aca="false">(((BB158+BE158)*('Prices&amp;Fuel'!B158+0.025))+(('Prices&amp;Fuel'!D158+0.025)*(BD158+BG158))+(('Prices&amp;Fuel'!C158+0.025)*(BC158+BF158))-(BI158+BJ158)*0.025)/(BB158+BC158+BD158+BE158+BF158+BG158)</f>
        <v>4.04857930839968</v>
      </c>
      <c r="BL158" s="9" t="n">
        <f aca="false">(BB158+BC158+BD158+BE158+BF158+BG158)*BH158*'Prices&amp;Fuel'!H158</f>
        <v>3173660.11929889</v>
      </c>
      <c r="BM158" s="9" t="n">
        <f aca="false">'Prices&amp;Fuel'!X158*('Prices&amp;Fuel'!N158+'Prices&amp;Fuel'!O158)*'Prices&amp;Fuel'!H158</f>
        <v>9438.64041395779</v>
      </c>
      <c r="BN158" s="9" t="n">
        <f aca="false">('Prices&amp;Fuel'!U158+'Prices&amp;Fuel'!V158+'Prices&amp;Fuel'!W158)*('Prices&amp;Fuel'!L158+'Prices&amp;Fuel'!O158)*'Prices&amp;Fuel'!H158</f>
        <v>72012.8187366531</v>
      </c>
      <c r="BO158" s="9" t="n">
        <f aca="false">((BB158+BC158+BD158)*(1-'Prices&amp;Fuel'!G158))*('Prices&amp;Fuel'!M158+'Prices&amp;Fuel'!P158)*'Prices&amp;Fuel'!H158</f>
        <v>358472.932999997</v>
      </c>
      <c r="BP158" s="9" t="n">
        <f aca="false">((BD158+BC158+BB158+BE158+BF158+BG158)*BK158*'Prices&amp;Fuel'!H158)+BM158+BN158+BO158</f>
        <v>3150078.76723356</v>
      </c>
      <c r="BQ158" s="5" t="n">
        <f aca="false">BL158-BP158</f>
        <v>23581.3520653276</v>
      </c>
      <c r="CA158" s="5" t="n">
        <f aca="false">(AF158+AG158+AH158+AL158)*0.005*'Prices&amp;Fuel'!H158</f>
        <v>0</v>
      </c>
      <c r="CB158" s="5" t="n">
        <f aca="false">(B158+C158+D158+O158+P158+Q158+X158+Y158+BB158+BC158+BD158+BE158+BF158+BG158+BR158+BS158)*0.005*'Prices&amp;Fuel'!H158</f>
        <v>7237.54370179946</v>
      </c>
      <c r="CC158" s="7" t="n">
        <f aca="false">K158+T158+AB158+AY158+BL158+BX158</f>
        <v>6201169.40929889</v>
      </c>
      <c r="CD158" s="7" t="n">
        <f aca="false">L158+U158+AC158+AZ158+BP158+BY158+CA158+CB158</f>
        <v>6174165.63093536</v>
      </c>
      <c r="CE158" s="7" t="n">
        <f aca="false">CC158-CD158</f>
        <v>27003.7783635287</v>
      </c>
      <c r="CF158" s="7" t="n">
        <f aca="false">'Index Price Deals'!AR158</f>
        <v>0</v>
      </c>
      <c r="CG158" s="7" t="n">
        <f aca="false">'Index Price Deals'!AS158</f>
        <v>0</v>
      </c>
      <c r="CH158" s="7" t="n">
        <f aca="false">'Index Price Deals'!AT158</f>
        <v>0</v>
      </c>
      <c r="CI158" s="7" t="n">
        <f aca="false">'Index Price Deals'!AU158</f>
        <v>0</v>
      </c>
      <c r="CJ158" s="7" t="n">
        <f aca="false">CC158+CF158</f>
        <v>6201169.40929889</v>
      </c>
      <c r="CK158" s="7" t="n">
        <f aca="false">CD158+CH158</f>
        <v>6174165.63093536</v>
      </c>
      <c r="CL158" s="7" t="n">
        <f aca="false">CE158+CI158</f>
        <v>27003.7783635287</v>
      </c>
      <c r="CM158" s="69"/>
      <c r="CN158" s="7" t="n">
        <f aca="false">Transport!U158</f>
        <v>3.14901408273727E-009</v>
      </c>
      <c r="CP158" s="14"/>
      <c r="CQ158" s="7" t="n">
        <f aca="false">(((($B158+$C158+$D158+$O158+$P158+$Q158)*0.5)+BR158+BS158)*(0.005*'Prices&amp;Fuel'!$H158)+'Index Price Deals'!AV158)+(((BB158+BC158+BD158+BE158+BF158+BG158)*(1-'Prices&amp;Fuel'!F158))*0.005*0.5*'Prices&amp;Fuel'!H158)</f>
        <v>3572.74999999999</v>
      </c>
      <c r="CR158" s="7" t="n">
        <f aca="false">(((($B158+$C158+$D158+$O158+$P158+$Q158)*0.5)+X158+Y158)*(0.005*'Prices&amp;Fuel'!$H158)+CA158+'Index Price Deals'!AW158)+(((BB158+BC158+BD158+BE158+BF158+BG158)*(1-'Prices&amp;Fuel'!F158))*0.005*0.5*'Prices&amp;Fuel'!H158)</f>
        <v>3572.74999999999</v>
      </c>
      <c r="CS158" s="11"/>
      <c r="CU158" s="7"/>
      <c r="CV158" s="70" t="n">
        <f aca="false">CL158-CN158-CT158+CU158+CS158+CO158</f>
        <v>27003.7783635255</v>
      </c>
      <c r="DB158" s="1" t="n">
        <f aca="false">(O158+P158+Q158)*'Prices&amp;Fuel'!$H158</f>
        <v>778100</v>
      </c>
      <c r="DE158" s="1" t="n">
        <v>200000</v>
      </c>
    </row>
    <row r="159" customFormat="false" ht="12.75" hidden="false" customHeight="false" outlineLevel="0" collapsed="false">
      <c r="A159" s="6" t="n">
        <f aca="false">+A158+365/12</f>
        <v>40433.1666666667</v>
      </c>
      <c r="O159" s="7" t="n">
        <v>9036</v>
      </c>
      <c r="P159" s="7" t="n">
        <v>10794</v>
      </c>
      <c r="Q159" s="7" t="n">
        <v>5270</v>
      </c>
      <c r="R159" s="8" t="n">
        <f aca="false">R158</f>
        <v>3.8909</v>
      </c>
      <c r="S159" s="8" t="n">
        <f aca="false">S158</f>
        <v>3.8772</v>
      </c>
      <c r="T159" s="7" t="n">
        <f aca="false">(($O159*R159)+($P159*R159)+($Q159*R159))*'Prices&amp;Fuel'!$H159</f>
        <v>2929847.7</v>
      </c>
      <c r="U159" s="7" t="n">
        <f aca="false">(($O159*S159)+($P159*S159)+($Q159*S159))*'Prices&amp;Fuel'!$H159</f>
        <v>2919531.6</v>
      </c>
      <c r="V159" s="14" t="n">
        <f aca="false">T159-U159</f>
        <v>10316.1000000001</v>
      </c>
      <c r="BB159" s="5" t="n">
        <f aca="false">IF('FP Corp'!T159-((BE159+BF159+BG159)*(1-'Prices&amp;Fuel'!F159))&lt;'Prices&amp;Fuel'!R159,('FP Corp'!T159-(BE159+BF159+BG159)*(1-'Prices&amp;Fuel'!F159)),'Prices&amp;Fuel'!R159)/(1-'Prices&amp;Fuel'!F159)</f>
        <v>8976.86375321337</v>
      </c>
      <c r="BC159" s="9"/>
      <c r="BD159" s="9" t="n">
        <f aca="false">ROUND(IF('FP Corp'!T159/(1-'Prices&amp;Fuel'!F159)-BE159-BF159-BG159-BB159&gt;'Prices&amp;Fuel'!T159,'Prices&amp;Fuel'!T159,'FP Corp'!T159/(1-'Prices&amp;Fuel'!F159)-BE159-BF159-BG159-BB159),9)</f>
        <v>6556.298200514</v>
      </c>
      <c r="BE159" s="9" t="n">
        <f aca="false">'Prices&amp;Fuel'!U159/(1-'Prices&amp;Fuel'!F159)</f>
        <v>1933.16195372751</v>
      </c>
      <c r="BF159" s="9" t="n">
        <f aca="false">('Prices&amp;Fuel'!V159+'Prices&amp;Fuel'!X159)/(1-'Prices&amp;Fuel'!F159)</f>
        <v>3062.21079691517</v>
      </c>
      <c r="BG159" s="9" t="n">
        <f aca="false">'Prices&amp;Fuel'!W159/(1-'Prices&amp;Fuel'!F159)</f>
        <v>1065.29562982005</v>
      </c>
      <c r="BH159" s="10" t="n">
        <f aca="false">('Prices&amp;Fuel'!C159+'Prices&amp;Fuel'!D159)/2-0.05+('Prices&amp;Fuel'!M159+'Prices&amp;Fuel'!P159)*(1-'Prices&amp;Fuel'!F159)</f>
        <v>5.57478962649521</v>
      </c>
      <c r="BI159" s="10"/>
      <c r="BJ159" s="10"/>
      <c r="BK159" s="10" t="n">
        <f aca="false">(((BB159+BE159)*('Prices&amp;Fuel'!B159+0.025))+(('Prices&amp;Fuel'!D159+0.025)*(BD159+BG159))+(('Prices&amp;Fuel'!C159+0.025)*(BC159+BF159))-(BI159+BJ159)*0.025)/(BB159+BC159+BD159+BE159+BF159+BG159)</f>
        <v>4.8823789717333</v>
      </c>
      <c r="BL159" s="9" t="n">
        <f aca="false">(BB159+BC159+BD159+BE159+BF159+BG159)*BH159*'Prices&amp;Fuel'!H159</f>
        <v>3611431.84030021</v>
      </c>
      <c r="BM159" s="9" t="n">
        <f aca="false">'Prices&amp;Fuel'!X159*('Prices&amp;Fuel'!N159+'Prices&amp;Fuel'!O159)*'Prices&amp;Fuel'!H159</f>
        <v>9134.1681425398</v>
      </c>
      <c r="BN159" s="9" t="n">
        <f aca="false">('Prices&amp;Fuel'!U159+'Prices&amp;Fuel'!V159+'Prices&amp;Fuel'!W159)*('Prices&amp;Fuel'!L159+'Prices&amp;Fuel'!O159)*'Prices&amp;Fuel'!H159</f>
        <v>69689.8245838578</v>
      </c>
      <c r="BO159" s="9" t="n">
        <f aca="false">((BB159+BC159+BD159)*(1-'Prices&amp;Fuel'!G159))*('Prices&amp;Fuel'!M159+'Prices&amp;Fuel'!P159)*'Prices&amp;Fuel'!H159</f>
        <v>346909.289999997</v>
      </c>
      <c r="BP159" s="9" t="n">
        <f aca="false">((BD159+BC159+BB159+BE159+BF159+BG159)*BK159*'Prices&amp;Fuel'!H159)+BM159+BN159+BO159</f>
        <v>3588611.17701119</v>
      </c>
      <c r="BQ159" s="5" t="n">
        <f aca="false">BL159-BP159</f>
        <v>22820.6632890268</v>
      </c>
      <c r="CA159" s="5" t="n">
        <f aca="false">(AF159+AG159+AH159+AL159)*0.005*'Prices&amp;Fuel'!H159</f>
        <v>0</v>
      </c>
      <c r="CB159" s="5" t="n">
        <f aca="false">(B159+C159+D159+O159+P159+Q159+X159+Y159+BB159+BC159+BD159+BE159+BF159+BG159+BR159+BS159)*0.005*'Prices&amp;Fuel'!H159</f>
        <v>7004.07455012851</v>
      </c>
      <c r="CC159" s="7" t="n">
        <f aca="false">K159+T159+AB159+AY159+BL159+BX159</f>
        <v>6541279.54030021</v>
      </c>
      <c r="CD159" s="7" t="n">
        <f aca="false">L159+U159+AC159+AZ159+BP159+BY159+CA159+CB159</f>
        <v>6515146.85156131</v>
      </c>
      <c r="CE159" s="7" t="n">
        <f aca="false">CC159-CD159</f>
        <v>26132.6887388984</v>
      </c>
      <c r="CF159" s="7" t="n">
        <f aca="false">'Index Price Deals'!AR159</f>
        <v>0</v>
      </c>
      <c r="CG159" s="7" t="n">
        <f aca="false">'Index Price Deals'!AS159</f>
        <v>0</v>
      </c>
      <c r="CH159" s="7" t="n">
        <f aca="false">'Index Price Deals'!AT159</f>
        <v>0</v>
      </c>
      <c r="CI159" s="7" t="n">
        <f aca="false">'Index Price Deals'!AU159</f>
        <v>0</v>
      </c>
      <c r="CJ159" s="7" t="n">
        <f aca="false">CC159+CF159</f>
        <v>6541279.54030021</v>
      </c>
      <c r="CK159" s="7" t="n">
        <f aca="false">CD159+CH159</f>
        <v>6515146.85156131</v>
      </c>
      <c r="CL159" s="7" t="n">
        <f aca="false">CE159+CI159</f>
        <v>26132.6887388984</v>
      </c>
      <c r="CN159" s="7" t="n">
        <f aca="false">Transport!U159</f>
        <v>3.04743298329413E-009</v>
      </c>
      <c r="CQ159" s="7" t="n">
        <f aca="false">(((($B159+$C159+$D159+$O159+$P159+$Q159)*0.5)+BR159+BS159)*(0.005*'Prices&amp;Fuel'!$H159)+'Index Price Deals'!AV159)+(((BB159+BC159+BD159+BE159+BF159+BG159)*(1-'Prices&amp;Fuel'!F159))*0.005*0.5*'Prices&amp;Fuel'!H159)</f>
        <v>3457.49999999999</v>
      </c>
      <c r="CR159" s="7" t="n">
        <f aca="false">(((($B159+$C159+$D159+$O159+$P159+$Q159)*0.5)+X159+Y159)*(0.005*'Prices&amp;Fuel'!$H159)+CA159+'Index Price Deals'!AW159)+(((BB159+BC159+BD159+BE159+BF159+BG159)*(1-'Prices&amp;Fuel'!F159))*0.005*0.5*'Prices&amp;Fuel'!H159)</f>
        <v>3457.49999999999</v>
      </c>
      <c r="CS159" s="11"/>
      <c r="CU159" s="7"/>
      <c r="CV159" s="70" t="n">
        <f aca="false">CL159-CN159-CT159+CU159+CS159+CO159</f>
        <v>26132.6887388953</v>
      </c>
      <c r="DB159" s="1" t="n">
        <f aca="false">(O159+P159+Q159)*'Prices&amp;Fuel'!$H159</f>
        <v>753000</v>
      </c>
      <c r="DE159" s="1" t="n">
        <v>200000</v>
      </c>
    </row>
    <row r="160" customFormat="false" ht="12.75" hidden="false" customHeight="false" outlineLevel="0" collapsed="false">
      <c r="A160" s="6" t="n">
        <f aca="false">+A159+365/12</f>
        <v>40463.5833333333</v>
      </c>
      <c r="O160" s="7" t="n">
        <v>9036</v>
      </c>
      <c r="P160" s="7" t="n">
        <v>10794</v>
      </c>
      <c r="Q160" s="7" t="n">
        <v>5270</v>
      </c>
      <c r="R160" s="8" t="n">
        <f aca="false">R159</f>
        <v>3.8909</v>
      </c>
      <c r="S160" s="8" t="n">
        <f aca="false">S159</f>
        <v>3.8772</v>
      </c>
      <c r="T160" s="7" t="n">
        <f aca="false">(($O160*R160)+($P160*R160)+($Q160*R160))*'Prices&amp;Fuel'!$H160</f>
        <v>3027509.29</v>
      </c>
      <c r="U160" s="7" t="n">
        <f aca="false">(($O160*S160)+($P160*S160)+($Q160*S160))*'Prices&amp;Fuel'!$H160</f>
        <v>3016849.32</v>
      </c>
      <c r="V160" s="14" t="n">
        <f aca="false">T160-U160</f>
        <v>10659.9700000007</v>
      </c>
      <c r="BB160" s="5" t="n">
        <f aca="false">IF('FP Corp'!T160-((BE160+BF160+BG160)*(1-'Prices&amp;Fuel'!F160))&lt;'Prices&amp;Fuel'!R160,('FP Corp'!T160-(BE160+BF160+BG160)*(1-'Prices&amp;Fuel'!F160)),'Prices&amp;Fuel'!R160)/(1-'Prices&amp;Fuel'!F160)</f>
        <v>8976.86375321337</v>
      </c>
      <c r="BC160" s="9"/>
      <c r="BD160" s="9" t="n">
        <f aca="false">ROUND(IF('FP Corp'!T160/(1-'Prices&amp;Fuel'!F160)-BE160-BF160-BG160-BB160&gt;'Prices&amp;Fuel'!T160,'Prices&amp;Fuel'!T160,'FP Corp'!T160/(1-'Prices&amp;Fuel'!F160)-BE160-BF160-BG160-BB160),9)</f>
        <v>3514.652956298</v>
      </c>
      <c r="BE160" s="9" t="n">
        <f aca="false">'Prices&amp;Fuel'!U160/(1-'Prices&amp;Fuel'!F160)</f>
        <v>2910.02570694087</v>
      </c>
      <c r="BF160" s="9" t="n">
        <f aca="false">('Prices&amp;Fuel'!V160+'Prices&amp;Fuel'!X160)/(1-'Prices&amp;Fuel'!F160)</f>
        <v>4628.27763496144</v>
      </c>
      <c r="BG160" s="9" t="n">
        <f aca="false">'Prices&amp;Fuel'!W160/(1-'Prices&amp;Fuel'!F160)</f>
        <v>1564.01028277635</v>
      </c>
      <c r="BH160" s="10" t="n">
        <f aca="false">('Prices&amp;Fuel'!C160+'Prices&amp;Fuel'!D160)/2-0.05+('Prices&amp;Fuel'!M160+'Prices&amp;Fuel'!P160)*(1-'Prices&amp;Fuel'!F160)</f>
        <v>6.3111321863223</v>
      </c>
      <c r="BI160" s="10"/>
      <c r="BJ160" s="10"/>
      <c r="BK160" s="10" t="n">
        <f aca="false">(((BB160+BE160)*('Prices&amp;Fuel'!B160+0.025))+(('Prices&amp;Fuel'!D160+0.025)*(BD160+BG160))+(('Prices&amp;Fuel'!C160+0.025)*(BC160+BF160))-(BI160+BJ160)*0.025)/(BB160+BC160+BD160+BE160+BF160+BG160)</f>
        <v>5.6218953410842</v>
      </c>
      <c r="BL160" s="9" t="n">
        <f aca="false">(BB160+BC160+BD160+BE160+BF160+BG160)*BH160*'Prices&amp;Fuel'!H160</f>
        <v>4224727.04709077</v>
      </c>
      <c r="BM160" s="9" t="n">
        <f aca="false">'Prices&amp;Fuel'!X160*('Prices&amp;Fuel'!N160+'Prices&amp;Fuel'!O160)*'Prices&amp;Fuel'!H160</f>
        <v>13833.2050576453</v>
      </c>
      <c r="BN160" s="9" t="n">
        <f aca="false">('Prices&amp;Fuel'!U160+'Prices&amp;Fuel'!V160+'Prices&amp;Fuel'!W160)*('Prices&amp;Fuel'!L160+'Prices&amp;Fuel'!O160)*'Prices&amp;Fuel'!H160</f>
        <v>108495.996910663</v>
      </c>
      <c r="BO160" s="9" t="n">
        <f aca="false">((BB160+BC160+BD160)*(1-'Prices&amp;Fuel'!G160))*('Prices&amp;Fuel'!M160+'Prices&amp;Fuel'!P160)*'Prices&amp;Fuel'!H160</f>
        <v>288278.113999995</v>
      </c>
      <c r="BP160" s="9" t="n">
        <f aca="false">((BD160+BC160+BB160+BE160+BF160+BG160)*BK160*'Prices&amp;Fuel'!H160)+BM160+BN160+BO160</f>
        <v>4173953.19467862</v>
      </c>
      <c r="BQ160" s="5" t="n">
        <f aca="false">BL160-BP160</f>
        <v>50773.8524121549</v>
      </c>
      <c r="CA160" s="5" t="n">
        <f aca="false">(AF160+AG160+AH160+AL160)*0.005*'Prices&amp;Fuel'!H160</f>
        <v>0</v>
      </c>
      <c r="CB160" s="5" t="n">
        <f aca="false">(B160+C160+D160+O160+P160+Q160+X160+Y160+BB160+BC160+BD160+BE160+BF160+BG160+BR160+BS160)*0.005*'Prices&amp;Fuel'!H160</f>
        <v>7237.54370179946</v>
      </c>
      <c r="CC160" s="7" t="n">
        <f aca="false">K160+T160+AB160+AY160+BL160+BX160</f>
        <v>7252236.33709077</v>
      </c>
      <c r="CD160" s="7" t="n">
        <f aca="false">L160+U160+AC160+AZ160+BP160+BY160+CA160+CB160</f>
        <v>7198040.05838042</v>
      </c>
      <c r="CE160" s="7" t="n">
        <f aca="false">CC160-CD160</f>
        <v>54196.278710356</v>
      </c>
      <c r="CF160" s="7" t="n">
        <f aca="false">'Index Price Deals'!AR160</f>
        <v>0</v>
      </c>
      <c r="CG160" s="7" t="n">
        <f aca="false">'Index Price Deals'!AS160</f>
        <v>0</v>
      </c>
      <c r="CH160" s="7" t="n">
        <f aca="false">'Index Price Deals'!AT160</f>
        <v>0</v>
      </c>
      <c r="CI160" s="7" t="n">
        <f aca="false">'Index Price Deals'!AU160</f>
        <v>0</v>
      </c>
      <c r="CJ160" s="7" t="n">
        <f aca="false">CC160+CF160</f>
        <v>7252236.33709077</v>
      </c>
      <c r="CK160" s="7" t="n">
        <f aca="false">CD160+CH160</f>
        <v>7198040.05838042</v>
      </c>
      <c r="CL160" s="7" t="n">
        <f aca="false">CE160+CI160</f>
        <v>54196.278710356</v>
      </c>
      <c r="CN160" s="7" t="n">
        <f aca="false">Transport!U160</f>
        <v>4.39204595750198E-009</v>
      </c>
      <c r="CQ160" s="7" t="n">
        <f aca="false">(((($B160+$C160+$D160+$O160+$P160+$Q160)*0.5)+BR160+BS160)*(0.005*'Prices&amp;Fuel'!$H160)+'Index Price Deals'!AV160)+(((BB160+BC160+BD160+BE160+BF160+BG160)*(1-'Prices&amp;Fuel'!F160))*0.005*0.5*'Prices&amp;Fuel'!H160)</f>
        <v>3572.74999999999</v>
      </c>
      <c r="CR160" s="7" t="n">
        <f aca="false">(((($B160+$C160+$D160+$O160+$P160+$Q160)*0.5)+X160+Y160)*(0.005*'Prices&amp;Fuel'!$H160)+CA160+'Index Price Deals'!AW160)+(((BB160+BC160+BD160+BE160+BF160+BG160)*(1-'Prices&amp;Fuel'!F160))*0.005*0.5*'Prices&amp;Fuel'!H160)</f>
        <v>3572.74999999999</v>
      </c>
      <c r="CS160" s="11"/>
      <c r="CU160" s="7"/>
      <c r="CV160" s="70" t="n">
        <f aca="false">CL160-CN160-CT160+CU160+CS160+CO160</f>
        <v>54196.2787103516</v>
      </c>
      <c r="DB160" s="1" t="n">
        <f aca="false">(O160+P160+Q160)*'Prices&amp;Fuel'!$H160</f>
        <v>778100</v>
      </c>
      <c r="DE160" s="1" t="n">
        <v>132000</v>
      </c>
    </row>
    <row r="161" customFormat="false" ht="12.75" hidden="false" customHeight="false" outlineLevel="0" collapsed="false">
      <c r="A161" s="6" t="n">
        <f aca="false">+A160+365/12</f>
        <v>40494</v>
      </c>
      <c r="O161" s="7" t="n">
        <v>9036</v>
      </c>
      <c r="P161" s="7" t="n">
        <v>10794</v>
      </c>
      <c r="Q161" s="7" t="n">
        <v>5270</v>
      </c>
      <c r="R161" s="8" t="n">
        <f aca="false">R160</f>
        <v>3.8909</v>
      </c>
      <c r="S161" s="8" t="n">
        <f aca="false">S160</f>
        <v>3.8772</v>
      </c>
      <c r="T161" s="7" t="n">
        <f aca="false">(($O161*R161)+($P161*R161)+($Q161*R161))*'Prices&amp;Fuel'!$H161</f>
        <v>2929847.7</v>
      </c>
      <c r="U161" s="7" t="n">
        <f aca="false">(($O161*S161)+($P161*S161)+($Q161*S161))*'Prices&amp;Fuel'!$H161</f>
        <v>2919531.6</v>
      </c>
      <c r="V161" s="14" t="n">
        <f aca="false">T161-U161</f>
        <v>10316.1000000001</v>
      </c>
      <c r="BB161" s="5" t="n">
        <f aca="false">IF('FP Corp'!T161-((BE161+BF161+BG161)*(1-'Prices&amp;Fuel'!F161))&lt;'Prices&amp;Fuel'!R161,('FP Corp'!T161-(BE161+BF161+BG161)*(1-'Prices&amp;Fuel'!F161)),'Prices&amp;Fuel'!R161)/(1-'Prices&amp;Fuel'!F161)</f>
        <v>4325.96401028278</v>
      </c>
      <c r="BC161" s="9"/>
      <c r="BD161" s="9" t="n">
        <f aca="false">ROUND(IF('FP Corp'!T161/(1-'Prices&amp;Fuel'!F161)-BE161-BF161-BG161-BB161&gt;'Prices&amp;Fuel'!T161,'Prices&amp;Fuel'!T161,'FP Corp'!T161/(1-'Prices&amp;Fuel'!F161)-BE161-BF161-BG161-BB161),9)</f>
        <v>0</v>
      </c>
      <c r="BE161" s="9" t="n">
        <f aca="false">'Prices&amp;Fuel'!U161/(1-'Prices&amp;Fuel'!F161)</f>
        <v>2635.47557840617</v>
      </c>
      <c r="BF161" s="9" t="n">
        <f aca="false">('Prices&amp;Fuel'!V161+'Prices&amp;Fuel'!X161)/(1-'Prices&amp;Fuel'!F161)</f>
        <v>3645.2442159383</v>
      </c>
      <c r="BG161" s="9" t="n">
        <f aca="false">'Prices&amp;Fuel'!W161/(1-'Prices&amp;Fuel'!F161)</f>
        <v>1732.64781491003</v>
      </c>
      <c r="BH161" s="10" t="n">
        <f aca="false">('Prices&amp;Fuel'!C161+'Prices&amp;Fuel'!D161)/2-0.05+('Prices&amp;Fuel'!M161+'Prices&amp;Fuel'!P161)*(1-'Prices&amp;Fuel'!F161)</f>
        <v>4.43779008558572</v>
      </c>
      <c r="BI161" s="10"/>
      <c r="BJ161" s="10"/>
      <c r="BK161" s="10" t="n">
        <f aca="false">(((BB161+BE161)*('Prices&amp;Fuel'!B161+0.025))+(('Prices&amp;Fuel'!D161+0.025)*(BD161+BG161))+(('Prices&amp;Fuel'!C161+0.025)*(BC161+BF161))-(BI161+BJ161)*0.025)/(BB161+BC161+BD161+BE161+BF161+BG161)</f>
        <v>3.75247050225239</v>
      </c>
      <c r="BL161" s="9" t="n">
        <f aca="false">(BB161+BC161+BD161+BE161+BF161+BG161)*BH161*'Prices&amp;Fuel'!H161</f>
        <v>1642780.90571811</v>
      </c>
      <c r="BM161" s="9" t="n">
        <f aca="false">'Prices&amp;Fuel'!X161*('Prices&amp;Fuel'!N161+'Prices&amp;Fuel'!O161)*'Prices&amp;Fuel'!H161</f>
        <v>9134.1681425398</v>
      </c>
      <c r="BN161" s="9" t="n">
        <f aca="false">('Prices&amp;Fuel'!U161+'Prices&amp;Fuel'!V161+'Prices&amp;Fuel'!W161)*('Prices&amp;Fuel'!L161+'Prices&amp;Fuel'!O161)*'Prices&amp;Fuel'!H161</f>
        <v>95086.2891558682</v>
      </c>
      <c r="BO161" s="9" t="n">
        <f aca="false">((BB161+BC161+BD161)*(1-'Prices&amp;Fuel'!G161))*('Prices&amp;Fuel'!M161+'Prices&amp;Fuel'!P161)*'Prices&amp;Fuel'!H161</f>
        <v>96613.755</v>
      </c>
      <c r="BP161" s="9" t="n">
        <f aca="false">((BD161+BC161+BB161+BE161+BF161+BG161)*BK161*'Prices&amp;Fuel'!H161)+BM161+BN161+BO161</f>
        <v>1589923.54989312</v>
      </c>
      <c r="BQ161" s="5" t="n">
        <f aca="false">BL161-BP161</f>
        <v>52857.3558249853</v>
      </c>
      <c r="CA161" s="5" t="n">
        <f aca="false">(AF161+AG161+AH161+AL161)*0.005*'Prices&amp;Fuel'!H161</f>
        <v>0</v>
      </c>
      <c r="CB161" s="5" t="n">
        <f aca="false">(B161+C161+D161+O161+P161+Q161+X161+Y161+BB161+BC161+BD161+BE161+BF161+BG161+BR161+BS161)*0.005*'Prices&amp;Fuel'!H161</f>
        <v>5615.89974293059</v>
      </c>
      <c r="CC161" s="7" t="n">
        <f aca="false">K161+T161+AB161+AY161+BL161+BX161</f>
        <v>4572628.60571811</v>
      </c>
      <c r="CD161" s="7" t="n">
        <f aca="false">L161+U161+AC161+AZ161+BP161+BY161+CA161+CB161</f>
        <v>4515071.04963605</v>
      </c>
      <c r="CE161" s="7" t="n">
        <f aca="false">CC161-CD161</f>
        <v>57557.556082055</v>
      </c>
      <c r="CF161" s="7" t="n">
        <f aca="false">'Index Price Deals'!AR161</f>
        <v>0</v>
      </c>
      <c r="CG161" s="7" t="n">
        <f aca="false">'Index Price Deals'!AS161</f>
        <v>0</v>
      </c>
      <c r="CH161" s="7" t="n">
        <f aca="false">'Index Price Deals'!AT161</f>
        <v>0</v>
      </c>
      <c r="CI161" s="7" t="n">
        <f aca="false">'Index Price Deals'!AU161</f>
        <v>0</v>
      </c>
      <c r="CJ161" s="7" t="n">
        <f aca="false">CC161+CF161</f>
        <v>4572628.60571811</v>
      </c>
      <c r="CK161" s="7" t="n">
        <f aca="false">CD161+CH161</f>
        <v>4515071.04963605</v>
      </c>
      <c r="CL161" s="7" t="n">
        <f aca="false">CE161+CI161</f>
        <v>57557.556082055</v>
      </c>
      <c r="CN161" s="7" t="n">
        <f aca="false">Transport!U161</f>
        <v>0</v>
      </c>
      <c r="CQ161" s="7" t="n">
        <f aca="false">(((($B161+$C161+$D161+$O161+$P161+$Q161)*0.5)+BR161+BS161)*(0.005*'Prices&amp;Fuel'!$H161)+'Index Price Deals'!AV161)+(((BB161+BC161+BD161+BE161+BF161+BG161)*(1-'Prices&amp;Fuel'!F161))*0.005*0.5*'Prices&amp;Fuel'!H161)</f>
        <v>2782.5</v>
      </c>
      <c r="CR161" s="7" t="n">
        <f aca="false">(((($B161+$C161+$D161+$O161+$P161+$Q161)*0.5)+X161+Y161)*(0.005*'Prices&amp;Fuel'!$H161)+CA161+'Index Price Deals'!AW161)+(((BB161+BC161+BD161+BE161+BF161+BG161)*(1-'Prices&amp;Fuel'!F161))*0.005*0.5*'Prices&amp;Fuel'!H161)</f>
        <v>2782.5</v>
      </c>
      <c r="CS161" s="11"/>
      <c r="CU161" s="7"/>
      <c r="CV161" s="70" t="n">
        <f aca="false">CL161-CN161-CT161+CU161+CS161+CO161</f>
        <v>57557.556082055</v>
      </c>
      <c r="DB161" s="1" t="n">
        <f aca="false">(O161+P161+Q161)*'Prices&amp;Fuel'!$H161</f>
        <v>753000</v>
      </c>
      <c r="DE161" s="1" t="n">
        <v>132000</v>
      </c>
    </row>
    <row r="162" customFormat="false" ht="12.75" hidden="false" customHeight="false" outlineLevel="0" collapsed="false">
      <c r="A162" s="6" t="n">
        <f aca="false">+A161+365/12</f>
        <v>40524.4166666667</v>
      </c>
      <c r="O162" s="7" t="n">
        <v>9036</v>
      </c>
      <c r="P162" s="7" t="n">
        <v>10794</v>
      </c>
      <c r="Q162" s="7" t="n">
        <v>5270</v>
      </c>
      <c r="R162" s="8" t="n">
        <f aca="false">R161</f>
        <v>3.8909</v>
      </c>
      <c r="S162" s="8" t="n">
        <f aca="false">S161</f>
        <v>3.8772</v>
      </c>
      <c r="T162" s="7" t="n">
        <f aca="false">(($O162*R162)+($P162*R162)+($Q162*R162))*'Prices&amp;Fuel'!$H162</f>
        <v>3027509.29</v>
      </c>
      <c r="U162" s="7" t="n">
        <f aca="false">(($O162*S162)+($P162*S162)+($Q162*S162))*'Prices&amp;Fuel'!$H162</f>
        <v>3016849.32</v>
      </c>
      <c r="V162" s="14" t="n">
        <f aca="false">T162-U162</f>
        <v>10659.9700000007</v>
      </c>
      <c r="BB162" s="5" t="n">
        <f aca="false">IF('FP Corp'!T162-((BE162+BF162+BG162)*(1-'Prices&amp;Fuel'!F162))&lt;'Prices&amp;Fuel'!R162,('FP Corp'!T162-(BE162+BF162+BG162)*(1-'Prices&amp;Fuel'!F162)),'Prices&amp;Fuel'!R162)/(1-'Prices&amp;Fuel'!F162)</f>
        <v>4325.96401028278</v>
      </c>
      <c r="BC162" s="9"/>
      <c r="BD162" s="9" t="n">
        <f aca="false">ROUND(IF('FP Corp'!T162/(1-'Prices&amp;Fuel'!F162)-BE162-BF162-BG162-BB162&gt;'Prices&amp;Fuel'!T162,'Prices&amp;Fuel'!T162,'FP Corp'!T162/(1-'Prices&amp;Fuel'!F162)-BE162-BF162-BG162-BB162),9)</f>
        <v>0</v>
      </c>
      <c r="BE162" s="9" t="n">
        <f aca="false">'Prices&amp;Fuel'!U162/(1-'Prices&amp;Fuel'!F162)</f>
        <v>2635.47557840617</v>
      </c>
      <c r="BF162" s="9" t="n">
        <f aca="false">('Prices&amp;Fuel'!V162+'Prices&amp;Fuel'!X162)/(1-'Prices&amp;Fuel'!F162)</f>
        <v>3645.2442159383</v>
      </c>
      <c r="BG162" s="9" t="n">
        <f aca="false">'Prices&amp;Fuel'!W162/(1-'Prices&amp;Fuel'!F162)</f>
        <v>1732.64781491003</v>
      </c>
      <c r="BH162" s="10" t="n">
        <f aca="false">('Prices&amp;Fuel'!C162+'Prices&amp;Fuel'!D162)/2-0.05+('Prices&amp;Fuel'!M162+'Prices&amp;Fuel'!P162)*(1-'Prices&amp;Fuel'!F162)</f>
        <v>3.48487618463301</v>
      </c>
      <c r="BI162" s="10"/>
      <c r="BJ162" s="10"/>
      <c r="BK162" s="10" t="n">
        <f aca="false">(((BB162+BE162)*('Prices&amp;Fuel'!B162+0.025))+(('Prices&amp;Fuel'!D162+0.025)*(BD162+BG162))+(('Prices&amp;Fuel'!C162+0.025)*(BC162+BF162))-(BI162+BJ162)*0.025)/(BB162+BC162+BD162+BE162+BF162+BG162)</f>
        <v>2.79955660129968</v>
      </c>
      <c r="BL162" s="9" t="n">
        <f aca="false">(BB162+BC162+BD162+BE162+BF162+BG162)*BH162*'Prices&amp;Fuel'!H162</f>
        <v>1333032.32975165</v>
      </c>
      <c r="BM162" s="9" t="n">
        <f aca="false">'Prices&amp;Fuel'!X162*('Prices&amp;Fuel'!N162+'Prices&amp;Fuel'!O162)*'Prices&amp;Fuel'!H162</f>
        <v>9438.64041395779</v>
      </c>
      <c r="BN162" s="9" t="n">
        <f aca="false">('Prices&amp;Fuel'!U162+'Prices&amp;Fuel'!V162+'Prices&amp;Fuel'!W162)*('Prices&amp;Fuel'!L162+'Prices&amp;Fuel'!O162)*'Prices&amp;Fuel'!H162</f>
        <v>98255.8321277305</v>
      </c>
      <c r="BO162" s="9" t="n">
        <f aca="false">((BB162+BC162+BD162)*(1-'Prices&amp;Fuel'!G162))*('Prices&amp;Fuel'!M162+'Prices&amp;Fuel'!P162)*'Prices&amp;Fuel'!H162</f>
        <v>99834.2135</v>
      </c>
      <c r="BP162" s="9" t="n">
        <f aca="false">((BD162+BC162+BB162+BE162+BF162+BG162)*BK162*'Prices&amp;Fuel'!H162)+BM162+BN162+BO162</f>
        <v>1278413.06206583</v>
      </c>
      <c r="BQ162" s="5" t="n">
        <f aca="false">BL162-BP162</f>
        <v>54619.2676858178</v>
      </c>
      <c r="CA162" s="5" t="n">
        <f aca="false">(AF162+AG162+AH162+AL162)*0.005*'Prices&amp;Fuel'!H162</f>
        <v>0</v>
      </c>
      <c r="CB162" s="5" t="n">
        <f aca="false">(B162+C162+D162+O162+P162+Q162+X162+Y162+BB162+BC162+BD162+BE162+BF162+BG162+BR162+BS162)*0.005*'Prices&amp;Fuel'!H162</f>
        <v>5803.09640102828</v>
      </c>
      <c r="CC162" s="7" t="n">
        <f aca="false">K162+T162+AB162+AY162+BL162+BX162</f>
        <v>4360541.61975165</v>
      </c>
      <c r="CD162" s="7" t="n">
        <f aca="false">L162+U162+AC162+AZ162+BP162+BY162+CA162+CB162</f>
        <v>4301065.47846686</v>
      </c>
      <c r="CE162" s="7" t="n">
        <f aca="false">CC162-CD162</f>
        <v>59476.1412847908</v>
      </c>
      <c r="CF162" s="7" t="n">
        <f aca="false">'Index Price Deals'!AR162</f>
        <v>0</v>
      </c>
      <c r="CG162" s="7" t="n">
        <f aca="false">'Index Price Deals'!AS162</f>
        <v>0</v>
      </c>
      <c r="CH162" s="7" t="n">
        <f aca="false">'Index Price Deals'!AT162</f>
        <v>0</v>
      </c>
      <c r="CI162" s="7" t="n">
        <f aca="false">'Index Price Deals'!AU162</f>
        <v>0</v>
      </c>
      <c r="CJ162" s="7" t="n">
        <f aca="false">CC162+CF162</f>
        <v>4360541.61975165</v>
      </c>
      <c r="CK162" s="7" t="n">
        <f aca="false">CD162+CH162</f>
        <v>4301065.47846686</v>
      </c>
      <c r="CL162" s="7" t="n">
        <f aca="false">CE162+CI162</f>
        <v>59476.1412847908</v>
      </c>
      <c r="CM162" s="7" t="n">
        <f aca="false">SUM(CL151:CL162)</f>
        <v>744712.731543245</v>
      </c>
      <c r="CN162" s="7" t="n">
        <f aca="false">Transport!U162</f>
        <v>0</v>
      </c>
      <c r="CQ162" s="7" t="n">
        <f aca="false">(((($B162+$C162+$D162+$O162+$P162+$Q162)*0.5)+BR162+BS162)*(0.005*'Prices&amp;Fuel'!$H162)+'Index Price Deals'!AV162)+(((BB162+BC162+BD162+BE162+BF162+BG162)*(1-'Prices&amp;Fuel'!F162))*0.005*0.5*'Prices&amp;Fuel'!H162)</f>
        <v>2875.25</v>
      </c>
      <c r="CR162" s="7" t="n">
        <f aca="false">(((($B162+$C162+$D162+$O162+$P162+$Q162)*0.5)+X162+Y162)*(0.005*'Prices&amp;Fuel'!$H162)+CA162+'Index Price Deals'!AW162)+(((BB162+BC162+BD162+BE162+BF162+BG162)*(1-'Prices&amp;Fuel'!F162))*0.005*0.5*'Prices&amp;Fuel'!H162)</f>
        <v>2875.25</v>
      </c>
      <c r="CS162" s="11"/>
      <c r="CU162" s="7"/>
      <c r="CV162" s="70" t="n">
        <f aca="false">CL162-CN162-CT162+CU162+CS162+CO162</f>
        <v>59476.1412847908</v>
      </c>
      <c r="DB162" s="1" t="n">
        <f aca="false">(O162+P162+Q162)*'Prices&amp;Fuel'!$H162</f>
        <v>778100</v>
      </c>
      <c r="DE162" s="1" t="n">
        <v>132000</v>
      </c>
    </row>
    <row r="163" customFormat="false" ht="12.75" hidden="false" customHeight="false" outlineLevel="0" collapsed="false">
      <c r="A163" s="6" t="n">
        <f aca="false">+A162+365/12</f>
        <v>40554.8333333333</v>
      </c>
      <c r="O163" s="7" t="n">
        <v>9036</v>
      </c>
      <c r="P163" s="7" t="n">
        <v>10794</v>
      </c>
      <c r="Q163" s="7" t="n">
        <v>5270</v>
      </c>
      <c r="R163" s="8" t="n">
        <f aca="false">R162</f>
        <v>3.8909</v>
      </c>
      <c r="S163" s="8" t="n">
        <f aca="false">S162</f>
        <v>3.8772</v>
      </c>
      <c r="T163" s="7" t="n">
        <f aca="false">(($O163*R163)+($P163*R163)+($Q163*R163))*'Prices&amp;Fuel'!$H163</f>
        <v>3027509.29</v>
      </c>
      <c r="U163" s="7" t="n">
        <f aca="false">(($O163*S163)+($P163*S163)+($Q163*S163))*'Prices&amp;Fuel'!$H163</f>
        <v>3016849.32</v>
      </c>
      <c r="V163" s="14" t="n">
        <f aca="false">T163-U163</f>
        <v>10659.9700000007</v>
      </c>
      <c r="BB163" s="5" t="n">
        <f aca="false">IF('FP Corp'!T163-((BE163+BF163+BG163)*(1-'Prices&amp;Fuel'!F163))&lt;'Prices&amp;Fuel'!R163,('FP Corp'!T163-(BE163+BF163+BG163)*(1-'Prices&amp;Fuel'!F163)),'Prices&amp;Fuel'!R163)/(1-'Prices&amp;Fuel'!F163)</f>
        <v>4325.96401028278</v>
      </c>
      <c r="BC163" s="9"/>
      <c r="BD163" s="9" t="n">
        <f aca="false">ROUND(IF('FP Corp'!T163/(1-'Prices&amp;Fuel'!F163)-BE163-BF163-BG163-BB163&gt;'Prices&amp;Fuel'!T163,'Prices&amp;Fuel'!T163,'FP Corp'!T163/(1-'Prices&amp;Fuel'!F163)-BE163-BF163-BG163-BB163),9)</f>
        <v>0</v>
      </c>
      <c r="BE163" s="9" t="n">
        <f aca="false">'Prices&amp;Fuel'!U163/(1-'Prices&amp;Fuel'!F163)</f>
        <v>2635.47557840617</v>
      </c>
      <c r="BF163" s="9" t="n">
        <f aca="false">('Prices&amp;Fuel'!V163+'Prices&amp;Fuel'!X163)/(1-'Prices&amp;Fuel'!F163)</f>
        <v>3645.2442159383</v>
      </c>
      <c r="BG163" s="9" t="n">
        <f aca="false">'Prices&amp;Fuel'!W163/(1-'Prices&amp;Fuel'!F163)</f>
        <v>1732.64781491003</v>
      </c>
      <c r="BH163" s="10" t="n">
        <f aca="false">('Prices&amp;Fuel'!C163+'Prices&amp;Fuel'!D163)/2-0.05+('Prices&amp;Fuel'!M163+'Prices&amp;Fuel'!P163)*(1-'Prices&amp;Fuel'!F163)</f>
        <v>3.1521143189935</v>
      </c>
      <c r="BI163" s="10"/>
      <c r="BJ163" s="10"/>
      <c r="BK163" s="10" t="n">
        <f aca="false">(((BB163+BE163)*('Prices&amp;Fuel'!B163+0.025))+(('Prices&amp;Fuel'!D163+0.025)*(BD163+BG163))+(('Prices&amp;Fuel'!C163+0.025)*(BC163+BF163))-(BI163+BJ163)*0.025)/(BB163+BC163+BD163+BE163+BF163+BG163)</f>
        <v>2.46679473566017</v>
      </c>
      <c r="BL163" s="9" t="n">
        <f aca="false">(BB163+BC163+BD163+BE163+BF163+BG163)*BH163*'Prices&amp;Fuel'!H163</f>
        <v>1205744.50042733</v>
      </c>
      <c r="BM163" s="9" t="n">
        <f aca="false">'Prices&amp;Fuel'!X163*('Prices&amp;Fuel'!N163+'Prices&amp;Fuel'!O163)*'Prices&amp;Fuel'!H163</f>
        <v>9438.64041395779</v>
      </c>
      <c r="BN163" s="9" t="n">
        <f aca="false">('Prices&amp;Fuel'!U163+'Prices&amp;Fuel'!V163+'Prices&amp;Fuel'!W163)*('Prices&amp;Fuel'!L163+'Prices&amp;Fuel'!O163)*'Prices&amp;Fuel'!H163</f>
        <v>98255.8321277305</v>
      </c>
      <c r="BO163" s="9" t="n">
        <f aca="false">((BB163+BC163+BD163)*(1-'Prices&amp;Fuel'!G163))*('Prices&amp;Fuel'!M163+'Prices&amp;Fuel'!P163)*'Prices&amp;Fuel'!H163</f>
        <v>99834.2135</v>
      </c>
      <c r="BP163" s="9" t="n">
        <f aca="false">((BD163+BC163+BB163+BE163+BF163+BG163)*BK163*'Prices&amp;Fuel'!H163)+BM163+BN163+BO163</f>
        <v>1151125.23274152</v>
      </c>
      <c r="BQ163" s="5" t="n">
        <f aca="false">BL163-BP163</f>
        <v>54619.2676858183</v>
      </c>
      <c r="CA163" s="5" t="n">
        <f aca="false">(AF163+AG163+AH163+AL163)*0.005*'Prices&amp;Fuel'!H163</f>
        <v>0</v>
      </c>
      <c r="CB163" s="5" t="n">
        <f aca="false">(B163+C163+D163+O163+P163+Q163+X163+Y163+BB163+BC163+BD163+BE163+BF163+BG163+BR163+BS163)*0.005*'Prices&amp;Fuel'!H163</f>
        <v>5803.09640102828</v>
      </c>
      <c r="CC163" s="7" t="n">
        <f aca="false">K163+T163+AB163+AY163+BL163+BX163</f>
        <v>4233253.79042733</v>
      </c>
      <c r="CD163" s="7" t="n">
        <f aca="false">L163+U163+AC163+AZ163+BP163+BY163+CA163+CB163</f>
        <v>4173777.64914254</v>
      </c>
      <c r="CE163" s="7" t="n">
        <f aca="false">CC163-CD163</f>
        <v>59476.1412847908</v>
      </c>
      <c r="CF163" s="7" t="n">
        <f aca="false">'Index Price Deals'!AR163</f>
        <v>0</v>
      </c>
      <c r="CG163" s="7" t="n">
        <f aca="false">'Index Price Deals'!AS163</f>
        <v>0</v>
      </c>
      <c r="CH163" s="7" t="n">
        <f aca="false">'Index Price Deals'!AT163</f>
        <v>0</v>
      </c>
      <c r="CI163" s="7"/>
      <c r="CJ163" s="7" t="n">
        <f aca="false">CC163+CF163</f>
        <v>4233253.79042733</v>
      </c>
      <c r="CK163" s="7" t="n">
        <f aca="false">CD163+CH163</f>
        <v>4173777.64914254</v>
      </c>
      <c r="CL163" s="7" t="n">
        <f aca="false">CE163+CI163</f>
        <v>59476.1412847908</v>
      </c>
      <c r="CN163" s="7" t="n">
        <f aca="false">Transport!U163</f>
        <v>0</v>
      </c>
      <c r="CQ163" s="7" t="n">
        <f aca="false">(((($B163+$C163+$D163+$O163+$P163+$Q163)*0.5)+BR163+BS163)*(0.005*'Prices&amp;Fuel'!$H163)+'Index Price Deals'!AV163)+(((BB163+BC163+BD163+BE163+BF163+BG163)*(1-'Prices&amp;Fuel'!F163))*0.005*0.5*'Prices&amp;Fuel'!H163)</f>
        <v>2875.25</v>
      </c>
      <c r="CR163" s="7" t="n">
        <f aca="false">(((($B163+$C163+$D163+$O163+$P163+$Q163)*0.5)+X163+Y163)*(0.005*'Prices&amp;Fuel'!$H163)+CA163+'Index Price Deals'!AW163)+(((BB163+BC163+BD163+BE163+BF163+BG163)*(1-'Prices&amp;Fuel'!F163))*0.005*0.5*'Prices&amp;Fuel'!H163)</f>
        <v>2875.25</v>
      </c>
      <c r="CS163" s="11"/>
      <c r="CU163" s="7"/>
      <c r="CV163" s="70" t="n">
        <f aca="false">CL163-CN163-CT163+CU163+CS163+CO163</f>
        <v>59476.1412847908</v>
      </c>
      <c r="DB163" s="1" t="n">
        <f aca="false">(O163+P163+Q163)*'Prices&amp;Fuel'!$H163</f>
        <v>778100</v>
      </c>
      <c r="DE163" s="1" t="n">
        <v>132000</v>
      </c>
    </row>
    <row r="164" customFormat="false" ht="12.75" hidden="false" customHeight="false" outlineLevel="0" collapsed="false">
      <c r="A164" s="6" t="n">
        <f aca="false">+A163+365/12</f>
        <v>40585.25</v>
      </c>
      <c r="O164" s="7" t="n">
        <v>9036</v>
      </c>
      <c r="P164" s="7" t="n">
        <v>10794</v>
      </c>
      <c r="Q164" s="7" t="n">
        <v>5270</v>
      </c>
      <c r="R164" s="8" t="n">
        <f aca="false">R163</f>
        <v>3.8909</v>
      </c>
      <c r="S164" s="8" t="n">
        <f aca="false">S163</f>
        <v>3.8772</v>
      </c>
      <c r="T164" s="7" t="n">
        <f aca="false">(($O164*R164)+($P164*R164)+($Q164*R164))*'Prices&amp;Fuel'!$H164</f>
        <v>2734524.52</v>
      </c>
      <c r="U164" s="7" t="n">
        <f aca="false">(($O164*S164)+($P164*S164)+($Q164*S164))*'Prices&amp;Fuel'!$H164</f>
        <v>2724896.16</v>
      </c>
      <c r="V164" s="14" t="n">
        <f aca="false">T164-U164</f>
        <v>9628.36000000034</v>
      </c>
      <c r="BB164" s="5" t="n">
        <f aca="false">IF('FP Corp'!T164-((BE164+BF164+BG164)*(1-'Prices&amp;Fuel'!F164))&lt;'Prices&amp;Fuel'!R164,('FP Corp'!T164-(BE164+BF164+BG164)*(1-'Prices&amp;Fuel'!F164)),'Prices&amp;Fuel'!R164)/(1-'Prices&amp;Fuel'!F164)</f>
        <v>4325.96401028278</v>
      </c>
      <c r="BC164" s="9"/>
      <c r="BD164" s="9" t="n">
        <f aca="false">ROUND(IF('FP Corp'!T164/(1-'Prices&amp;Fuel'!F164)-BE164-BF164-BG164-BB164&gt;'Prices&amp;Fuel'!T164,'Prices&amp;Fuel'!T164,'FP Corp'!T164/(1-'Prices&amp;Fuel'!F164)-BE164-BF164-BG164-BB164),9)</f>
        <v>0</v>
      </c>
      <c r="BE164" s="9" t="n">
        <f aca="false">'Prices&amp;Fuel'!U164/(1-'Prices&amp;Fuel'!F164)</f>
        <v>2635.47557840617</v>
      </c>
      <c r="BF164" s="9" t="n">
        <f aca="false">('Prices&amp;Fuel'!V164+'Prices&amp;Fuel'!X164)/(1-'Prices&amp;Fuel'!F164)</f>
        <v>3645.2442159383</v>
      </c>
      <c r="BG164" s="9" t="n">
        <f aca="false">'Prices&amp;Fuel'!W164/(1-'Prices&amp;Fuel'!F164)</f>
        <v>1732.64781491003</v>
      </c>
      <c r="BH164" s="10" t="n">
        <f aca="false">('Prices&amp;Fuel'!C164+'Prices&amp;Fuel'!D164)/2-0.05+('Prices&amp;Fuel'!M164+'Prices&amp;Fuel'!P164)*(1-'Prices&amp;Fuel'!F164)</f>
        <v>3.44740934261828</v>
      </c>
      <c r="BI164" s="10"/>
      <c r="BJ164" s="10"/>
      <c r="BK164" s="10" t="n">
        <f aca="false">(((BB164+BE164)*('Prices&amp;Fuel'!B164+0.025))+(('Prices&amp;Fuel'!D164+0.025)*(BD164+BG164))+(('Prices&amp;Fuel'!C164+0.025)*(BC164+BF164))-(BI164+BJ164)*0.025)/(BB164+BC164+BD164+BE164+BF164+BG164)</f>
        <v>2.76208975928494</v>
      </c>
      <c r="BL164" s="9" t="n">
        <f aca="false">(BB164+BC164+BD164+BE164+BF164+BG164)*BH164*'Prices&amp;Fuel'!H164</f>
        <v>1191084.35899202</v>
      </c>
      <c r="BM164" s="9" t="n">
        <f aca="false">'Prices&amp;Fuel'!X164*('Prices&amp;Fuel'!N164+'Prices&amp;Fuel'!O164)*'Prices&amp;Fuel'!H164</f>
        <v>8525.22359970381</v>
      </c>
      <c r="BN164" s="9" t="n">
        <f aca="false">('Prices&amp;Fuel'!U164+'Prices&amp;Fuel'!V164+'Prices&amp;Fuel'!W164)*('Prices&amp;Fuel'!L164+'Prices&amp;Fuel'!O164)*'Prices&amp;Fuel'!H164</f>
        <v>88747.2032121437</v>
      </c>
      <c r="BO164" s="9" t="n">
        <f aca="false">((BB164+BC164+BD164)*(1-'Prices&amp;Fuel'!G164))*('Prices&amp;Fuel'!M164+'Prices&amp;Fuel'!P164)*'Prices&amp;Fuel'!H164</f>
        <v>90172.838</v>
      </c>
      <c r="BP164" s="9" t="n">
        <f aca="false">((BD164+BC164+BB164+BE164+BF164+BG164)*BK164*'Prices&amp;Fuel'!H164)+BM164+BN164+BO164</f>
        <v>1141750.8268887</v>
      </c>
      <c r="BQ164" s="5" t="n">
        <f aca="false">BL164-BP164</f>
        <v>49333.5321033197</v>
      </c>
      <c r="CA164" s="5" t="n">
        <f aca="false">(AF164+AG164+AH164+AL164)*0.005*'Prices&amp;Fuel'!H164</f>
        <v>0</v>
      </c>
      <c r="CB164" s="5" t="n">
        <f aca="false">(B164+C164+D164+O164+P164+Q164+X164+Y164+BB164+BC164+BD164+BE164+BF164+BG164+BR164+BS164)*0.005*'Prices&amp;Fuel'!H164</f>
        <v>5241.50642673522</v>
      </c>
      <c r="CC164" s="7" t="n">
        <f aca="false">K164+T164+AB164+AY164+BL164+BX164</f>
        <v>3925608.87899202</v>
      </c>
      <c r="CD164" s="7" t="n">
        <f aca="false">L164+U164+AC164+AZ164+BP164+BY164+CA164+CB164</f>
        <v>3871888.49331544</v>
      </c>
      <c r="CE164" s="7" t="n">
        <f aca="false">CC164-CD164</f>
        <v>53720.3856765847</v>
      </c>
      <c r="CJ164" s="7" t="n">
        <f aca="false">CC164+CF164</f>
        <v>3925608.87899202</v>
      </c>
      <c r="CK164" s="7" t="n">
        <f aca="false">CD164+CH164</f>
        <v>3871888.49331544</v>
      </c>
      <c r="CL164" s="7" t="n">
        <f aca="false">CE164+CI164</f>
        <v>53720.3856765847</v>
      </c>
      <c r="CN164" s="7" t="n">
        <f aca="false">Transport!U164</f>
        <v>0</v>
      </c>
      <c r="CQ164" s="7" t="n">
        <f aca="false">(((($B164+$C164+$D164+$O164+$P164+$Q164)*0.5)+BR164+BS164)*(0.005*'Prices&amp;Fuel'!$H164)+'Index Price Deals'!AV164)+(((BB164+BC164+BD164+BE164+BF164+BG164)*(1-'Prices&amp;Fuel'!F164))*0.005*0.5*'Prices&amp;Fuel'!H164)</f>
        <v>2597</v>
      </c>
      <c r="CR164" s="7" t="n">
        <f aca="false">(((($B164+$C164+$D164+$O164+$P164+$Q164)*0.5)+X164+Y164)*(0.005*'Prices&amp;Fuel'!$H164)+CA164+'Index Price Deals'!AW164)+(((BB164+BC164+BD164+BE164+BF164+BG164)*(1-'Prices&amp;Fuel'!F164))*0.005*0.5*'Prices&amp;Fuel'!H164)</f>
        <v>2597</v>
      </c>
      <c r="CS164" s="11"/>
      <c r="CU164" s="7"/>
      <c r="CV164" s="70" t="n">
        <f aca="false">CL164-CN164-CT164+CU164+CS164+CO164</f>
        <v>53720.3856765847</v>
      </c>
      <c r="DB164" s="1" t="n">
        <f aca="false">(O164+P164+Q164)*'Prices&amp;Fuel'!$H164</f>
        <v>702800</v>
      </c>
      <c r="DE164" s="1" t="n">
        <v>132000</v>
      </c>
    </row>
    <row r="165" customFormat="false" ht="12.75" hidden="false" customHeight="false" outlineLevel="0" collapsed="false">
      <c r="A165" s="6" t="n">
        <f aca="false">+A164+365/12</f>
        <v>40615.6666666667</v>
      </c>
      <c r="O165" s="7" t="n">
        <v>9036</v>
      </c>
      <c r="P165" s="7" t="n">
        <v>10794</v>
      </c>
      <c r="Q165" s="7" t="n">
        <v>5270</v>
      </c>
      <c r="R165" s="8" t="n">
        <f aca="false">R164</f>
        <v>3.8909</v>
      </c>
      <c r="S165" s="8" t="n">
        <f aca="false">S164</f>
        <v>3.8772</v>
      </c>
      <c r="T165" s="7" t="n">
        <f aca="false">(($O165*R165)+($P165*R165)+($Q165*R165))*'Prices&amp;Fuel'!$H165</f>
        <v>3027509.29</v>
      </c>
      <c r="U165" s="7" t="n">
        <f aca="false">(($O165*S165)+($P165*S165)+($Q165*S165))*'Prices&amp;Fuel'!$H165</f>
        <v>3016849.32</v>
      </c>
      <c r="V165" s="14" t="n">
        <f aca="false">T165-U165</f>
        <v>10659.9700000007</v>
      </c>
      <c r="BB165" s="5" t="n">
        <f aca="false">IF('FP Corp'!T165-((BE165+BF165+BG165)*(1-'Prices&amp;Fuel'!F165))&lt;'Prices&amp;Fuel'!R165,('FP Corp'!T165-(BE165+BF165+BG165)*(1-'Prices&amp;Fuel'!F165)),'Prices&amp;Fuel'!R165)/(1-'Prices&amp;Fuel'!F165)</f>
        <v>4325.96401028278</v>
      </c>
      <c r="BC165" s="9"/>
      <c r="BD165" s="9" t="n">
        <f aca="false">ROUND(IF('FP Corp'!T165/(1-'Prices&amp;Fuel'!F165)-BE165-BF165-BG165-BB165&gt;'Prices&amp;Fuel'!T165,'Prices&amp;Fuel'!T165,'FP Corp'!T165/(1-'Prices&amp;Fuel'!F165)-BE165-BF165-BG165-BB165),9)</f>
        <v>0</v>
      </c>
      <c r="BE165" s="9" t="n">
        <f aca="false">'Prices&amp;Fuel'!U165/(1-'Prices&amp;Fuel'!F165)</f>
        <v>2635.47557840617</v>
      </c>
      <c r="BF165" s="9" t="n">
        <f aca="false">('Prices&amp;Fuel'!V165+'Prices&amp;Fuel'!X165)/(1-'Prices&amp;Fuel'!F165)</f>
        <v>3645.2442159383</v>
      </c>
      <c r="BG165" s="9" t="n">
        <f aca="false">'Prices&amp;Fuel'!W165/(1-'Prices&amp;Fuel'!F165)</f>
        <v>1732.64781491003</v>
      </c>
      <c r="BH165" s="10" t="n">
        <f aca="false">('Prices&amp;Fuel'!C165+'Prices&amp;Fuel'!D165)/2-0.05+('Prices&amp;Fuel'!M165+'Prices&amp;Fuel'!P165)*(1-'Prices&amp;Fuel'!F165)</f>
        <v>3.44740934261828</v>
      </c>
      <c r="BI165" s="10"/>
      <c r="BJ165" s="10"/>
      <c r="BK165" s="10" t="n">
        <f aca="false">(((BB165+BE165)*('Prices&amp;Fuel'!B165+0.025))+(('Prices&amp;Fuel'!D165+0.025)*(BD165+BG165))+(('Prices&amp;Fuel'!C165+0.025)*(BC165+BF165))-(BI165+BJ165)*0.025)/(BB165+BC165+BD165+BE165+BF165+BG165)</f>
        <v>2.76208975928494</v>
      </c>
      <c r="BL165" s="9" t="n">
        <f aca="false">(BB165+BC165+BD165+BE165+BF165+BG165)*BH165*'Prices&amp;Fuel'!H165</f>
        <v>1318700.5403126</v>
      </c>
      <c r="BM165" s="9" t="n">
        <f aca="false">'Prices&amp;Fuel'!X165*('Prices&amp;Fuel'!N165+'Prices&amp;Fuel'!O165)*'Prices&amp;Fuel'!H165</f>
        <v>9438.64041395779</v>
      </c>
      <c r="BN165" s="9" t="n">
        <f aca="false">('Prices&amp;Fuel'!U165+'Prices&amp;Fuel'!V165+'Prices&amp;Fuel'!W165)*('Prices&amp;Fuel'!L165+'Prices&amp;Fuel'!O165)*'Prices&amp;Fuel'!H165</f>
        <v>98255.8321277305</v>
      </c>
      <c r="BO165" s="9" t="n">
        <f aca="false">((BB165+BC165+BD165)*(1-'Prices&amp;Fuel'!G165))*('Prices&amp;Fuel'!M165+'Prices&amp;Fuel'!P165)*'Prices&amp;Fuel'!H165</f>
        <v>99834.2135</v>
      </c>
      <c r="BP165" s="9" t="n">
        <f aca="false">((BD165+BC165+BB165+BE165+BF165+BG165)*BK165*'Prices&amp;Fuel'!H165)+BM165+BN165+BO165</f>
        <v>1264081.27262678</v>
      </c>
      <c r="BQ165" s="5" t="n">
        <f aca="false">BL165-BP165</f>
        <v>54619.267685818</v>
      </c>
      <c r="CA165" s="5" t="n">
        <f aca="false">(AF165+AG165+AH165+AL165)*0.005*'Prices&amp;Fuel'!H165</f>
        <v>0</v>
      </c>
      <c r="CB165" s="5" t="n">
        <f aca="false">(B165+C165+D165+O165+P165+Q165+X165+Y165+BB165+BC165+BD165+BE165+BF165+BG165+BR165+BS165)*0.005*'Prices&amp;Fuel'!H165</f>
        <v>5803.09640102828</v>
      </c>
      <c r="CC165" s="7" t="n">
        <f aca="false">K165+T165+AB165+AY165+BL165+BX165</f>
        <v>4346209.8303126</v>
      </c>
      <c r="CD165" s="7" t="n">
        <f aca="false">L165+U165+AC165+AZ165+BP165+BY165+CA165+CB165</f>
        <v>4286733.68902781</v>
      </c>
      <c r="CE165" s="7" t="n">
        <f aca="false">CC165-CD165</f>
        <v>59476.1412847899</v>
      </c>
      <c r="CJ165" s="7" t="n">
        <f aca="false">CC165+CF165</f>
        <v>4346209.8303126</v>
      </c>
      <c r="CK165" s="7" t="n">
        <f aca="false">CD165+CH165</f>
        <v>4286733.68902781</v>
      </c>
      <c r="CL165" s="7" t="n">
        <f aca="false">CE165+CI165</f>
        <v>59476.1412847899</v>
      </c>
      <c r="CN165" s="7" t="n">
        <f aca="false">Transport!U165</f>
        <v>0</v>
      </c>
      <c r="CQ165" s="7" t="n">
        <f aca="false">(((($B165+$C165+$D165+$O165+$P165+$Q165)*0.5)+BR165+BS165)*(0.005*'Prices&amp;Fuel'!$H165)+'Index Price Deals'!AV165)+(((BB165+BC165+BD165+BE165+BF165+BG165)*(1-'Prices&amp;Fuel'!F165))*0.005*0.5*'Prices&amp;Fuel'!H165)</f>
        <v>2875.25</v>
      </c>
      <c r="CR165" s="7" t="n">
        <f aca="false">(((($B165+$C165+$D165+$O165+$P165+$Q165)*0.5)+X165+Y165)*(0.005*'Prices&amp;Fuel'!$H165)+CA165+'Index Price Deals'!AW165)+(((BB165+BC165+BD165+BE165+BF165+BG165)*(1-'Prices&amp;Fuel'!F165))*0.005*0.5*'Prices&amp;Fuel'!H165)</f>
        <v>2875.25</v>
      </c>
      <c r="CS165" s="11"/>
      <c r="CU165" s="7"/>
      <c r="CV165" s="70" t="n">
        <f aca="false">CL165-CN165-CT165+CU165+CS165+CO165</f>
        <v>59476.1412847899</v>
      </c>
      <c r="DB165" s="1" t="n">
        <f aca="false">(O165+P165+Q165)*'Prices&amp;Fuel'!$H165</f>
        <v>778100</v>
      </c>
      <c r="DE165" s="1" t="n">
        <v>132000</v>
      </c>
    </row>
    <row r="166" customFormat="false" ht="12.75" hidden="false" customHeight="false" outlineLevel="0" collapsed="false">
      <c r="A166" s="6" t="n">
        <f aca="false">+A165+365/12</f>
        <v>40646.0833333333</v>
      </c>
      <c r="O166" s="7" t="n">
        <v>9036</v>
      </c>
      <c r="P166" s="7" t="n">
        <v>10794</v>
      </c>
      <c r="Q166" s="7" t="n">
        <v>5270</v>
      </c>
      <c r="R166" s="8" t="n">
        <f aca="false">R165</f>
        <v>3.8909</v>
      </c>
      <c r="S166" s="8" t="n">
        <f aca="false">S165</f>
        <v>3.8772</v>
      </c>
      <c r="T166" s="7" t="n">
        <f aca="false">(($O166*R166)+($P166*R166)+($Q166*R166))*'Prices&amp;Fuel'!$H166</f>
        <v>2929847.7</v>
      </c>
      <c r="U166" s="7" t="n">
        <f aca="false">(($O166*S166)+($P166*S166)+($Q166*S166))*'Prices&amp;Fuel'!$H166</f>
        <v>2919531.6</v>
      </c>
      <c r="V166" s="14" t="n">
        <f aca="false">T166-U166</f>
        <v>10316.1000000001</v>
      </c>
      <c r="BB166" s="5" t="n">
        <f aca="false">IF('FP Corp'!T166-((BE166+BF166+BG166)*(1-'Prices&amp;Fuel'!F166))&lt;'Prices&amp;Fuel'!R166,('FP Corp'!T166-(BE166+BF166+BG166)*(1-'Prices&amp;Fuel'!F166)),'Prices&amp;Fuel'!R166)/(1-'Prices&amp;Fuel'!F166)</f>
        <v>6278.66323907455</v>
      </c>
      <c r="BC166" s="9"/>
      <c r="BD166" s="9" t="n">
        <f aca="false">ROUND(IF('FP Corp'!T166/(1-'Prices&amp;Fuel'!F166)-BE166-BF166-BG166-BB166&gt;'Prices&amp;Fuel'!T166,'Prices&amp;Fuel'!T166,'FP Corp'!T166/(1-'Prices&amp;Fuel'!F166)-BE166-BF166-BG166-BB166),9)</f>
        <v>0</v>
      </c>
      <c r="BE166" s="9" t="n">
        <f aca="false">'Prices&amp;Fuel'!U166/(1-'Prices&amp;Fuel'!F166)</f>
        <v>1933.16195372751</v>
      </c>
      <c r="BF166" s="9" t="n">
        <f aca="false">('Prices&amp;Fuel'!V166+'Prices&amp;Fuel'!X166)/(1-'Prices&amp;Fuel'!F166)</f>
        <v>2833.93316195373</v>
      </c>
      <c r="BG166" s="9" t="n">
        <f aca="false">'Prices&amp;Fuel'!W166/(1-'Prices&amp;Fuel'!F166)</f>
        <v>1293.57326478149</v>
      </c>
      <c r="BH166" s="10" t="n">
        <f aca="false">('Prices&amp;Fuel'!C166+'Prices&amp;Fuel'!D166)/2-0.05+('Prices&amp;Fuel'!M166+'Prices&amp;Fuel'!P166)*(1-'Prices&amp;Fuel'!F166)</f>
        <v>3.74270436624306</v>
      </c>
      <c r="BI166" s="10"/>
      <c r="BJ166" s="10"/>
      <c r="BK166" s="10" t="n">
        <f aca="false">(((BB166+BE166)*('Prices&amp;Fuel'!B166+0.025))+(('Prices&amp;Fuel'!D166+0.025)*(BD166+BG166))+(('Prices&amp;Fuel'!C166+0.025)*(BC166+BF166))-(BI166+BJ166)*0.025)/(BB166+BC166+BD166+BE166+BF166+BG166)</f>
        <v>3.05308394957639</v>
      </c>
      <c r="BL166" s="9" t="n">
        <f aca="false">(BB166+BC166+BD166+BE166+BF166+BG166)*BH166*'Prices&amp;Fuel'!H166</f>
        <v>1385474.10986889</v>
      </c>
      <c r="BM166" s="9" t="n">
        <f aca="false">'Prices&amp;Fuel'!X166*('Prices&amp;Fuel'!N166+'Prices&amp;Fuel'!O166)*'Prices&amp;Fuel'!H166</f>
        <v>9134.1681425398</v>
      </c>
      <c r="BN166" s="9" t="n">
        <f aca="false">('Prices&amp;Fuel'!U166+'Prices&amp;Fuel'!V166+'Prices&amp;Fuel'!W166)*('Prices&amp;Fuel'!L166+'Prices&amp;Fuel'!O166)*'Prices&amp;Fuel'!H166</f>
        <v>69689.8245838578</v>
      </c>
      <c r="BO166" s="9" t="n">
        <f aca="false">((BB166+BC166+BD166)*(1-'Prices&amp;Fuel'!G166))*('Prices&amp;Fuel'!M166+'Prices&amp;Fuel'!P166)*'Prices&amp;Fuel'!H166</f>
        <v>140224.29</v>
      </c>
      <c r="BP166" s="9" t="n">
        <f aca="false">((BD166+BC166+BB166+BE166+BF166+BG166)*BK166*'Prices&amp;Fuel'!H166)+BM166+BN166+BO166</f>
        <v>1349238.74220969</v>
      </c>
      <c r="BQ166" s="5" t="n">
        <f aca="false">BL166-BP166</f>
        <v>36235.3676592067</v>
      </c>
      <c r="CA166" s="5" t="n">
        <f aca="false">(AF166+AG166+AH166+AL166)*0.005*'Prices&amp;Fuel'!H166</f>
        <v>0</v>
      </c>
      <c r="CB166" s="5" t="n">
        <f aca="false">(B166+C166+D166+O166+P166+Q166+X166+Y166+BB166+BC166+BD166+BE166+BF166+BG166+BR166+BS166)*0.005*'Prices&amp;Fuel'!H166</f>
        <v>5615.89974293059</v>
      </c>
      <c r="CC166" s="7" t="n">
        <f aca="false">K166+T166+AB166+AY166+BL166+BX166</f>
        <v>4315321.80986889</v>
      </c>
      <c r="CD166" s="7" t="n">
        <f aca="false">L166+U166+AC166+AZ166+BP166+BY166+CA166+CB166</f>
        <v>4274386.24195262</v>
      </c>
      <c r="CE166" s="7" t="n">
        <f aca="false">CC166-CD166</f>
        <v>40935.5679162769</v>
      </c>
      <c r="CJ166" s="7" t="n">
        <f aca="false">CC166+CF166</f>
        <v>4315321.80986889</v>
      </c>
      <c r="CK166" s="7" t="n">
        <f aca="false">CD166+CH166</f>
        <v>4274386.24195262</v>
      </c>
      <c r="CL166" s="7" t="n">
        <f aca="false">CE166+CI166</f>
        <v>40935.5679162769</v>
      </c>
      <c r="CN166" s="7" t="n">
        <f aca="false">Transport!U166</f>
        <v>0</v>
      </c>
      <c r="CQ166" s="7" t="n">
        <f aca="false">(((($B166+$C166+$D166+$O166+$P166+$Q166)*0.5)+BR166+BS166)*(0.005*'Prices&amp;Fuel'!$H166)+'Index Price Deals'!AV166)+(((BB166+BC166+BD166+BE166+BF166+BG166)*(1-'Prices&amp;Fuel'!F166))*0.005*0.5*'Prices&amp;Fuel'!H166)</f>
        <v>2782.5</v>
      </c>
      <c r="CR166" s="7" t="n">
        <f aca="false">(((($B166+$C166+$D166+$O166+$P166+$Q166)*0.5)+X166+Y166)*(0.005*'Prices&amp;Fuel'!$H166)+CA166+'Index Price Deals'!AW166)+(((BB166+BC166+BD166+BE166+BF166+BG166)*(1-'Prices&amp;Fuel'!F166))*0.005*0.5*'Prices&amp;Fuel'!H166)</f>
        <v>2782.5</v>
      </c>
      <c r="CS166" s="11"/>
      <c r="CU166" s="7"/>
      <c r="CV166" s="70" t="n">
        <f aca="false">CL166-CN166-CT166+CU166+CS166+CO166</f>
        <v>40935.5679162769</v>
      </c>
      <c r="DB166" s="1" t="n">
        <f aca="false">(O166+P166+Q166)*'Prices&amp;Fuel'!$H166</f>
        <v>753000</v>
      </c>
      <c r="DE166" s="1" t="n">
        <v>132000</v>
      </c>
    </row>
    <row r="167" customFormat="false" ht="12.75" hidden="false" customHeight="false" outlineLevel="0" collapsed="false">
      <c r="A167" s="6" t="n">
        <f aca="false">+A166+365/12</f>
        <v>40676.5</v>
      </c>
      <c r="O167" s="7" t="n">
        <v>9036</v>
      </c>
      <c r="P167" s="7" t="n">
        <v>10794</v>
      </c>
      <c r="Q167" s="7" t="n">
        <v>5270</v>
      </c>
      <c r="R167" s="8" t="n">
        <f aca="false">R166</f>
        <v>3.8909</v>
      </c>
      <c r="S167" s="8" t="n">
        <f aca="false">S166</f>
        <v>3.8772</v>
      </c>
      <c r="T167" s="7" t="n">
        <f aca="false">(($O167*R167)+($P167*R167)+($Q167*R167))*'Prices&amp;Fuel'!$H167</f>
        <v>3027509.29</v>
      </c>
      <c r="U167" s="7" t="n">
        <f aca="false">(($O167*S167)+($P167*S167)+($Q167*S167))*'Prices&amp;Fuel'!$H167</f>
        <v>3016849.32</v>
      </c>
      <c r="V167" s="14" t="n">
        <f aca="false">T167-U167</f>
        <v>10659.9700000007</v>
      </c>
      <c r="BB167" s="5" t="n">
        <f aca="false">IF('FP Corp'!T167-((BE167+BF167+BG167)*(1-'Prices&amp;Fuel'!F167))&lt;'Prices&amp;Fuel'!R167,('FP Corp'!T167-(BE167+BF167+BG167)*(1-'Prices&amp;Fuel'!F167)),'Prices&amp;Fuel'!R167)/(1-'Prices&amp;Fuel'!F167)</f>
        <v>8976.86375321337</v>
      </c>
      <c r="BC167" s="9"/>
      <c r="BD167" s="9" t="n">
        <f aca="false">ROUND(IF('FP Corp'!T167/(1-'Prices&amp;Fuel'!F167)-BE167-BF167-BG167-BB167&gt;'Prices&amp;Fuel'!T167,'Prices&amp;Fuel'!T167,'FP Corp'!T167/(1-'Prices&amp;Fuel'!F167)-BE167-BF167-BG167-BB167),9)</f>
        <v>6556.298200514</v>
      </c>
      <c r="BE167" s="9" t="n">
        <f aca="false">'Prices&amp;Fuel'!U167/(1-'Prices&amp;Fuel'!F167)</f>
        <v>1933.16195372751</v>
      </c>
      <c r="BF167" s="9" t="n">
        <f aca="false">('Prices&amp;Fuel'!V167+'Prices&amp;Fuel'!X167)/(1-'Prices&amp;Fuel'!F167)</f>
        <v>3062.21079691517</v>
      </c>
      <c r="BG167" s="9" t="n">
        <f aca="false">'Prices&amp;Fuel'!W167/(1-'Prices&amp;Fuel'!F167)</f>
        <v>1065.29562982005</v>
      </c>
      <c r="BH167" s="10" t="n">
        <f aca="false">('Prices&amp;Fuel'!C167+'Prices&amp;Fuel'!D167)/2-0.05+('Prices&amp;Fuel'!M167+'Prices&amp;Fuel'!P167)*(1-'Prices&amp;Fuel'!F167)</f>
        <v>3.95050456805308</v>
      </c>
      <c r="BI167" s="10"/>
      <c r="BJ167" s="10"/>
      <c r="BK167" s="10" t="n">
        <f aca="false">(((BB167+BE167)*('Prices&amp;Fuel'!B167+0.025))+(('Prices&amp;Fuel'!D167+0.025)*(BD167+BG167))+(('Prices&amp;Fuel'!C167+0.025)*(BC167+BF167))-(BI167+BJ167)*0.025)/(BB167+BC167+BD167+BE167+BF167+BG167)</f>
        <v>3.25809391329118</v>
      </c>
      <c r="BL167" s="9" t="n">
        <f aca="false">(BB167+BC167+BD167+BE167+BF167+BG167)*BH167*'Prices&amp;Fuel'!H167</f>
        <v>2644502.28668642</v>
      </c>
      <c r="BM167" s="9" t="n">
        <f aca="false">'Prices&amp;Fuel'!X167*('Prices&amp;Fuel'!N167+'Prices&amp;Fuel'!O167)*'Prices&amp;Fuel'!H167</f>
        <v>9438.64041395779</v>
      </c>
      <c r="BN167" s="9" t="n">
        <f aca="false">('Prices&amp;Fuel'!U167+'Prices&amp;Fuel'!V167+'Prices&amp;Fuel'!W167)*('Prices&amp;Fuel'!L167+'Prices&amp;Fuel'!O167)*'Prices&amp;Fuel'!H167</f>
        <v>72012.8187366531</v>
      </c>
      <c r="BO167" s="9" t="n">
        <f aca="false">((BB167+BC167+BD167)*(1-'Prices&amp;Fuel'!G167))*('Prices&amp;Fuel'!M167+'Prices&amp;Fuel'!P167)*'Prices&amp;Fuel'!H167</f>
        <v>358472.932999997</v>
      </c>
      <c r="BP167" s="9" t="n">
        <f aca="false">((BD167+BC167+BB167+BE167+BF167+BG167)*BK167*'Prices&amp;Fuel'!H167)+BM167+BN167+BO167</f>
        <v>2620920.93462109</v>
      </c>
      <c r="BQ167" s="5" t="n">
        <f aca="false">BL167-BP167</f>
        <v>23581.3520653276</v>
      </c>
      <c r="CA167" s="5" t="n">
        <f aca="false">(AF167+AG167+AH167+AL167)*0.005*'Prices&amp;Fuel'!H167</f>
        <v>0</v>
      </c>
      <c r="CB167" s="5" t="n">
        <f aca="false">(B167+C167+D167+O167+P167+Q167+X167+Y167+BB167+BC167+BD167+BE167+BF167+BG167+BR167+BS167)*0.005*'Prices&amp;Fuel'!H167</f>
        <v>7237.54370179946</v>
      </c>
      <c r="CC167" s="7" t="n">
        <f aca="false">K167+T167+AB167+AY167+BL167+BX167</f>
        <v>5672011.57668642</v>
      </c>
      <c r="CD167" s="7" t="n">
        <f aca="false">L167+U167+AC167+AZ167+BP167+BY167+CA167+CB167</f>
        <v>5645007.79832289</v>
      </c>
      <c r="CE167" s="7" t="n">
        <f aca="false">CC167-CD167</f>
        <v>27003.7783635287</v>
      </c>
      <c r="CJ167" s="7" t="n">
        <f aca="false">CC167+CF167</f>
        <v>5672011.57668642</v>
      </c>
      <c r="CK167" s="7" t="n">
        <f aca="false">CD167+CH167</f>
        <v>5645007.79832289</v>
      </c>
      <c r="CL167" s="7" t="n">
        <f aca="false">CE167+CI167</f>
        <v>27003.7783635287</v>
      </c>
      <c r="CN167" s="7" t="n">
        <f aca="false">Transport!U167</f>
        <v>3.14901408273727E-009</v>
      </c>
      <c r="CQ167" s="7" t="n">
        <f aca="false">(((($B167+$C167+$D167+$O167+$P167+$Q167)*0.5)+BR167+BS167)*(0.005*'Prices&amp;Fuel'!$H167)+'Index Price Deals'!AV167)+(((BB167+BC167+BD167+BE167+BF167+BG167)*(1-'Prices&amp;Fuel'!F167))*0.005*0.5*'Prices&amp;Fuel'!H167)</f>
        <v>3572.74999999999</v>
      </c>
      <c r="CR167" s="7" t="n">
        <f aca="false">(((($B167+$C167+$D167+$O167+$P167+$Q167)*0.5)+X167+Y167)*(0.005*'Prices&amp;Fuel'!$H167)+CA167+'Index Price Deals'!AW167)+(((BB167+BC167+BD167+BE167+BF167+BG167)*(1-'Prices&amp;Fuel'!F167))*0.005*0.5*'Prices&amp;Fuel'!H167)</f>
        <v>3572.74999999999</v>
      </c>
      <c r="CS167" s="11"/>
      <c r="CV167" s="70" t="n">
        <f aca="false">CL167-CN167-CT167+CU167+CS167+CO167</f>
        <v>27003.7783635255</v>
      </c>
      <c r="DB167" s="1" t="n">
        <f aca="false">(O167+P167+Q167)*'Prices&amp;Fuel'!$H167</f>
        <v>778100</v>
      </c>
      <c r="DE167" s="1" t="n">
        <v>200000</v>
      </c>
    </row>
    <row r="168" customFormat="false" ht="12.75" hidden="false" customHeight="false" outlineLevel="0" collapsed="false">
      <c r="A168" s="6" t="n">
        <f aca="false">+A167+365/12</f>
        <v>40706.9166666667</v>
      </c>
      <c r="O168" s="7" t="n">
        <v>9036</v>
      </c>
      <c r="P168" s="7" t="n">
        <v>10794</v>
      </c>
      <c r="Q168" s="7" t="n">
        <v>5270</v>
      </c>
      <c r="R168" s="8" t="n">
        <f aca="false">R167</f>
        <v>3.8909</v>
      </c>
      <c r="S168" s="8" t="n">
        <f aca="false">S167</f>
        <v>3.8772</v>
      </c>
      <c r="T168" s="7" t="n">
        <f aca="false">(($O168*R168)+($P168*R168)+($Q168*R168))*'Prices&amp;Fuel'!$H168</f>
        <v>2929847.7</v>
      </c>
      <c r="U168" s="7" t="n">
        <f aca="false">(($O168*S168)+($P168*S168)+($Q168*S168))*'Prices&amp;Fuel'!$H168</f>
        <v>2919531.6</v>
      </c>
      <c r="V168" s="14" t="n">
        <f aca="false">T168-U168</f>
        <v>10316.1000000001</v>
      </c>
      <c r="BB168" s="5" t="n">
        <f aca="false">IF('FP Corp'!T168-((BE168+BF168+BG168)*(1-'Prices&amp;Fuel'!F168))&lt;'Prices&amp;Fuel'!R168,('FP Corp'!T168-(BE168+BF168+BG168)*(1-'Prices&amp;Fuel'!F168)),'Prices&amp;Fuel'!R168)/(1-'Prices&amp;Fuel'!F168)</f>
        <v>8976.86375321337</v>
      </c>
      <c r="BC168" s="9"/>
      <c r="BD168" s="9" t="n">
        <f aca="false">ROUND(IF('FP Corp'!T168/(1-'Prices&amp;Fuel'!F168)-BE168-BF168-BG168-BB168&gt;'Prices&amp;Fuel'!T168,'Prices&amp;Fuel'!T168,'FP Corp'!T168/(1-'Prices&amp;Fuel'!F168)-BE168-BF168-BG168-BB168),9)</f>
        <v>6556.298200514</v>
      </c>
      <c r="BE168" s="9" t="n">
        <f aca="false">'Prices&amp;Fuel'!U168/(1-'Prices&amp;Fuel'!F168)</f>
        <v>1933.16195372751</v>
      </c>
      <c r="BF168" s="9" t="n">
        <f aca="false">('Prices&amp;Fuel'!V168+'Prices&amp;Fuel'!X168)/(1-'Prices&amp;Fuel'!F168)</f>
        <v>3062.21079691517</v>
      </c>
      <c r="BG168" s="9" t="n">
        <f aca="false">'Prices&amp;Fuel'!W168/(1-'Prices&amp;Fuel'!F168)</f>
        <v>1065.29562982005</v>
      </c>
      <c r="BH168" s="10" t="n">
        <f aca="false">('Prices&amp;Fuel'!C168+'Prices&amp;Fuel'!D168)/2-0.05+('Prices&amp;Fuel'!M168+'Prices&amp;Fuel'!P168)*(1-'Prices&amp;Fuel'!F168)</f>
        <v>5.3832322752696</v>
      </c>
      <c r="BI168" s="10"/>
      <c r="BJ168" s="10"/>
      <c r="BK168" s="10" t="n">
        <f aca="false">(((BB168+BE168)*('Prices&amp;Fuel'!B168+0.025))+(('Prices&amp;Fuel'!D168+0.025)*(BD168+BG168))+(('Prices&amp;Fuel'!C168+0.025)*(BC168+BF168))-(BI168+BJ168)*0.025)/(BB168+BC168+BD168+BE168+BF168+BG168)</f>
        <v>4.69082162050769</v>
      </c>
      <c r="BL168" s="9" t="n">
        <f aca="false">(BB168+BC168+BD168+BE168+BF168+BG168)*BH168*'Prices&amp;Fuel'!H168</f>
        <v>3487338.13205123</v>
      </c>
      <c r="BM168" s="9" t="n">
        <f aca="false">'Prices&amp;Fuel'!X168*('Prices&amp;Fuel'!N168+'Prices&amp;Fuel'!O168)*'Prices&amp;Fuel'!H168</f>
        <v>9134.1681425398</v>
      </c>
      <c r="BN168" s="9" t="n">
        <f aca="false">('Prices&amp;Fuel'!U168+'Prices&amp;Fuel'!V168+'Prices&amp;Fuel'!W168)*('Prices&amp;Fuel'!L168+'Prices&amp;Fuel'!O168)*'Prices&amp;Fuel'!H168</f>
        <v>69689.8245838578</v>
      </c>
      <c r="BO168" s="9" t="n">
        <f aca="false">((BB168+BC168+BD168)*(1-'Prices&amp;Fuel'!G168))*('Prices&amp;Fuel'!M168+'Prices&amp;Fuel'!P168)*'Prices&amp;Fuel'!H168</f>
        <v>346909.289999997</v>
      </c>
      <c r="BP168" s="9" t="n">
        <f aca="false">((BD168+BC168+BB168+BE168+BF168+BG168)*BK168*'Prices&amp;Fuel'!H168)+BM168+BN168+BO168</f>
        <v>3464517.46876221</v>
      </c>
      <c r="BQ168" s="5" t="n">
        <f aca="false">BL168-BP168</f>
        <v>22820.6632890268</v>
      </c>
      <c r="CA168" s="5" t="n">
        <f aca="false">(AF168+AG168+AH168+AL168)*0.005*'Prices&amp;Fuel'!H168</f>
        <v>0</v>
      </c>
      <c r="CB168" s="5" t="n">
        <f aca="false">(B168+C168+D168+O168+P168+Q168+X168+Y168+BB168+BC168+BD168+BE168+BF168+BG168+BR168+BS168)*0.005*'Prices&amp;Fuel'!H168</f>
        <v>7004.07455012851</v>
      </c>
      <c r="CC168" s="7" t="n">
        <f aca="false">K168+T168+AB168+AY168+BL168+BX168</f>
        <v>6417185.83205123</v>
      </c>
      <c r="CD168" s="7" t="n">
        <f aca="false">L168+U168+AC168+AZ168+BP168+BY168+CA168+CB168</f>
        <v>6391053.14331233</v>
      </c>
      <c r="CE168" s="7" t="n">
        <f aca="false">CC168-CD168</f>
        <v>26132.6887388984</v>
      </c>
      <c r="CJ168" s="7" t="n">
        <f aca="false">CC168+CF168</f>
        <v>6417185.83205123</v>
      </c>
      <c r="CK168" s="7" t="n">
        <f aca="false">CD168+CH168</f>
        <v>6391053.14331233</v>
      </c>
      <c r="CL168" s="7" t="n">
        <f aca="false">CE168+CI168</f>
        <v>26132.6887388984</v>
      </c>
      <c r="CN168" s="7" t="n">
        <f aca="false">Transport!U168</f>
        <v>3.04743298329413E-009</v>
      </c>
      <c r="CQ168" s="7" t="n">
        <f aca="false">(((($B168+$C168+$D168+$O168+$P168+$Q168)*0.5)+BR168+BS168)*(0.005*'Prices&amp;Fuel'!$H168)+'Index Price Deals'!AV168)+(((BB168+BC168+BD168+BE168+BF168+BG168)*(1-'Prices&amp;Fuel'!F168))*0.005*0.5*'Prices&amp;Fuel'!H168)</f>
        <v>3457.49999999999</v>
      </c>
      <c r="CR168" s="7" t="n">
        <f aca="false">(((($B168+$C168+$D168+$O168+$P168+$Q168)*0.5)+X168+Y168)*(0.005*'Prices&amp;Fuel'!$H168)+CA168+'Index Price Deals'!AW168)+(((BB168+BC168+BD168+BE168+BF168+BG168)*(1-'Prices&amp;Fuel'!F168))*0.005*0.5*'Prices&amp;Fuel'!H168)</f>
        <v>3457.49999999999</v>
      </c>
      <c r="CS168" s="11"/>
      <c r="CV168" s="70" t="n">
        <f aca="false">CL168-CN168-CT168+CU168+CS168+CO168</f>
        <v>26132.6887388953</v>
      </c>
      <c r="DB168" s="1" t="n">
        <f aca="false">(O168+P168+Q168)*'Prices&amp;Fuel'!$H168</f>
        <v>753000</v>
      </c>
      <c r="DE168" s="1" t="n">
        <v>200000</v>
      </c>
    </row>
    <row r="169" customFormat="false" ht="12.75" hidden="false" customHeight="false" outlineLevel="0" collapsed="false">
      <c r="A169" s="6" t="n">
        <f aca="false">+A168+365/12</f>
        <v>40737.3333333333</v>
      </c>
      <c r="O169" s="7" t="n">
        <v>9036</v>
      </c>
      <c r="P169" s="7" t="n">
        <v>10794</v>
      </c>
      <c r="Q169" s="7" t="n">
        <v>5270</v>
      </c>
      <c r="R169" s="8" t="n">
        <f aca="false">ROUND(3.075*1.04*1.04*1.04*1.04*1.04*1.04*1.04,4)</f>
        <v>4.0465</v>
      </c>
      <c r="S169" s="8" t="n">
        <f aca="false">R169-ROUND(0.01*1.02*1.02*1.02*1.02*1.02*1.02*1.02*1.02*1.02*1.02*1.02*1.02*1.02*1.02*1.02*1.02*1.02,4)</f>
        <v>4.0325</v>
      </c>
      <c r="T169" s="7" t="n">
        <f aca="false">(($O169*R169)+($P169*R169)+($Q169*R169))*'Prices&amp;Fuel'!$H169</f>
        <v>3148581.65</v>
      </c>
      <c r="U169" s="7" t="n">
        <f aca="false">(($O169*S169)+($P169*S169)+($Q169*S169))*'Prices&amp;Fuel'!$H169</f>
        <v>3137688.25</v>
      </c>
      <c r="V169" s="14" t="n">
        <f aca="false">T169-U169</f>
        <v>10893.3999999999</v>
      </c>
      <c r="BB169" s="5" t="n">
        <f aca="false">IF('FP Corp'!T169-((BE169+BF169+BG169)*(1-'Prices&amp;Fuel'!F169))&lt;'Prices&amp;Fuel'!R169,('FP Corp'!T169-(BE169+BF169+BG169)*(1-'Prices&amp;Fuel'!F169)),'Prices&amp;Fuel'!R169)/(1-'Prices&amp;Fuel'!F169)</f>
        <v>8976.86375321337</v>
      </c>
      <c r="BC169" s="9"/>
      <c r="BD169" s="9" t="n">
        <f aca="false">ROUND(IF('FP Corp'!T169/(1-'Prices&amp;Fuel'!F169)-BE169-BF169-BG169-BB169&gt;'Prices&amp;Fuel'!T169,'Prices&amp;Fuel'!T169,'FP Corp'!T169/(1-'Prices&amp;Fuel'!F169)-BE169-BF169-BG169-BB169),9)</f>
        <v>6556.298200514</v>
      </c>
      <c r="BE169" s="9" t="n">
        <f aca="false">'Prices&amp;Fuel'!U169/(1-'Prices&amp;Fuel'!F169)</f>
        <v>1933.16195372751</v>
      </c>
      <c r="BF169" s="9" t="n">
        <f aca="false">('Prices&amp;Fuel'!V169+'Prices&amp;Fuel'!X169)/(1-'Prices&amp;Fuel'!F169)</f>
        <v>3062.21079691517</v>
      </c>
      <c r="BG169" s="9" t="n">
        <f aca="false">'Prices&amp;Fuel'!W169/(1-'Prices&amp;Fuel'!F169)</f>
        <v>1065.29562982005</v>
      </c>
      <c r="BH169" s="10" t="n">
        <f aca="false">('Prices&amp;Fuel'!C169+'Prices&amp;Fuel'!D169)/2-0.05+('Prices&amp;Fuel'!M169+'Prices&amp;Fuel'!P169)*(1-'Prices&amp;Fuel'!F169)</f>
        <v>5.37229542254275</v>
      </c>
      <c r="BI169" s="10"/>
      <c r="BJ169" s="10"/>
      <c r="BK169" s="10" t="n">
        <f aca="false">(((BB169+BE169)*('Prices&amp;Fuel'!B169+0.025))+(('Prices&amp;Fuel'!D169+0.025)*(BD169+BG169))+(('Prices&amp;Fuel'!C169+0.025)*(BC169+BF169))-(BI169+BJ169)*0.025)/(BB169+BC169+BD169+BE169+BF169+BG169)</f>
        <v>4.67988476778085</v>
      </c>
      <c r="BL169" s="9" t="n">
        <f aca="false">(BB169+BC169+BD169+BE169+BF169+BG169)*BH169*'Prices&amp;Fuel'!H169</f>
        <v>3596261.51164556</v>
      </c>
      <c r="BM169" s="9" t="n">
        <f aca="false">'Prices&amp;Fuel'!X169*('Prices&amp;Fuel'!N169+'Prices&amp;Fuel'!O169)*'Prices&amp;Fuel'!H169</f>
        <v>9438.64041395779</v>
      </c>
      <c r="BN169" s="9" t="n">
        <f aca="false">('Prices&amp;Fuel'!U169+'Prices&amp;Fuel'!V169+'Prices&amp;Fuel'!W169)*('Prices&amp;Fuel'!L169+'Prices&amp;Fuel'!O169)*'Prices&amp;Fuel'!H169</f>
        <v>72012.8187366531</v>
      </c>
      <c r="BO169" s="9" t="n">
        <f aca="false">((BB169+BC169+BD169)*(1-'Prices&amp;Fuel'!G169))*('Prices&amp;Fuel'!M169+'Prices&amp;Fuel'!P169)*'Prices&amp;Fuel'!H169</f>
        <v>358472.932999997</v>
      </c>
      <c r="BP169" s="9" t="n">
        <f aca="false">((BD169+BC169+BB169+BE169+BF169+BG169)*BK169*'Prices&amp;Fuel'!H169)+BM169+BN169+BO169</f>
        <v>3572680.15958024</v>
      </c>
      <c r="BQ169" s="5" t="n">
        <f aca="false">BL169-BP169</f>
        <v>23581.3520653266</v>
      </c>
      <c r="CA169" s="5" t="n">
        <f aca="false">(AF169+AG169+AH169+AL169)*0.005*'Prices&amp;Fuel'!H169</f>
        <v>0</v>
      </c>
      <c r="CB169" s="5" t="n">
        <f aca="false">(B169+C169+D169+O169+P169+Q169+X169+Y169+BB169+BC169+BD169+BE169+BF169+BG169+BR169+BS169)*0.005*'Prices&amp;Fuel'!H169</f>
        <v>7237.54370179946</v>
      </c>
      <c r="CC169" s="7" t="n">
        <f aca="false">K169+T169+AB169+AY169+BL169+BX169</f>
        <v>6744843.16164556</v>
      </c>
      <c r="CD169" s="7" t="n">
        <f aca="false">L169+U169+AC169+AZ169+BP169+BY169+CA169+CB169</f>
        <v>6717605.95328204</v>
      </c>
      <c r="CE169" s="7" t="n">
        <f aca="false">CC169-CD169</f>
        <v>27237.2083635265</v>
      </c>
      <c r="CJ169" s="7" t="n">
        <f aca="false">CC169+CF169</f>
        <v>6744843.16164556</v>
      </c>
      <c r="CK169" s="7" t="n">
        <f aca="false">CD169+CH169</f>
        <v>6717605.95328204</v>
      </c>
      <c r="CL169" s="7" t="n">
        <f aca="false">CE169+CI169</f>
        <v>27237.2083635265</v>
      </c>
      <c r="CN169" s="7" t="n">
        <f aca="false">Transport!U169</f>
        <v>3.14901408273727E-009</v>
      </c>
      <c r="CQ169" s="7" t="n">
        <f aca="false">(((($B169+$C169+$D169+$O169+$P169+$Q169)*0.5)+BR169+BS169)*(0.005*'Prices&amp;Fuel'!$H169)+'Index Price Deals'!AV169)+(((BB169+BC169+BD169+BE169+BF169+BG169)*(1-'Prices&amp;Fuel'!F169))*0.005*0.5*'Prices&amp;Fuel'!H169)</f>
        <v>3572.74999999999</v>
      </c>
      <c r="CR169" s="7" t="n">
        <f aca="false">(((($B169+$C169+$D169+$O169+$P169+$Q169)*0.5)+X169+Y169)*(0.005*'Prices&amp;Fuel'!$H169)+CA169+'Index Price Deals'!AW169)+(((BB169+BC169+BD169+BE169+BF169+BG169)*(1-'Prices&amp;Fuel'!F169))*0.005*0.5*'Prices&amp;Fuel'!H169)</f>
        <v>3572.74999999999</v>
      </c>
      <c r="CS169" s="11"/>
      <c r="CV169" s="70" t="n">
        <f aca="false">CL169-CN169-CT169+CU169+CS169+CO169</f>
        <v>27237.2083635234</v>
      </c>
      <c r="DB169" s="1" t="n">
        <f aca="false">(O169+P169+Q169)*'Prices&amp;Fuel'!$H169</f>
        <v>778100</v>
      </c>
      <c r="DE169" s="1" t="n">
        <v>200000</v>
      </c>
    </row>
    <row r="170" customFormat="false" ht="12.75" hidden="false" customHeight="false" outlineLevel="0" collapsed="false">
      <c r="A170" s="6" t="n">
        <f aca="false">+A169+365/12</f>
        <v>40767.75</v>
      </c>
      <c r="O170" s="7" t="n">
        <v>9036</v>
      </c>
      <c r="P170" s="7" t="n">
        <v>10794</v>
      </c>
      <c r="Q170" s="7" t="n">
        <v>5270</v>
      </c>
      <c r="R170" s="8" t="n">
        <f aca="false">R169</f>
        <v>4.0465</v>
      </c>
      <c r="S170" s="8" t="n">
        <f aca="false">S169</f>
        <v>4.0325</v>
      </c>
      <c r="T170" s="7" t="n">
        <f aca="false">(($O170*R170)+($P170*R170)+($Q170*R170))*'Prices&amp;Fuel'!$H170</f>
        <v>3148581.65</v>
      </c>
      <c r="U170" s="7" t="n">
        <f aca="false">(($O170*S170)+($P170*S170)+($Q170*S170))*'Prices&amp;Fuel'!$H170</f>
        <v>3137688.25</v>
      </c>
      <c r="V170" s="14" t="n">
        <f aca="false">T170-U170</f>
        <v>10893.3999999999</v>
      </c>
      <c r="BB170" s="5" t="n">
        <f aca="false">IF('FP Corp'!T170-((BE170+BF170+BG170)*(1-'Prices&amp;Fuel'!F170))&lt;'Prices&amp;Fuel'!R170,('FP Corp'!T170-(BE170+BF170+BG170)*(1-'Prices&amp;Fuel'!F170)),'Prices&amp;Fuel'!R170)/(1-'Prices&amp;Fuel'!F170)</f>
        <v>8976.86375321337</v>
      </c>
      <c r="BC170" s="9"/>
      <c r="BD170" s="9" t="n">
        <f aca="false">ROUND(IF('FP Corp'!T170/(1-'Prices&amp;Fuel'!F170)-BE170-BF170-BG170-BB170&gt;'Prices&amp;Fuel'!T170,'Prices&amp;Fuel'!T170,'FP Corp'!T170/(1-'Prices&amp;Fuel'!F170)-BE170-BF170-BG170-BB170),9)</f>
        <v>6556.298200514</v>
      </c>
      <c r="BE170" s="9" t="n">
        <f aca="false">'Prices&amp;Fuel'!U170/(1-'Prices&amp;Fuel'!F170)</f>
        <v>1933.16195372751</v>
      </c>
      <c r="BF170" s="9" t="n">
        <f aca="false">('Prices&amp;Fuel'!V170+'Prices&amp;Fuel'!X170)/(1-'Prices&amp;Fuel'!F170)</f>
        <v>3062.21079691517</v>
      </c>
      <c r="BG170" s="9" t="n">
        <f aca="false">'Prices&amp;Fuel'!W170/(1-'Prices&amp;Fuel'!F170)</f>
        <v>1065.29562982005</v>
      </c>
      <c r="BH170" s="10" t="n">
        <f aca="false">('Prices&amp;Fuel'!C170+'Prices&amp;Fuel'!D170)/2-0.05+('Prices&amp;Fuel'!M170+'Prices&amp;Fuel'!P170)*(1-'Prices&amp;Fuel'!F170)</f>
        <v>4.7817053752932</v>
      </c>
      <c r="BI170" s="10"/>
      <c r="BJ170" s="10"/>
      <c r="BK170" s="10" t="n">
        <f aca="false">(((BB170+BE170)*('Prices&amp;Fuel'!B170+0.025))+(('Prices&amp;Fuel'!D170+0.025)*(BD170+BG170))+(('Prices&amp;Fuel'!C170+0.025)*(BC170+BF170))-(BI170+BJ170)*0.025)/(BB170+BC170+BD170+BE170+BF170+BG170)</f>
        <v>4.08929472053129</v>
      </c>
      <c r="BL170" s="9" t="n">
        <f aca="false">(BB170+BC170+BD170+BE170+BF170+BG170)*BH170*'Prices&amp;Fuel'!H170</f>
        <v>3200915.37204715</v>
      </c>
      <c r="BM170" s="9" t="n">
        <f aca="false">'Prices&amp;Fuel'!X170*('Prices&amp;Fuel'!N170+'Prices&amp;Fuel'!O170)*'Prices&amp;Fuel'!H170</f>
        <v>9438.64041395779</v>
      </c>
      <c r="BN170" s="9" t="n">
        <f aca="false">('Prices&amp;Fuel'!U170+'Prices&amp;Fuel'!V170+'Prices&amp;Fuel'!W170)*('Prices&amp;Fuel'!L170+'Prices&amp;Fuel'!O170)*'Prices&amp;Fuel'!H170</f>
        <v>72012.8187366531</v>
      </c>
      <c r="BO170" s="9" t="n">
        <f aca="false">((BB170+BC170+BD170)*(1-'Prices&amp;Fuel'!G170))*('Prices&amp;Fuel'!M170+'Prices&amp;Fuel'!P170)*'Prices&amp;Fuel'!H170</f>
        <v>358472.932999997</v>
      </c>
      <c r="BP170" s="9" t="n">
        <f aca="false">((BD170+BC170+BB170+BE170+BF170+BG170)*BK170*'Prices&amp;Fuel'!H170)+BM170+BN170+BO170</f>
        <v>3177334.01998182</v>
      </c>
      <c r="BQ170" s="5" t="n">
        <f aca="false">BL170-BP170</f>
        <v>23581.3520653271</v>
      </c>
      <c r="CA170" s="5" t="n">
        <f aca="false">(AF170+AG170+AH170+AL170)*0.005*'Prices&amp;Fuel'!H170</f>
        <v>0</v>
      </c>
      <c r="CB170" s="5" t="n">
        <f aca="false">(B170+C170+D170+O170+P170+Q170+X170+Y170+BB170+BC170+BD170+BE170+BF170+BG170+BR170+BS170)*0.005*'Prices&amp;Fuel'!H170</f>
        <v>7237.54370179946</v>
      </c>
      <c r="CC170" s="7" t="n">
        <f aca="false">K170+T170+AB170+AY170+BL170+BX170</f>
        <v>6349497.02204715</v>
      </c>
      <c r="CD170" s="7" t="n">
        <f aca="false">L170+U170+AC170+AZ170+BP170+BY170+CA170+CB170</f>
        <v>6322259.81368362</v>
      </c>
      <c r="CE170" s="7" t="n">
        <f aca="false">CC170-CD170</f>
        <v>27237.2083635274</v>
      </c>
      <c r="CJ170" s="7" t="n">
        <f aca="false">CC170+CF170</f>
        <v>6349497.02204715</v>
      </c>
      <c r="CK170" s="7" t="n">
        <f aca="false">CD170+CH170</f>
        <v>6322259.81368362</v>
      </c>
      <c r="CL170" s="7" t="n">
        <f aca="false">CE170+CI170</f>
        <v>27237.2083635274</v>
      </c>
      <c r="CN170" s="7" t="n">
        <f aca="false">Transport!U170</f>
        <v>3.14901408273727E-009</v>
      </c>
      <c r="CQ170" s="7" t="n">
        <f aca="false">(((($B170+$C170+$D170+$O170+$P170+$Q170)*0.5)+BR170+BS170)*(0.005*'Prices&amp;Fuel'!$H170)+'Index Price Deals'!AV170)+(((BB170+BC170+BD170+BE170+BF170+BG170)*(1-'Prices&amp;Fuel'!F170))*0.005*0.5*'Prices&amp;Fuel'!H170)</f>
        <v>3572.74999999999</v>
      </c>
      <c r="CR170" s="7" t="n">
        <f aca="false">(((($B170+$C170+$D170+$O170+$P170+$Q170)*0.5)+X170+Y170)*(0.005*'Prices&amp;Fuel'!$H170)+CA170+'Index Price Deals'!AW170)+(((BB170+BC170+BD170+BE170+BF170+BG170)*(1-'Prices&amp;Fuel'!F170))*0.005*0.5*'Prices&amp;Fuel'!H170)</f>
        <v>3572.74999999999</v>
      </c>
      <c r="CS170" s="11"/>
      <c r="CV170" s="70" t="n">
        <f aca="false">CL170-CN170-CT170+CU170+CS170+CO170</f>
        <v>27237.2083635243</v>
      </c>
      <c r="DB170" s="1" t="n">
        <f aca="false">(O170+P170+Q170)*'Prices&amp;Fuel'!$H170</f>
        <v>778100</v>
      </c>
      <c r="DE170" s="1" t="n">
        <v>200000</v>
      </c>
    </row>
    <row r="171" customFormat="false" ht="12.75" hidden="false" customHeight="false" outlineLevel="0" collapsed="false">
      <c r="A171" s="6" t="n">
        <f aca="false">+A170+365/12</f>
        <v>40798.1666666667</v>
      </c>
      <c r="O171" s="7" t="n">
        <v>9036</v>
      </c>
      <c r="P171" s="7" t="n">
        <v>10794</v>
      </c>
      <c r="Q171" s="7" t="n">
        <v>5270</v>
      </c>
      <c r="R171" s="8" t="n">
        <f aca="false">R170</f>
        <v>4.0465</v>
      </c>
      <c r="S171" s="8" t="n">
        <f aca="false">S170</f>
        <v>4.0325</v>
      </c>
      <c r="T171" s="7" t="n">
        <f aca="false">(($O171*R171)+($P171*R171)+($Q171*R171))*'Prices&amp;Fuel'!$H171</f>
        <v>3047014.5</v>
      </c>
      <c r="U171" s="7" t="n">
        <f aca="false">(($O171*S171)+($P171*S171)+($Q171*S171))*'Prices&amp;Fuel'!$H171</f>
        <v>3036472.5</v>
      </c>
      <c r="V171" s="14" t="n">
        <f aca="false">T171-U171</f>
        <v>10542</v>
      </c>
      <c r="BB171" s="5" t="n">
        <f aca="false">IF('FP Corp'!T171-((BE171+BF171+BG171)*(1-'Prices&amp;Fuel'!F171))&lt;'Prices&amp;Fuel'!R171,('FP Corp'!T171-(BE171+BF171+BG171)*(1-'Prices&amp;Fuel'!F171)),'Prices&amp;Fuel'!R171)/(1-'Prices&amp;Fuel'!F171)</f>
        <v>8976.86375321337</v>
      </c>
      <c r="BC171" s="9"/>
      <c r="BD171" s="9" t="n">
        <f aca="false">ROUND(IF('FP Corp'!T171/(1-'Prices&amp;Fuel'!F171)-BE171-BF171-BG171-BB171&gt;'Prices&amp;Fuel'!T171,'Prices&amp;Fuel'!T171,'FP Corp'!T171/(1-'Prices&amp;Fuel'!F171)-BE171-BF171-BG171-BB171),9)</f>
        <v>6556.298200514</v>
      </c>
      <c r="BE171" s="9" t="n">
        <f aca="false">'Prices&amp;Fuel'!U171/(1-'Prices&amp;Fuel'!F171)</f>
        <v>1933.16195372751</v>
      </c>
      <c r="BF171" s="9" t="n">
        <f aca="false">('Prices&amp;Fuel'!V171+'Prices&amp;Fuel'!X171)/(1-'Prices&amp;Fuel'!F171)</f>
        <v>3062.21079691517</v>
      </c>
      <c r="BG171" s="9" t="n">
        <f aca="false">'Prices&amp;Fuel'!W171/(1-'Prices&amp;Fuel'!F171)</f>
        <v>1065.29562982005</v>
      </c>
      <c r="BH171" s="10" t="n">
        <f aca="false">('Prices&amp;Fuel'!C171+'Prices&amp;Fuel'!D171)/2-0.05+('Prices&amp;Fuel'!M171+'Prices&amp;Fuel'!P171)*(1-'Prices&amp;Fuel'!F171)</f>
        <v>5.62384303526016</v>
      </c>
      <c r="BI171" s="10"/>
      <c r="BJ171" s="10"/>
      <c r="BK171" s="10" t="n">
        <f aca="false">(((BB171+BE171)*('Prices&amp;Fuel'!B171+0.025))+(('Prices&amp;Fuel'!D171+0.025)*(BD171+BG171))+(('Prices&amp;Fuel'!C171+0.025)*(BC171+BF171))-(BI171+BJ171)*0.025)/(BB171+BC171+BD171+BE171+BF171+BG171)</f>
        <v>4.93143238049825</v>
      </c>
      <c r="BL171" s="9" t="n">
        <f aca="false">(BB171+BC171+BD171+BE171+BF171+BG171)*BH171*'Prices&amp;Fuel'!H171</f>
        <v>3643209.36988573</v>
      </c>
      <c r="BM171" s="9" t="n">
        <f aca="false">'Prices&amp;Fuel'!X171*('Prices&amp;Fuel'!N171+'Prices&amp;Fuel'!O171)*'Prices&amp;Fuel'!H171</f>
        <v>9134.1681425398</v>
      </c>
      <c r="BN171" s="9" t="n">
        <f aca="false">('Prices&amp;Fuel'!U171+'Prices&amp;Fuel'!V171+'Prices&amp;Fuel'!W171)*('Prices&amp;Fuel'!L171+'Prices&amp;Fuel'!O171)*'Prices&amp;Fuel'!H171</f>
        <v>69689.8245838578</v>
      </c>
      <c r="BO171" s="9" t="n">
        <f aca="false">((BB171+BC171+BD171)*(1-'Prices&amp;Fuel'!G171))*('Prices&amp;Fuel'!M171+'Prices&amp;Fuel'!P171)*'Prices&amp;Fuel'!H171</f>
        <v>346909.289999997</v>
      </c>
      <c r="BP171" s="9" t="n">
        <f aca="false">((BD171+BC171+BB171+BE171+BF171+BG171)*BK171*'Prices&amp;Fuel'!H171)+BM171+BN171+BO171</f>
        <v>3620388.70659671</v>
      </c>
      <c r="BQ171" s="5" t="n">
        <f aca="false">BL171-BP171</f>
        <v>22820.6632890264</v>
      </c>
      <c r="CA171" s="5" t="n">
        <f aca="false">(AF171+AG171+AH171+AL171)*0.005*'Prices&amp;Fuel'!H171</f>
        <v>0</v>
      </c>
      <c r="CB171" s="5" t="n">
        <f aca="false">(B171+C171+D171+O171+P171+Q171+X171+Y171+BB171+BC171+BD171+BE171+BF171+BG171+BR171+BS171)*0.005*'Prices&amp;Fuel'!H171</f>
        <v>7004.07455012851</v>
      </c>
      <c r="CC171" s="7" t="n">
        <f aca="false">K171+T171+AB171+AY171+BL171+BX171</f>
        <v>6690223.86988573</v>
      </c>
      <c r="CD171" s="7" t="n">
        <f aca="false">L171+U171+AC171+AZ171+BP171+BY171+CA171+CB171</f>
        <v>6663865.28114684</v>
      </c>
      <c r="CE171" s="7" t="n">
        <f aca="false">CC171-CD171</f>
        <v>26358.5887388969</v>
      </c>
      <c r="CJ171" s="7" t="n">
        <f aca="false">CC171+CF171</f>
        <v>6690223.86988573</v>
      </c>
      <c r="CK171" s="7" t="n">
        <f aca="false">CD171+CH171</f>
        <v>6663865.28114684</v>
      </c>
      <c r="CL171" s="7" t="n">
        <f aca="false">CE171+CI171</f>
        <v>26358.5887388969</v>
      </c>
      <c r="CN171" s="7" t="n">
        <f aca="false">Transport!U171</f>
        <v>3.04743298329413E-009</v>
      </c>
      <c r="CQ171" s="7" t="n">
        <f aca="false">(((($B171+$C171+$D171+$O171+$P171+$Q171)*0.5)+BR171+BS171)*(0.005*'Prices&amp;Fuel'!$H171)+'Index Price Deals'!AV171)+(((BB171+BC171+BD171+BE171+BF171+BG171)*(1-'Prices&amp;Fuel'!F171))*0.005*0.5*'Prices&amp;Fuel'!H171)</f>
        <v>3457.49999999999</v>
      </c>
      <c r="CR171" s="7" t="n">
        <f aca="false">(((($B171+$C171+$D171+$O171+$P171+$Q171)*0.5)+X171+Y171)*(0.005*'Prices&amp;Fuel'!$H171)+CA171+'Index Price Deals'!AW171)+(((BB171+BC171+BD171+BE171+BF171+BG171)*(1-'Prices&amp;Fuel'!F171))*0.005*0.5*'Prices&amp;Fuel'!H171)</f>
        <v>3457.49999999999</v>
      </c>
      <c r="CS171" s="11"/>
      <c r="CV171" s="70" t="n">
        <f aca="false">CL171-CN171-CT171+CU171+CS171+CO171</f>
        <v>26358.5887388938</v>
      </c>
      <c r="DB171" s="1" t="n">
        <f aca="false">(O171+P171+Q171)*'Prices&amp;Fuel'!$H171</f>
        <v>753000</v>
      </c>
      <c r="DE171" s="1" t="n">
        <v>200000</v>
      </c>
    </row>
    <row r="172" customFormat="false" ht="12.75" hidden="false" customHeight="false" outlineLevel="0" collapsed="false">
      <c r="A172" s="6" t="n">
        <f aca="false">+A171+365/12</f>
        <v>40828.5833333333</v>
      </c>
      <c r="O172" s="7" t="n">
        <v>9036</v>
      </c>
      <c r="P172" s="7" t="n">
        <v>10794</v>
      </c>
      <c r="Q172" s="7" t="n">
        <v>5270</v>
      </c>
      <c r="R172" s="8" t="n">
        <f aca="false">R171</f>
        <v>4.0465</v>
      </c>
      <c r="S172" s="8" t="n">
        <f aca="false">S171</f>
        <v>4.0325</v>
      </c>
      <c r="T172" s="7" t="n">
        <f aca="false">(($O172*R172)+($P172*R172)+($Q172*R172))*'Prices&amp;Fuel'!$H172</f>
        <v>3148581.65</v>
      </c>
      <c r="U172" s="7" t="n">
        <f aca="false">(($O172*S172)+($P172*S172)+($Q172*S172))*'Prices&amp;Fuel'!$H172</f>
        <v>3137688.25</v>
      </c>
      <c r="V172" s="14" t="n">
        <f aca="false">T172-U172</f>
        <v>10893.3999999999</v>
      </c>
      <c r="BB172" s="5" t="n">
        <f aca="false">IF('FP Corp'!T172-((BE172+BF172+BG172)*(1-'Prices&amp;Fuel'!F172))&lt;'Prices&amp;Fuel'!R172,('FP Corp'!T172-(BE172+BF172+BG172)*(1-'Prices&amp;Fuel'!F172)),'Prices&amp;Fuel'!R172)/(1-'Prices&amp;Fuel'!F172)</f>
        <v>8976.86375321337</v>
      </c>
      <c r="BC172" s="9"/>
      <c r="BD172" s="9" t="n">
        <f aca="false">ROUND(IF('FP Corp'!T172/(1-'Prices&amp;Fuel'!F172)-BE172-BF172-BG172-BB172&gt;'Prices&amp;Fuel'!T172,'Prices&amp;Fuel'!T172,'FP Corp'!T172/(1-'Prices&amp;Fuel'!F172)-BE172-BF172-BG172-BB172),9)</f>
        <v>3514.652956298</v>
      </c>
      <c r="BE172" s="9" t="n">
        <f aca="false">'Prices&amp;Fuel'!U172/(1-'Prices&amp;Fuel'!F172)</f>
        <v>2910.02570694087</v>
      </c>
      <c r="BF172" s="9" t="n">
        <f aca="false">('Prices&amp;Fuel'!V172+'Prices&amp;Fuel'!X172)/(1-'Prices&amp;Fuel'!F172)</f>
        <v>4628.27763496144</v>
      </c>
      <c r="BG172" s="9" t="n">
        <f aca="false">'Prices&amp;Fuel'!W172/(1-'Prices&amp;Fuel'!F172)</f>
        <v>1564.01028277635</v>
      </c>
      <c r="BH172" s="10" t="n">
        <f aca="false">('Prices&amp;Fuel'!C172+'Prices&amp;Fuel'!D172)/2-0.05+('Prices&amp;Fuel'!M172+'Prices&amp;Fuel'!P172)*(1-'Prices&amp;Fuel'!F172)</f>
        <v>6.36754902068552</v>
      </c>
      <c r="BI172" s="10"/>
      <c r="BJ172" s="10"/>
      <c r="BK172" s="10" t="n">
        <f aca="false">(((BB172+BE172)*('Prices&amp;Fuel'!B172+0.025))+(('Prices&amp;Fuel'!D172+0.025)*(BD172+BG172))+(('Prices&amp;Fuel'!C172+0.025)*(BC172+BF172))-(BI172+BJ172)*0.025)/(BB172+BC172+BD172+BE172+BF172+BG172)</f>
        <v>5.67831217544743</v>
      </c>
      <c r="BL172" s="9" t="n">
        <f aca="false">(BB172+BC172+BD172+BE172+BF172+BG172)*BH172*'Prices&amp;Fuel'!H172</f>
        <v>4262492.96911695</v>
      </c>
      <c r="BM172" s="9" t="n">
        <f aca="false">'Prices&amp;Fuel'!X172*('Prices&amp;Fuel'!N172+'Prices&amp;Fuel'!O172)*'Prices&amp;Fuel'!H172</f>
        <v>13833.2050576453</v>
      </c>
      <c r="BN172" s="9" t="n">
        <f aca="false">('Prices&amp;Fuel'!U172+'Prices&amp;Fuel'!V172+'Prices&amp;Fuel'!W172)*('Prices&amp;Fuel'!L172+'Prices&amp;Fuel'!O172)*'Prices&amp;Fuel'!H172</f>
        <v>108495.996910663</v>
      </c>
      <c r="BO172" s="9" t="n">
        <f aca="false">((BB172+BC172+BD172)*(1-'Prices&amp;Fuel'!G172))*('Prices&amp;Fuel'!M172+'Prices&amp;Fuel'!P172)*'Prices&amp;Fuel'!H172</f>
        <v>288278.113999995</v>
      </c>
      <c r="BP172" s="9" t="n">
        <f aca="false">((BD172+BC172+BB172+BE172+BF172+BG172)*BK172*'Prices&amp;Fuel'!H172)+BM172+BN172+BO172</f>
        <v>4211719.1167048</v>
      </c>
      <c r="BQ172" s="5" t="n">
        <f aca="false">BL172-BP172</f>
        <v>50773.8524121549</v>
      </c>
      <c r="CA172" s="5" t="n">
        <f aca="false">(AF172+AG172+AH172+AL172)*0.005*'Prices&amp;Fuel'!H172</f>
        <v>0</v>
      </c>
      <c r="CB172" s="5" t="n">
        <f aca="false">(B172+C172+D172+O172+P172+Q172+X172+Y172+BB172+BC172+BD172+BE172+BF172+BG172+BR172+BS172)*0.005*'Prices&amp;Fuel'!H172</f>
        <v>7237.54370179946</v>
      </c>
      <c r="CC172" s="7" t="n">
        <f aca="false">K172+T172+AB172+AY172+BL172+BX172</f>
        <v>7411074.61911695</v>
      </c>
      <c r="CD172" s="7" t="n">
        <f aca="false">L172+U172+AC172+AZ172+BP172+BY172+CA172+CB172</f>
        <v>7356644.9104066</v>
      </c>
      <c r="CE172" s="7" t="n">
        <f aca="false">CC172-CD172</f>
        <v>54429.7087103557</v>
      </c>
      <c r="CJ172" s="7" t="n">
        <f aca="false">CC172+CF172</f>
        <v>7411074.61911695</v>
      </c>
      <c r="CK172" s="7" t="n">
        <f aca="false">CD172+CH172</f>
        <v>7356644.9104066</v>
      </c>
      <c r="CL172" s="7" t="n">
        <f aca="false">CE172+CI172</f>
        <v>54429.7087103557</v>
      </c>
      <c r="CN172" s="7" t="n">
        <f aca="false">Transport!U172</f>
        <v>4.39204595750198E-009</v>
      </c>
      <c r="CQ172" s="7" t="n">
        <f aca="false">(((($B172+$C172+$D172+$O172+$P172+$Q172)*0.5)+BR172+BS172)*(0.005*'Prices&amp;Fuel'!$H172)+'Index Price Deals'!AV172)+(((BB172+BC172+BD172+BE172+BF172+BG172)*(1-'Prices&amp;Fuel'!F172))*0.005*0.5*'Prices&amp;Fuel'!H172)</f>
        <v>3572.74999999999</v>
      </c>
      <c r="CR172" s="7" t="n">
        <f aca="false">(((($B172+$C172+$D172+$O172+$P172+$Q172)*0.5)+X172+Y172)*(0.005*'Prices&amp;Fuel'!$H172)+CA172+'Index Price Deals'!AW172)+(((BB172+BC172+BD172+BE172+BF172+BG172)*(1-'Prices&amp;Fuel'!F172))*0.005*0.5*'Prices&amp;Fuel'!H172)</f>
        <v>3572.74999999999</v>
      </c>
      <c r="CS172" s="11"/>
      <c r="CV172" s="70" t="n">
        <f aca="false">CL172-CN172-CT172+CU172+CS172+CO172</f>
        <v>54429.7087103513</v>
      </c>
      <c r="DB172" s="1" t="n">
        <f aca="false">(O172+P172+Q172)*'Prices&amp;Fuel'!$H172</f>
        <v>778100</v>
      </c>
      <c r="DE172" s="1" t="n">
        <v>132000</v>
      </c>
    </row>
    <row r="173" customFormat="false" ht="12.75" hidden="false" customHeight="false" outlineLevel="0" collapsed="false">
      <c r="A173" s="6" t="n">
        <f aca="false">+A172+365/12</f>
        <v>40859</v>
      </c>
      <c r="O173" s="7" t="n">
        <v>9036</v>
      </c>
      <c r="P173" s="7" t="n">
        <v>10794</v>
      </c>
      <c r="Q173" s="7" t="n">
        <v>5270</v>
      </c>
      <c r="R173" s="8" t="n">
        <f aca="false">R172</f>
        <v>4.0465</v>
      </c>
      <c r="S173" s="8" t="n">
        <f aca="false">S172</f>
        <v>4.0325</v>
      </c>
      <c r="T173" s="7" t="n">
        <f aca="false">(($O173*R173)+($P173*R173)+($Q173*R173))*'Prices&amp;Fuel'!$H173</f>
        <v>3047014.5</v>
      </c>
      <c r="U173" s="7" t="n">
        <f aca="false">(($O173*S173)+($P173*S173)+($Q173*S173))*'Prices&amp;Fuel'!$H173</f>
        <v>3036472.5</v>
      </c>
      <c r="V173" s="14" t="n">
        <f aca="false">T173-U173</f>
        <v>10542</v>
      </c>
      <c r="BB173" s="5" t="n">
        <f aca="false">IF('FP Corp'!T173-((BE173+BF173+BG173)*(1-'Prices&amp;Fuel'!F173))&lt;'Prices&amp;Fuel'!R173,('FP Corp'!T173-(BE173+BF173+BG173)*(1-'Prices&amp;Fuel'!F173)),'Prices&amp;Fuel'!R173)/(1-'Prices&amp;Fuel'!F173)</f>
        <v>4325.96401028278</v>
      </c>
      <c r="BC173" s="9"/>
      <c r="BD173" s="9" t="n">
        <f aca="false">ROUND(IF('FP Corp'!T173/(1-'Prices&amp;Fuel'!F173)-BE173-BF173-BG173-BB173&gt;'Prices&amp;Fuel'!T173,'Prices&amp;Fuel'!T173,'FP Corp'!T173/(1-'Prices&amp;Fuel'!F173)-BE173-BF173-BG173-BB173),9)</f>
        <v>0</v>
      </c>
      <c r="BE173" s="9" t="n">
        <f aca="false">'Prices&amp;Fuel'!U173/(1-'Prices&amp;Fuel'!F173)</f>
        <v>2635.47557840617</v>
      </c>
      <c r="BF173" s="9" t="n">
        <f aca="false">('Prices&amp;Fuel'!V173+'Prices&amp;Fuel'!X173)/(1-'Prices&amp;Fuel'!F173)</f>
        <v>3645.2442159383</v>
      </c>
      <c r="BG173" s="9" t="n">
        <f aca="false">'Prices&amp;Fuel'!W173/(1-'Prices&amp;Fuel'!F173)</f>
        <v>1732.64781491003</v>
      </c>
      <c r="BH173" s="10" t="n">
        <f aca="false">('Prices&amp;Fuel'!C173+'Prices&amp;Fuel'!D173)/2-0.05+('Prices&amp;Fuel'!M173+'Prices&amp;Fuel'!P173)*(1-'Prices&amp;Fuel'!F173)</f>
        <v>4.47547349894158</v>
      </c>
      <c r="BI173" s="10"/>
      <c r="BJ173" s="10"/>
      <c r="BK173" s="10" t="n">
        <f aca="false">(((BB173+BE173)*('Prices&amp;Fuel'!B173+0.025))+(('Prices&amp;Fuel'!D173+0.025)*(BD173+BG173))+(('Prices&amp;Fuel'!C173+0.025)*(BC173+BF173))-(BI173+BJ173)*0.025)/(BB173+BC173+BD173+BE173+BF173+BG173)</f>
        <v>3.79015391560824</v>
      </c>
      <c r="BL173" s="9" t="n">
        <f aca="false">(BB173+BC173+BD173+BE173+BF173+BG173)*BH173*'Prices&amp;Fuel'!H173</f>
        <v>1656730.54973673</v>
      </c>
      <c r="BM173" s="9" t="n">
        <f aca="false">'Prices&amp;Fuel'!X173*('Prices&amp;Fuel'!N173+'Prices&amp;Fuel'!O173)*'Prices&amp;Fuel'!H173</f>
        <v>9134.1681425398</v>
      </c>
      <c r="BN173" s="9" t="n">
        <f aca="false">('Prices&amp;Fuel'!U173+'Prices&amp;Fuel'!V173+'Prices&amp;Fuel'!W173)*('Prices&amp;Fuel'!L173+'Prices&amp;Fuel'!O173)*'Prices&amp;Fuel'!H173</f>
        <v>95086.2891558682</v>
      </c>
      <c r="BO173" s="9" t="n">
        <f aca="false">((BB173+BC173+BD173)*(1-'Prices&amp;Fuel'!G173))*('Prices&amp;Fuel'!M173+'Prices&amp;Fuel'!P173)*'Prices&amp;Fuel'!H173</f>
        <v>96613.755</v>
      </c>
      <c r="BP173" s="9" t="n">
        <f aca="false">((BD173+BC173+BB173+BE173+BF173+BG173)*BK173*'Prices&amp;Fuel'!H173)+BM173+BN173+BO173</f>
        <v>1603873.19391174</v>
      </c>
      <c r="BQ173" s="5" t="n">
        <f aca="false">BL173-BP173</f>
        <v>52857.3558249858</v>
      </c>
      <c r="CA173" s="5" t="n">
        <f aca="false">(AF173+AG173+AH173+AL173)*0.005*'Prices&amp;Fuel'!H173</f>
        <v>0</v>
      </c>
      <c r="CB173" s="5" t="n">
        <f aca="false">(B173+C173+D173+O173+P173+Q173+X173+Y173+BB173+BC173+BD173+BE173+BF173+BG173+BR173+BS173)*0.005*'Prices&amp;Fuel'!H173</f>
        <v>5615.89974293059</v>
      </c>
      <c r="CC173" s="7" t="n">
        <f aca="false">K173+T173+AB173+AY173+BL173+BX173</f>
        <v>4703745.04973673</v>
      </c>
      <c r="CD173" s="7" t="n">
        <f aca="false">L173+U173+AC173+AZ173+BP173+BY173+CA173+CB173</f>
        <v>4645961.59365467</v>
      </c>
      <c r="CE173" s="7" t="n">
        <f aca="false">CC173-CD173</f>
        <v>57783.4560820553</v>
      </c>
      <c r="CJ173" s="7" t="n">
        <f aca="false">CC173+CF173</f>
        <v>4703745.04973673</v>
      </c>
      <c r="CK173" s="7" t="n">
        <f aca="false">CD173+CH173</f>
        <v>4645961.59365467</v>
      </c>
      <c r="CL173" s="7" t="n">
        <f aca="false">CE173+CI173</f>
        <v>57783.4560820553</v>
      </c>
      <c r="CN173" s="7" t="n">
        <f aca="false">Transport!U173</f>
        <v>0</v>
      </c>
      <c r="CQ173" s="7" t="n">
        <f aca="false">(((($B173+$C173+$D173+$O173+$P173+$Q173)*0.5)+BR173+BS173)*(0.005*'Prices&amp;Fuel'!$H173)+'Index Price Deals'!AV173)+(((BB173+BC173+BD173+BE173+BF173+BG173)*(1-'Prices&amp;Fuel'!F173))*0.005*0.5*'Prices&amp;Fuel'!H173)</f>
        <v>2782.5</v>
      </c>
      <c r="CR173" s="7" t="n">
        <f aca="false">(((($B173+$C173+$D173+$O173+$P173+$Q173)*0.5)+X173+Y173)*(0.005*'Prices&amp;Fuel'!$H173)+CA173+'Index Price Deals'!AW173)+(((BB173+BC173+BD173+BE173+BF173+BG173)*(1-'Prices&amp;Fuel'!F173))*0.005*0.5*'Prices&amp;Fuel'!H173)</f>
        <v>2782.5</v>
      </c>
      <c r="CS173" s="11"/>
      <c r="CV173" s="70" t="n">
        <f aca="false">CL173-CN173-CT173+CU173+CS173+CO173</f>
        <v>57783.4560820553</v>
      </c>
      <c r="DB173" s="1" t="n">
        <f aca="false">(O173+P173+Q173)*'Prices&amp;Fuel'!$H173</f>
        <v>753000</v>
      </c>
      <c r="DE173" s="1" t="n">
        <v>132000</v>
      </c>
    </row>
    <row r="174" customFormat="false" ht="12.75" hidden="false" customHeight="false" outlineLevel="0" collapsed="false">
      <c r="A174" s="6" t="n">
        <f aca="false">+A173+365/12</f>
        <v>40889.4166666667</v>
      </c>
      <c r="O174" s="7" t="n">
        <v>9036</v>
      </c>
      <c r="P174" s="7" t="n">
        <v>10794</v>
      </c>
      <c r="Q174" s="7" t="n">
        <v>5270</v>
      </c>
      <c r="R174" s="8" t="n">
        <f aca="false">R173</f>
        <v>4.0465</v>
      </c>
      <c r="S174" s="8" t="n">
        <f aca="false">S173</f>
        <v>4.0325</v>
      </c>
      <c r="T174" s="7" t="n">
        <f aca="false">(($O174*R174)+($P174*R174)+($Q174*R174))*'Prices&amp;Fuel'!$H174</f>
        <v>3148581.65</v>
      </c>
      <c r="U174" s="7" t="n">
        <f aca="false">(($O174*S174)+($P174*S174)+($Q174*S174))*'Prices&amp;Fuel'!$H174</f>
        <v>3137688.25</v>
      </c>
      <c r="V174" s="14" t="n">
        <f aca="false">T174-U174</f>
        <v>10893.3999999999</v>
      </c>
      <c r="BB174" s="5" t="n">
        <f aca="false">IF('FP Corp'!T174-((BE174+BF174+BG174)*(1-'Prices&amp;Fuel'!F174))&lt;'Prices&amp;Fuel'!R174,('FP Corp'!T174-(BE174+BF174+BG174)*(1-'Prices&amp;Fuel'!F174)),'Prices&amp;Fuel'!R174)/(1-'Prices&amp;Fuel'!F174)</f>
        <v>4325.96401028278</v>
      </c>
      <c r="BC174" s="9"/>
      <c r="BD174" s="9" t="n">
        <f aca="false">ROUND(IF('FP Corp'!T174/(1-'Prices&amp;Fuel'!F174)-BE174-BF174-BG174-BB174&gt;'Prices&amp;Fuel'!T174,'Prices&amp;Fuel'!T174,'FP Corp'!T174/(1-'Prices&amp;Fuel'!F174)-BE174-BF174-BG174-BB174),9)</f>
        <v>0</v>
      </c>
      <c r="BE174" s="9" t="n">
        <f aca="false">'Prices&amp;Fuel'!U174/(1-'Prices&amp;Fuel'!F174)</f>
        <v>2635.47557840617</v>
      </c>
      <c r="BF174" s="9" t="n">
        <f aca="false">('Prices&amp;Fuel'!V174+'Prices&amp;Fuel'!X174)/(1-'Prices&amp;Fuel'!F174)</f>
        <v>3645.2442159383</v>
      </c>
      <c r="BG174" s="9" t="n">
        <f aca="false">'Prices&amp;Fuel'!W174/(1-'Prices&amp;Fuel'!F174)</f>
        <v>1732.64781491003</v>
      </c>
      <c r="BH174" s="10" t="n">
        <f aca="false">('Prices&amp;Fuel'!C174+'Prices&amp;Fuel'!D174)/2-0.05+('Prices&amp;Fuel'!M174+'Prices&amp;Fuel'!P174)*(1-'Prices&amp;Fuel'!F174)</f>
        <v>3.51303045897934</v>
      </c>
      <c r="BI174" s="10"/>
      <c r="BJ174" s="10"/>
      <c r="BK174" s="10" t="n">
        <f aca="false">(((BB174+BE174)*('Prices&amp;Fuel'!B174+0.025))+(('Prices&amp;Fuel'!D174+0.025)*(BD174+BG174))+(('Prices&amp;Fuel'!C174+0.025)*(BC174+BF174))-(BI174+BJ174)*0.025)/(BB174+BC174+BD174+BE174+BF174+BG174)</f>
        <v>2.82771087564601</v>
      </c>
      <c r="BL174" s="9" t="n">
        <f aca="false">(BB174+BC174+BD174+BE174+BF174+BG174)*BH174*'Prices&amp;Fuel'!H174</f>
        <v>1343801.88250932</v>
      </c>
      <c r="BM174" s="9" t="n">
        <f aca="false">'Prices&amp;Fuel'!X174*('Prices&amp;Fuel'!N174+'Prices&amp;Fuel'!O174)*'Prices&amp;Fuel'!H174</f>
        <v>9438.64041395779</v>
      </c>
      <c r="BN174" s="9" t="n">
        <f aca="false">('Prices&amp;Fuel'!U174+'Prices&amp;Fuel'!V174+'Prices&amp;Fuel'!W174)*('Prices&amp;Fuel'!L174+'Prices&amp;Fuel'!O174)*'Prices&amp;Fuel'!H174</f>
        <v>98255.8321277305</v>
      </c>
      <c r="BO174" s="9" t="n">
        <f aca="false">((BB174+BC174+BD174)*(1-'Prices&amp;Fuel'!G174))*('Prices&amp;Fuel'!M174+'Prices&amp;Fuel'!P174)*'Prices&amp;Fuel'!H174</f>
        <v>99834.2135</v>
      </c>
      <c r="BP174" s="9" t="n">
        <f aca="false">((BD174+BC174+BB174+BE174+BF174+BG174)*BK174*'Prices&amp;Fuel'!H174)+BM174+BN174+BO174</f>
        <v>1289182.6148235</v>
      </c>
      <c r="BQ174" s="5" t="n">
        <f aca="false">BL174-BP174</f>
        <v>54619.2676858183</v>
      </c>
      <c r="CA174" s="5" t="n">
        <f aca="false">(AF174+AG174+AH174+AL174)*0.005*'Prices&amp;Fuel'!H174</f>
        <v>0</v>
      </c>
      <c r="CB174" s="5" t="n">
        <f aca="false">(B174+C174+D174+O174+P174+Q174+X174+Y174+BB174+BC174+BD174+BE174+BF174+BG174+BR174+BS174)*0.005*'Prices&amp;Fuel'!H174</f>
        <v>5803.09640102828</v>
      </c>
      <c r="CC174" s="7" t="n">
        <f aca="false">K174+T174+AB174+AY174+BL174+BX174</f>
        <v>4492383.53250932</v>
      </c>
      <c r="CD174" s="7" t="n">
        <f aca="false">L174+U174+AC174+AZ174+BP174+BY174+CA174+CB174</f>
        <v>4432673.96122453</v>
      </c>
      <c r="CE174" s="7" t="n">
        <f aca="false">CC174-CD174</f>
        <v>59709.5712847905</v>
      </c>
      <c r="CJ174" s="7" t="n">
        <f aca="false">CC174+CF174</f>
        <v>4492383.53250932</v>
      </c>
      <c r="CK174" s="7" t="n">
        <f aca="false">CD174+CH174</f>
        <v>4432673.96122453</v>
      </c>
      <c r="CL174" s="7" t="n">
        <f aca="false">CE174+CI174</f>
        <v>59709.5712847905</v>
      </c>
      <c r="CM174" s="7" t="n">
        <f aca="false">SUM(CL163:CL174)</f>
        <v>519500.444808022</v>
      </c>
      <c r="CN174" s="7" t="n">
        <f aca="false">Transport!U174</f>
        <v>0</v>
      </c>
      <c r="CQ174" s="7" t="n">
        <f aca="false">(((($B174+$C174+$D174+$O174+$P174+$Q174)*0.5)+BR174+BS174)*(0.005*'Prices&amp;Fuel'!$H174)+'Index Price Deals'!AV174)+(((BB174+BC174+BD174+BE174+BF174+BG174)*(1-'Prices&amp;Fuel'!F174))*0.005*0.5*'Prices&amp;Fuel'!H174)</f>
        <v>2875.25</v>
      </c>
      <c r="CR174" s="7" t="n">
        <f aca="false">(((($B174+$C174+$D174+$O174+$P174+$Q174)*0.5)+X174+Y174)*(0.005*'Prices&amp;Fuel'!$H174)+CA174+'Index Price Deals'!AW174)+(((BB174+BC174+BD174+BE174+BF174+BG174)*(1-'Prices&amp;Fuel'!F174))*0.005*0.5*'Prices&amp;Fuel'!H174)</f>
        <v>2875.25</v>
      </c>
      <c r="CS174" s="11"/>
      <c r="CV174" s="70" t="n">
        <f aca="false">CL174-CN174-CT174+CU174+CS174+CO174</f>
        <v>59709.5712847905</v>
      </c>
      <c r="DB174" s="1" t="n">
        <f aca="false">(O174+P174+Q174)*'Prices&amp;Fuel'!$H174</f>
        <v>778100</v>
      </c>
      <c r="DE174" s="1" t="n">
        <v>132000</v>
      </c>
    </row>
    <row r="175" customFormat="false" ht="12.75" hidden="false" customHeight="false" outlineLevel="0" collapsed="false">
      <c r="A175" s="6" t="n">
        <f aca="false">+A174+365/12</f>
        <v>40919.8333333333</v>
      </c>
      <c r="O175" s="7" t="n">
        <v>9036</v>
      </c>
      <c r="P175" s="7" t="n">
        <v>10794</v>
      </c>
      <c r="Q175" s="7" t="n">
        <v>5270</v>
      </c>
      <c r="R175" s="8" t="n">
        <f aca="false">R174</f>
        <v>4.0465</v>
      </c>
      <c r="S175" s="8" t="n">
        <f aca="false">S174</f>
        <v>4.0325</v>
      </c>
      <c r="T175" s="7" t="n">
        <f aca="false">(($O175*R175)+($P175*R175)+($Q175*R175))*'Prices&amp;Fuel'!$H175</f>
        <v>3148581.65</v>
      </c>
      <c r="U175" s="7" t="n">
        <f aca="false">(($O175*S175)+($P175*S175)+($Q175*S175))*'Prices&amp;Fuel'!$H175</f>
        <v>3137688.25</v>
      </c>
      <c r="V175" s="14" t="n">
        <f aca="false">T175-U175</f>
        <v>10893.3999999999</v>
      </c>
      <c r="BB175" s="5" t="n">
        <f aca="false">IF('FP Corp'!T175-((BE175+BF175+BG175)*(1-'Prices&amp;Fuel'!F175))&lt;'Prices&amp;Fuel'!R175,('FP Corp'!T175-(BE175+BF175+BG175)*(1-'Prices&amp;Fuel'!F175)),'Prices&amp;Fuel'!R175)/(1-'Prices&amp;Fuel'!F175)</f>
        <v>4325.96401028278</v>
      </c>
      <c r="BC175" s="9"/>
      <c r="BD175" s="9" t="n">
        <f aca="false">ROUND(IF('FP Corp'!T175/(1-'Prices&amp;Fuel'!F175)-BE175-BF175-BG175-BB175&gt;'Prices&amp;Fuel'!T175,'Prices&amp;Fuel'!T175,'FP Corp'!T175/(1-'Prices&amp;Fuel'!F175)-BE175-BF175-BG175-BB175),9)</f>
        <v>0</v>
      </c>
      <c r="BE175" s="9" t="n">
        <f aca="false">'Prices&amp;Fuel'!U175/(1-'Prices&amp;Fuel'!F175)</f>
        <v>2635.47557840617</v>
      </c>
      <c r="BF175" s="9" t="n">
        <f aca="false">('Prices&amp;Fuel'!V175+'Prices&amp;Fuel'!X175)/(1-'Prices&amp;Fuel'!F175)</f>
        <v>3645.2442159383</v>
      </c>
      <c r="BG175" s="9" t="n">
        <f aca="false">'Prices&amp;Fuel'!W175/(1-'Prices&amp;Fuel'!F175)</f>
        <v>1732.64781491003</v>
      </c>
      <c r="BH175" s="10" t="n">
        <f aca="false">('Prices&amp;Fuel'!C175+'Prices&amp;Fuel'!D175)/2-0.05+('Prices&amp;Fuel'!M175+'Prices&amp;Fuel'!P175)*(1-'Prices&amp;Fuel'!F175)</f>
        <v>3.17694097468344</v>
      </c>
      <c r="BI175" s="10"/>
      <c r="BJ175" s="10"/>
      <c r="BK175" s="10" t="n">
        <f aca="false">(((BB175+BE175)*('Prices&amp;Fuel'!B175+0.025))+(('Prices&amp;Fuel'!D175+0.025)*(BD175+BG175))+(('Prices&amp;Fuel'!C175+0.025)*(BC175+BF175))-(BI175+BJ175)*0.025)/(BB175+BC175+BD175+BE175+BF175+BG175)</f>
        <v>2.4916213913501</v>
      </c>
      <c r="BL175" s="9" t="n">
        <f aca="false">(BB175+BC175+BD175+BE175+BF175+BG175)*BH175*'Prices&amp;Fuel'!H175</f>
        <v>1215241.17489176</v>
      </c>
      <c r="BM175" s="9" t="n">
        <f aca="false">'Prices&amp;Fuel'!X175*('Prices&amp;Fuel'!N175+'Prices&amp;Fuel'!O175)*'Prices&amp;Fuel'!H175</f>
        <v>9415.61121091419</v>
      </c>
      <c r="BN175" s="9" t="n">
        <f aca="false">('Prices&amp;Fuel'!U175+'Prices&amp;Fuel'!V175+'Prices&amp;Fuel'!W175)*('Prices&amp;Fuel'!L175+'Prices&amp;Fuel'!O175)*'Prices&amp;Fuel'!H175</f>
        <v>98016.0991355782</v>
      </c>
      <c r="BO175" s="9" t="n">
        <f aca="false">((BB175+BC175+BD175)*(1-'Prices&amp;Fuel'!G175))*('Prices&amp;Fuel'!M175+'Prices&amp;Fuel'!P175)*'Prices&amp;Fuel'!H175</f>
        <v>99834.2135</v>
      </c>
      <c r="BP175" s="9" t="n">
        <f aca="false">((BD175+BC175+BB175+BE175+BF175+BG175)*BK175*'Prices&amp;Fuel'!H175)+BM175+BN175+BO175</f>
        <v>1160359.14501075</v>
      </c>
      <c r="BQ175" s="5" t="n">
        <f aca="false">BL175-BP175</f>
        <v>54882.029881014</v>
      </c>
      <c r="CA175" s="5" t="n">
        <f aca="false">(AF175+AG175+AH175+AL175)*0.005*'Prices&amp;Fuel'!H175</f>
        <v>0</v>
      </c>
      <c r="CB175" s="5" t="n">
        <f aca="false">(B175+C175+D175+O175+P175+Q175+X175+Y175+BB175+BC175+BD175+BE175+BF175+BG175+BR175+BS175)*0.005*'Prices&amp;Fuel'!H175</f>
        <v>5803.09640102828</v>
      </c>
      <c r="CC175" s="7" t="n">
        <f aca="false">K175+T175+AB175+AY175+BL175+BX175</f>
        <v>4363822.82489176</v>
      </c>
      <c r="CD175" s="7" t="n">
        <f aca="false">L175+U175+AC175+AZ175+BP175+BY175+CA175+CB175</f>
        <v>4303850.49141178</v>
      </c>
      <c r="CE175" s="7" t="n">
        <f aca="false">CC175-CD175</f>
        <v>59972.3334799856</v>
      </c>
      <c r="CJ175" s="7" t="n">
        <f aca="false">CC175+CF175</f>
        <v>4363822.82489176</v>
      </c>
      <c r="CK175" s="7" t="n">
        <f aca="false">CD175+CH175</f>
        <v>4303850.49141178</v>
      </c>
      <c r="CL175" s="7" t="n">
        <f aca="false">CE175+CI175</f>
        <v>59972.3334799856</v>
      </c>
      <c r="CN175" s="7" t="n">
        <f aca="false">Transport!U175</f>
        <v>0</v>
      </c>
      <c r="CQ175" s="7" t="n">
        <f aca="false">(((($B175+$C175+$D175+$O175+$P175+$Q175)*0.5)+BR175+BS175)*(0.005*'Prices&amp;Fuel'!$H175)+'Index Price Deals'!AV175)+(((BB175+BC175+BD175+BE175+BF175+BG175)*(1-'Prices&amp;Fuel'!F175))*0.005*0.5*'Prices&amp;Fuel'!H175)</f>
        <v>2875.25</v>
      </c>
      <c r="CR175" s="7" t="n">
        <f aca="false">(((($B175+$C175+$D175+$O175+$P175+$Q175)*0.5)+X175+Y175)*(0.005*'Prices&amp;Fuel'!$H175)+CA175+'Index Price Deals'!AW175)+(((BB175+BC175+BD175+BE175+BF175+BG175)*(1-'Prices&amp;Fuel'!F175))*0.005*0.5*'Prices&amp;Fuel'!H175)</f>
        <v>2875.25</v>
      </c>
      <c r="CS175" s="11"/>
      <c r="CV175" s="70" t="n">
        <f aca="false">CL175-CN175-CT175+CU175+CS175+CO175</f>
        <v>59972.3334799856</v>
      </c>
      <c r="DB175" s="1" t="n">
        <f aca="false">(O175+P175+Q175)*'Prices&amp;Fuel'!$H175</f>
        <v>778100</v>
      </c>
      <c r="DE175" s="1" t="n">
        <v>132000</v>
      </c>
    </row>
    <row r="176" customFormat="false" ht="12.75" hidden="false" customHeight="false" outlineLevel="0" collapsed="false">
      <c r="A176" s="6" t="n">
        <f aca="false">+A175+365/12</f>
        <v>40950.25</v>
      </c>
      <c r="O176" s="7" t="n">
        <v>9036</v>
      </c>
      <c r="P176" s="7" t="n">
        <v>10794</v>
      </c>
      <c r="Q176" s="7" t="n">
        <v>5270</v>
      </c>
      <c r="R176" s="8" t="n">
        <f aca="false">R175</f>
        <v>4.0465</v>
      </c>
      <c r="S176" s="8" t="n">
        <f aca="false">S175</f>
        <v>4.0325</v>
      </c>
      <c r="T176" s="7" t="n">
        <f aca="false">(($O176*R176)+($P176*R176)+($Q176*R176))*'Prices&amp;Fuel'!$H176</f>
        <v>2945447.35</v>
      </c>
      <c r="U176" s="7" t="n">
        <f aca="false">(($O176*S176)+($P176*S176)+($Q176*S176))*'Prices&amp;Fuel'!$H176</f>
        <v>2935256.75</v>
      </c>
      <c r="V176" s="14" t="n">
        <f aca="false">T176-U176</f>
        <v>10190.5999999996</v>
      </c>
      <c r="BB176" s="5" t="n">
        <f aca="false">IF('FP Corp'!T176-((BE176+BF176+BG176)*(1-'Prices&amp;Fuel'!F176))&lt;'Prices&amp;Fuel'!R176,('FP Corp'!T176-(BE176+BF176+BG176)*(1-'Prices&amp;Fuel'!F176)),'Prices&amp;Fuel'!R176)/(1-'Prices&amp;Fuel'!F176)</f>
        <v>4325.96401028278</v>
      </c>
      <c r="BC176" s="9"/>
      <c r="BD176" s="9" t="n">
        <f aca="false">ROUND(IF('FP Corp'!T176/(1-'Prices&amp;Fuel'!F176)-BE176-BF176-BG176-BB176&gt;'Prices&amp;Fuel'!T176,'Prices&amp;Fuel'!T176,'FP Corp'!T176/(1-'Prices&amp;Fuel'!F176)-BE176-BF176-BG176-BB176),9)</f>
        <v>0</v>
      </c>
      <c r="BE176" s="9" t="n">
        <f aca="false">'Prices&amp;Fuel'!U176/(1-'Prices&amp;Fuel'!F176)</f>
        <v>2635.47557840617</v>
      </c>
      <c r="BF176" s="9" t="n">
        <f aca="false">('Prices&amp;Fuel'!V176+'Prices&amp;Fuel'!X176)/(1-'Prices&amp;Fuel'!F176)</f>
        <v>3645.2442159383</v>
      </c>
      <c r="BG176" s="9" t="n">
        <f aca="false">'Prices&amp;Fuel'!W176/(1-'Prices&amp;Fuel'!F176)</f>
        <v>1732.64781491003</v>
      </c>
      <c r="BH176" s="10" t="n">
        <f aca="false">('Prices&amp;Fuel'!C176+'Prices&amp;Fuel'!D176)/2-0.05+('Prices&amp;Fuel'!M176+'Prices&amp;Fuel'!P176)*(1-'Prices&amp;Fuel'!F176)</f>
        <v>3.47518894854446</v>
      </c>
      <c r="BI176" s="10"/>
      <c r="BJ176" s="10"/>
      <c r="BK176" s="10" t="n">
        <f aca="false">(((BB176+BE176)*('Prices&amp;Fuel'!B176+0.025))+(('Prices&amp;Fuel'!D176+0.025)*(BD176+BG176))+(('Prices&amp;Fuel'!C176+0.025)*(BC176+BF176))-(BI176+BJ176)*0.025)/(BB176+BC176+BD176+BE176+BF176+BG176)</f>
        <v>2.78986936521113</v>
      </c>
      <c r="BL176" s="9" t="n">
        <f aca="false">(BB176+BC176+BD176+BE176+BF176+BG176)*BH176*'Prices&amp;Fuel'!H176</f>
        <v>1243563.75742259</v>
      </c>
      <c r="BM176" s="9" t="n">
        <f aca="false">'Prices&amp;Fuel'!X176*('Prices&amp;Fuel'!N176+'Prices&amp;Fuel'!O176)*'Prices&amp;Fuel'!H176</f>
        <v>8808.15242311328</v>
      </c>
      <c r="BN176" s="9" t="n">
        <f aca="false">('Prices&amp;Fuel'!U176+'Prices&amp;Fuel'!V176+'Prices&amp;Fuel'!W176)*('Prices&amp;Fuel'!L176+'Prices&amp;Fuel'!O176)*'Prices&amp;Fuel'!H176</f>
        <v>91692.4798365087</v>
      </c>
      <c r="BO176" s="9" t="n">
        <f aca="false">((BB176+BC176+BD176)*(1-'Prices&amp;Fuel'!G176))*('Prices&amp;Fuel'!M176+'Prices&amp;Fuel'!P176)*'Prices&amp;Fuel'!H176</f>
        <v>93393.2965</v>
      </c>
      <c r="BP176" s="9" t="n">
        <f aca="false">((BD176+BC176+BB176+BE176+BF176+BG176)*BK176*'Prices&amp;Fuel'!H176)+BM176+BN176+BO176</f>
        <v>1192222.50366293</v>
      </c>
      <c r="BQ176" s="5" t="n">
        <f aca="false">BL176-BP176</f>
        <v>51341.2537596584</v>
      </c>
      <c r="CA176" s="5" t="n">
        <f aca="false">(AF176+AG176+AH176+AL176)*0.005*'Prices&amp;Fuel'!H176</f>
        <v>0</v>
      </c>
      <c r="CB176" s="5" t="n">
        <f aca="false">(B176+C176+D176+O176+P176+Q176+X176+Y176+BB176+BC176+BD176+BE176+BF176+BG176+BR176+BS176)*0.005*'Prices&amp;Fuel'!H176</f>
        <v>5428.70308483291</v>
      </c>
      <c r="CC176" s="7" t="n">
        <f aca="false">K176+T176+AB176+AY176+BL176+BX176</f>
        <v>4189011.10742259</v>
      </c>
      <c r="CD176" s="7" t="n">
        <f aca="false">L176+U176+AC176+AZ176+BP176+BY176+CA176+CB176</f>
        <v>4132907.95674777</v>
      </c>
      <c r="CE176" s="7" t="n">
        <f aca="false">CC176-CD176</f>
        <v>56103.1506748255</v>
      </c>
      <c r="CJ176" s="7" t="n">
        <f aca="false">CC176+CF176</f>
        <v>4189011.10742259</v>
      </c>
      <c r="CK176" s="7" t="n">
        <f aca="false">CD176+CH176</f>
        <v>4132907.95674777</v>
      </c>
      <c r="CL176" s="7" t="n">
        <f aca="false">CE176+CI176</f>
        <v>56103.1506748255</v>
      </c>
      <c r="CN176" s="7" t="n">
        <f aca="false">Transport!U176</f>
        <v>0</v>
      </c>
      <c r="CQ176" s="7" t="n">
        <f aca="false">(((($B176+$C176+$D176+$O176+$P176+$Q176)*0.5)+BR176+BS176)*(0.005*'Prices&amp;Fuel'!$H176)+'Index Price Deals'!AV176)+(((BB176+BC176+BD176+BE176+BF176+BG176)*(1-'Prices&amp;Fuel'!F176))*0.005*0.5*'Prices&amp;Fuel'!H176)</f>
        <v>2689.75</v>
      </c>
      <c r="CR176" s="7" t="n">
        <f aca="false">(((($B176+$C176+$D176+$O176+$P176+$Q176)*0.5)+X176+Y176)*(0.005*'Prices&amp;Fuel'!$H176)+CA176+'Index Price Deals'!AW176)+(((BB176+BC176+BD176+BE176+BF176+BG176)*(1-'Prices&amp;Fuel'!F176))*0.005*0.5*'Prices&amp;Fuel'!H176)</f>
        <v>2689.75</v>
      </c>
      <c r="CS176" s="11"/>
      <c r="CV176" s="70" t="n">
        <f aca="false">CL176-CN176-CT176+CU176+CS176+CO176</f>
        <v>56103.1506748255</v>
      </c>
      <c r="DB176" s="1" t="n">
        <f aca="false">(O176+P176+Q176)*'Prices&amp;Fuel'!$H176</f>
        <v>727900</v>
      </c>
      <c r="DE176" s="1" t="n">
        <v>132000</v>
      </c>
    </row>
    <row r="177" customFormat="false" ht="12.75" hidden="false" customHeight="false" outlineLevel="0" collapsed="false">
      <c r="A177" s="6" t="n">
        <f aca="false">+A176+365/12</f>
        <v>40980.6666666667</v>
      </c>
      <c r="O177" s="7" t="n">
        <v>9036</v>
      </c>
      <c r="P177" s="7" t="n">
        <v>10794</v>
      </c>
      <c r="Q177" s="7" t="n">
        <v>5270</v>
      </c>
      <c r="R177" s="8" t="n">
        <f aca="false">R176</f>
        <v>4.0465</v>
      </c>
      <c r="S177" s="8" t="n">
        <f aca="false">S176</f>
        <v>4.0325</v>
      </c>
      <c r="T177" s="7" t="n">
        <f aca="false">(($O177*R177)+($P177*R177)+($Q177*R177))*'Prices&amp;Fuel'!$H177</f>
        <v>3148581.65</v>
      </c>
      <c r="U177" s="7" t="n">
        <f aca="false">(($O177*S177)+($P177*S177)+($Q177*S177))*'Prices&amp;Fuel'!$H177</f>
        <v>3137688.25</v>
      </c>
      <c r="V177" s="14" t="n">
        <f aca="false">T177-U177</f>
        <v>10893.3999999999</v>
      </c>
      <c r="BB177" s="5" t="n">
        <f aca="false">IF('FP Corp'!T177-((BE177+BF177+BG177)*(1-'Prices&amp;Fuel'!F177))&lt;'Prices&amp;Fuel'!R177,('FP Corp'!T177-(BE177+BF177+BG177)*(1-'Prices&amp;Fuel'!F177)),'Prices&amp;Fuel'!R177)/(1-'Prices&amp;Fuel'!F177)</f>
        <v>4325.96401028278</v>
      </c>
      <c r="BC177" s="9"/>
      <c r="BD177" s="9" t="n">
        <f aca="false">ROUND(IF('FP Corp'!T177/(1-'Prices&amp;Fuel'!F177)-BE177-BF177-BG177-BB177&gt;'Prices&amp;Fuel'!T177,'Prices&amp;Fuel'!T177,'FP Corp'!T177/(1-'Prices&amp;Fuel'!F177)-BE177-BF177-BG177-BB177),9)</f>
        <v>0</v>
      </c>
      <c r="BE177" s="9" t="n">
        <f aca="false">'Prices&amp;Fuel'!U177/(1-'Prices&amp;Fuel'!F177)</f>
        <v>2635.47557840617</v>
      </c>
      <c r="BF177" s="9" t="n">
        <f aca="false">('Prices&amp;Fuel'!V177+'Prices&amp;Fuel'!X177)/(1-'Prices&amp;Fuel'!F177)</f>
        <v>3645.2442159383</v>
      </c>
      <c r="BG177" s="9" t="n">
        <f aca="false">'Prices&amp;Fuel'!W177/(1-'Prices&amp;Fuel'!F177)</f>
        <v>1732.64781491003</v>
      </c>
      <c r="BH177" s="10" t="n">
        <f aca="false">('Prices&amp;Fuel'!C177+'Prices&amp;Fuel'!D177)/2-0.05+('Prices&amp;Fuel'!M177+'Prices&amp;Fuel'!P177)*(1-'Prices&amp;Fuel'!F177)</f>
        <v>3.47518894854446</v>
      </c>
      <c r="BI177" s="10"/>
      <c r="BJ177" s="10"/>
      <c r="BK177" s="10" t="n">
        <f aca="false">(((BB177+BE177)*('Prices&amp;Fuel'!B177+0.025))+(('Prices&amp;Fuel'!D177+0.025)*(BD177+BG177))+(('Prices&amp;Fuel'!C177+0.025)*(BC177+BF177))-(BI177+BJ177)*0.025)/(BB177+BC177+BD177+BE177+BF177+BG177)</f>
        <v>2.78986936521113</v>
      </c>
      <c r="BL177" s="9" t="n">
        <f aca="false">(BB177+BC177+BD177+BE177+BF177+BG177)*BH177*'Prices&amp;Fuel'!H177</f>
        <v>1329326.77517588</v>
      </c>
      <c r="BM177" s="9" t="n">
        <f aca="false">'Prices&amp;Fuel'!X177*('Prices&amp;Fuel'!N177+'Prices&amp;Fuel'!O177)*'Prices&amp;Fuel'!H177</f>
        <v>9415.61121091419</v>
      </c>
      <c r="BN177" s="9" t="n">
        <f aca="false">('Prices&amp;Fuel'!U177+'Prices&amp;Fuel'!V177+'Prices&amp;Fuel'!W177)*('Prices&amp;Fuel'!L177+'Prices&amp;Fuel'!O177)*'Prices&amp;Fuel'!H177</f>
        <v>98016.0991355782</v>
      </c>
      <c r="BO177" s="9" t="n">
        <f aca="false">((BB177+BC177+BD177)*(1-'Prices&amp;Fuel'!G177))*('Prices&amp;Fuel'!M177+'Prices&amp;Fuel'!P177)*'Prices&amp;Fuel'!H177</f>
        <v>99834.2135</v>
      </c>
      <c r="BP177" s="9" t="n">
        <f aca="false">((BD177+BC177+BB177+BE177+BF177+BG177)*BK177*'Prices&amp;Fuel'!H177)+BM177+BN177+BO177</f>
        <v>1274444.74529486</v>
      </c>
      <c r="BQ177" s="5" t="n">
        <f aca="false">BL177-BP177</f>
        <v>54882.0298810143</v>
      </c>
      <c r="CA177" s="5" t="n">
        <f aca="false">(AF177+AG177+AH177+AL177)*0.005*'Prices&amp;Fuel'!H177</f>
        <v>0</v>
      </c>
      <c r="CB177" s="5" t="n">
        <f aca="false">(B177+C177+D177+O177+P177+Q177+X177+Y177+BB177+BC177+BD177+BE177+BF177+BG177+BR177+BS177)*0.005*'Prices&amp;Fuel'!H177</f>
        <v>5803.09640102828</v>
      </c>
      <c r="CC177" s="7" t="n">
        <f aca="false">K177+T177+AB177+AY177+BL177+BX177</f>
        <v>4477908.42517588</v>
      </c>
      <c r="CD177" s="7" t="n">
        <f aca="false">L177+U177+AC177+AZ177+BP177+BY177+CA177+CB177</f>
        <v>4417936.09169589</v>
      </c>
      <c r="CE177" s="7" t="n">
        <f aca="false">CC177-CD177</f>
        <v>59972.3334799856</v>
      </c>
      <c r="CJ177" s="7" t="n">
        <f aca="false">CC177+CF177</f>
        <v>4477908.42517588</v>
      </c>
      <c r="CK177" s="7" t="n">
        <f aca="false">CD177+CH177</f>
        <v>4417936.09169589</v>
      </c>
      <c r="CL177" s="7" t="n">
        <f aca="false">CE177+CI177</f>
        <v>59972.3334799856</v>
      </c>
      <c r="CN177" s="7" t="n">
        <f aca="false">Transport!U177</f>
        <v>0</v>
      </c>
      <c r="CQ177" s="7" t="n">
        <f aca="false">(((($B177+$C177+$D177+$O177+$P177+$Q177)*0.5)+BR177+BS177)*(0.005*'Prices&amp;Fuel'!$H177)+'Index Price Deals'!AV177)+(((BB177+BC177+BD177+BE177+BF177+BG177)*(1-'Prices&amp;Fuel'!F177))*0.005*0.5*'Prices&amp;Fuel'!H177)</f>
        <v>2875.25</v>
      </c>
      <c r="CR177" s="7" t="n">
        <f aca="false">(((($B177+$C177+$D177+$O177+$P177+$Q177)*0.5)+X177+Y177)*(0.005*'Prices&amp;Fuel'!$H177)+CA177+'Index Price Deals'!AW177)+(((BB177+BC177+BD177+BE177+BF177+BG177)*(1-'Prices&amp;Fuel'!F177))*0.005*0.5*'Prices&amp;Fuel'!H177)</f>
        <v>2875.25</v>
      </c>
      <c r="CS177" s="11"/>
      <c r="CV177" s="70" t="n">
        <f aca="false">CL177-CN177-CT177+CU177+CS177+CO177</f>
        <v>59972.3334799856</v>
      </c>
      <c r="DB177" s="1" t="n">
        <f aca="false">(O177+P177+Q177)*'Prices&amp;Fuel'!$H177</f>
        <v>778100</v>
      </c>
    </row>
    <row r="178" customFormat="false" ht="12.75" hidden="false" customHeight="false" outlineLevel="0" collapsed="false">
      <c r="A178" s="6" t="n">
        <f aca="false">+A177+365/12</f>
        <v>41011.0833333333</v>
      </c>
      <c r="O178" s="7" t="n">
        <v>9036</v>
      </c>
      <c r="P178" s="7" t="n">
        <v>10794</v>
      </c>
      <c r="Q178" s="7" t="n">
        <v>5270</v>
      </c>
      <c r="R178" s="8" t="n">
        <f aca="false">R177</f>
        <v>4.0465</v>
      </c>
      <c r="S178" s="8" t="n">
        <f aca="false">S177</f>
        <v>4.0325</v>
      </c>
      <c r="T178" s="7" t="n">
        <f aca="false">(($O178*R178)+($P178*R178)+($Q178*R178))*'Prices&amp;Fuel'!$H178</f>
        <v>3047014.5</v>
      </c>
      <c r="U178" s="7" t="n">
        <f aca="false">(($O178*S178)+($P178*S178)+($Q178*S178))*'Prices&amp;Fuel'!$H178</f>
        <v>3036472.5</v>
      </c>
      <c r="V178" s="14" t="n">
        <f aca="false">T178-U178</f>
        <v>10542</v>
      </c>
      <c r="BB178" s="5" t="n">
        <f aca="false">IF('FP Corp'!T178-((BE178+BF178+BG178)*(1-'Prices&amp;Fuel'!F178))&lt;'Prices&amp;Fuel'!R178,('FP Corp'!T178-(BE178+BF178+BG178)*(1-'Prices&amp;Fuel'!F178)),'Prices&amp;Fuel'!R178)/(1-'Prices&amp;Fuel'!F178)</f>
        <v>6278.66323907455</v>
      </c>
      <c r="BC178" s="9"/>
      <c r="BD178" s="9" t="n">
        <f aca="false">ROUND(IF('FP Corp'!T178/(1-'Prices&amp;Fuel'!F178)-BE178-BF178-BG178-BB178&gt;'Prices&amp;Fuel'!T178,'Prices&amp;Fuel'!T178,'FP Corp'!T178/(1-'Prices&amp;Fuel'!F178)-BE178-BF178-BG178-BB178),9)</f>
        <v>0</v>
      </c>
      <c r="BE178" s="9" t="n">
        <f aca="false">'Prices&amp;Fuel'!U178/(1-'Prices&amp;Fuel'!F178)</f>
        <v>1933.16195372751</v>
      </c>
      <c r="BF178" s="9" t="n">
        <f aca="false">('Prices&amp;Fuel'!V178+'Prices&amp;Fuel'!X178)/(1-'Prices&amp;Fuel'!F178)</f>
        <v>2833.93316195373</v>
      </c>
      <c r="BG178" s="9" t="n">
        <f aca="false">'Prices&amp;Fuel'!W178/(1-'Prices&amp;Fuel'!F178)</f>
        <v>1293.57326478149</v>
      </c>
      <c r="BH178" s="10" t="n">
        <f aca="false">('Prices&amp;Fuel'!C178+'Prices&amp;Fuel'!D178)/2-0.05+('Prices&amp;Fuel'!M178+'Prices&amp;Fuel'!P178)*(1-'Prices&amp;Fuel'!F178)</f>
        <v>3.77343692240549</v>
      </c>
      <c r="BI178" s="10"/>
      <c r="BJ178" s="10"/>
      <c r="BK178" s="10" t="n">
        <f aca="false">(((BB178+BE178)*('Prices&amp;Fuel'!B178+0.025))+(('Prices&amp;Fuel'!D178+0.025)*(BD178+BG178))+(('Prices&amp;Fuel'!C178+0.025)*(BC178+BF178))-(BI178+BJ178)*0.025)/(BB178+BC178+BD178+BE178+BF178+BG178)</f>
        <v>3.08381650573882</v>
      </c>
      <c r="BL178" s="9" t="n">
        <f aca="false">(BB178+BC178+BD178+BE178+BF178+BG178)*BH178*'Prices&amp;Fuel'!H178</f>
        <v>1396850.68592902</v>
      </c>
      <c r="BM178" s="9" t="n">
        <f aca="false">'Prices&amp;Fuel'!X178*('Prices&amp;Fuel'!N178+'Prices&amp;Fuel'!O178)*'Prices&amp;Fuel'!H178</f>
        <v>9111.88181701374</v>
      </c>
      <c r="BN178" s="9" t="n">
        <f aca="false">('Prices&amp;Fuel'!U178+'Prices&amp;Fuel'!V178+'Prices&amp;Fuel'!W178)*('Prices&amp;Fuel'!L178+'Prices&amp;Fuel'!O178)*'Prices&amp;Fuel'!H178</f>
        <v>69519.7893828091</v>
      </c>
      <c r="BO178" s="9" t="n">
        <f aca="false">((BB178+BC178+BD178)*(1-'Prices&amp;Fuel'!G178))*('Prices&amp;Fuel'!M178+'Prices&amp;Fuel'!P178)*'Prices&amp;Fuel'!H178</f>
        <v>140224.29</v>
      </c>
      <c r="BP178" s="9" t="n">
        <f aca="false">((BD178+BC178+BB178+BE178+BF178+BG178)*BK178*'Prices&amp;Fuel'!H178)+BM178+BN178+BO178</f>
        <v>1360422.99674324</v>
      </c>
      <c r="BQ178" s="5" t="n">
        <f aca="false">BL178-BP178</f>
        <v>36427.6891857816</v>
      </c>
      <c r="CA178" s="5" t="n">
        <f aca="false">(AF178+AG178+AH178+AL178)*0.005*'Prices&amp;Fuel'!H178</f>
        <v>0</v>
      </c>
      <c r="CB178" s="5" t="n">
        <f aca="false">(B178+C178+D178+O178+P178+Q178+X178+Y178+BB178+BC178+BD178+BE178+BF178+BG178+BR178+BS178)*0.005*'Prices&amp;Fuel'!H178</f>
        <v>5615.89974293059</v>
      </c>
      <c r="CC178" s="7" t="n">
        <f aca="false">K178+T178+AB178+AY178+BL178+BX178</f>
        <v>4443865.18592902</v>
      </c>
      <c r="CD178" s="7" t="n">
        <f aca="false">L178+U178+AC178+AZ178+BP178+BY178+CA178+CB178</f>
        <v>4402511.39648617</v>
      </c>
      <c r="CE178" s="7" t="n">
        <f aca="false">CC178-CD178</f>
        <v>41353.7894428512</v>
      </c>
      <c r="CJ178" s="7" t="n">
        <f aca="false">CC178+CF178</f>
        <v>4443865.18592902</v>
      </c>
      <c r="CK178" s="7" t="n">
        <f aca="false">CD178+CH178</f>
        <v>4402511.39648617</v>
      </c>
      <c r="CL178" s="7" t="n">
        <f aca="false">CE178+CI178</f>
        <v>41353.7894428512</v>
      </c>
      <c r="CN178" s="7" t="n">
        <f aca="false">Transport!U178</f>
        <v>0</v>
      </c>
      <c r="CQ178" s="7" t="n">
        <f aca="false">(((($B178+$C178+$D178+$O178+$P178+$Q178)*0.5)+BR178+BS178)*(0.005*'Prices&amp;Fuel'!$H178)+'Index Price Deals'!AV178)+(((BB178+BC178+BD178+BE178+BF178+BG178)*(1-'Prices&amp;Fuel'!F178))*0.005*0.5*'Prices&amp;Fuel'!H178)</f>
        <v>2782.5</v>
      </c>
      <c r="CR178" s="7" t="n">
        <f aca="false">(((($B178+$C178+$D178+$O178+$P178+$Q178)*0.5)+X178+Y178)*(0.005*'Prices&amp;Fuel'!$H178)+CA178+'Index Price Deals'!AW178)+(((BB178+BC178+BD178+BE178+BF178+BG178)*(1-'Prices&amp;Fuel'!F178))*0.005*0.5*'Prices&amp;Fuel'!H178)</f>
        <v>2782.5</v>
      </c>
      <c r="CS178" s="11"/>
      <c r="CV178" s="70" t="n">
        <f aca="false">CL178-CN178-CT178+CU178+CS178+CO178</f>
        <v>41353.7894428512</v>
      </c>
      <c r="DB178" s="1" t="n">
        <f aca="false">(O178+P178+Q178)*'Prices&amp;Fuel'!$H178</f>
        <v>753000</v>
      </c>
    </row>
    <row r="179" customFormat="false" ht="12.75" hidden="false" customHeight="false" outlineLevel="0" collapsed="false">
      <c r="A179" s="6" t="n">
        <f aca="false">+A178+365/12</f>
        <v>41041.5</v>
      </c>
      <c r="O179" s="7" t="n">
        <v>9036</v>
      </c>
      <c r="P179" s="7" t="n">
        <v>10794</v>
      </c>
      <c r="Q179" s="7" t="n">
        <v>5270</v>
      </c>
      <c r="R179" s="8" t="n">
        <f aca="false">R178</f>
        <v>4.0465</v>
      </c>
      <c r="S179" s="8" t="n">
        <f aca="false">S178</f>
        <v>4.0325</v>
      </c>
      <c r="T179" s="7" t="n">
        <f aca="false">(($O179*R179)+($P179*R179)+($Q179*R179))*'Prices&amp;Fuel'!$H179</f>
        <v>3148581.65</v>
      </c>
      <c r="U179" s="7" t="n">
        <f aca="false">(($O179*S179)+($P179*S179)+($Q179*S179))*'Prices&amp;Fuel'!$H179</f>
        <v>3137688.25</v>
      </c>
      <c r="V179" s="14" t="n">
        <f aca="false">T179-U179</f>
        <v>10893.3999999999</v>
      </c>
      <c r="BB179" s="5" t="n">
        <f aca="false">IF('FP Corp'!T179-((BE179+BF179+BG179)*(1-'Prices&amp;Fuel'!F179))&lt;'Prices&amp;Fuel'!R179,('FP Corp'!T179-(BE179+BF179+BG179)*(1-'Prices&amp;Fuel'!F179)),'Prices&amp;Fuel'!R179)/(1-'Prices&amp;Fuel'!F179)</f>
        <v>8976.86375321337</v>
      </c>
      <c r="BC179" s="9"/>
      <c r="BD179" s="9" t="n">
        <f aca="false">ROUND(IF('FP Corp'!T179/(1-'Prices&amp;Fuel'!F179)-BE179-BF179-BG179-BB179&gt;'Prices&amp;Fuel'!T179,'Prices&amp;Fuel'!T179,'FP Corp'!T179/(1-'Prices&amp;Fuel'!F179)-BE179-BF179-BG179-BB179),9)</f>
        <v>6556.298200514</v>
      </c>
      <c r="BE179" s="9" t="n">
        <f aca="false">'Prices&amp;Fuel'!U179/(1-'Prices&amp;Fuel'!F179)</f>
        <v>1933.16195372751</v>
      </c>
      <c r="BF179" s="9" t="n">
        <f aca="false">('Prices&amp;Fuel'!V179+'Prices&amp;Fuel'!X179)/(1-'Prices&amp;Fuel'!F179)</f>
        <v>3062.21079691517</v>
      </c>
      <c r="BG179" s="9" t="n">
        <f aca="false">'Prices&amp;Fuel'!W179/(1-'Prices&amp;Fuel'!F179)</f>
        <v>1065.29562982005</v>
      </c>
      <c r="BH179" s="10" t="n">
        <f aca="false">('Prices&amp;Fuel'!C179+'Prices&amp;Fuel'!D179)/2-0.05+('Prices&amp;Fuel'!M179+'Prices&amp;Fuel'!P179)*(1-'Prices&amp;Fuel'!F179)</f>
        <v>3.98331512623362</v>
      </c>
      <c r="BI179" s="10"/>
      <c r="BJ179" s="10"/>
      <c r="BK179" s="10" t="n">
        <f aca="false">(((BB179+BE179)*('Prices&amp;Fuel'!B179+0.025))+(('Prices&amp;Fuel'!D179+0.025)*(BD179+BG179))+(('Prices&amp;Fuel'!C179+0.025)*(BC179+BF179))-(BI179+BJ179)*0.025)/(BB179+BC179+BD179+BE179+BF179+BG179)</f>
        <v>3.29090447147171</v>
      </c>
      <c r="BL179" s="9" t="n">
        <f aca="false">(BB179+BC179+BD179+BE179+BF179+BG179)*BH179*'Prices&amp;Fuel'!H179</f>
        <v>2666465.96110855</v>
      </c>
      <c r="BM179" s="9" t="n">
        <f aca="false">'Prices&amp;Fuel'!X179*('Prices&amp;Fuel'!N179+'Prices&amp;Fuel'!O179)*'Prices&amp;Fuel'!H179</f>
        <v>9415.61121091419</v>
      </c>
      <c r="BN179" s="9" t="n">
        <f aca="false">('Prices&amp;Fuel'!U179+'Prices&amp;Fuel'!V179+'Prices&amp;Fuel'!W179)*('Prices&amp;Fuel'!L179+'Prices&amp;Fuel'!O179)*'Prices&amp;Fuel'!H179</f>
        <v>71837.1156955693</v>
      </c>
      <c r="BO179" s="9" t="n">
        <f aca="false">((BB179+BC179+BD179)*(1-'Prices&amp;Fuel'!G179))*('Prices&amp;Fuel'!M179+'Prices&amp;Fuel'!P179)*'Prices&amp;Fuel'!H179</f>
        <v>358472.932999997</v>
      </c>
      <c r="BP179" s="9" t="n">
        <f aca="false">((BD179+BC179+BB179+BE179+BF179+BG179)*BK179*'Prices&amp;Fuel'!H179)+BM179+BN179+BO179</f>
        <v>2642685.8767991</v>
      </c>
      <c r="BQ179" s="5" t="n">
        <f aca="false">BL179-BP179</f>
        <v>23780.084309455</v>
      </c>
      <c r="CA179" s="5" t="n">
        <f aca="false">(AF179+AG179+AH179+AL179)*0.005*'Prices&amp;Fuel'!H179</f>
        <v>0</v>
      </c>
      <c r="CB179" s="5" t="n">
        <f aca="false">(B179+C179+D179+O179+P179+Q179+X179+Y179+BB179+BC179+BD179+BE179+BF179+BG179+BR179+BS179)*0.005*'Prices&amp;Fuel'!H179</f>
        <v>7237.54370179946</v>
      </c>
      <c r="CC179" s="7" t="n">
        <f aca="false">K179+T179+AB179+AY179+BL179+BX179</f>
        <v>5815047.61110855</v>
      </c>
      <c r="CD179" s="7" t="n">
        <f aca="false">L179+U179+AC179+AZ179+BP179+BY179+CA179+CB179</f>
        <v>5787611.6705009</v>
      </c>
      <c r="CE179" s="7" t="n">
        <f aca="false">CC179-CD179</f>
        <v>27435.9406076549</v>
      </c>
      <c r="CJ179" s="7" t="n">
        <f aca="false">CC179+CF179</f>
        <v>5815047.61110855</v>
      </c>
      <c r="CK179" s="7" t="n">
        <f aca="false">CD179+CH179</f>
        <v>5787611.6705009</v>
      </c>
      <c r="CL179" s="7" t="n">
        <f aca="false">CE179+CI179</f>
        <v>27435.9406076549</v>
      </c>
      <c r="CN179" s="7" t="n">
        <f aca="false">Transport!U179</f>
        <v>3.14901408273727E-009</v>
      </c>
      <c r="CQ179" s="7" t="n">
        <f aca="false">(((($B179+$C179+$D179+$O179+$P179+$Q179)*0.5)+BR179+BS179)*(0.005*'Prices&amp;Fuel'!$H179)+'Index Price Deals'!AV179)+(((BB179+BC179+BD179+BE179+BF179+BG179)*(1-'Prices&amp;Fuel'!F179))*0.005*0.5*'Prices&amp;Fuel'!H179)</f>
        <v>3572.74999999999</v>
      </c>
      <c r="CR179" s="7" t="n">
        <f aca="false">(((($B179+$C179+$D179+$O179+$P179+$Q179)*0.5)+X179+Y179)*(0.005*'Prices&amp;Fuel'!$H179)+CA179+'Index Price Deals'!AW179)+(((BB179+BC179+BD179+BE179+BF179+BG179)*(1-'Prices&amp;Fuel'!F179))*0.005*0.5*'Prices&amp;Fuel'!H179)</f>
        <v>3572.74999999999</v>
      </c>
      <c r="CS179" s="11"/>
      <c r="CV179" s="70" t="n">
        <f aca="false">CL179-CN179-CT179+CU179+CS179+CO179</f>
        <v>27435.9406076517</v>
      </c>
      <c r="DB179" s="1" t="n">
        <f aca="false">(O179+P179+Q179)*'Prices&amp;Fuel'!$H179</f>
        <v>778100</v>
      </c>
    </row>
    <row r="180" customFormat="false" ht="12.75" hidden="false" customHeight="false" outlineLevel="0" collapsed="false">
      <c r="A180" s="6" t="n">
        <f aca="false">+A179+365/12</f>
        <v>41071.9166666667</v>
      </c>
      <c r="O180" s="7" t="n">
        <v>9036</v>
      </c>
      <c r="P180" s="7" t="n">
        <v>10794</v>
      </c>
      <c r="Q180" s="7" t="n">
        <v>5270</v>
      </c>
      <c r="R180" s="8" t="n">
        <f aca="false">R179</f>
        <v>4.0465</v>
      </c>
      <c r="S180" s="8" t="n">
        <f aca="false">S179</f>
        <v>4.0325</v>
      </c>
      <c r="T180" s="7" t="n">
        <f aca="false">(($O180*R180)+($P180*R180)+($Q180*R180))*'Prices&amp;Fuel'!$H180</f>
        <v>3047014.5</v>
      </c>
      <c r="U180" s="7" t="n">
        <f aca="false">(($O180*S180)+($P180*S180)+($Q180*S180))*'Prices&amp;Fuel'!$H180</f>
        <v>3036472.5</v>
      </c>
      <c r="V180" s="14" t="n">
        <f aca="false">T180-U180</f>
        <v>10542</v>
      </c>
      <c r="BB180" s="5" t="n">
        <f aca="false">IF('FP Corp'!T180-((BE180+BF180+BG180)*(1-'Prices&amp;Fuel'!F180))&lt;'Prices&amp;Fuel'!R180,('FP Corp'!T180-(BE180+BF180+BG180)*(1-'Prices&amp;Fuel'!F180)),'Prices&amp;Fuel'!R180)/(1-'Prices&amp;Fuel'!F180)</f>
        <v>8976.86375321337</v>
      </c>
      <c r="BC180" s="9"/>
      <c r="BD180" s="9" t="n">
        <f aca="false">ROUND(IF('FP Corp'!T180/(1-'Prices&amp;Fuel'!F180)-BE180-BF180-BG180-BB180&gt;'Prices&amp;Fuel'!T180,'Prices&amp;Fuel'!T180,'FP Corp'!T180/(1-'Prices&amp;Fuel'!F180)-BE180-BF180-BG180-BB180),9)</f>
        <v>6556.298200514</v>
      </c>
      <c r="BE180" s="9" t="n">
        <f aca="false">'Prices&amp;Fuel'!U180/(1-'Prices&amp;Fuel'!F180)</f>
        <v>1933.16195372751</v>
      </c>
      <c r="BF180" s="9" t="n">
        <f aca="false">('Prices&amp;Fuel'!V180+'Prices&amp;Fuel'!X180)/(1-'Prices&amp;Fuel'!F180)</f>
        <v>3062.21079691517</v>
      </c>
      <c r="BG180" s="9" t="n">
        <f aca="false">'Prices&amp;Fuel'!W180/(1-'Prices&amp;Fuel'!F180)</f>
        <v>1065.29562982005</v>
      </c>
      <c r="BH180" s="10" t="n">
        <f aca="false">('Prices&amp;Fuel'!C180+'Prices&amp;Fuel'!D180)/2-0.05+('Prices&amp;Fuel'!M180+'Prices&amp;Fuel'!P180)*(1-'Prices&amp;Fuel'!F180)</f>
        <v>5.43037011052229</v>
      </c>
      <c r="BI180" s="10"/>
      <c r="BJ180" s="10"/>
      <c r="BK180" s="10" t="n">
        <f aca="false">(((BB180+BE180)*('Prices&amp;Fuel'!B180+0.025))+(('Prices&amp;Fuel'!D180+0.025)*(BD180+BG180))+(('Prices&amp;Fuel'!C180+0.025)*(BC180+BF180))-(BI180+BJ180)*0.025)/(BB180+BC180+BD180+BE180+BF180+BG180)</f>
        <v>4.73795945576039</v>
      </c>
      <c r="BL180" s="9" t="n">
        <f aca="false">(BB180+BC180+BD180+BE180+BF180+BG180)*BH180*'Prices&amp;Fuel'!H180</f>
        <v>3517874.72455426</v>
      </c>
      <c r="BM180" s="9" t="n">
        <f aca="false">'Prices&amp;Fuel'!X180*('Prices&amp;Fuel'!N180+'Prices&amp;Fuel'!O180)*'Prices&amp;Fuel'!H180</f>
        <v>9111.88181701374</v>
      </c>
      <c r="BN180" s="9" t="n">
        <f aca="false">('Prices&amp;Fuel'!U180+'Prices&amp;Fuel'!V180+'Prices&amp;Fuel'!W180)*('Prices&amp;Fuel'!L180+'Prices&amp;Fuel'!O180)*'Prices&amp;Fuel'!H180</f>
        <v>69519.7893828091</v>
      </c>
      <c r="BO180" s="9" t="n">
        <f aca="false">((BB180+BC180+BD180)*(1-'Prices&amp;Fuel'!G180))*('Prices&amp;Fuel'!M180+'Prices&amp;Fuel'!P180)*'Prices&amp;Fuel'!H180</f>
        <v>346909.289999997</v>
      </c>
      <c r="BP180" s="9" t="n">
        <f aca="false">((BD180+BC180+BB180+BE180+BF180+BG180)*BK180*'Prices&amp;Fuel'!H180)+BM180+BN180+BO180</f>
        <v>3494861.73973866</v>
      </c>
      <c r="BQ180" s="5" t="n">
        <f aca="false">BL180-BP180</f>
        <v>23012.9848156008</v>
      </c>
      <c r="CA180" s="5" t="n">
        <f aca="false">(AF180+AG180+AH180+AL180)*0.005*'Prices&amp;Fuel'!H180</f>
        <v>0</v>
      </c>
      <c r="CB180" s="5" t="n">
        <f aca="false">(B180+C180+D180+O180+P180+Q180+X180+Y180+BB180+BC180+BD180+BE180+BF180+BG180+BR180+BS180)*0.005*'Prices&amp;Fuel'!H180</f>
        <v>7004.07455012851</v>
      </c>
      <c r="CC180" s="7" t="n">
        <f aca="false">K180+T180+AB180+AY180+BL180+BX180</f>
        <v>6564889.22455426</v>
      </c>
      <c r="CD180" s="7" t="n">
        <f aca="false">L180+U180+AC180+AZ180+BP180+BY180+CA180+CB180</f>
        <v>6538338.31428879</v>
      </c>
      <c r="CE180" s="7" t="n">
        <f aca="false">CC180-CD180</f>
        <v>26550.9102654727</v>
      </c>
      <c r="CJ180" s="7" t="n">
        <f aca="false">CC180+CF180</f>
        <v>6564889.22455426</v>
      </c>
      <c r="CK180" s="7" t="n">
        <f aca="false">CD180+CH180</f>
        <v>6538338.31428879</v>
      </c>
      <c r="CL180" s="7" t="n">
        <f aca="false">CE180+CI180</f>
        <v>26550.9102654727</v>
      </c>
      <c r="CN180" s="7" t="n">
        <f aca="false">Transport!U180</f>
        <v>3.04743298329413E-009</v>
      </c>
      <c r="CQ180" s="7" t="n">
        <f aca="false">(((($B180+$C180+$D180+$O180+$P180+$Q180)*0.5)+BR180+BS180)*(0.005*'Prices&amp;Fuel'!$H180)+'Index Price Deals'!AV180)+(((BB180+BC180+BD180+BE180+BF180+BG180)*(1-'Prices&amp;Fuel'!F180))*0.005*0.5*'Prices&amp;Fuel'!H180)</f>
        <v>3457.49999999999</v>
      </c>
      <c r="CR180" s="7" t="n">
        <f aca="false">(((($B180+$C180+$D180+$O180+$P180+$Q180)*0.5)+X180+Y180)*(0.005*'Prices&amp;Fuel'!$H180)+CA180+'Index Price Deals'!AW180)+(((BB180+BC180+BD180+BE180+BF180+BG180)*(1-'Prices&amp;Fuel'!F180))*0.005*0.5*'Prices&amp;Fuel'!H180)</f>
        <v>3457.49999999999</v>
      </c>
      <c r="CS180" s="11"/>
      <c r="CV180" s="70" t="n">
        <f aca="false">CL180-CN180-CT180+CU180+CS180+CO180</f>
        <v>26550.9102654697</v>
      </c>
      <c r="DB180" s="1" t="n">
        <f aca="false">(O180+P180+Q180)*'Prices&amp;Fuel'!$H180</f>
        <v>753000</v>
      </c>
    </row>
    <row r="181" customFormat="false" ht="12.75" hidden="false" customHeight="false" outlineLevel="0" collapsed="false">
      <c r="A181" s="6" t="n">
        <f aca="false">+A180+365/12</f>
        <v>41102.3333333333</v>
      </c>
      <c r="V181" s="11"/>
      <c r="BB181" s="5" t="n">
        <f aca="false">IF('FP Corp'!T181-((BE181+BF181+BG181)*(1-'Prices&amp;Fuel'!F181))&lt;'Prices&amp;Fuel'!R181,('FP Corp'!T181-(BE181+BF181+BG181)*(1-'Prices&amp;Fuel'!F181)),'Prices&amp;Fuel'!R181)/(1-'Prices&amp;Fuel'!F181)</f>
        <v>8976.86375321337</v>
      </c>
      <c r="BC181" s="9"/>
      <c r="BD181" s="9" t="n">
        <f aca="false">ROUND(IF('FP Corp'!T181/(1-'Prices&amp;Fuel'!F181)-BE181-BF181-BG181-BB181&gt;'Prices&amp;Fuel'!T181,'Prices&amp;Fuel'!T181,'FP Corp'!T181/(1-'Prices&amp;Fuel'!F181)-BE181-BF181-BG181-BB181),9)</f>
        <v>6556.298200514</v>
      </c>
      <c r="BE181" s="9" t="n">
        <f aca="false">'Prices&amp;Fuel'!U181/(1-'Prices&amp;Fuel'!F181)</f>
        <v>1933.16195372751</v>
      </c>
      <c r="BF181" s="9" t="n">
        <f aca="false">('Prices&amp;Fuel'!V181+'Prices&amp;Fuel'!X181)/(1-'Prices&amp;Fuel'!F181)</f>
        <v>3062.21079691517</v>
      </c>
      <c r="BG181" s="9" t="n">
        <f aca="false">'Prices&amp;Fuel'!W181/(1-'Prices&amp;Fuel'!F181)</f>
        <v>1065.29562982005</v>
      </c>
      <c r="BH181" s="10" t="n">
        <f aca="false">('Prices&amp;Fuel'!C181+'Prices&amp;Fuel'!D181)/2-0.05+('Prices&amp;Fuel'!M181+'Prices&amp;Fuel'!P181)*(1-'Prices&amp;Fuel'!F181)</f>
        <v>5.41932388926818</v>
      </c>
      <c r="BI181" s="10"/>
      <c r="BJ181" s="10"/>
      <c r="BK181" s="10" t="n">
        <f aca="false">(((BB181+BE181)*('Prices&amp;Fuel'!B181+0.025))+(('Prices&amp;Fuel'!D181+0.025)*(BD181+BG181))+(('Prices&amp;Fuel'!C181+0.025)*(BC181+BF181))-(BI181+BJ181)*0.025)/(BB181+BC181+BD181+BE181+BF181+BG181)</f>
        <v>4.72691323450628</v>
      </c>
      <c r="BL181" s="9" t="n">
        <f aca="false">(BB181+BC181+BD181+BE181+BF181+BG181)*BH181*'Prices&amp;Fuel'!H181</f>
        <v>3627742.77831729</v>
      </c>
      <c r="BM181" s="9" t="n">
        <f aca="false">'Prices&amp;Fuel'!X181*('Prices&amp;Fuel'!N181+'Prices&amp;Fuel'!O181)*'Prices&amp;Fuel'!H181</f>
        <v>9415.61121091419</v>
      </c>
      <c r="BN181" s="9" t="n">
        <f aca="false">('Prices&amp;Fuel'!U181+'Prices&amp;Fuel'!V181+'Prices&amp;Fuel'!W181)*('Prices&amp;Fuel'!L181+'Prices&amp;Fuel'!O181)*'Prices&amp;Fuel'!H181</f>
        <v>71837.1156955693</v>
      </c>
      <c r="BO181" s="9" t="n">
        <f aca="false">((BB181+BC181+BD181)*(1-'Prices&amp;Fuel'!G181))*('Prices&amp;Fuel'!M181+'Prices&amp;Fuel'!P181)*'Prices&amp;Fuel'!H181</f>
        <v>358472.932999997</v>
      </c>
      <c r="BP181" s="9" t="n">
        <f aca="false">((BD181+BC181+BB181+BE181+BF181+BG181)*BK181*'Prices&amp;Fuel'!H181)+BM181+BN181+BO181</f>
        <v>3603962.69400783</v>
      </c>
      <c r="BQ181" s="5" t="n">
        <f aca="false">BL181-BP181</f>
        <v>23780.0843094545</v>
      </c>
      <c r="CA181" s="5" t="n">
        <f aca="false">(AF181+AG181+AH181+AL181)*0.005*'Prices&amp;Fuel'!H181</f>
        <v>0</v>
      </c>
      <c r="CB181" s="5" t="n">
        <f aca="false">(B181+C181+D181+O181+P181+Q181+X181+Y181+BB181+BC181+BD181+BE181+BF181+BG181+BR181+BS181)*0.005*'Prices&amp;Fuel'!H181</f>
        <v>3347.04370179946</v>
      </c>
      <c r="CC181" s="7" t="n">
        <f aca="false">K181+T181+AB181+AY181+BL181+BX181</f>
        <v>3627742.77831729</v>
      </c>
      <c r="CD181" s="7" t="n">
        <f aca="false">L181+U181+AC181+AZ181+BP181+BY181+CA181+CB181</f>
        <v>3607309.73770963</v>
      </c>
      <c r="CE181" s="7" t="n">
        <f aca="false">CC181-CD181</f>
        <v>20433.040607655</v>
      </c>
      <c r="CJ181" s="7" t="n">
        <f aca="false">CC181+CF181</f>
        <v>3627742.77831729</v>
      </c>
      <c r="CK181" s="7" t="n">
        <f aca="false">CD181+CH181</f>
        <v>3607309.73770963</v>
      </c>
      <c r="CL181" s="7" t="n">
        <f aca="false">CE181+CI181</f>
        <v>20433.040607655</v>
      </c>
      <c r="CN181" s="7" t="n">
        <f aca="false">Transport!U181</f>
        <v>3.14901408273727E-009</v>
      </c>
      <c r="CQ181" s="7" t="n">
        <f aca="false">(((($B181+$C181+$D181+$O181+$P181+$Q181)*0.5)+BR181+BS181)*(0.005*'Prices&amp;Fuel'!$H181)+'Index Price Deals'!AV181)+(((BB181+BC181+BD181+BE181+BF181+BG181)*(1-'Prices&amp;Fuel'!F181))*0.005*0.5*'Prices&amp;Fuel'!H181)</f>
        <v>1627.49999999999</v>
      </c>
      <c r="CR181" s="7" t="n">
        <f aca="false">(((($B181+$C181+$D181+$O181+$P181+$Q181)*0.5)+X181+Y181)*(0.005*'Prices&amp;Fuel'!$H181)+CA181+'Index Price Deals'!AW181)+(((BB181+BC181+BD181+BE181+BF181+BG181)*(1-'Prices&amp;Fuel'!F181))*0.005*0.5*'Prices&amp;Fuel'!H181)</f>
        <v>1627.49999999999</v>
      </c>
      <c r="CS181" s="11"/>
      <c r="CV181" s="70" t="n">
        <f aca="false">CL181-CN181-CT181+CU181+CS181+CO181</f>
        <v>20433.0406076518</v>
      </c>
    </row>
    <row r="182" customFormat="false" ht="12.75" hidden="false" customHeight="false" outlineLevel="0" collapsed="false">
      <c r="A182" s="6" t="n">
        <f aca="false">+A181+365/12</f>
        <v>41132.75</v>
      </c>
      <c r="BB182" s="5" t="n">
        <f aca="false">IF('FP Corp'!T182-((BE182+BF182+BG182)*(1-'Prices&amp;Fuel'!F182))&lt;'Prices&amp;Fuel'!R182,('FP Corp'!T182-(BE182+BF182+BG182)*(1-'Prices&amp;Fuel'!F182)),'Prices&amp;Fuel'!R182)/(1-'Prices&amp;Fuel'!F182)</f>
        <v>8976.86375321337</v>
      </c>
      <c r="BC182" s="9"/>
      <c r="BD182" s="9" t="n">
        <f aca="false">ROUND(IF('FP Corp'!T182/(1-'Prices&amp;Fuel'!F182)-BE182-BF182-BG182-BB182&gt;'Prices&amp;Fuel'!T182,'Prices&amp;Fuel'!T182,'FP Corp'!T182/(1-'Prices&amp;Fuel'!F182)-BE182-BF182-BG182-BB182),9)</f>
        <v>6556.298200514</v>
      </c>
      <c r="BE182" s="9" t="n">
        <f aca="false">'Prices&amp;Fuel'!U182/(1-'Prices&amp;Fuel'!F182)</f>
        <v>1933.16195372751</v>
      </c>
      <c r="BF182" s="9" t="n">
        <f aca="false">('Prices&amp;Fuel'!V182+'Prices&amp;Fuel'!X182)/(1-'Prices&amp;Fuel'!F182)</f>
        <v>3062.21079691517</v>
      </c>
      <c r="BG182" s="9" t="n">
        <f aca="false">'Prices&amp;Fuel'!W182/(1-'Prices&amp;Fuel'!F182)</f>
        <v>1065.29562982005</v>
      </c>
      <c r="BH182" s="10" t="n">
        <f aca="false">('Prices&amp;Fuel'!C182+'Prices&amp;Fuel'!D182)/2-0.05+('Prices&amp;Fuel'!M182+'Prices&amp;Fuel'!P182)*(1-'Prices&amp;Fuel'!F182)</f>
        <v>4.82282794154613</v>
      </c>
      <c r="BI182" s="10"/>
      <c r="BJ182" s="10"/>
      <c r="BK182" s="10" t="n">
        <f aca="false">(((BB182+BE182)*('Prices&amp;Fuel'!B182+0.025))+(('Prices&amp;Fuel'!D182+0.025)*(BD182+BG182))+(('Prices&amp;Fuel'!C182+0.025)*(BC182+BF182))-(BI182+BJ182)*0.025)/(BB182+BC182+BD182+BE182+BF182+BG182)</f>
        <v>4.13041728678423</v>
      </c>
      <c r="BL182" s="9" t="n">
        <f aca="false">(BB182+BC182+BD182+BE182+BF182+BG182)*BH182*'Prices&amp;Fuel'!H182</f>
        <v>3228443.17732289</v>
      </c>
      <c r="BM182" s="9" t="n">
        <f aca="false">'Prices&amp;Fuel'!X182*('Prices&amp;Fuel'!N182+'Prices&amp;Fuel'!O182)*'Prices&amp;Fuel'!H182</f>
        <v>9415.61121091419</v>
      </c>
      <c r="BN182" s="9" t="n">
        <f aca="false">('Prices&amp;Fuel'!U182+'Prices&amp;Fuel'!V182+'Prices&amp;Fuel'!W182)*('Prices&amp;Fuel'!L182+'Prices&amp;Fuel'!O182)*'Prices&amp;Fuel'!H182</f>
        <v>71837.1156955693</v>
      </c>
      <c r="BO182" s="9" t="n">
        <f aca="false">((BB182+BC182+BD182)*(1-'Prices&amp;Fuel'!G182))*('Prices&amp;Fuel'!M182+'Prices&amp;Fuel'!P182)*'Prices&amp;Fuel'!H182</f>
        <v>358472.932999997</v>
      </c>
      <c r="BP182" s="9" t="n">
        <f aca="false">((BD182+BC182+BB182+BE182+BF182+BG182)*BK182*'Prices&amp;Fuel'!H182)+BM182+BN182+BO182</f>
        <v>3204663.09301343</v>
      </c>
      <c r="BQ182" s="5" t="n">
        <f aca="false">BL182-BP182</f>
        <v>23780.0843094545</v>
      </c>
      <c r="CA182" s="5" t="n">
        <f aca="false">(AF182+AG182+AH182+AL182)*0.005*'Prices&amp;Fuel'!H182</f>
        <v>0</v>
      </c>
      <c r="CB182" s="5" t="n">
        <f aca="false">(B182+C182+D182+O182+P182+Q182+X182+Y182+BB182+BC182+BD182+BE182+BF182+BG182+BR182+BS182)*0.005*'Prices&amp;Fuel'!H182</f>
        <v>3347.04370179946</v>
      </c>
      <c r="CC182" s="7" t="n">
        <f aca="false">K182+T182+AB182+AY182+BL182+BX182</f>
        <v>3228443.17732289</v>
      </c>
      <c r="CD182" s="7" t="n">
        <f aca="false">L182+U182+AC182+AZ182+BP182+BY182+CA182+CB182</f>
        <v>3208010.13671523</v>
      </c>
      <c r="CE182" s="7" t="n">
        <f aca="false">CC182-CD182</f>
        <v>20433.040607655</v>
      </c>
      <c r="CJ182" s="7" t="n">
        <f aca="false">CC182+CF182</f>
        <v>3228443.17732289</v>
      </c>
      <c r="CK182" s="7" t="n">
        <f aca="false">CD182+CH182</f>
        <v>3208010.13671523</v>
      </c>
      <c r="CL182" s="7" t="n">
        <f aca="false">CE182+CI182</f>
        <v>20433.040607655</v>
      </c>
      <c r="CN182" s="7" t="n">
        <f aca="false">Transport!U182</f>
        <v>3.14901408273727E-009</v>
      </c>
      <c r="CQ182" s="7" t="n">
        <f aca="false">(((($B182+$C182+$D182+$O182+$P182+$Q182)*0.5)+BR182+BS182)*(0.005*'Prices&amp;Fuel'!$H182)+'Index Price Deals'!AV182)+(((BB182+BC182+BD182+BE182+BF182+BG182)*(1-'Prices&amp;Fuel'!F182))*0.005*0.5*'Prices&amp;Fuel'!H182)</f>
        <v>1627.49999999999</v>
      </c>
      <c r="CR182" s="7" t="n">
        <f aca="false">(((($B182+$C182+$D182+$O182+$P182+$Q182)*0.5)+X182+Y182)*(0.005*'Prices&amp;Fuel'!$H182)+CA182+'Index Price Deals'!AW182)+(((BB182+BC182+BD182+BE182+BF182+BG182)*(1-'Prices&amp;Fuel'!F182))*0.005*0.5*'Prices&amp;Fuel'!H182)</f>
        <v>1627.49999999999</v>
      </c>
      <c r="CS182" s="11"/>
      <c r="CV182" s="70" t="n">
        <f aca="false">CL182-CN182-CT182+CU182+CS182+CO182</f>
        <v>20433.0406076518</v>
      </c>
    </row>
    <row r="183" customFormat="false" ht="12.75" hidden="false" customHeight="false" outlineLevel="0" collapsed="false">
      <c r="A183" s="6" t="n">
        <f aca="false">+A182+365/12</f>
        <v>41163.1666666667</v>
      </c>
      <c r="BB183" s="5" t="n">
        <f aca="false">IF('FP Corp'!T183-((BE183+BF183+BG183)*(1-'Prices&amp;Fuel'!F183))&lt;'Prices&amp;Fuel'!R183,('FP Corp'!T183-(BE183+BF183+BG183)*(1-'Prices&amp;Fuel'!F183)),'Prices&amp;Fuel'!R183)/(1-'Prices&amp;Fuel'!F183)</f>
        <v>8976.86375321337</v>
      </c>
      <c r="BC183" s="9"/>
      <c r="BD183" s="9" t="n">
        <f aca="false">ROUND(IF('FP Corp'!T183/(1-'Prices&amp;Fuel'!F183)-BE183-BF183-BG183-BB183&gt;'Prices&amp;Fuel'!T183,'Prices&amp;Fuel'!T183,'FP Corp'!T183/(1-'Prices&amp;Fuel'!F183)-BE183-BF183-BG183-BB183),9)</f>
        <v>6556.298200514</v>
      </c>
      <c r="BE183" s="9" t="n">
        <f aca="false">'Prices&amp;Fuel'!U183/(1-'Prices&amp;Fuel'!F183)</f>
        <v>1933.16195372751</v>
      </c>
      <c r="BF183" s="9" t="n">
        <f aca="false">('Prices&amp;Fuel'!V183+'Prices&amp;Fuel'!X183)/(1-'Prices&amp;Fuel'!F183)</f>
        <v>3062.21079691517</v>
      </c>
      <c r="BG183" s="9" t="n">
        <f aca="false">'Prices&amp;Fuel'!W183/(1-'Prices&amp;Fuel'!F183)</f>
        <v>1065.29562982005</v>
      </c>
      <c r="BH183" s="10" t="n">
        <f aca="false">('Prices&amp;Fuel'!C183+'Prices&amp;Fuel'!D183)/2-0.05+('Prices&amp;Fuel'!M183+'Prices&amp;Fuel'!P183)*(1-'Prices&amp;Fuel'!F183)</f>
        <v>5.67338697811276</v>
      </c>
      <c r="BI183" s="10"/>
      <c r="BJ183" s="10"/>
      <c r="BK183" s="10" t="n">
        <f aca="false">(((BB183+BE183)*('Prices&amp;Fuel'!B183+0.025))+(('Prices&amp;Fuel'!D183+0.025)*(BD183+BG183))+(('Prices&amp;Fuel'!C183+0.025)*(BC183+BF183))-(BI183+BJ183)*0.025)/(BB183+BC183+BD183+BE183+BF183+BG183)</f>
        <v>4.98097632335086</v>
      </c>
      <c r="BL183" s="9" t="n">
        <f aca="false">(BB183+BC183+BD183+BE183+BF183+BG183)*BH183*'Prices&amp;Fuel'!H183</f>
        <v>3675304.67476711</v>
      </c>
      <c r="BM183" s="9" t="n">
        <f aca="false">'Prices&amp;Fuel'!X183*('Prices&amp;Fuel'!N183+'Prices&amp;Fuel'!O183)*'Prices&amp;Fuel'!H183</f>
        <v>9111.88181701374</v>
      </c>
      <c r="BN183" s="9" t="n">
        <f aca="false">('Prices&amp;Fuel'!U183+'Prices&amp;Fuel'!V183+'Prices&amp;Fuel'!W183)*('Prices&amp;Fuel'!L183+'Prices&amp;Fuel'!O183)*'Prices&amp;Fuel'!H183</f>
        <v>69519.7893828091</v>
      </c>
      <c r="BO183" s="9" t="n">
        <f aca="false">((BB183+BC183+BD183)*(1-'Prices&amp;Fuel'!G183))*('Prices&amp;Fuel'!M183+'Prices&amp;Fuel'!P183)*'Prices&amp;Fuel'!H183</f>
        <v>346909.289999997</v>
      </c>
      <c r="BP183" s="9" t="n">
        <f aca="false">((BD183+BC183+BB183+BE183+BF183+BG183)*BK183*'Prices&amp;Fuel'!H183)+BM183+BN183+BO183</f>
        <v>3652291.68995151</v>
      </c>
      <c r="BQ183" s="5" t="n">
        <f aca="false">BL183-BP183</f>
        <v>23012.9848156017</v>
      </c>
      <c r="CA183" s="5" t="n">
        <f aca="false">(AF183+AG183+AH183+AL183)*0.005*'Prices&amp;Fuel'!H183</f>
        <v>0</v>
      </c>
      <c r="CB183" s="5" t="n">
        <f aca="false">(B183+C183+D183+O183+P183+Q183+X183+Y183+BB183+BC183+BD183+BE183+BF183+BG183+BR183+BS183)*0.005*'Prices&amp;Fuel'!H183</f>
        <v>3239.07455012851</v>
      </c>
      <c r="CC183" s="7" t="n">
        <f aca="false">K183+T183+AB183+AY183+BL183+BX183</f>
        <v>3675304.67476711</v>
      </c>
      <c r="CD183" s="7" t="n">
        <f aca="false">L183+U183+AC183+AZ183+BP183+BY183+CA183+CB183</f>
        <v>3655530.76450164</v>
      </c>
      <c r="CE183" s="7" t="n">
        <f aca="false">CC183-CD183</f>
        <v>19773.9102654732</v>
      </c>
      <c r="CJ183" s="7" t="n">
        <f aca="false">CC183+CF183</f>
        <v>3675304.67476711</v>
      </c>
      <c r="CK183" s="7" t="n">
        <f aca="false">CD183+CH183</f>
        <v>3655530.76450164</v>
      </c>
      <c r="CL183" s="7" t="n">
        <f aca="false">CE183+CI183</f>
        <v>19773.9102654732</v>
      </c>
      <c r="CN183" s="7" t="n">
        <f aca="false">Transport!U183</f>
        <v>3.04743298329413E-009</v>
      </c>
      <c r="CQ183" s="7" t="n">
        <f aca="false">(((($B183+$C183+$D183+$O183+$P183+$Q183)*0.5)+BR183+BS183)*(0.005*'Prices&amp;Fuel'!$H183)+'Index Price Deals'!AV183)+(((BB183+BC183+BD183+BE183+BF183+BG183)*(1-'Prices&amp;Fuel'!F183))*0.005*0.5*'Prices&amp;Fuel'!H183)</f>
        <v>1574.99999999999</v>
      </c>
      <c r="CR183" s="7" t="n">
        <f aca="false">(((($B183+$C183+$D183+$O183+$P183+$Q183)*0.5)+X183+Y183)*(0.005*'Prices&amp;Fuel'!$H183)+CA183+'Index Price Deals'!AW183)+(((BB183+BC183+BD183+BE183+BF183+BG183)*(1-'Prices&amp;Fuel'!F183))*0.005*0.5*'Prices&amp;Fuel'!H183)</f>
        <v>1574.99999999999</v>
      </c>
      <c r="CS183" s="11"/>
      <c r="CV183" s="70" t="n">
        <f aca="false">CL183-CN183-CT183+CU183+CS183+CO183</f>
        <v>19773.9102654701</v>
      </c>
    </row>
    <row r="184" customFormat="false" ht="12.75" hidden="false" customHeight="false" outlineLevel="0" collapsed="false">
      <c r="A184" s="6" t="n">
        <f aca="false">+A183+365/12</f>
        <v>41193.5833333333</v>
      </c>
      <c r="BB184" s="5" t="n">
        <f aca="false">IF('FP Corp'!T184-((BE184+BF184+BG184)*(1-'Prices&amp;Fuel'!F184))&lt;'Prices&amp;Fuel'!R184,('FP Corp'!T184-(BE184+BF184+BG184)*(1-'Prices&amp;Fuel'!F184)),'Prices&amp;Fuel'!R184)/(1-'Prices&amp;Fuel'!F184)</f>
        <v>8976.86375321337</v>
      </c>
      <c r="BC184" s="9"/>
      <c r="BD184" s="9" t="n">
        <f aca="false">ROUND(IF('FP Corp'!T184/(1-'Prices&amp;Fuel'!F184)-BE184-BF184-BG184-BB184&gt;'Prices&amp;Fuel'!T184,'Prices&amp;Fuel'!T184,'FP Corp'!T184/(1-'Prices&amp;Fuel'!F184)-BE184-BF184-BG184-BB184),9)</f>
        <v>3514.652956298</v>
      </c>
      <c r="BE184" s="9" t="n">
        <f aca="false">'Prices&amp;Fuel'!U184/(1-'Prices&amp;Fuel'!F184)</f>
        <v>2910.02570694087</v>
      </c>
      <c r="BF184" s="9" t="n">
        <f aca="false">('Prices&amp;Fuel'!V184+'Prices&amp;Fuel'!X184)/(1-'Prices&amp;Fuel'!F184)</f>
        <v>4628.27763496144</v>
      </c>
      <c r="BG184" s="9" t="n">
        <f aca="false">'Prices&amp;Fuel'!W184/(1-'Prices&amp;Fuel'!F184)</f>
        <v>1564.01028277635</v>
      </c>
      <c r="BH184" s="10" t="n">
        <f aca="false">('Prices&amp;Fuel'!C184+'Prices&amp;Fuel'!D184)/2-0.05+('Prices&amp;Fuel'!M184+'Prices&amp;Fuel'!P184)*(1-'Prices&amp;Fuel'!F184)</f>
        <v>6.42453002339238</v>
      </c>
      <c r="BI184" s="10"/>
      <c r="BJ184" s="10"/>
      <c r="BK184" s="10" t="n">
        <f aca="false">(((BB184+BE184)*('Prices&amp;Fuel'!B184+0.025))+(('Prices&amp;Fuel'!D184+0.025)*(BD184+BG184))+(('Prices&amp;Fuel'!C184+0.025)*(BC184+BF184))-(BI184+BJ184)*0.025)/(BB184+BC184+BD184+BE184+BF184+BG184)</f>
        <v>5.73529317815428</v>
      </c>
      <c r="BL184" s="9" t="n">
        <f aca="false">(BB184+BC184+BD184+BE184+BF184+BG184)*BH184*'Prices&amp;Fuel'!H184</f>
        <v>4300636.55036339</v>
      </c>
      <c r="BM184" s="9" t="n">
        <f aca="false">'Prices&amp;Fuel'!X184*('Prices&amp;Fuel'!N184+'Prices&amp;Fuel'!O184)*'Prices&amp;Fuel'!H184</f>
        <v>13799.4536195097</v>
      </c>
      <c r="BN184" s="9" t="n">
        <f aca="false">('Prices&amp;Fuel'!U184+'Prices&amp;Fuel'!V184+'Prices&amp;Fuel'!W184)*('Prices&amp;Fuel'!L184+'Prices&amp;Fuel'!O184)*'Prices&amp;Fuel'!H184</f>
        <v>108231.279087683</v>
      </c>
      <c r="BO184" s="9" t="n">
        <f aca="false">((BB184+BC184+BD184)*(1-'Prices&amp;Fuel'!G184))*('Prices&amp;Fuel'!M184+'Prices&amp;Fuel'!P184)*'Prices&amp;Fuel'!H184</f>
        <v>288278.113999995</v>
      </c>
      <c r="BP184" s="9" t="n">
        <f aca="false">((BD184+BC184+BB184+BE184+BF184+BG184)*BK184*'Prices&amp;Fuel'!H184)+BM184+BN184+BO184</f>
        <v>4249564.22869012</v>
      </c>
      <c r="BQ184" s="5" t="n">
        <f aca="false">BL184-BP184</f>
        <v>51072.3216732712</v>
      </c>
      <c r="CA184" s="5" t="n">
        <f aca="false">(AF184+AG184+AH184+AL184)*0.005*'Prices&amp;Fuel'!H184</f>
        <v>0</v>
      </c>
      <c r="CB184" s="5" t="n">
        <f aca="false">(B184+C184+D184+O184+P184+Q184+X184+Y184+BB184+BC184+BD184+BE184+BF184+BG184+BR184+BS184)*0.005*'Prices&amp;Fuel'!H184</f>
        <v>3347.04370179946</v>
      </c>
      <c r="CC184" s="7" t="n">
        <f aca="false">K184+T184+AB184+AY184+BL184+BX184</f>
        <v>4300636.55036339</v>
      </c>
      <c r="CD184" s="7" t="n">
        <f aca="false">L184+U184+AC184+AZ184+BP184+BY184+CA184+CB184</f>
        <v>4252911.27239192</v>
      </c>
      <c r="CE184" s="7" t="n">
        <f aca="false">CC184-CD184</f>
        <v>47725.2779714717</v>
      </c>
      <c r="CJ184" s="7" t="n">
        <f aca="false">CC184+CF184</f>
        <v>4300636.55036339</v>
      </c>
      <c r="CK184" s="7" t="n">
        <f aca="false">CD184+CH184</f>
        <v>4252911.27239192</v>
      </c>
      <c r="CL184" s="7" t="n">
        <f aca="false">CE184+CI184</f>
        <v>47725.2779714717</v>
      </c>
      <c r="CN184" s="7" t="n">
        <f aca="false">Transport!U184</f>
        <v>4.39204595750198E-009</v>
      </c>
      <c r="CQ184" s="7" t="n">
        <f aca="false">(((($B184+$C184+$D184+$O184+$P184+$Q184)*0.5)+BR184+BS184)*(0.005*'Prices&amp;Fuel'!$H184)+'Index Price Deals'!AV184)+(((BB184+BC184+BD184+BE184+BF184+BG184)*(1-'Prices&amp;Fuel'!F184))*0.005*0.5*'Prices&amp;Fuel'!H184)</f>
        <v>1627.49999999999</v>
      </c>
      <c r="CR184" s="7" t="n">
        <f aca="false">(((($B184+$C184+$D184+$O184+$P184+$Q184)*0.5)+X184+Y184)*(0.005*'Prices&amp;Fuel'!$H184)+CA184+'Index Price Deals'!AW184)+(((BB184+BC184+BD184+BE184+BF184+BG184)*(1-'Prices&amp;Fuel'!F184))*0.005*0.5*'Prices&amp;Fuel'!H184)</f>
        <v>1627.49999999999</v>
      </c>
      <c r="CS184" s="11"/>
      <c r="CV184" s="70" t="n">
        <f aca="false">CL184-CN184-CT184+CU184+CS184+CO184</f>
        <v>47725.2779714673</v>
      </c>
    </row>
    <row r="185" customFormat="false" ht="12.75" hidden="false" customHeight="false" outlineLevel="0" collapsed="false">
      <c r="A185" s="6" t="n">
        <f aca="false">+A184+365/12</f>
        <v>41224</v>
      </c>
      <c r="BB185" s="5" t="n">
        <f aca="false">IF('FP Corp'!T185-((BE185+BF185+BG185)*(1-'Prices&amp;Fuel'!F185))&lt;'Prices&amp;Fuel'!R185,('FP Corp'!T185-(BE185+BF185+BG185)*(1-'Prices&amp;Fuel'!F185)),'Prices&amp;Fuel'!R185)/(1-'Prices&amp;Fuel'!F185)</f>
        <v>4325.96401028278</v>
      </c>
      <c r="BC185" s="9"/>
      <c r="BD185" s="9" t="n">
        <f aca="false">ROUND(IF('FP Corp'!T185/(1-'Prices&amp;Fuel'!F185)-BE185-BF185-BG185-BB185&gt;'Prices&amp;Fuel'!T185,'Prices&amp;Fuel'!T185,'FP Corp'!T185/(1-'Prices&amp;Fuel'!F185)-BE185-BF185-BG185-BB185),9)</f>
        <v>0</v>
      </c>
      <c r="BE185" s="9" t="n">
        <f aca="false">'Prices&amp;Fuel'!U185/(1-'Prices&amp;Fuel'!F185)</f>
        <v>2635.47557840617</v>
      </c>
      <c r="BF185" s="9" t="n">
        <f aca="false">('Prices&amp;Fuel'!V185+'Prices&amp;Fuel'!X185)/(1-'Prices&amp;Fuel'!F185)</f>
        <v>3645.2442159383</v>
      </c>
      <c r="BG185" s="9" t="n">
        <f aca="false">'Prices&amp;Fuel'!W185/(1-'Prices&amp;Fuel'!F185)</f>
        <v>1732.64781491003</v>
      </c>
      <c r="BH185" s="10" t="n">
        <f aca="false">('Prices&amp;Fuel'!C185+'Prices&amp;Fuel'!D185)/2-0.05+('Prices&amp;Fuel'!M185+'Prices&amp;Fuel'!P185)*(1-'Prices&amp;Fuel'!F185)</f>
        <v>4.51353374643099</v>
      </c>
      <c r="BI185" s="10"/>
      <c r="BJ185" s="10"/>
      <c r="BK185" s="10" t="n">
        <f aca="false">(((BB185+BE185)*('Prices&amp;Fuel'!B185+0.025))+(('Prices&amp;Fuel'!D185+0.025)*(BD185+BG185))+(('Prices&amp;Fuel'!C185+0.025)*(BC185+BF185))-(BI185+BJ185)*0.025)/(BB185+BC185+BD185+BE185+BF185+BG185)</f>
        <v>3.82821416309766</v>
      </c>
      <c r="BL185" s="9" t="n">
        <f aca="false">(BB185+BC185+BD185+BE185+BF185+BG185)*BH185*'Prices&amp;Fuel'!H185</f>
        <v>1670819.69019553</v>
      </c>
      <c r="BM185" s="9" t="n">
        <f aca="false">'Prices&amp;Fuel'!X185*('Prices&amp;Fuel'!N185+'Prices&amp;Fuel'!O185)*'Prices&amp;Fuel'!H185</f>
        <v>9111.88181701374</v>
      </c>
      <c r="BN185" s="9" t="n">
        <f aca="false">('Prices&amp;Fuel'!U185+'Prices&amp;Fuel'!V185+'Prices&amp;Fuel'!W185)*('Prices&amp;Fuel'!L185+'Prices&amp;Fuel'!O185)*'Prices&amp;Fuel'!H185</f>
        <v>94854.2894860434</v>
      </c>
      <c r="BO185" s="9" t="n">
        <f aca="false">((BB185+BC185+BD185)*(1-'Prices&amp;Fuel'!G185))*('Prices&amp;Fuel'!M185+'Prices&amp;Fuel'!P185)*'Prices&amp;Fuel'!H185</f>
        <v>96613.755</v>
      </c>
      <c r="BP185" s="9" t="n">
        <f aca="false">((BD185+BC185+BB185+BE185+BF185+BG185)*BK185*'Prices&amp;Fuel'!H185)+BM185+BN185+BO185</f>
        <v>1617708.0483752</v>
      </c>
      <c r="BQ185" s="5" t="n">
        <f aca="false">BL185-BP185</f>
        <v>53111.6418203362</v>
      </c>
      <c r="CA185" s="5" t="n">
        <f aca="false">(AF185+AG185+AH185+AL185)*0.005*'Prices&amp;Fuel'!H185</f>
        <v>0</v>
      </c>
      <c r="CB185" s="5" t="n">
        <f aca="false">(B185+C185+D185+O185+P185+Q185+X185+Y185+BB185+BC185+BD185+BE185+BF185+BG185+BR185+BS185)*0.005*'Prices&amp;Fuel'!H185</f>
        <v>1850.89974293059</v>
      </c>
      <c r="CC185" s="7" t="n">
        <f aca="false">K185+T185+AB185+AY185+BL185+BX185</f>
        <v>1670819.69019553</v>
      </c>
      <c r="CD185" s="7" t="n">
        <f aca="false">L185+U185+AC185+AZ185+BP185+BY185+CA185+CB185</f>
        <v>1619558.94811813</v>
      </c>
      <c r="CE185" s="7" t="n">
        <f aca="false">CC185-CD185</f>
        <v>51260.7420774056</v>
      </c>
      <c r="CJ185" s="7" t="n">
        <f aca="false">CC185+CF185</f>
        <v>1670819.69019553</v>
      </c>
      <c r="CK185" s="7" t="n">
        <f aca="false">CD185+CH185</f>
        <v>1619558.94811813</v>
      </c>
      <c r="CL185" s="7" t="n">
        <f aca="false">CE185+CI185</f>
        <v>51260.7420774056</v>
      </c>
      <c r="CN185" s="7" t="n">
        <f aca="false">Transport!U185</f>
        <v>0</v>
      </c>
      <c r="CQ185" s="7" t="n">
        <f aca="false">(((($B185+$C185+$D185+$O185+$P185+$Q185)*0.5)+BR185+BS185)*(0.005*'Prices&amp;Fuel'!$H185)+'Index Price Deals'!AV185)+(((BB185+BC185+BD185+BE185+BF185+BG185)*(1-'Prices&amp;Fuel'!F185))*0.005*0.5*'Prices&amp;Fuel'!H185)</f>
        <v>900</v>
      </c>
      <c r="CR185" s="7" t="n">
        <f aca="false">(((($B185+$C185+$D185+$O185+$P185+$Q185)*0.5)+X185+Y185)*(0.005*'Prices&amp;Fuel'!$H185)+CA185+'Index Price Deals'!AW185)+(((BB185+BC185+BD185+BE185+BF185+BG185)*(1-'Prices&amp;Fuel'!F185))*0.005*0.5*'Prices&amp;Fuel'!H185)</f>
        <v>900</v>
      </c>
      <c r="CS185" s="11"/>
      <c r="CV185" s="70" t="n">
        <f aca="false">CL185-CN185-CT185+CU185+CS185+CO185</f>
        <v>51260.7420774056</v>
      </c>
    </row>
    <row r="186" customFormat="false" ht="12.75" hidden="false" customHeight="false" outlineLevel="0" collapsed="false">
      <c r="A186" s="6" t="n">
        <f aca="false">+A185+365/12</f>
        <v>41254.4166666667</v>
      </c>
      <c r="BB186" s="5" t="n">
        <f aca="false">IF('FP Corp'!T186-((BE186+BF186+BG186)*(1-'Prices&amp;Fuel'!F186))&lt;'Prices&amp;Fuel'!R186,('FP Corp'!T186-(BE186+BF186+BG186)*(1-'Prices&amp;Fuel'!F186)),'Prices&amp;Fuel'!R186)/(1-'Prices&amp;Fuel'!F186)</f>
        <v>4325.96401028278</v>
      </c>
      <c r="BC186" s="9"/>
      <c r="BD186" s="9" t="n">
        <f aca="false">ROUND(IF('FP Corp'!T186/(1-'Prices&amp;Fuel'!F186)-BE186-BF186-BG186-BB186&gt;'Prices&amp;Fuel'!T186,'Prices&amp;Fuel'!T186,'FP Corp'!T186/(1-'Prices&amp;Fuel'!F186)-BE186-BF186-BG186-BB186),9)</f>
        <v>0</v>
      </c>
      <c r="BE186" s="9" t="n">
        <f aca="false">'Prices&amp;Fuel'!U186/(1-'Prices&amp;Fuel'!F186)</f>
        <v>2635.47557840617</v>
      </c>
      <c r="BF186" s="9" t="n">
        <f aca="false">('Prices&amp;Fuel'!V186+'Prices&amp;Fuel'!X186)/(1-'Prices&amp;Fuel'!F186)</f>
        <v>3645.2442159383</v>
      </c>
      <c r="BG186" s="9" t="n">
        <f aca="false">'Prices&amp;Fuel'!W186/(1-'Prices&amp;Fuel'!F186)</f>
        <v>1732.64781491003</v>
      </c>
      <c r="BH186" s="10" t="n">
        <f aca="false">('Prices&amp;Fuel'!C186+'Prices&amp;Fuel'!D186)/2-0.05+('Prices&amp;Fuel'!M186+'Prices&amp;Fuel'!P186)*(1-'Prices&amp;Fuel'!F186)</f>
        <v>3.54146627606913</v>
      </c>
      <c r="BI186" s="10"/>
      <c r="BJ186" s="10"/>
      <c r="BK186" s="10" t="n">
        <f aca="false">(((BB186+BE186)*('Prices&amp;Fuel'!B186+0.025))+(('Prices&amp;Fuel'!D186+0.025)*(BD186+BG186))+(('Prices&amp;Fuel'!C186+0.025)*(BC186+BF186))-(BI186+BJ186)*0.025)/(BB186+BC186+BD186+BE186+BF186+BG186)</f>
        <v>2.8561466927358</v>
      </c>
      <c r="BL186" s="9" t="n">
        <f aca="false">(BB186+BC186+BD186+BE186+BF186+BG186)*BH186*'Prices&amp;Fuel'!H186</f>
        <v>1354679.13079457</v>
      </c>
      <c r="BM186" s="9" t="n">
        <f aca="false">'Prices&amp;Fuel'!X186*('Prices&amp;Fuel'!N186+'Prices&amp;Fuel'!O186)*'Prices&amp;Fuel'!H186</f>
        <v>9415.61121091419</v>
      </c>
      <c r="BN186" s="9" t="n">
        <f aca="false">('Prices&amp;Fuel'!U186+'Prices&amp;Fuel'!V186+'Prices&amp;Fuel'!W186)*('Prices&amp;Fuel'!L186+'Prices&amp;Fuel'!O186)*'Prices&amp;Fuel'!H186</f>
        <v>98016.0991355782</v>
      </c>
      <c r="BO186" s="9" t="n">
        <f aca="false">((BB186+BC186+BD186)*(1-'Prices&amp;Fuel'!G186))*('Prices&amp;Fuel'!M186+'Prices&amp;Fuel'!P186)*'Prices&amp;Fuel'!H186</f>
        <v>99834.2135</v>
      </c>
      <c r="BP186" s="9" t="n">
        <f aca="false">((BD186+BC186+BB186+BE186+BF186+BG186)*BK186*'Prices&amp;Fuel'!H186)+BM186+BN186+BO186</f>
        <v>1299797.10091355</v>
      </c>
      <c r="BQ186" s="5" t="n">
        <f aca="false">BL186-BP186</f>
        <v>54882.0298810143</v>
      </c>
      <c r="CA186" s="5" t="n">
        <f aca="false">(AF186+AG186+AH186+AL186)*0.005*'Prices&amp;Fuel'!H186</f>
        <v>0</v>
      </c>
      <c r="CB186" s="5" t="n">
        <f aca="false">(B186+C186+D186+O186+P186+Q186+X186+Y186+BB186+BC186+BD186+BE186+BF186+BG186+BR186+BS186)*0.005*'Prices&amp;Fuel'!H186</f>
        <v>1912.59640102828</v>
      </c>
      <c r="CC186" s="7" t="n">
        <f aca="false">K186+T186+AB186+AY186+BL186+BX186</f>
        <v>1354679.13079457</v>
      </c>
      <c r="CD186" s="7" t="n">
        <f aca="false">L186+U186+AC186+AZ186+BP186+BY186+CA186+CB186</f>
        <v>1301709.69731458</v>
      </c>
      <c r="CE186" s="7" t="n">
        <f aca="false">CC186-CD186</f>
        <v>52969.4334799859</v>
      </c>
      <c r="CJ186" s="7" t="n">
        <f aca="false">CC186+CF186</f>
        <v>1354679.13079457</v>
      </c>
      <c r="CK186" s="7" t="n">
        <f aca="false">CD186+CH186</f>
        <v>1301709.69731458</v>
      </c>
      <c r="CL186" s="7" t="n">
        <f aca="false">CE186+CI186</f>
        <v>52969.4334799859</v>
      </c>
      <c r="CM186" s="7" t="n">
        <f aca="false">SUM(CL175:CL186)</f>
        <v>483983.902960422</v>
      </c>
      <c r="CN186" s="7" t="n">
        <f aca="false">Transport!U186</f>
        <v>0</v>
      </c>
      <c r="CQ186" s="7" t="n">
        <f aca="false">(((($B186+$C186+$D186+$O186+$P186+$Q186)*0.5)+BR186+BS186)*(0.005*'Prices&amp;Fuel'!$H186)+'Index Price Deals'!AV186)+(((BB186+BC186+BD186+BE186+BF186+BG186)*(1-'Prices&amp;Fuel'!F186))*0.005*0.5*'Prices&amp;Fuel'!H186)</f>
        <v>930</v>
      </c>
      <c r="CR186" s="7" t="n">
        <f aca="false">(((($B186+$C186+$D186+$O186+$P186+$Q186)*0.5)+X186+Y186)*(0.005*'Prices&amp;Fuel'!$H186)+CA186+'Index Price Deals'!AW186)+(((BB186+BC186+BD186+BE186+BF186+BG186)*(1-'Prices&amp;Fuel'!F186))*0.005*0.5*'Prices&amp;Fuel'!H186)</f>
        <v>930</v>
      </c>
      <c r="CS186" s="11"/>
      <c r="CV186" s="70" t="n">
        <f aca="false">CL186-CN186-CT186+CU186+CS186+CO186</f>
        <v>52969.4334799859</v>
      </c>
    </row>
    <row r="187" customFormat="false" ht="12.75" hidden="false" customHeight="false" outlineLevel="0" collapsed="false">
      <c r="A187" s="6" t="n">
        <f aca="false">+A186+365/12</f>
        <v>41284.8333333333</v>
      </c>
      <c r="BB187" s="5" t="n">
        <f aca="false">IF('FP Corp'!T187-((BE187+BF187+BG187)*(1-'Prices&amp;Fuel'!F187))&lt;'Prices&amp;Fuel'!R187,('FP Corp'!T187-(BE187+BF187+BG187)*(1-'Prices&amp;Fuel'!F187)),'Prices&amp;Fuel'!R187)/(1-'Prices&amp;Fuel'!F187)</f>
        <v>4325.96401028278</v>
      </c>
      <c r="BC187" s="9"/>
      <c r="BD187" s="9" t="n">
        <f aca="false">ROUND(IF('FP Corp'!T187/(1-'Prices&amp;Fuel'!F187)-BE187-BF187-BG187-BB187&gt;'Prices&amp;Fuel'!T187,'Prices&amp;Fuel'!T187,'FP Corp'!T187/(1-'Prices&amp;Fuel'!F187)-BE187-BF187-BG187-BB187),9)</f>
        <v>0</v>
      </c>
      <c r="BE187" s="9" t="n">
        <f aca="false">'Prices&amp;Fuel'!U187/(1-'Prices&amp;Fuel'!F187)</f>
        <v>2635.47557840617</v>
      </c>
      <c r="BF187" s="9" t="n">
        <f aca="false">('Prices&amp;Fuel'!V187+'Prices&amp;Fuel'!X187)/(1-'Prices&amp;Fuel'!F187)</f>
        <v>3645.2442159383</v>
      </c>
      <c r="BG187" s="9" t="n">
        <f aca="false">'Prices&amp;Fuel'!W187/(1-'Prices&amp;Fuel'!F187)</f>
        <v>1732.64781491003</v>
      </c>
      <c r="BH187" s="10" t="n">
        <f aca="false">('Prices&amp;Fuel'!C187+'Prices&amp;Fuel'!D187)/2-0.05+('Prices&amp;Fuel'!M187+'Prices&amp;Fuel'!P187)*(1-'Prices&amp;Fuel'!F187)</f>
        <v>3.20201589693027</v>
      </c>
      <c r="BI187" s="10"/>
      <c r="BJ187" s="10"/>
      <c r="BK187" s="10" t="n">
        <f aca="false">(((BB187+BE187)*('Prices&amp;Fuel'!B187+0.025))+(('Prices&amp;Fuel'!D187+0.025)*(BD187+BG187))+(('Prices&amp;Fuel'!C187+0.025)*(BC187+BF187))-(BI187+BJ187)*0.025)/(BB187+BC187+BD187+BE187+BF187+BG187)</f>
        <v>2.51669631359694</v>
      </c>
      <c r="BL187" s="9" t="n">
        <f aca="false">(BB187+BC187+BD187+BE187+BF187+BG187)*BH187*'Prices&amp;Fuel'!H187</f>
        <v>1224832.81610083</v>
      </c>
      <c r="BM187" s="9" t="n">
        <f aca="false">'Prices&amp;Fuel'!X187*('Prices&amp;Fuel'!N187+'Prices&amp;Fuel'!O187)*'Prices&amp;Fuel'!H187</f>
        <v>9438.64041395779</v>
      </c>
      <c r="BN187" s="9" t="n">
        <f aca="false">('Prices&amp;Fuel'!U187+'Prices&amp;Fuel'!V187+'Prices&amp;Fuel'!W187)*('Prices&amp;Fuel'!L187+'Prices&amp;Fuel'!O187)*'Prices&amp;Fuel'!H187</f>
        <v>98255.8321277305</v>
      </c>
      <c r="BO187" s="9" t="n">
        <f aca="false">((BB187+BC187+BD187)*(1-'Prices&amp;Fuel'!G187))*('Prices&amp;Fuel'!M187+'Prices&amp;Fuel'!P187)*'Prices&amp;Fuel'!H187</f>
        <v>99834.2135</v>
      </c>
      <c r="BP187" s="9" t="n">
        <f aca="false">((BD187+BC187+BB187+BE187+BF187+BG187)*BK187*'Prices&amp;Fuel'!H187)+BM187+BN187+BO187</f>
        <v>1170213.54841502</v>
      </c>
      <c r="BQ187" s="5" t="n">
        <f aca="false">BL187-BP187</f>
        <v>54619.2676858183</v>
      </c>
      <c r="CA187" s="5" t="n">
        <f aca="false">(AF187+AG187+AH187+AL187)*0.005*'Prices&amp;Fuel'!H187</f>
        <v>0</v>
      </c>
      <c r="CB187" s="5" t="n">
        <f aca="false">(B187+C187+D187+O187+P187+Q187+X187+Y187+BB187+BC187+BD187+BE187+BF187+BG187+BR187+BS187)*0.005*'Prices&amp;Fuel'!H187</f>
        <v>1912.59640102828</v>
      </c>
      <c r="CC187" s="7" t="n">
        <f aca="false">K187+T187+AB187+AY187+BL187+BX187</f>
        <v>1224832.81610083</v>
      </c>
      <c r="CD187" s="7" t="n">
        <f aca="false">L187+U187+AC187+AZ187+BP187+BY187+CA187+CB187</f>
        <v>1172126.14481604</v>
      </c>
      <c r="CE187" s="7" t="n">
        <f aca="false">CC187-CD187</f>
        <v>52706.6712847899</v>
      </c>
      <c r="CJ187" s="7" t="n">
        <f aca="false">CC187+CF187</f>
        <v>1224832.81610083</v>
      </c>
      <c r="CK187" s="7" t="n">
        <f aca="false">CD187+CH187</f>
        <v>1172126.14481604</v>
      </c>
      <c r="CL187" s="7" t="n">
        <f aca="false">CE187+CI187</f>
        <v>52706.6712847899</v>
      </c>
      <c r="CN187" s="7" t="n">
        <f aca="false">Transport!U187</f>
        <v>0</v>
      </c>
      <c r="CQ187" s="7" t="n">
        <f aca="false">(((($B187+$C187+$D187+$O187+$P187+$Q187)*0.5)+BR187+BS187)*(0.005*'Prices&amp;Fuel'!$H187)+'Index Price Deals'!AV187)+(((BB187+BC187+BD187+BE187+BF187+BG187)*(1-'Prices&amp;Fuel'!F187))*0.005*0.5*'Prices&amp;Fuel'!H187)</f>
        <v>930</v>
      </c>
      <c r="CR187" s="7" t="n">
        <f aca="false">(((($B187+$C187+$D187+$O187+$P187+$Q187)*0.5)+X187+Y187)*(0.005*'Prices&amp;Fuel'!$H187)+CA187+'Index Price Deals'!AW187)+(((BB187+BC187+BD187+BE187+BF187+BG187)*(1-'Prices&amp;Fuel'!F187))*0.005*0.5*'Prices&amp;Fuel'!H187)</f>
        <v>930</v>
      </c>
      <c r="CS187" s="11"/>
      <c r="CV187" s="70" t="n">
        <f aca="false">CL187-CN187-CT187+CU187+CS187+CO187</f>
        <v>52706.6712847899</v>
      </c>
    </row>
    <row r="188" customFormat="false" ht="12.75" hidden="false" customHeight="false" outlineLevel="0" collapsed="false">
      <c r="A188" s="6" t="n">
        <f aca="false">+A187+365/12</f>
        <v>41315.25</v>
      </c>
      <c r="BB188" s="5" t="n">
        <f aca="false">IF('FP Corp'!T188-((BE188+BF188+BG188)*(1-'Prices&amp;Fuel'!F188))&lt;'Prices&amp;Fuel'!R188,('FP Corp'!T188-(BE188+BF188+BG188)*(1-'Prices&amp;Fuel'!F188)),'Prices&amp;Fuel'!R188)/(1-'Prices&amp;Fuel'!F188)</f>
        <v>4325.96401028278</v>
      </c>
      <c r="BC188" s="9"/>
      <c r="BD188" s="9" t="n">
        <f aca="false">ROUND(IF('FP Corp'!T188/(1-'Prices&amp;Fuel'!F188)-BE188-BF188-BG188-BB188&gt;'Prices&amp;Fuel'!T188,'Prices&amp;Fuel'!T188,'FP Corp'!T188/(1-'Prices&amp;Fuel'!F188)-BE188-BF188-BG188-BB188),9)</f>
        <v>0</v>
      </c>
      <c r="BE188" s="9" t="n">
        <f aca="false">'Prices&amp;Fuel'!U188/(1-'Prices&amp;Fuel'!F188)</f>
        <v>2635.47557840617</v>
      </c>
      <c r="BF188" s="9" t="n">
        <f aca="false">('Prices&amp;Fuel'!V188+'Prices&amp;Fuel'!X188)/(1-'Prices&amp;Fuel'!F188)</f>
        <v>3645.2442159383</v>
      </c>
      <c r="BG188" s="9" t="n">
        <f aca="false">'Prices&amp;Fuel'!W188/(1-'Prices&amp;Fuel'!F188)</f>
        <v>1732.64781491003</v>
      </c>
      <c r="BH188" s="10" t="n">
        <f aca="false">('Prices&amp;Fuel'!C188+'Prices&amp;Fuel'!D188)/2-0.05+('Prices&amp;Fuel'!M188+'Prices&amp;Fuel'!P188)*(1-'Prices&amp;Fuel'!F188)</f>
        <v>3.5032463505299</v>
      </c>
      <c r="BI188" s="10"/>
      <c r="BJ188" s="10"/>
      <c r="BK188" s="10" t="n">
        <f aca="false">(((BB188+BE188)*('Prices&amp;Fuel'!B188+0.025))+(('Prices&amp;Fuel'!D188+0.025)*(BD188+BG188))+(('Prices&amp;Fuel'!C188+0.025)*(BC188+BF188))-(BI188+BJ188)*0.025)/(BB188+BC188+BD188+BE188+BF188+BG188)</f>
        <v>2.81792676719657</v>
      </c>
      <c r="BL188" s="9" t="n">
        <f aca="false">(BB188+BC188+BD188+BE188+BF188+BG188)*BH188*'Prices&amp;Fuel'!H188</f>
        <v>1210376.11699542</v>
      </c>
      <c r="BM188" s="9" t="n">
        <f aca="false">'Prices&amp;Fuel'!X188*('Prices&amp;Fuel'!N188+'Prices&amp;Fuel'!O188)*'Prices&amp;Fuel'!H188</f>
        <v>8525.22359970381</v>
      </c>
      <c r="BN188" s="9" t="n">
        <f aca="false">('Prices&amp;Fuel'!U188+'Prices&amp;Fuel'!V188+'Prices&amp;Fuel'!W188)*('Prices&amp;Fuel'!L188+'Prices&amp;Fuel'!O188)*'Prices&amp;Fuel'!H188</f>
        <v>88747.2032121437</v>
      </c>
      <c r="BO188" s="9" t="n">
        <f aca="false">((BB188+BC188+BD188)*(1-'Prices&amp;Fuel'!G188))*('Prices&amp;Fuel'!M188+'Prices&amp;Fuel'!P188)*'Prices&amp;Fuel'!H188</f>
        <v>90172.838</v>
      </c>
      <c r="BP188" s="9" t="n">
        <f aca="false">((BD188+BC188+BB188+BE188+BF188+BG188)*BK188*'Prices&amp;Fuel'!H188)+BM188+BN188+BO188</f>
        <v>1161042.5848921</v>
      </c>
      <c r="BQ188" s="5" t="n">
        <f aca="false">BL188-BP188</f>
        <v>49333.5321033197</v>
      </c>
      <c r="CA188" s="5" t="n">
        <f aca="false">(AF188+AG188+AH188+AL188)*0.005*'Prices&amp;Fuel'!H188</f>
        <v>0</v>
      </c>
      <c r="CB188" s="5" t="n">
        <f aca="false">(B188+C188+D188+O188+P188+Q188+X188+Y188+BB188+BC188+BD188+BE188+BF188+BG188+BR188+BS188)*0.005*'Prices&amp;Fuel'!H188</f>
        <v>1727.50642673522</v>
      </c>
      <c r="CC188" s="7" t="n">
        <f aca="false">K188+T188+AB188+AY188+BL188+BX188</f>
        <v>1210376.11699542</v>
      </c>
      <c r="CD188" s="7" t="n">
        <f aca="false">L188+U188+AC188+AZ188+BP188+BY188+CA188+CB188</f>
        <v>1162770.09131884</v>
      </c>
      <c r="CE188" s="7" t="n">
        <f aca="false">CC188-CD188</f>
        <v>47606.0256765843</v>
      </c>
      <c r="CJ188" s="7" t="n">
        <f aca="false">CC188+CF188</f>
        <v>1210376.11699542</v>
      </c>
      <c r="CK188" s="7" t="n">
        <f aca="false">CD188+CH188</f>
        <v>1162770.09131884</v>
      </c>
      <c r="CL188" s="7" t="n">
        <f aca="false">CE188+CI188</f>
        <v>47606.0256765843</v>
      </c>
      <c r="CN188" s="7" t="n">
        <f aca="false">Transport!U188</f>
        <v>0</v>
      </c>
      <c r="CQ188" s="7" t="n">
        <f aca="false">(((($B188+$C188+$D188+$O188+$P188+$Q188)*0.5)+BR188+BS188)*(0.005*'Prices&amp;Fuel'!$H188)+'Index Price Deals'!AV188)+(((BB188+BC188+BD188+BE188+BF188+BG188)*(1-'Prices&amp;Fuel'!F188))*0.005*0.5*'Prices&amp;Fuel'!H188)</f>
        <v>840</v>
      </c>
      <c r="CR188" s="7" t="n">
        <f aca="false">(((($B188+$C188+$D188+$O188+$P188+$Q188)*0.5)+X188+Y188)*(0.005*'Prices&amp;Fuel'!$H188)+CA188+'Index Price Deals'!AW188)+(((BB188+BC188+BD188+BE188+BF188+BG188)*(1-'Prices&amp;Fuel'!F188))*0.005*0.5*'Prices&amp;Fuel'!H188)</f>
        <v>840</v>
      </c>
      <c r="CS188" s="11"/>
      <c r="CV188" s="70" t="n">
        <f aca="false">CL188-CN188-CT188+CU188+CS188+CO188</f>
        <v>47606.0256765843</v>
      </c>
    </row>
    <row r="189" customFormat="false" ht="12.75" hidden="false" customHeight="false" outlineLevel="0" collapsed="false">
      <c r="A189" s="6" t="n">
        <f aca="false">+A188+365/12</f>
        <v>41345.6666666667</v>
      </c>
      <c r="BB189" s="5" t="n">
        <f aca="false">IF('FP Corp'!T189-((BE189+BF189+BG189)*(1-'Prices&amp;Fuel'!F189))&lt;'Prices&amp;Fuel'!R189,('FP Corp'!T189-(BE189+BF189+BG189)*(1-'Prices&amp;Fuel'!F189)),'Prices&amp;Fuel'!R189)/(1-'Prices&amp;Fuel'!F189)</f>
        <v>4325.96401028278</v>
      </c>
      <c r="BC189" s="9"/>
      <c r="BD189" s="9" t="n">
        <f aca="false">ROUND(IF('FP Corp'!T189/(1-'Prices&amp;Fuel'!F189)-BE189-BF189-BG189-BB189&gt;'Prices&amp;Fuel'!T189,'Prices&amp;Fuel'!T189,'FP Corp'!T189/(1-'Prices&amp;Fuel'!F189)-BE189-BF189-BG189-BB189),9)</f>
        <v>0</v>
      </c>
      <c r="BE189" s="9" t="n">
        <f aca="false">'Prices&amp;Fuel'!U189/(1-'Prices&amp;Fuel'!F189)</f>
        <v>2635.47557840617</v>
      </c>
      <c r="BF189" s="9" t="n">
        <f aca="false">('Prices&amp;Fuel'!V189+'Prices&amp;Fuel'!X189)/(1-'Prices&amp;Fuel'!F189)</f>
        <v>3645.2442159383</v>
      </c>
      <c r="BG189" s="9" t="n">
        <f aca="false">'Prices&amp;Fuel'!W189/(1-'Prices&amp;Fuel'!F189)</f>
        <v>1732.64781491003</v>
      </c>
      <c r="BH189" s="10" t="n">
        <f aca="false">('Prices&amp;Fuel'!C189+'Prices&amp;Fuel'!D189)/2-0.05+('Prices&amp;Fuel'!M189+'Prices&amp;Fuel'!P189)*(1-'Prices&amp;Fuel'!F189)</f>
        <v>3.5032463505299</v>
      </c>
      <c r="BI189" s="10"/>
      <c r="BJ189" s="10"/>
      <c r="BK189" s="10" t="n">
        <f aca="false">(((BB189+BE189)*('Prices&amp;Fuel'!B189+0.025))+(('Prices&amp;Fuel'!D189+0.025)*(BD189+BG189))+(('Prices&amp;Fuel'!C189+0.025)*(BC189+BF189))-(BI189+BJ189)*0.025)/(BB189+BC189+BD189+BE189+BF189+BG189)</f>
        <v>2.81792676719657</v>
      </c>
      <c r="BL189" s="9" t="n">
        <f aca="false">(BB189+BC189+BD189+BE189+BF189+BG189)*BH189*'Prices&amp;Fuel'!H189</f>
        <v>1340059.27238779</v>
      </c>
      <c r="BM189" s="9" t="n">
        <f aca="false">'Prices&amp;Fuel'!X189*('Prices&amp;Fuel'!N189+'Prices&amp;Fuel'!O189)*'Prices&amp;Fuel'!H189</f>
        <v>9438.64041395779</v>
      </c>
      <c r="BN189" s="9" t="n">
        <f aca="false">('Prices&amp;Fuel'!U189+'Prices&amp;Fuel'!V189+'Prices&amp;Fuel'!W189)*('Prices&amp;Fuel'!L189+'Prices&amp;Fuel'!O189)*'Prices&amp;Fuel'!H189</f>
        <v>98255.8321277305</v>
      </c>
      <c r="BO189" s="9" t="n">
        <f aca="false">((BB189+BC189+BD189)*(1-'Prices&amp;Fuel'!G189))*('Prices&amp;Fuel'!M189+'Prices&amp;Fuel'!P189)*'Prices&amp;Fuel'!H189</f>
        <v>99834.2135</v>
      </c>
      <c r="BP189" s="9" t="n">
        <f aca="false">((BD189+BC189+BB189+BE189+BF189+BG189)*BK189*'Prices&amp;Fuel'!H189)+BM189+BN189+BO189</f>
        <v>1285440.00470197</v>
      </c>
      <c r="BQ189" s="5" t="n">
        <f aca="false">BL189-BP189</f>
        <v>54619.2676858183</v>
      </c>
      <c r="CA189" s="5" t="n">
        <f aca="false">(AF189+AG189+AH189+AL189)*0.005*'Prices&amp;Fuel'!H189</f>
        <v>0</v>
      </c>
      <c r="CB189" s="5" t="n">
        <f aca="false">(B189+C189+D189+O189+P189+Q189+X189+Y189+BB189+BC189+BD189+BE189+BF189+BG189+BR189+BS189)*0.005*'Prices&amp;Fuel'!H189</f>
        <v>1912.59640102828</v>
      </c>
      <c r="CC189" s="7" t="n">
        <f aca="false">K189+T189+AB189+AY189+BL189+BX189</f>
        <v>1340059.27238779</v>
      </c>
      <c r="CD189" s="7" t="n">
        <f aca="false">L189+U189+AC189+AZ189+BP189+BY189+CA189+CB189</f>
        <v>1287352.601103</v>
      </c>
      <c r="CE189" s="7" t="n">
        <f aca="false">CC189-CD189</f>
        <v>52706.6712847899</v>
      </c>
      <c r="CJ189" s="7" t="n">
        <f aca="false">CC189+CF189</f>
        <v>1340059.27238779</v>
      </c>
      <c r="CK189" s="7" t="n">
        <f aca="false">CD189+CH189</f>
        <v>1287352.601103</v>
      </c>
      <c r="CL189" s="7" t="n">
        <f aca="false">CE189+CI189</f>
        <v>52706.6712847899</v>
      </c>
      <c r="CN189" s="7" t="n">
        <f aca="false">Transport!U189</f>
        <v>0</v>
      </c>
      <c r="CQ189" s="7" t="n">
        <f aca="false">(((($B189+$C189+$D189+$O189+$P189+$Q189)*0.5)+BR189+BS189)*(0.005*'Prices&amp;Fuel'!$H189)+'Index Price Deals'!AV189)+(((BB189+BC189+BD189+BE189+BF189+BG189)*(1-'Prices&amp;Fuel'!F189))*0.005*0.5*'Prices&amp;Fuel'!H189)</f>
        <v>930</v>
      </c>
      <c r="CR189" s="7" t="n">
        <f aca="false">(((($B189+$C189+$D189+$O189+$P189+$Q189)*0.5)+X189+Y189)*(0.005*'Prices&amp;Fuel'!$H189)+CA189+'Index Price Deals'!AW189)+(((BB189+BC189+BD189+BE189+BF189+BG189)*(1-'Prices&amp;Fuel'!F189))*0.005*0.5*'Prices&amp;Fuel'!H189)</f>
        <v>930</v>
      </c>
      <c r="CS189" s="11"/>
      <c r="CV189" s="70" t="n">
        <f aca="false">CL189-CN189-CT189+CU189+CS189+CO189</f>
        <v>52706.6712847899</v>
      </c>
    </row>
    <row r="190" customFormat="false" ht="12.75" hidden="false" customHeight="false" outlineLevel="0" collapsed="false">
      <c r="A190" s="6" t="n">
        <f aca="false">+A189+365/12</f>
        <v>41376.0833333333</v>
      </c>
      <c r="BB190" s="5" t="n">
        <f aca="false">IF('FP Corp'!T190-((BE190+BF190+BG190)*(1-'Prices&amp;Fuel'!F190))&lt;'Prices&amp;Fuel'!R190,('FP Corp'!T190-(BE190+BF190+BG190)*(1-'Prices&amp;Fuel'!F190)),'Prices&amp;Fuel'!R190)/(1-'Prices&amp;Fuel'!F190)</f>
        <v>6278.66323907455</v>
      </c>
      <c r="BC190" s="9"/>
      <c r="BD190" s="9" t="n">
        <f aca="false">ROUND(IF('FP Corp'!T190/(1-'Prices&amp;Fuel'!F190)-BE190-BF190-BG190-BB190&gt;'Prices&amp;Fuel'!T190,'Prices&amp;Fuel'!T190,'FP Corp'!T190/(1-'Prices&amp;Fuel'!F190)-BE190-BF190-BG190-BB190),9)</f>
        <v>0</v>
      </c>
      <c r="BE190" s="9" t="n">
        <f aca="false">'Prices&amp;Fuel'!U190/(1-'Prices&amp;Fuel'!F190)</f>
        <v>1933.16195372751</v>
      </c>
      <c r="BF190" s="9" t="n">
        <f aca="false">('Prices&amp;Fuel'!V190+'Prices&amp;Fuel'!X190)/(1-'Prices&amp;Fuel'!F190)</f>
        <v>2833.93316195373</v>
      </c>
      <c r="BG190" s="9" t="n">
        <f aca="false">'Prices&amp;Fuel'!W190/(1-'Prices&amp;Fuel'!F190)</f>
        <v>1293.57326478149</v>
      </c>
      <c r="BH190" s="10" t="n">
        <f aca="false">('Prices&amp;Fuel'!C190+'Prices&amp;Fuel'!D190)/2-0.05+('Prices&amp;Fuel'!M190+'Prices&amp;Fuel'!P190)*(1-'Prices&amp;Fuel'!F190)</f>
        <v>3.80447680412954</v>
      </c>
      <c r="BI190" s="10"/>
      <c r="BJ190" s="10"/>
      <c r="BK190" s="10" t="n">
        <f aca="false">(((BB190+BE190)*('Prices&amp;Fuel'!B190+0.025))+(('Prices&amp;Fuel'!D190+0.025)*(BD190+BG190))+(('Prices&amp;Fuel'!C190+0.025)*(BC190+BF190))-(BI190+BJ190)*0.025)/(BB190+BC190+BD190+BE190+BF190+BG190)</f>
        <v>3.11485638746287</v>
      </c>
      <c r="BL190" s="9" t="n">
        <f aca="false">(BB190+BC190+BD190+BE190+BF190+BG190)*BH190*'Prices&amp;Fuel'!H190</f>
        <v>1408341.02774975</v>
      </c>
      <c r="BM190" s="9" t="n">
        <f aca="false">'Prices&amp;Fuel'!X190*('Prices&amp;Fuel'!N190+'Prices&amp;Fuel'!O190)*'Prices&amp;Fuel'!H190</f>
        <v>9134.1681425398</v>
      </c>
      <c r="BN190" s="9" t="n">
        <f aca="false">('Prices&amp;Fuel'!U190+'Prices&amp;Fuel'!V190+'Prices&amp;Fuel'!W190)*('Prices&amp;Fuel'!L190+'Prices&amp;Fuel'!O190)*'Prices&amp;Fuel'!H190</f>
        <v>69689.8245838578</v>
      </c>
      <c r="BO190" s="9" t="n">
        <f aca="false">((BB190+BC190+BD190)*(1-'Prices&amp;Fuel'!G190))*('Prices&amp;Fuel'!M190+'Prices&amp;Fuel'!P190)*'Prices&amp;Fuel'!H190</f>
        <v>140224.29</v>
      </c>
      <c r="BP190" s="9" t="n">
        <f aca="false">((BD190+BC190+BB190+BE190+BF190+BG190)*BK190*'Prices&amp;Fuel'!H190)+BM190+BN190+BO190</f>
        <v>1372105.66009055</v>
      </c>
      <c r="BQ190" s="5" t="n">
        <f aca="false">BL190-BP190</f>
        <v>36235.3676592067</v>
      </c>
      <c r="CA190" s="5" t="n">
        <f aca="false">(AF190+AG190+AH190+AL190)*0.005*'Prices&amp;Fuel'!H190</f>
        <v>0</v>
      </c>
      <c r="CB190" s="5" t="n">
        <f aca="false">(B190+C190+D190+O190+P190+Q190+X190+Y190+BB190+BC190+BD190+BE190+BF190+BG190+BR190+BS190)*0.005*'Prices&amp;Fuel'!H190</f>
        <v>1850.89974293059</v>
      </c>
      <c r="CC190" s="7" t="n">
        <f aca="false">K190+T190+AB190+AY190+BL190+BX190</f>
        <v>1408341.02774975</v>
      </c>
      <c r="CD190" s="7" t="n">
        <f aca="false">L190+U190+AC190+AZ190+BP190+BY190+CA190+CB190</f>
        <v>1373956.55983348</v>
      </c>
      <c r="CE190" s="7" t="n">
        <f aca="false">CC190-CD190</f>
        <v>34384.4679162761</v>
      </c>
      <c r="CJ190" s="7" t="n">
        <f aca="false">CC190+CF190</f>
        <v>1408341.02774975</v>
      </c>
      <c r="CK190" s="7" t="n">
        <f aca="false">CD190+CH190</f>
        <v>1373956.55983348</v>
      </c>
      <c r="CL190" s="7" t="n">
        <f aca="false">CE190+CI190</f>
        <v>34384.4679162761</v>
      </c>
      <c r="CN190" s="7" t="n">
        <f aca="false">Transport!U190</f>
        <v>0</v>
      </c>
      <c r="CQ190" s="7" t="n">
        <f aca="false">(((($B190+$C190+$D190+$O190+$P190+$Q190)*0.5)+BR190+BS190)*(0.005*'Prices&amp;Fuel'!$H190)+'Index Price Deals'!AV190)+(((BB190+BC190+BD190+BE190+BF190+BG190)*(1-'Prices&amp;Fuel'!F190))*0.005*0.5*'Prices&amp;Fuel'!H190)</f>
        <v>900</v>
      </c>
      <c r="CR190" s="7" t="n">
        <f aca="false">(((($B190+$C190+$D190+$O190+$P190+$Q190)*0.5)+X190+Y190)*(0.005*'Prices&amp;Fuel'!$H190)+CA190+'Index Price Deals'!AW190)+(((BB190+BC190+BD190+BE190+BF190+BG190)*(1-'Prices&amp;Fuel'!F190))*0.005*0.5*'Prices&amp;Fuel'!H190)</f>
        <v>900</v>
      </c>
      <c r="CS190" s="11"/>
      <c r="CV190" s="70" t="n">
        <f aca="false">CL190-CN190-CT190+CU190+CS190+CO190</f>
        <v>34384.4679162761</v>
      </c>
    </row>
    <row r="191" customFormat="false" ht="12.75" hidden="false" customHeight="false" outlineLevel="0" collapsed="false">
      <c r="A191" s="6" t="n">
        <f aca="false">+A190+365/12</f>
        <v>41406.5</v>
      </c>
      <c r="BB191" s="5" t="n">
        <f aca="false">IF('FP Corp'!T191-((BE191+BF191+BG191)*(1-'Prices&amp;Fuel'!F191))&lt;'Prices&amp;Fuel'!R191,('FP Corp'!T191-(BE191+BF191+BG191)*(1-'Prices&amp;Fuel'!F191)),'Prices&amp;Fuel'!R191)/(1-'Prices&amp;Fuel'!F191)</f>
        <v>8976.86375321337</v>
      </c>
      <c r="BC191" s="9"/>
      <c r="BD191" s="9" t="n">
        <f aca="false">ROUND(IF('FP Corp'!T191/(1-'Prices&amp;Fuel'!F191)-BE191-BF191-BG191-BB191&gt;'Prices&amp;Fuel'!T191,'Prices&amp;Fuel'!T191,'FP Corp'!T191/(1-'Prices&amp;Fuel'!F191)-BE191-BF191-BG191-BB191),9)</f>
        <v>6556.298200514</v>
      </c>
      <c r="BE191" s="9" t="n">
        <f aca="false">'Prices&amp;Fuel'!U191/(1-'Prices&amp;Fuel'!F191)</f>
        <v>1933.16195372751</v>
      </c>
      <c r="BF191" s="9" t="n">
        <f aca="false">('Prices&amp;Fuel'!V191+'Prices&amp;Fuel'!X191)/(1-'Prices&amp;Fuel'!F191)</f>
        <v>3062.21079691517</v>
      </c>
      <c r="BG191" s="9" t="n">
        <f aca="false">'Prices&amp;Fuel'!W191/(1-'Prices&amp;Fuel'!F191)</f>
        <v>1065.29562982005</v>
      </c>
      <c r="BH191" s="10" t="n">
        <f aca="false">('Prices&amp;Fuel'!C191+'Prices&amp;Fuel'!D191)/2-0.05+('Prices&amp;Fuel'!M191+'Prices&amp;Fuel'!P191)*(1-'Prices&amp;Fuel'!F191)</f>
        <v>4.01645378999595</v>
      </c>
      <c r="BI191" s="10"/>
      <c r="BJ191" s="10"/>
      <c r="BK191" s="10" t="n">
        <f aca="false">(((BB191+BE191)*('Prices&amp;Fuel'!B191+0.025))+(('Prices&amp;Fuel'!D191+0.025)*(BD191+BG191))+(('Prices&amp;Fuel'!C191+0.025)*(BC191+BF191))-(BI191+BJ191)*0.025)/(BB191+BC191+BD191+BE191+BF191+BG191)</f>
        <v>3.32404313523405</v>
      </c>
      <c r="BL191" s="9" t="n">
        <f aca="false">(BB191+BC191+BD191+BE191+BF191+BG191)*BH191*'Prices&amp;Fuel'!H191</f>
        <v>2688649.27227491</v>
      </c>
      <c r="BM191" s="9" t="n">
        <f aca="false">'Prices&amp;Fuel'!X191*('Prices&amp;Fuel'!N191+'Prices&amp;Fuel'!O191)*'Prices&amp;Fuel'!H191</f>
        <v>9438.64041395779</v>
      </c>
      <c r="BN191" s="9" t="n">
        <f aca="false">('Prices&amp;Fuel'!U191+'Prices&amp;Fuel'!V191+'Prices&amp;Fuel'!W191)*('Prices&amp;Fuel'!L191+'Prices&amp;Fuel'!O191)*'Prices&amp;Fuel'!H191</f>
        <v>72012.8187366531</v>
      </c>
      <c r="BO191" s="9" t="n">
        <f aca="false">((BB191+BC191+BD191)*(1-'Prices&amp;Fuel'!G191))*('Prices&amp;Fuel'!M191+'Prices&amp;Fuel'!P191)*'Prices&amp;Fuel'!H191</f>
        <v>358472.932999997</v>
      </c>
      <c r="BP191" s="9" t="n">
        <f aca="false">((BD191+BC191+BB191+BE191+BF191+BG191)*BK191*'Prices&amp;Fuel'!H191)+BM191+BN191+BO191</f>
        <v>2665067.92020958</v>
      </c>
      <c r="BQ191" s="5" t="n">
        <f aca="false">BL191-BP191</f>
        <v>23581.3520653271</v>
      </c>
      <c r="CA191" s="5" t="n">
        <f aca="false">(AF191+AG191+AH191+AL191)*0.005*'Prices&amp;Fuel'!H191</f>
        <v>0</v>
      </c>
      <c r="CB191" s="5" t="n">
        <f aca="false">(B191+C191+D191+O191+P191+Q191+X191+Y191+BB191+BC191+BD191+BE191+BF191+BG191+BR191+BS191)*0.005*'Prices&amp;Fuel'!H191</f>
        <v>3347.04370179946</v>
      </c>
      <c r="CC191" s="7" t="n">
        <f aca="false">K191+T191+AB191+AY191+BL191+BX191</f>
        <v>2688649.27227491</v>
      </c>
      <c r="CD191" s="7" t="n">
        <f aca="false">L191+U191+AC191+AZ191+BP191+BY191+CA191+CB191</f>
        <v>2668414.96391138</v>
      </c>
      <c r="CE191" s="7" t="n">
        <f aca="false">CC191-CD191</f>
        <v>20234.3083635275</v>
      </c>
      <c r="CJ191" s="7" t="n">
        <f aca="false">CC191+CF191</f>
        <v>2688649.27227491</v>
      </c>
      <c r="CK191" s="7" t="n">
        <f aca="false">CD191+CH191</f>
        <v>2668414.96391138</v>
      </c>
      <c r="CL191" s="7" t="n">
        <f aca="false">CE191+CI191</f>
        <v>20234.3083635275</v>
      </c>
      <c r="CN191" s="7" t="n">
        <f aca="false">Transport!U191</f>
        <v>3.14901408273727E-009</v>
      </c>
      <c r="CQ191" s="7" t="n">
        <f aca="false">(((($B191+$C191+$D191+$O191+$P191+$Q191)*0.5)+BR191+BS191)*(0.005*'Prices&amp;Fuel'!$H191)+'Index Price Deals'!AV191)+(((BB191+BC191+BD191+BE191+BF191+BG191)*(1-'Prices&amp;Fuel'!F191))*0.005*0.5*'Prices&amp;Fuel'!H191)</f>
        <v>1627.49999999999</v>
      </c>
      <c r="CR191" s="7" t="n">
        <f aca="false">(((($B191+$C191+$D191+$O191+$P191+$Q191)*0.5)+X191+Y191)*(0.005*'Prices&amp;Fuel'!$H191)+CA191+'Index Price Deals'!AW191)+(((BB191+BC191+BD191+BE191+BF191+BG191)*(1-'Prices&amp;Fuel'!F191))*0.005*0.5*'Prices&amp;Fuel'!H191)</f>
        <v>1627.49999999999</v>
      </c>
      <c r="CS191" s="11"/>
      <c r="CV191" s="70" t="n">
        <f aca="false">CL191-CN191-CT191+CU191+CS191+CO191</f>
        <v>20234.3083635244</v>
      </c>
    </row>
    <row r="192" customFormat="false" ht="12.75" hidden="false" customHeight="false" outlineLevel="0" collapsed="false">
      <c r="A192" s="6" t="n">
        <f aca="false">+A191+365/12</f>
        <v>41436.9166666667</v>
      </c>
      <c r="BB192" s="5" t="n">
        <f aca="false">IF('FP Corp'!T192-((BE192+BF192+BG192)*(1-'Prices&amp;Fuel'!F192))&lt;'Prices&amp;Fuel'!R192,('FP Corp'!T192-(BE192+BF192+BG192)*(1-'Prices&amp;Fuel'!F192)),'Prices&amp;Fuel'!R192)/(1-'Prices&amp;Fuel'!F192)</f>
        <v>8976.86375321337</v>
      </c>
      <c r="BC192" s="9"/>
      <c r="BD192" s="9" t="n">
        <f aca="false">ROUND(IF('FP Corp'!T192/(1-'Prices&amp;Fuel'!F192)-BE192-BF192-BG192-BB192&gt;'Prices&amp;Fuel'!T192,'Prices&amp;Fuel'!T192,'FP Corp'!T192/(1-'Prices&amp;Fuel'!F192)-BE192-BF192-BG192-BB192),9)</f>
        <v>6556.298200514</v>
      </c>
      <c r="BE192" s="9" t="n">
        <f aca="false">'Prices&amp;Fuel'!U192/(1-'Prices&amp;Fuel'!F192)</f>
        <v>1933.16195372751</v>
      </c>
      <c r="BF192" s="9" t="n">
        <f aca="false">('Prices&amp;Fuel'!V192+'Prices&amp;Fuel'!X192)/(1-'Prices&amp;Fuel'!F192)</f>
        <v>3062.21079691517</v>
      </c>
      <c r="BG192" s="9" t="n">
        <f aca="false">'Prices&amp;Fuel'!W192/(1-'Prices&amp;Fuel'!F192)</f>
        <v>1065.29562982005</v>
      </c>
      <c r="BH192" s="10" t="n">
        <f aca="false">('Prices&amp;Fuel'!C192+'Prices&amp;Fuel'!D192)/2-0.05+('Prices&amp;Fuel'!M192+'Prices&amp;Fuel'!P192)*(1-'Prices&amp;Fuel'!F192)</f>
        <v>5.47797932412751</v>
      </c>
      <c r="BI192" s="10"/>
      <c r="BJ192" s="10"/>
      <c r="BK192" s="10" t="n">
        <f aca="false">(((BB192+BE192)*('Prices&amp;Fuel'!B192+0.025))+(('Prices&amp;Fuel'!D192+0.025)*(BD192+BG192))+(('Prices&amp;Fuel'!C192+0.025)*(BC192+BF192))-(BI192+BJ192)*0.025)/(BB192+BC192+BD192+BE192+BF192+BG192)</f>
        <v>4.78556866936561</v>
      </c>
      <c r="BL192" s="9" t="n">
        <f aca="false">(BB192+BC192+BD192+BE192+BF192+BG192)*BH192*'Prices&amp;Fuel'!H192</f>
        <v>3548716.68298233</v>
      </c>
      <c r="BM192" s="9" t="n">
        <f aca="false">'Prices&amp;Fuel'!X192*('Prices&amp;Fuel'!N192+'Prices&amp;Fuel'!O192)*'Prices&amp;Fuel'!H192</f>
        <v>9134.1681425398</v>
      </c>
      <c r="BN192" s="9" t="n">
        <f aca="false">('Prices&amp;Fuel'!U192+'Prices&amp;Fuel'!V192+'Prices&amp;Fuel'!W192)*('Prices&amp;Fuel'!L192+'Prices&amp;Fuel'!O192)*'Prices&amp;Fuel'!H192</f>
        <v>69689.8245838578</v>
      </c>
      <c r="BO192" s="9" t="n">
        <f aca="false">((BB192+BC192+BD192)*(1-'Prices&amp;Fuel'!G192))*('Prices&amp;Fuel'!M192+'Prices&amp;Fuel'!P192)*'Prices&amp;Fuel'!H192</f>
        <v>346909.289999997</v>
      </c>
      <c r="BP192" s="9" t="n">
        <f aca="false">((BD192+BC192+BB192+BE192+BF192+BG192)*BK192*'Prices&amp;Fuel'!H192)+BM192+BN192+BO192</f>
        <v>3525896.0196933</v>
      </c>
      <c r="BQ192" s="5" t="n">
        <f aca="false">BL192-BP192</f>
        <v>22820.6632890268</v>
      </c>
      <c r="CA192" s="5" t="n">
        <f aca="false">(AF192+AG192+AH192+AL192)*0.005*'Prices&amp;Fuel'!H192</f>
        <v>0</v>
      </c>
      <c r="CB192" s="5" t="n">
        <f aca="false">(B192+C192+D192+O192+P192+Q192+X192+Y192+BB192+BC192+BD192+BE192+BF192+BG192+BR192+BS192)*0.005*'Prices&amp;Fuel'!H192</f>
        <v>3239.07455012851</v>
      </c>
      <c r="CC192" s="7" t="n">
        <f aca="false">K192+T192+AB192+AY192+BL192+BX192</f>
        <v>3548716.68298233</v>
      </c>
      <c r="CD192" s="7" t="n">
        <f aca="false">L192+U192+AC192+AZ192+BP192+BY192+CA192+CB192</f>
        <v>3529135.09424343</v>
      </c>
      <c r="CE192" s="7" t="n">
        <f aca="false">CC192-CD192</f>
        <v>19581.5887388983</v>
      </c>
      <c r="CJ192" s="7" t="n">
        <f aca="false">CC192+CF192</f>
        <v>3548716.68298233</v>
      </c>
      <c r="CK192" s="7" t="n">
        <f aca="false">CD192+CH192</f>
        <v>3529135.09424343</v>
      </c>
      <c r="CL192" s="7" t="n">
        <f aca="false">CE192+CI192</f>
        <v>19581.5887388983</v>
      </c>
      <c r="CN192" s="7" t="n">
        <f aca="false">Transport!U192</f>
        <v>3.04743298329413E-009</v>
      </c>
      <c r="CQ192" s="7" t="n">
        <f aca="false">(((($B192+$C192+$D192+$O192+$P192+$Q192)*0.5)+BR192+BS192)*(0.005*'Prices&amp;Fuel'!$H192)+'Index Price Deals'!AV192)+(((BB192+BC192+BD192+BE192+BF192+BG192)*(1-'Prices&amp;Fuel'!F192))*0.005*0.5*'Prices&amp;Fuel'!H192)</f>
        <v>1574.99999999999</v>
      </c>
      <c r="CR192" s="7" t="n">
        <f aca="false">(((($B192+$C192+$D192+$O192+$P192+$Q192)*0.5)+X192+Y192)*(0.005*'Prices&amp;Fuel'!$H192)+CA192+'Index Price Deals'!AW192)+(((BB192+BC192+BD192+BE192+BF192+BG192)*(1-'Prices&amp;Fuel'!F192))*0.005*0.5*'Prices&amp;Fuel'!H192)</f>
        <v>1574.99999999999</v>
      </c>
      <c r="CS192" s="11"/>
      <c r="CV192" s="70" t="n">
        <f aca="false">CL192-CN192-CT192+CU192+CS192+CO192</f>
        <v>19581.5887388952</v>
      </c>
    </row>
    <row r="193" customFormat="false" ht="12.75" hidden="false" customHeight="false" outlineLevel="0" collapsed="false">
      <c r="A193" s="6" t="n">
        <f aca="false">+A192+365/12</f>
        <v>41467.3333333333</v>
      </c>
      <c r="BB193" s="5" t="n">
        <f aca="false">IF('FP Corp'!T193-((BE193+BF193+BG193)*(1-'Prices&amp;Fuel'!F193))&lt;'Prices&amp;Fuel'!R193,('FP Corp'!T193-(BE193+BF193+BG193)*(1-'Prices&amp;Fuel'!F193)),'Prices&amp;Fuel'!R193)/(1-'Prices&amp;Fuel'!F193)</f>
        <v>8976.86375321337</v>
      </c>
      <c r="BC193" s="9"/>
      <c r="BD193" s="9" t="n">
        <f aca="false">ROUND(IF('FP Corp'!T193/(1-'Prices&amp;Fuel'!F193)-BE193-BF193-BG193-BB193&gt;'Prices&amp;Fuel'!T193,'Prices&amp;Fuel'!T193,'FP Corp'!T193/(1-'Prices&amp;Fuel'!F193)-BE193-BF193-BG193-BB193),9)</f>
        <v>6556.298200514</v>
      </c>
      <c r="BE193" s="9" t="n">
        <f aca="false">'Prices&amp;Fuel'!U193/(1-'Prices&amp;Fuel'!F193)</f>
        <v>1933.16195372751</v>
      </c>
      <c r="BF193" s="9" t="n">
        <f aca="false">('Prices&amp;Fuel'!V193+'Prices&amp;Fuel'!X193)/(1-'Prices&amp;Fuel'!F193)</f>
        <v>3062.21079691517</v>
      </c>
      <c r="BG193" s="9" t="n">
        <f aca="false">'Prices&amp;Fuel'!W193/(1-'Prices&amp;Fuel'!F193)</f>
        <v>1065.29562982005</v>
      </c>
      <c r="BH193" s="10" t="n">
        <f aca="false">('Prices&amp;Fuel'!C193+'Prices&amp;Fuel'!D193)/2-0.05+('Prices&amp;Fuel'!M193+'Prices&amp;Fuel'!P193)*(1-'Prices&amp;Fuel'!F193)</f>
        <v>5.46682264066086</v>
      </c>
      <c r="BI193" s="10"/>
      <c r="BJ193" s="10"/>
      <c r="BK193" s="10" t="n">
        <f aca="false">(((BB193+BE193)*('Prices&amp;Fuel'!B193+0.025))+(('Prices&amp;Fuel'!D193+0.025)*(BD193+BG193))+(('Prices&amp;Fuel'!C193+0.025)*(BC193+BF193))-(BI193+BJ193)*0.025)/(BB193+BC193+BD193+BE193+BF193+BG193)</f>
        <v>4.77441198589896</v>
      </c>
      <c r="BL193" s="9" t="n">
        <f aca="false">(BB193+BC193+BD193+BE193+BF193+BG193)*BH193*'Prices&amp;Fuel'!H193</f>
        <v>3659538.85765573</v>
      </c>
      <c r="BM193" s="9" t="n">
        <f aca="false">'Prices&amp;Fuel'!X193*('Prices&amp;Fuel'!N193+'Prices&amp;Fuel'!O193)*'Prices&amp;Fuel'!H193</f>
        <v>9438.64041395779</v>
      </c>
      <c r="BN193" s="9" t="n">
        <f aca="false">('Prices&amp;Fuel'!U193+'Prices&amp;Fuel'!V193+'Prices&amp;Fuel'!W193)*('Prices&amp;Fuel'!L193+'Prices&amp;Fuel'!O193)*'Prices&amp;Fuel'!H193</f>
        <v>72012.8187366531</v>
      </c>
      <c r="BO193" s="9" t="n">
        <f aca="false">((BB193+BC193+BD193)*(1-'Prices&amp;Fuel'!G193))*('Prices&amp;Fuel'!M193+'Prices&amp;Fuel'!P193)*'Prices&amp;Fuel'!H193</f>
        <v>358472.932999997</v>
      </c>
      <c r="BP193" s="9" t="n">
        <f aca="false">((BD193+BC193+BB193+BE193+BF193+BG193)*BK193*'Prices&amp;Fuel'!H193)+BM193+BN193+BO193</f>
        <v>3635957.5055904</v>
      </c>
      <c r="BQ193" s="5" t="n">
        <f aca="false">BL193-BP193</f>
        <v>23581.3520653266</v>
      </c>
      <c r="CA193" s="5" t="n">
        <f aca="false">(AF193+AG193+AH193+AL193)*0.005*'Prices&amp;Fuel'!H193</f>
        <v>0</v>
      </c>
      <c r="CB193" s="5" t="n">
        <f aca="false">(B193+C193+D193+O193+P193+Q193+X193+Y193+BB193+BC193+BD193+BE193+BF193+BG193+BR193+BS193)*0.005*'Prices&amp;Fuel'!H193</f>
        <v>3347.04370179946</v>
      </c>
      <c r="CC193" s="7" t="n">
        <f aca="false">K193+T193+AB193+AY193+BL193+BX193</f>
        <v>3659538.85765573</v>
      </c>
      <c r="CD193" s="7" t="n">
        <f aca="false">L193+U193+AC193+AZ193+BP193+BY193+CA193+CB193</f>
        <v>3639304.5492922</v>
      </c>
      <c r="CE193" s="7" t="n">
        <f aca="false">CC193-CD193</f>
        <v>20234.3083635271</v>
      </c>
      <c r="CJ193" s="7" t="n">
        <f aca="false">CC193+CF193</f>
        <v>3659538.85765573</v>
      </c>
      <c r="CK193" s="7" t="n">
        <f aca="false">CD193+CH193</f>
        <v>3639304.5492922</v>
      </c>
      <c r="CL193" s="7" t="n">
        <f aca="false">CE193+CI193</f>
        <v>20234.3083635271</v>
      </c>
      <c r="CN193" s="7" t="n">
        <f aca="false">Transport!U193</f>
        <v>3.14901408273727E-009</v>
      </c>
      <c r="CQ193" s="7" t="n">
        <f aca="false">(((($B193+$C193+$D193+$O193+$P193+$Q193)*0.5)+BR193+BS193)*(0.005*'Prices&amp;Fuel'!$H193)+'Index Price Deals'!AV193)+(((BB193+BC193+BD193+BE193+BF193+BG193)*(1-'Prices&amp;Fuel'!F193))*0.005*0.5*'Prices&amp;Fuel'!H193)</f>
        <v>1627.49999999999</v>
      </c>
      <c r="CR193" s="7" t="n">
        <f aca="false">(((($B193+$C193+$D193+$O193+$P193+$Q193)*0.5)+X193+Y193)*(0.005*'Prices&amp;Fuel'!$H193)+CA193+'Index Price Deals'!AW193)+(((BB193+BC193+BD193+BE193+BF193+BG193)*(1-'Prices&amp;Fuel'!F193))*0.005*0.5*'Prices&amp;Fuel'!H193)</f>
        <v>1627.49999999999</v>
      </c>
      <c r="CS193" s="11"/>
      <c r="CV193" s="70" t="n">
        <f aca="false">CL193-CN193-CT193+CU193+CS193+CO193</f>
        <v>20234.3083635239</v>
      </c>
    </row>
    <row r="194" customFormat="false" ht="12.75" hidden="false" customHeight="false" outlineLevel="0" collapsed="false">
      <c r="A194" s="6" t="n">
        <f aca="false">+A193+365/12</f>
        <v>41497.75</v>
      </c>
      <c r="BB194" s="5" t="n">
        <f aca="false">IF('FP Corp'!T194-((BE194+BF194+BG194)*(1-'Prices&amp;Fuel'!F194))&lt;'Prices&amp;Fuel'!R194,('FP Corp'!T194-(BE194+BF194+BG194)*(1-'Prices&amp;Fuel'!F194)),'Prices&amp;Fuel'!R194)/(1-'Prices&amp;Fuel'!F194)</f>
        <v>8976.86375321337</v>
      </c>
      <c r="BC194" s="9"/>
      <c r="BD194" s="9" t="n">
        <f aca="false">ROUND(IF('FP Corp'!T194/(1-'Prices&amp;Fuel'!F194)-BE194-BF194-BG194-BB194&gt;'Prices&amp;Fuel'!T194,'Prices&amp;Fuel'!T194,'FP Corp'!T194/(1-'Prices&amp;Fuel'!F194)-BE194-BF194-BG194-BB194),9)</f>
        <v>6556.298200514</v>
      </c>
      <c r="BE194" s="9" t="n">
        <f aca="false">'Prices&amp;Fuel'!U194/(1-'Prices&amp;Fuel'!F194)</f>
        <v>1933.16195372751</v>
      </c>
      <c r="BF194" s="9" t="n">
        <f aca="false">('Prices&amp;Fuel'!V194+'Prices&amp;Fuel'!X194)/(1-'Prices&amp;Fuel'!F194)</f>
        <v>3062.21079691517</v>
      </c>
      <c r="BG194" s="9" t="n">
        <f aca="false">'Prices&amp;Fuel'!W194/(1-'Prices&amp;Fuel'!F194)</f>
        <v>1065.29562982005</v>
      </c>
      <c r="BH194" s="10" t="n">
        <f aca="false">('Prices&amp;Fuel'!C194+'Prices&amp;Fuel'!D194)/2-0.05+('Prices&amp;Fuel'!M194+'Prices&amp;Fuel'!P194)*(1-'Prices&amp;Fuel'!F194)</f>
        <v>4.86436173346159</v>
      </c>
      <c r="BI194" s="10"/>
      <c r="BJ194" s="10"/>
      <c r="BK194" s="10" t="n">
        <f aca="false">(((BB194+BE194)*('Prices&amp;Fuel'!B194+0.025))+(('Prices&amp;Fuel'!D194+0.025)*(BD194+BG194))+(('Prices&amp;Fuel'!C194+0.025)*(BC194+BF194))-(BI194+BJ194)*0.025)/(BB194+BC194+BD194+BE194+BF194+BG194)</f>
        <v>4.17195107869969</v>
      </c>
      <c r="BL194" s="9" t="n">
        <f aca="false">(BB194+BC194+BD194+BE194+BF194+BG194)*BH194*'Prices&amp;Fuel'!H194</f>
        <v>3256246.26065139</v>
      </c>
      <c r="BM194" s="9" t="n">
        <f aca="false">'Prices&amp;Fuel'!X194*('Prices&amp;Fuel'!N194+'Prices&amp;Fuel'!O194)*'Prices&amp;Fuel'!H194</f>
        <v>9438.64041395779</v>
      </c>
      <c r="BN194" s="9" t="n">
        <f aca="false">('Prices&amp;Fuel'!U194+'Prices&amp;Fuel'!V194+'Prices&amp;Fuel'!W194)*('Prices&amp;Fuel'!L194+'Prices&amp;Fuel'!O194)*'Prices&amp;Fuel'!H194</f>
        <v>72012.8187366531</v>
      </c>
      <c r="BO194" s="9" t="n">
        <f aca="false">((BB194+BC194+BD194)*(1-'Prices&amp;Fuel'!G194))*('Prices&amp;Fuel'!M194+'Prices&amp;Fuel'!P194)*'Prices&amp;Fuel'!H194</f>
        <v>358472.932999997</v>
      </c>
      <c r="BP194" s="9" t="n">
        <f aca="false">((BD194+BC194+BB194+BE194+BF194+BG194)*BK194*'Prices&amp;Fuel'!H194)+BM194+BN194+BO194</f>
        <v>3232664.90858606</v>
      </c>
      <c r="BQ194" s="5" t="n">
        <f aca="false">BL194-BP194</f>
        <v>23581.3520653271</v>
      </c>
      <c r="CA194" s="5" t="n">
        <f aca="false">(AF194+AG194+AH194+AL194)*0.005*'Prices&amp;Fuel'!H194</f>
        <v>0</v>
      </c>
      <c r="CB194" s="5" t="n">
        <f aca="false">(B194+C194+D194+O194+P194+Q194+X194+Y194+BB194+BC194+BD194+BE194+BF194+BG194+BR194+BS194)*0.005*'Prices&amp;Fuel'!H194</f>
        <v>3347.04370179946</v>
      </c>
      <c r="CC194" s="7" t="n">
        <f aca="false">K194+T194+AB194+AY194+BL194+BX194</f>
        <v>3256246.26065139</v>
      </c>
      <c r="CD194" s="7" t="n">
        <f aca="false">L194+U194+AC194+AZ194+BP194+BY194+CA194+CB194</f>
        <v>3236011.95228786</v>
      </c>
      <c r="CE194" s="7" t="n">
        <f aca="false">CC194-CD194</f>
        <v>20234.3083635275</v>
      </c>
      <c r="CJ194" s="7" t="n">
        <f aca="false">CC194+CF194</f>
        <v>3256246.26065139</v>
      </c>
      <c r="CK194" s="7" t="n">
        <f aca="false">CD194+CH194</f>
        <v>3236011.95228786</v>
      </c>
      <c r="CL194" s="7" t="n">
        <f aca="false">CE194+CI194</f>
        <v>20234.3083635275</v>
      </c>
      <c r="CN194" s="7" t="n">
        <f aca="false">Transport!U194</f>
        <v>3.14901408273727E-009</v>
      </c>
      <c r="CQ194" s="7" t="n">
        <f aca="false">(((($B194+$C194+$D194+$O194+$P194+$Q194)*0.5)+BR194+BS194)*(0.005*'Prices&amp;Fuel'!$H194)+'Index Price Deals'!AV194)+(((BB194+BC194+BD194+BE194+BF194+BG194)*(1-'Prices&amp;Fuel'!F194))*0.005*0.5*'Prices&amp;Fuel'!H194)</f>
        <v>1627.49999999999</v>
      </c>
      <c r="CR194" s="7" t="n">
        <f aca="false">(((($B194+$C194+$D194+$O194+$P194+$Q194)*0.5)+X194+Y194)*(0.005*'Prices&amp;Fuel'!$H194)+CA194+'Index Price Deals'!AW194)+(((BB194+BC194+BD194+BE194+BF194+BG194)*(1-'Prices&amp;Fuel'!F194))*0.005*0.5*'Prices&amp;Fuel'!H194)</f>
        <v>1627.49999999999</v>
      </c>
      <c r="CS194" s="11"/>
      <c r="CV194" s="70" t="n">
        <f aca="false">CL194-CN194-CT194+CU194+CS194+CO194</f>
        <v>20234.3083635244</v>
      </c>
    </row>
    <row r="195" customFormat="false" ht="12.75" hidden="false" customHeight="false" outlineLevel="0" collapsed="false">
      <c r="A195" s="6" t="n">
        <f aca="false">+A194+365/12</f>
        <v>41528.1666666667</v>
      </c>
      <c r="BB195" s="5" t="n">
        <f aca="false">IF('FP Corp'!T195-((BE195+BF195+BG195)*(1-'Prices&amp;Fuel'!F195))&lt;'Prices&amp;Fuel'!R195,('FP Corp'!T195-(BE195+BF195+BG195)*(1-'Prices&amp;Fuel'!F195)),'Prices&amp;Fuel'!R195)/(1-'Prices&amp;Fuel'!F195)</f>
        <v>8976.86375321337</v>
      </c>
      <c r="BC195" s="9"/>
      <c r="BD195" s="9" t="n">
        <f aca="false">ROUND(IF('FP Corp'!T195/(1-'Prices&amp;Fuel'!F195)-BE195-BF195-BG195-BB195&gt;'Prices&amp;Fuel'!T195,'Prices&amp;Fuel'!T195,'FP Corp'!T195/(1-'Prices&amp;Fuel'!F195)-BE195-BF195-BG195-BB195),9)</f>
        <v>6556.298200514</v>
      </c>
      <c r="BE195" s="9" t="n">
        <f aca="false">'Prices&amp;Fuel'!U195/(1-'Prices&amp;Fuel'!F195)</f>
        <v>1933.16195372751</v>
      </c>
      <c r="BF195" s="9" t="n">
        <f aca="false">('Prices&amp;Fuel'!V195+'Prices&amp;Fuel'!X195)/(1-'Prices&amp;Fuel'!F195)</f>
        <v>3062.21079691517</v>
      </c>
      <c r="BG195" s="9" t="n">
        <f aca="false">'Prices&amp;Fuel'!W195/(1-'Prices&amp;Fuel'!F195)</f>
        <v>1065.29562982005</v>
      </c>
      <c r="BH195" s="10" t="n">
        <f aca="false">('Prices&amp;Fuel'!C195+'Prices&amp;Fuel'!D195)/2-0.05+('Prices&amp;Fuel'!M195+'Prices&amp;Fuel'!P195)*(1-'Prices&amp;Fuel'!F195)</f>
        <v>5.72342636039389</v>
      </c>
      <c r="BI195" s="10"/>
      <c r="BJ195" s="10"/>
      <c r="BK195" s="10" t="n">
        <f aca="false">(((BB195+BE195)*('Prices&amp;Fuel'!B195+0.025))+(('Prices&amp;Fuel'!D195+0.025)*(BD195+BG195))+(('Prices&amp;Fuel'!C195+0.025)*(BC195+BF195))-(BI195+BJ195)*0.025)/(BB195+BC195+BD195+BE195+BF195+BG195)</f>
        <v>5.03101570563198</v>
      </c>
      <c r="BL195" s="9" t="n">
        <f aca="false">(BB195+BC195+BD195+BE195+BF195+BG195)*BH195*'Prices&amp;Fuel'!H195</f>
        <v>3707720.9326973</v>
      </c>
      <c r="BM195" s="9" t="n">
        <f aca="false">'Prices&amp;Fuel'!X195*('Prices&amp;Fuel'!N195+'Prices&amp;Fuel'!O195)*'Prices&amp;Fuel'!H195</f>
        <v>9134.1681425398</v>
      </c>
      <c r="BN195" s="9" t="n">
        <f aca="false">('Prices&amp;Fuel'!U195+'Prices&amp;Fuel'!V195+'Prices&amp;Fuel'!W195)*('Prices&amp;Fuel'!L195+'Prices&amp;Fuel'!O195)*'Prices&amp;Fuel'!H195</f>
        <v>69689.8245838578</v>
      </c>
      <c r="BO195" s="9" t="n">
        <f aca="false">((BB195+BC195+BD195)*(1-'Prices&amp;Fuel'!G195))*('Prices&amp;Fuel'!M195+'Prices&amp;Fuel'!P195)*'Prices&amp;Fuel'!H195</f>
        <v>346909.289999997</v>
      </c>
      <c r="BP195" s="9" t="n">
        <f aca="false">((BD195+BC195+BB195+BE195+BF195+BG195)*BK195*'Prices&amp;Fuel'!H195)+BM195+BN195+BO195</f>
        <v>3684900.26940827</v>
      </c>
      <c r="BQ195" s="5" t="n">
        <f aca="false">BL195-BP195</f>
        <v>22820.6632890264</v>
      </c>
      <c r="CA195" s="5" t="n">
        <f aca="false">(AF195+AG195+AH195+AL195)*0.005*'Prices&amp;Fuel'!H195</f>
        <v>0</v>
      </c>
      <c r="CB195" s="5" t="n">
        <f aca="false">(B195+C195+D195+O195+P195+Q195+X195+Y195+BB195+BC195+BD195+BE195+BF195+BG195+BR195+BS195)*0.005*'Prices&amp;Fuel'!H195</f>
        <v>3239.07455012851</v>
      </c>
      <c r="CC195" s="7" t="n">
        <f aca="false">K195+T195+AB195+AY195+BL195+BX195</f>
        <v>3707720.9326973</v>
      </c>
      <c r="CD195" s="7" t="n">
        <f aca="false">L195+U195+AC195+AZ195+BP195+BY195+CA195+CB195</f>
        <v>3688139.3439584</v>
      </c>
      <c r="CE195" s="7" t="n">
        <f aca="false">CC195-CD195</f>
        <v>19581.5887388978</v>
      </c>
      <c r="CJ195" s="7" t="n">
        <f aca="false">CC195+CF195</f>
        <v>3707720.9326973</v>
      </c>
      <c r="CK195" s="7" t="n">
        <f aca="false">CD195+CH195</f>
        <v>3688139.3439584</v>
      </c>
      <c r="CL195" s="7" t="n">
        <f aca="false">CE195+CI195</f>
        <v>19581.5887388978</v>
      </c>
      <c r="CM195" s="14"/>
      <c r="CN195" s="7" t="n">
        <f aca="false">Transport!U195</f>
        <v>3.04743298329413E-009</v>
      </c>
      <c r="CQ195" s="7" t="n">
        <f aca="false">(((($B195+$C195+$D195+$O195+$P195+$Q195)*0.5)+BR195+BS195)*(0.005*'Prices&amp;Fuel'!$H195)+'Index Price Deals'!AV195)+(((BB195+BC195+BD195+BE195+BF195+BG195)*(1-'Prices&amp;Fuel'!F195))*0.005*0.5*'Prices&amp;Fuel'!H195)</f>
        <v>1574.99999999999</v>
      </c>
      <c r="CR195" s="7" t="n">
        <f aca="false">(((($B195+$C195+$D195+$O195+$P195+$Q195)*0.5)+X195+Y195)*(0.005*'Prices&amp;Fuel'!$H195)+CA195+'Index Price Deals'!AW195)+(((BB195+BC195+BD195+BE195+BF195+BG195)*(1-'Prices&amp;Fuel'!F195))*0.005*0.5*'Prices&amp;Fuel'!H195)</f>
        <v>1574.99999999999</v>
      </c>
      <c r="CS195" s="11"/>
      <c r="CV195" s="70" t="n">
        <f aca="false">CL195-CN195-CT195+CU195+CS195+CO195</f>
        <v>19581.5887388948</v>
      </c>
    </row>
    <row r="196" customFormat="false" ht="12.75" hidden="false" customHeight="false" outlineLevel="0" collapsed="false">
      <c r="A196" s="6" t="n">
        <f aca="false">+A195+365/12</f>
        <v>41558.5833333333</v>
      </c>
      <c r="G196" s="7"/>
      <c r="J196" s="7"/>
      <c r="K196" s="7"/>
      <c r="L196" s="7"/>
      <c r="M196" s="7"/>
      <c r="N196" s="7"/>
      <c r="O196" s="7"/>
      <c r="P196" s="7"/>
      <c r="Q196" s="7"/>
      <c r="R196" s="7"/>
      <c r="S196" s="7"/>
      <c r="T196" s="7"/>
      <c r="U196" s="7"/>
      <c r="V196" s="7"/>
      <c r="W196" s="7"/>
      <c r="X196" s="7"/>
      <c r="Y196" s="7"/>
      <c r="Z196" s="7"/>
      <c r="AA196" s="7"/>
      <c r="AB196" s="7"/>
      <c r="AC196" s="7"/>
      <c r="AD196" s="7"/>
      <c r="AE196" s="7"/>
      <c r="AF196" s="7"/>
      <c r="AH196" s="7"/>
      <c r="AI196" s="7"/>
      <c r="AJ196" s="7"/>
      <c r="AK196" s="7"/>
      <c r="AL196" s="7"/>
      <c r="AM196" s="7"/>
      <c r="AN196" s="7"/>
      <c r="AO196" s="7"/>
      <c r="AP196" s="7"/>
      <c r="AQ196" s="7"/>
      <c r="AR196" s="7"/>
      <c r="AS196" s="7"/>
      <c r="AT196" s="7"/>
      <c r="AU196" s="7"/>
      <c r="AW196" s="7"/>
      <c r="AX196" s="7"/>
      <c r="AY196" s="7"/>
      <c r="AZ196" s="7"/>
      <c r="BA196" s="7"/>
      <c r="BB196" s="5" t="n">
        <f aca="false">IF('FP Corp'!T196-((BE196+BF196+BG196)*(1-'Prices&amp;Fuel'!F196))&lt;'Prices&amp;Fuel'!R196,('FP Corp'!T196-(BE196+BF196+BG196)*(1-'Prices&amp;Fuel'!F196)),'Prices&amp;Fuel'!R196)/(1-'Prices&amp;Fuel'!F196)</f>
        <v>8976.86375321337</v>
      </c>
      <c r="BC196" s="9"/>
      <c r="BD196" s="9" t="n">
        <f aca="false">ROUND(IF('FP Corp'!T196/(1-'Prices&amp;Fuel'!F196)-BE196-BF196-BG196-BB196&gt;'Prices&amp;Fuel'!T196,'Prices&amp;Fuel'!T196,'FP Corp'!T196/(1-'Prices&amp;Fuel'!F196)-BE196-BF196-BG196-BB196),9)</f>
        <v>3514.652956298</v>
      </c>
      <c r="BE196" s="9" t="n">
        <f aca="false">'Prices&amp;Fuel'!U196/(1-'Prices&amp;Fuel'!F196)</f>
        <v>2910.02570694087</v>
      </c>
      <c r="BF196" s="9" t="n">
        <f aca="false">('Prices&amp;Fuel'!V196+'Prices&amp;Fuel'!X196)/(1-'Prices&amp;Fuel'!F196)</f>
        <v>4628.27763496144</v>
      </c>
      <c r="BG196" s="9" t="n">
        <f aca="false">'Prices&amp;Fuel'!W196/(1-'Prices&amp;Fuel'!F196)</f>
        <v>1564.01028277635</v>
      </c>
      <c r="BH196" s="10" t="n">
        <f aca="false">('Prices&amp;Fuel'!C196+'Prices&amp;Fuel'!D196)/2-0.05+('Prices&amp;Fuel'!M196+'Prices&amp;Fuel'!P196)*(1-'Prices&amp;Fuel'!F196)</f>
        <v>6.4820808361263</v>
      </c>
      <c r="BI196" s="10"/>
      <c r="BJ196" s="10"/>
      <c r="BK196" s="10" t="n">
        <f aca="false">(((BB196+BE196)*('Prices&amp;Fuel'!B196+0.025))+(('Prices&amp;Fuel'!D196+0.025)*(BD196+BG196))+(('Prices&amp;Fuel'!C196+0.025)*(BC196+BF196))-(BI196+BJ196)*0.025)/(BB196+BC196+BD196+BE196+BF196+BG196)</f>
        <v>5.79284399088821</v>
      </c>
      <c r="BL196" s="9" t="n">
        <f aca="false">(BB196+BC196+BD196+BE196+BF196+BG196)*BH196*'Prices&amp;Fuel'!H196</f>
        <v>4339161.5674223</v>
      </c>
      <c r="BM196" s="9" t="n">
        <f aca="false">'Prices&amp;Fuel'!X196*('Prices&amp;Fuel'!N196+'Prices&amp;Fuel'!O196)*'Prices&amp;Fuel'!H196</f>
        <v>13833.2050576453</v>
      </c>
      <c r="BN196" s="9" t="n">
        <f aca="false">('Prices&amp;Fuel'!U196+'Prices&amp;Fuel'!V196+'Prices&amp;Fuel'!W196)*('Prices&amp;Fuel'!L196+'Prices&amp;Fuel'!O196)*'Prices&amp;Fuel'!H196</f>
        <v>108495.996910663</v>
      </c>
      <c r="BO196" s="9" t="n">
        <f aca="false">((BB196+BC196+BD196)*(1-'Prices&amp;Fuel'!G196))*('Prices&amp;Fuel'!M196+'Prices&amp;Fuel'!P196)*'Prices&amp;Fuel'!H196</f>
        <v>288278.113999995</v>
      </c>
      <c r="BP196" s="9" t="n">
        <f aca="false">((BD196+BC196+BB196+BE196+BF196+BG196)*BK196*'Prices&amp;Fuel'!H196)+BM196+BN196+BO196</f>
        <v>4288387.71501014</v>
      </c>
      <c r="BQ196" s="5" t="n">
        <f aca="false">BL196-BP196</f>
        <v>50773.8524121558</v>
      </c>
      <c r="BT196" s="7"/>
      <c r="BU196" s="7"/>
      <c r="BV196" s="7"/>
      <c r="BW196" s="7"/>
      <c r="BX196" s="7"/>
      <c r="BY196" s="7"/>
      <c r="BZ196" s="7"/>
      <c r="CA196" s="7"/>
      <c r="CB196" s="7"/>
      <c r="CC196" s="7"/>
      <c r="CD196" s="7"/>
      <c r="CE196" s="7"/>
      <c r="CI196" s="7"/>
      <c r="CJ196" s="7"/>
      <c r="CK196" s="7"/>
      <c r="CL196" s="7"/>
      <c r="CM196" s="7"/>
      <c r="CN196" s="7" t="n">
        <f aca="false">Transport!U196</f>
        <v>4.39204595750198E-009</v>
      </c>
      <c r="CS196" s="11"/>
      <c r="CV196" s="70" t="n">
        <f aca="false">CL196-CN196-CT196+CU196+CS196+CO196</f>
        <v>-4.39204595750198E-009</v>
      </c>
    </row>
    <row r="197" customFormat="false" ht="12.75" hidden="false" customHeight="false" outlineLevel="0" collapsed="false">
      <c r="A197" s="6" t="n">
        <f aca="false">+A196+365/12</f>
        <v>41589</v>
      </c>
      <c r="G197" s="7"/>
      <c r="J197" s="7"/>
      <c r="K197" s="7"/>
      <c r="L197" s="7"/>
      <c r="M197" s="7"/>
      <c r="N197" s="7"/>
      <c r="O197" s="7"/>
      <c r="P197" s="7"/>
      <c r="Q197" s="7"/>
      <c r="R197" s="7"/>
      <c r="S197" s="7"/>
      <c r="T197" s="7"/>
      <c r="U197" s="7"/>
      <c r="V197" s="7"/>
      <c r="W197" s="7"/>
      <c r="X197" s="7"/>
      <c r="Y197" s="7"/>
      <c r="Z197" s="7"/>
      <c r="AA197" s="7"/>
      <c r="AB197" s="7"/>
      <c r="AC197" s="7"/>
      <c r="AD197" s="7"/>
      <c r="AE197" s="7"/>
      <c r="AF197" s="7"/>
      <c r="AH197" s="7"/>
      <c r="AI197" s="7"/>
      <c r="AJ197" s="7"/>
      <c r="AK197" s="7"/>
      <c r="AL197" s="7"/>
      <c r="AM197" s="7"/>
      <c r="AN197" s="7"/>
      <c r="AO197" s="7"/>
      <c r="AP197" s="7"/>
      <c r="AQ197" s="7"/>
      <c r="AR197" s="7"/>
      <c r="AS197" s="7"/>
      <c r="AT197" s="7"/>
      <c r="AU197" s="7"/>
      <c r="AW197" s="7"/>
      <c r="AX197" s="7"/>
      <c r="AY197" s="7"/>
      <c r="AZ197" s="7"/>
      <c r="BA197" s="7"/>
      <c r="BB197" s="5"/>
      <c r="BC197" s="9"/>
      <c r="BD197" s="9"/>
      <c r="BE197" s="9"/>
      <c r="BF197" s="9"/>
      <c r="BG197" s="9"/>
      <c r="BH197" s="7"/>
      <c r="BI197" s="7"/>
      <c r="BJ197" s="7"/>
      <c r="BK197" s="7"/>
      <c r="BL197" s="7"/>
      <c r="BM197" s="7"/>
      <c r="BN197" s="7"/>
      <c r="BO197" s="7"/>
      <c r="BP197" s="7"/>
      <c r="BQ197" s="7"/>
      <c r="BT197" s="7"/>
      <c r="BU197" s="7"/>
      <c r="BV197" s="7"/>
      <c r="BW197" s="7"/>
      <c r="BX197" s="7"/>
      <c r="BY197" s="7"/>
      <c r="BZ197" s="7"/>
      <c r="CA197" s="7"/>
      <c r="CB197" s="7"/>
      <c r="CC197" s="7"/>
      <c r="CD197" s="7"/>
      <c r="CE197" s="7"/>
      <c r="CF197" s="7"/>
      <c r="CG197" s="7"/>
      <c r="CH197" s="7"/>
      <c r="CI197" s="7"/>
      <c r="CJ197" s="7"/>
      <c r="CK197" s="7"/>
      <c r="CL197" s="7"/>
      <c r="CM197" s="7"/>
      <c r="CN197" s="7" t="n">
        <f aca="false">Transport!U197</f>
        <v>92739.108</v>
      </c>
      <c r="CS197" s="11"/>
      <c r="CV197" s="70" t="n">
        <f aca="false">CL197-CN197-CT197+CU197+CS197+CO197</f>
        <v>-92739.108</v>
      </c>
    </row>
    <row r="198" customFormat="false" ht="12.75" hidden="false" customHeight="false" outlineLevel="0" collapsed="false">
      <c r="A198" s="6" t="n">
        <f aca="false">+A197+365/12</f>
        <v>41619.4166666667</v>
      </c>
      <c r="G198" s="7"/>
      <c r="J198" s="7"/>
      <c r="K198" s="7"/>
      <c r="L198" s="7"/>
      <c r="M198" s="7"/>
      <c r="N198" s="7"/>
      <c r="O198" s="7"/>
      <c r="P198" s="7"/>
      <c r="Q198" s="7"/>
      <c r="R198" s="7"/>
      <c r="S198" s="7"/>
      <c r="T198" s="7"/>
      <c r="U198" s="7"/>
      <c r="V198" s="7"/>
      <c r="W198" s="7"/>
      <c r="X198" s="7"/>
      <c r="Y198" s="7"/>
      <c r="Z198" s="7"/>
      <c r="AA198" s="7"/>
      <c r="AB198" s="7"/>
      <c r="AC198" s="7"/>
      <c r="AD198" s="7"/>
      <c r="AE198" s="7"/>
      <c r="AF198" s="7"/>
      <c r="AH198" s="7"/>
      <c r="AI198" s="7"/>
      <c r="AJ198" s="7"/>
      <c r="AK198" s="7"/>
      <c r="AL198" s="7"/>
      <c r="AM198" s="7"/>
      <c r="AN198" s="7"/>
      <c r="AO198" s="7"/>
      <c r="AP198" s="7"/>
      <c r="AQ198" s="7"/>
      <c r="AR198" s="7"/>
      <c r="AS198" s="7"/>
      <c r="AT198" s="7"/>
      <c r="AU198" s="7"/>
      <c r="AW198" s="7"/>
      <c r="AX198" s="7"/>
      <c r="AY198" s="7"/>
      <c r="AZ198" s="7"/>
      <c r="BA198" s="7"/>
      <c r="BB198" s="5"/>
      <c r="BC198" s="9"/>
      <c r="BD198" s="9"/>
      <c r="BE198" s="9"/>
      <c r="BF198" s="9"/>
      <c r="BG198" s="9"/>
      <c r="BH198" s="7"/>
      <c r="BI198" s="7"/>
      <c r="BJ198" s="7"/>
      <c r="BK198" s="7"/>
      <c r="BL198" s="7"/>
      <c r="BM198" s="7"/>
      <c r="BN198" s="7"/>
      <c r="BO198" s="7"/>
      <c r="BP198" s="7"/>
      <c r="BQ198" s="7"/>
      <c r="BT198" s="7"/>
      <c r="BU198" s="7"/>
      <c r="BV198" s="7"/>
      <c r="BW198" s="7"/>
      <c r="BX198" s="7"/>
      <c r="BY198" s="7"/>
      <c r="BZ198" s="7"/>
      <c r="CA198" s="7"/>
      <c r="CB198" s="7"/>
      <c r="CC198" s="7"/>
      <c r="CD198" s="7"/>
      <c r="CE198" s="7"/>
      <c r="CF198" s="7"/>
      <c r="CG198" s="7"/>
      <c r="CH198" s="7"/>
      <c r="CI198" s="7"/>
      <c r="CJ198" s="7"/>
      <c r="CK198" s="7"/>
      <c r="CL198" s="7"/>
      <c r="CM198" s="7"/>
      <c r="CN198" s="7" t="n">
        <f aca="false">Transport!U198</f>
        <v>95830.4116</v>
      </c>
      <c r="CS198" s="11"/>
      <c r="CV198" s="70" t="n">
        <f aca="false">CL198-CN198-CT198+CU198+CS198+CO198</f>
        <v>-95830.4116</v>
      </c>
    </row>
    <row r="199" customFormat="false" ht="12.75" hidden="false" customHeight="false" outlineLevel="0" collapsed="false">
      <c r="A199" s="6" t="n">
        <f aca="false">+A198+365/12</f>
        <v>41649.8333333333</v>
      </c>
      <c r="G199" s="7"/>
      <c r="J199" s="7"/>
      <c r="K199" s="7"/>
      <c r="L199" s="7"/>
      <c r="M199" s="7"/>
      <c r="N199" s="7"/>
      <c r="O199" s="7"/>
      <c r="P199" s="7"/>
      <c r="Q199" s="7"/>
      <c r="R199" s="7"/>
      <c r="S199" s="7"/>
      <c r="T199" s="7"/>
      <c r="U199" s="7"/>
      <c r="V199" s="7"/>
      <c r="W199" s="7"/>
      <c r="X199" s="7"/>
      <c r="Y199" s="7"/>
      <c r="Z199" s="7"/>
      <c r="AA199" s="7"/>
      <c r="AB199" s="7"/>
      <c r="AC199" s="7"/>
      <c r="AD199" s="7"/>
      <c r="AE199" s="7"/>
      <c r="AF199" s="7"/>
      <c r="AH199" s="7"/>
      <c r="AI199" s="7"/>
      <c r="AJ199" s="7"/>
      <c r="AK199" s="7"/>
      <c r="AL199" s="7"/>
      <c r="AM199" s="7"/>
      <c r="AN199" s="7"/>
      <c r="AO199" s="7"/>
      <c r="AP199" s="7"/>
      <c r="AQ199" s="7"/>
      <c r="AR199" s="7"/>
      <c r="AS199" s="7"/>
      <c r="AT199" s="7"/>
      <c r="AU199" s="7"/>
      <c r="AW199" s="7"/>
      <c r="AX199" s="7"/>
      <c r="AY199" s="7"/>
      <c r="AZ199" s="7"/>
      <c r="BA199" s="7"/>
      <c r="BB199" s="5"/>
      <c r="BC199" s="9"/>
      <c r="BD199" s="9"/>
      <c r="BE199" s="9"/>
      <c r="BF199" s="9"/>
      <c r="BG199" s="9"/>
      <c r="BH199" s="7"/>
      <c r="BI199" s="7"/>
      <c r="BJ199" s="7"/>
      <c r="BK199" s="7"/>
      <c r="BL199" s="7"/>
      <c r="BM199" s="7"/>
      <c r="BN199" s="7"/>
      <c r="BO199" s="7"/>
      <c r="BP199" s="7"/>
      <c r="BQ199" s="7"/>
      <c r="BT199" s="7"/>
      <c r="BU199" s="7"/>
      <c r="BV199" s="7"/>
      <c r="BW199" s="7"/>
      <c r="BX199" s="7"/>
      <c r="BY199" s="7"/>
      <c r="BZ199" s="7"/>
      <c r="CA199" s="7"/>
      <c r="CB199" s="7"/>
      <c r="CC199" s="7"/>
      <c r="CD199" s="7"/>
      <c r="CE199" s="7"/>
      <c r="CF199" s="7"/>
      <c r="CG199" s="7"/>
      <c r="CH199" s="7"/>
      <c r="CI199" s="7"/>
      <c r="CJ199" s="7"/>
      <c r="CK199" s="7"/>
      <c r="CL199" s="7"/>
      <c r="CM199" s="7"/>
      <c r="CN199" s="7" t="n">
        <f aca="false">Transport!U199</f>
        <v>95830.4116</v>
      </c>
      <c r="CS199" s="11"/>
      <c r="CV199" s="70" t="n">
        <f aca="false">CL199-CN199-CT199+CU199+CS199+CO199</f>
        <v>-95830.4116</v>
      </c>
    </row>
    <row r="200" customFormat="false" ht="12.75" hidden="false" customHeight="false" outlineLevel="0" collapsed="false">
      <c r="A200" s="6" t="n">
        <f aca="false">+A199+365/12</f>
        <v>41680.25</v>
      </c>
      <c r="B200" s="0"/>
      <c r="C200" s="0"/>
      <c r="D200" s="0"/>
      <c r="E200" s="0"/>
      <c r="F200" s="0"/>
      <c r="G200" s="0"/>
      <c r="H200" s="0"/>
      <c r="I200" s="0"/>
      <c r="J200" s="0"/>
      <c r="K200" s="0"/>
      <c r="N200" s="0"/>
      <c r="O200" s="0"/>
      <c r="P200" s="0"/>
      <c r="Q200" s="0"/>
      <c r="R200" s="0"/>
      <c r="S200" s="0"/>
      <c r="T200" s="0"/>
      <c r="U200" s="0"/>
      <c r="W200" s="0"/>
      <c r="X200" s="0"/>
      <c r="Y200" s="0"/>
      <c r="Z200" s="0"/>
      <c r="AA200" s="0"/>
      <c r="AB200" s="0"/>
      <c r="AC200" s="0"/>
      <c r="AD200" s="0"/>
      <c r="AE200" s="0"/>
      <c r="AF200" s="0"/>
      <c r="AG200" s="11"/>
      <c r="AH200" s="0"/>
      <c r="AI200" s="0"/>
      <c r="AJ200" s="0"/>
      <c r="AK200" s="0"/>
      <c r="AL200" s="0"/>
      <c r="AM200" s="0"/>
      <c r="AN200" s="0"/>
      <c r="AO200" s="0"/>
      <c r="AP200" s="0"/>
      <c r="AQ200" s="0"/>
      <c r="AR200" s="0"/>
      <c r="AS200" s="0"/>
      <c r="AT200" s="0"/>
      <c r="AU200" s="0"/>
      <c r="AV200" s="11"/>
      <c r="AW200" s="0"/>
      <c r="AX200" s="0"/>
      <c r="AY200" s="0"/>
      <c r="AZ200" s="0"/>
      <c r="BA200" s="0"/>
      <c r="BB200" s="5"/>
      <c r="BC200" s="9"/>
      <c r="BD200" s="9"/>
      <c r="BE200" s="9"/>
      <c r="BF200" s="9"/>
      <c r="BG200" s="9"/>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7" t="n">
        <f aca="false">Transport!U200</f>
        <v>86556.5008</v>
      </c>
      <c r="CO200" s="0"/>
      <c r="CP200" s="0"/>
      <c r="CQ200" s="11"/>
      <c r="CR200" s="11"/>
      <c r="CS200" s="11"/>
      <c r="CT200" s="0"/>
      <c r="CU200" s="0"/>
      <c r="CV200" s="70" t="n">
        <f aca="false">CL200-CN200-CT200+CU200+CS200+CO200</f>
        <v>-86556.5008</v>
      </c>
      <c r="CW200" s="0"/>
      <c r="CX200" s="0"/>
      <c r="CY200" s="0"/>
      <c r="CZ200" s="0"/>
      <c r="DA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c r="IW200" s="0"/>
    </row>
    <row r="201" customFormat="false" ht="12.75" hidden="false" customHeight="false" outlineLevel="0" collapsed="false">
      <c r="A201" s="6" t="n">
        <f aca="false">+A200+365/12</f>
        <v>41710.6666666667</v>
      </c>
      <c r="B201" s="0"/>
      <c r="C201" s="0"/>
      <c r="D201" s="0"/>
      <c r="E201" s="0"/>
      <c r="F201" s="0"/>
      <c r="G201" s="0"/>
      <c r="H201" s="0"/>
      <c r="I201" s="0"/>
      <c r="J201" s="0"/>
      <c r="K201" s="0"/>
      <c r="N201" s="0"/>
      <c r="O201" s="0"/>
      <c r="P201" s="0"/>
      <c r="Q201" s="0"/>
      <c r="R201" s="0"/>
      <c r="S201" s="0"/>
      <c r="T201" s="0"/>
      <c r="U201" s="0"/>
      <c r="W201" s="0"/>
      <c r="X201" s="0"/>
      <c r="Y201" s="0"/>
      <c r="Z201" s="0"/>
      <c r="AA201" s="0"/>
      <c r="AB201" s="0"/>
      <c r="AC201" s="0"/>
      <c r="AD201" s="0"/>
      <c r="AE201" s="0"/>
      <c r="AF201" s="0"/>
      <c r="AG201" s="11"/>
      <c r="AH201" s="0"/>
      <c r="AI201" s="0"/>
      <c r="AJ201" s="0"/>
      <c r="AK201" s="0"/>
      <c r="AL201" s="0"/>
      <c r="AM201" s="0"/>
      <c r="AN201" s="0"/>
      <c r="AO201" s="0"/>
      <c r="AP201" s="0"/>
      <c r="AQ201" s="0"/>
      <c r="AR201" s="0"/>
      <c r="AS201" s="0"/>
      <c r="AT201" s="0"/>
      <c r="AU201" s="0"/>
      <c r="AV201" s="11"/>
      <c r="AW201" s="0"/>
      <c r="AX201" s="0"/>
      <c r="AY201" s="0"/>
      <c r="AZ201" s="0"/>
      <c r="BA201" s="0"/>
      <c r="BB201" s="5"/>
      <c r="BC201" s="9"/>
      <c r="BD201" s="9"/>
      <c r="BE201" s="9"/>
      <c r="BF201" s="9"/>
      <c r="BG201" s="9"/>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7" t="n">
        <f aca="false">Transport!U201</f>
        <v>95830.4116</v>
      </c>
      <c r="CO201" s="0"/>
      <c r="CP201" s="0"/>
      <c r="CQ201" s="11"/>
      <c r="CR201" s="11"/>
      <c r="CS201" s="11"/>
      <c r="CT201" s="0"/>
      <c r="CU201" s="0"/>
      <c r="CV201" s="70" t="n">
        <f aca="false">CL201-CN201-CT201+CU201+CS201+CO201</f>
        <v>-95830.4116</v>
      </c>
      <c r="CW201" s="0"/>
      <c r="CX201" s="0"/>
      <c r="CY201" s="0"/>
      <c r="CZ201" s="0"/>
      <c r="DA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A202" s="6" t="n">
        <f aca="false">+A201+365/12</f>
        <v>41741.0833333333</v>
      </c>
      <c r="B202" s="0"/>
      <c r="C202" s="0"/>
      <c r="D202" s="0"/>
      <c r="E202" s="0"/>
      <c r="F202" s="0"/>
      <c r="G202" s="0"/>
      <c r="H202" s="0"/>
      <c r="I202" s="0"/>
      <c r="J202" s="0"/>
      <c r="K202" s="0"/>
      <c r="N202" s="0"/>
      <c r="O202" s="0"/>
      <c r="P202" s="0"/>
      <c r="Q202" s="0"/>
      <c r="R202" s="0"/>
      <c r="S202" s="0"/>
      <c r="T202" s="0"/>
      <c r="U202" s="0"/>
      <c r="W202" s="0"/>
      <c r="X202" s="0"/>
      <c r="Y202" s="0"/>
      <c r="Z202" s="0"/>
      <c r="AA202" s="0"/>
      <c r="AB202" s="0"/>
      <c r="AC202" s="0"/>
      <c r="AD202" s="0"/>
      <c r="AE202" s="0"/>
      <c r="AF202" s="0"/>
      <c r="AG202" s="11"/>
      <c r="AH202" s="0"/>
      <c r="AI202" s="0"/>
      <c r="AJ202" s="0"/>
      <c r="AK202" s="0"/>
      <c r="AL202" s="0"/>
      <c r="AM202" s="0"/>
      <c r="AN202" s="0"/>
      <c r="AO202" s="0"/>
      <c r="AP202" s="0"/>
      <c r="AQ202" s="0"/>
      <c r="AR202" s="0"/>
      <c r="AS202" s="0"/>
      <c r="AT202" s="0"/>
      <c r="AU202" s="0"/>
      <c r="AV202" s="11"/>
      <c r="AW202" s="0"/>
      <c r="AX202" s="0"/>
      <c r="AY202" s="0"/>
      <c r="AZ202" s="0"/>
      <c r="BA202" s="0"/>
      <c r="BB202" s="5"/>
      <c r="BC202" s="9"/>
      <c r="BD202" s="9"/>
      <c r="BE202" s="9"/>
      <c r="BF202" s="9"/>
      <c r="BG202" s="9"/>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7" t="n">
        <f aca="false">Transport!U202</f>
        <v>134600.664</v>
      </c>
      <c r="CO202" s="0"/>
      <c r="CP202" s="0"/>
      <c r="CQ202" s="11"/>
      <c r="CR202" s="11"/>
      <c r="CS202" s="11"/>
      <c r="CT202" s="0"/>
      <c r="CU202" s="0"/>
      <c r="CV202" s="70" t="n">
        <f aca="false">CL202-CN202-CT202+CU202+CS202+CO202</f>
        <v>-134600.664</v>
      </c>
      <c r="CW202" s="0"/>
      <c r="CX202" s="0"/>
      <c r="CY202" s="0"/>
      <c r="CZ202" s="0"/>
      <c r="DA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row>
    <row r="203" customFormat="false" ht="12.75" hidden="false" customHeight="false" outlineLevel="0" collapsed="false">
      <c r="A203" s="6" t="n">
        <f aca="false">+A202+365/12</f>
        <v>41771.5</v>
      </c>
      <c r="BB203" s="5"/>
      <c r="BC203" s="9"/>
      <c r="BD203" s="9"/>
      <c r="BE203" s="9"/>
      <c r="BF203" s="9"/>
      <c r="BG203" s="9"/>
      <c r="BQ203" s="14"/>
      <c r="CN203" s="7" t="n">
        <f aca="false">Transport!U203</f>
        <v>344096.5528</v>
      </c>
      <c r="CS203" s="11"/>
      <c r="CV203" s="70" t="n">
        <f aca="false">CL203-CN203-CT203+CU203+CS203+CO203</f>
        <v>-344096.5528</v>
      </c>
    </row>
    <row r="204" customFormat="false" ht="12.75" hidden="false" customHeight="false" outlineLevel="0" collapsed="false">
      <c r="A204" s="6" t="n">
        <f aca="false">+A203+365/12</f>
        <v>41801.9166666667</v>
      </c>
      <c r="BB204" s="5"/>
      <c r="BC204" s="9"/>
      <c r="BD204" s="9"/>
      <c r="BE204" s="9"/>
      <c r="BF204" s="9"/>
      <c r="BG204" s="9"/>
      <c r="BQ204" s="14"/>
      <c r="CN204" s="7" t="n">
        <f aca="false">Transport!U204</f>
        <v>332996.664</v>
      </c>
      <c r="CS204" s="11"/>
      <c r="CV204" s="70" t="n">
        <f aca="false">CL204-CN204-CT204+CU204+CS204+CO204</f>
        <v>-332996.664</v>
      </c>
    </row>
    <row r="205" customFormat="false" ht="12.75" hidden="false" customHeight="false" outlineLevel="0" collapsed="false">
      <c r="A205" s="6" t="n">
        <f aca="false">+A204+365/12</f>
        <v>41832.3333333333</v>
      </c>
      <c r="BB205" s="5"/>
      <c r="BC205" s="9"/>
      <c r="BD205" s="9"/>
      <c r="BE205" s="9"/>
      <c r="BF205" s="9"/>
      <c r="BG205" s="9"/>
      <c r="BQ205" s="14"/>
      <c r="CN205" s="7" t="n">
        <f aca="false">Transport!U205</f>
        <v>344096.5528</v>
      </c>
      <c r="CS205" s="11"/>
      <c r="CV205" s="70" t="n">
        <f aca="false">CL205-CN205-CT205+CU205+CS205+CO205</f>
        <v>-344096.5528</v>
      </c>
    </row>
    <row r="206" customFormat="false" ht="12.75" hidden="false" customHeight="false" outlineLevel="0" collapsed="false">
      <c r="A206" s="6" t="n">
        <f aca="false">+A205+365/12</f>
        <v>41862.75</v>
      </c>
      <c r="BB206" s="5"/>
      <c r="BC206" s="9"/>
      <c r="BD206" s="9"/>
      <c r="BE206" s="9"/>
      <c r="BF206" s="9"/>
      <c r="BG206" s="9"/>
      <c r="CN206" s="7" t="n">
        <f aca="false">Transport!U206</f>
        <v>344096.5528</v>
      </c>
      <c r="CS206" s="11"/>
      <c r="CV206" s="70" t="n">
        <f aca="false">CL206-CN206-CT206+CU206+CS206+CO206</f>
        <v>-344096.5528</v>
      </c>
    </row>
    <row r="207" customFormat="false" ht="12.75" hidden="false" customHeight="false" outlineLevel="0" collapsed="false">
      <c r="A207" s="6" t="n">
        <f aca="false">+A206+365/12</f>
        <v>41893.1666666667</v>
      </c>
      <c r="BB207" s="5"/>
      <c r="BC207" s="9"/>
      <c r="BD207" s="9"/>
      <c r="BE207" s="9"/>
      <c r="BF207" s="9"/>
      <c r="BG207" s="9"/>
      <c r="CN207" s="7" t="n">
        <f aca="false">Transport!U207</f>
        <v>332996.664</v>
      </c>
      <c r="CS207" s="11"/>
      <c r="CV207" s="70" t="n">
        <f aca="false">CL207-CN207-CT207+CU207+CS207+CO207</f>
        <v>-332996.664</v>
      </c>
    </row>
    <row r="208" customFormat="false" ht="12.75" hidden="false" customHeight="false" outlineLevel="0" collapsed="false">
      <c r="A208" s="6" t="n">
        <f aca="false">+A207+365/12</f>
        <v>41923.5833333333</v>
      </c>
      <c r="CN208" s="7" t="n">
        <f aca="false">Transport!U208</f>
        <v>276716.8624</v>
      </c>
      <c r="CS208" s="11"/>
      <c r="CV208" s="70" t="n">
        <f aca="false">CL208-CN208-CT208+CU208+CS208+CO208</f>
        <v>-276716.8624</v>
      </c>
    </row>
    <row r="209" customFormat="false" ht="12.75" hidden="false" customHeight="false" outlineLevel="0" collapsed="false">
      <c r="A209" s="6" t="n">
        <f aca="false">+A208+365/12</f>
        <v>41954</v>
      </c>
      <c r="CN209" s="7" t="n">
        <f aca="false">Transport!U209</f>
        <v>92739.108</v>
      </c>
      <c r="CS209" s="11"/>
      <c r="CV209" s="70" t="n">
        <f aca="false">CL209-CN209-CT209+CU209+CS209+CO209</f>
        <v>-92739.108</v>
      </c>
    </row>
    <row r="210" customFormat="false" ht="12.75" hidden="false" customHeight="false" outlineLevel="0" collapsed="false">
      <c r="A210" s="6" t="n">
        <f aca="false">+A209+365/12</f>
        <v>41984.4166666667</v>
      </c>
      <c r="CN210" s="7" t="n">
        <f aca="false">Transport!U210</f>
        <v>95830.4116</v>
      </c>
      <c r="CS210" s="11"/>
      <c r="CV210" s="70" t="n">
        <f aca="false">CL210-CN210-CT210+CU210+CS210+CO210</f>
        <v>-95830.4116</v>
      </c>
    </row>
    <row r="211" customFormat="false" ht="12.75" hidden="false" customHeight="false" outlineLevel="0" collapsed="false">
      <c r="A211" s="6" t="n">
        <f aca="false">+A210+365/12</f>
        <v>42014.8333333333</v>
      </c>
      <c r="BO211" s="7"/>
      <c r="CN211" s="7" t="n">
        <f aca="false">Transport!U211</f>
        <v>95830.4116</v>
      </c>
      <c r="CS211" s="11"/>
      <c r="CV211" s="70" t="n">
        <f aca="false">CL211-CN211-CT211+CU211+CS211+CO211</f>
        <v>-95830.4116</v>
      </c>
    </row>
    <row r="212" customFormat="false" ht="12.75" hidden="false" customHeight="false" outlineLevel="0" collapsed="false">
      <c r="A212" s="6" t="n">
        <f aca="false">+A211+365/12</f>
        <v>42045.25</v>
      </c>
      <c r="CN212" s="7" t="n">
        <f aca="false">Transport!U212</f>
        <v>86556.5008</v>
      </c>
      <c r="CS212" s="11"/>
      <c r="CV212" s="70" t="n">
        <f aca="false">CL212-CN212-CT212+CU212+CS212+CO212</f>
        <v>-86556.5008</v>
      </c>
    </row>
    <row r="213" customFormat="false" ht="12.75" hidden="false" customHeight="false" outlineLevel="0" collapsed="false">
      <c r="CS213" s="11"/>
    </row>
    <row r="214" customFormat="false" ht="12.75" hidden="false" customHeight="false" outlineLevel="0" collapsed="false">
      <c r="CS214" s="11"/>
    </row>
    <row r="215" customFormat="false" ht="12.75" hidden="false" customHeight="false" outlineLevel="0" collapsed="false">
      <c r="CS215" s="11"/>
    </row>
    <row r="216" customFormat="false" ht="12.75" hidden="false" customHeight="false" outlineLevel="0" collapsed="false">
      <c r="CS216" s="11"/>
    </row>
    <row r="217" customFormat="false" ht="12.75" hidden="false" customHeight="false" outlineLevel="0" collapsed="false">
      <c r="CS217" s="11"/>
    </row>
    <row r="218" customFormat="false" ht="12.75" hidden="false" customHeight="false" outlineLevel="0" collapsed="false">
      <c r="CS218" s="11"/>
    </row>
    <row r="219" customFormat="false" ht="12.75" hidden="false" customHeight="false" outlineLevel="0" collapsed="false">
      <c r="CS219" s="11"/>
    </row>
    <row r="220" customFormat="false" ht="12.75" hidden="false" customHeight="false" outlineLevel="0" collapsed="false">
      <c r="CS220" s="11"/>
    </row>
    <row r="221" customFormat="false" ht="12.75" hidden="false" customHeight="false" outlineLevel="0" collapsed="false">
      <c r="CS221" s="11"/>
    </row>
    <row r="222" customFormat="false" ht="12.75" hidden="false" customHeight="false" outlineLevel="0" collapsed="false">
      <c r="CS222" s="11"/>
    </row>
    <row r="223" customFormat="false" ht="12.75" hidden="false" customHeight="false" outlineLevel="0" collapsed="false">
      <c r="CS223" s="11"/>
    </row>
    <row r="224" customFormat="false" ht="12.75" hidden="false" customHeight="false" outlineLevel="0" collapsed="false">
      <c r="CS224" s="11"/>
    </row>
    <row r="225" customFormat="false" ht="12.75" hidden="false" customHeight="false" outlineLevel="0" collapsed="false">
      <c r="CS225" s="11"/>
    </row>
  </sheetData>
  <mergeCells count="11">
    <mergeCell ref="B3:M3"/>
    <mergeCell ref="O3:U3"/>
    <mergeCell ref="X3:AD3"/>
    <mergeCell ref="AF3:BA3"/>
    <mergeCell ref="BB3:BQ3"/>
    <mergeCell ref="BR3:BZ3"/>
    <mergeCell ref="CF3:CI3"/>
    <mergeCell ref="CJ3:CL3"/>
    <mergeCell ref="BR4:BS4"/>
    <mergeCell ref="BT4:BU4"/>
    <mergeCell ref="BV4:BW4"/>
  </mergeCells>
  <printOptions headings="false" gridLines="true" gridLinesSet="true" horizontalCentered="true" verticalCentered="false"/>
  <pageMargins left="0" right="0" top="0.75" bottom="0.25" header="0.511811023622047" footer="0.511811023622047"/>
  <pageSetup paperSize="1" scale="80" fitToWidth="1" fitToHeight="1" pageOrder="downThenOver" orientation="landscape" blackAndWhite="false" draft="false" cellComments="none" horizontalDpi="300" verticalDpi="300" copies="1"/>
  <headerFooter differentFirst="false" differentOddEven="false">
    <oddHeader/>
    <oddFooter/>
  </headerFooter>
  <colBreaks count="3" manualBreakCount="3">
    <brk id="13" man="true" max="65535" min="0"/>
    <brk id="22" man="true" max="65535" min="0"/>
    <brk id="31" man="true" max="65535" min="0"/>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4" topLeftCell="U6" activePane="bottomRight" state="frozen"/>
      <selection pane="topLeft" activeCell="A1" activeCellId="0" sqref="A1"/>
      <selection pane="topRight" activeCell="U1" activeCellId="0" sqref="U1"/>
      <selection pane="bottomLeft" activeCell="A6" activeCellId="0" sqref="A6"/>
      <selection pane="bottomRight" activeCell="N24" activeCellId="0" sqref="N24"/>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10.28"/>
    <col collapsed="false" customWidth="true" hidden="false" outlineLevel="0" max="3" min="3" style="7" width="10.13"/>
    <col collapsed="false" customWidth="true" hidden="false" outlineLevel="0" max="7" min="4" style="1" width="10.85"/>
    <col collapsed="false" customWidth="true" hidden="false" outlineLevel="0" max="8" min="8" style="1" width="11.99"/>
    <col collapsed="false" customWidth="true" hidden="false" outlineLevel="0" max="9" min="9" style="1" width="9.85"/>
    <col collapsed="false" customWidth="true" hidden="false" outlineLevel="0" max="11" min="10" style="1" width="10.71"/>
    <col collapsed="false" customWidth="true" hidden="false" outlineLevel="0" max="13" min="12" style="1" width="10.56"/>
    <col collapsed="false" customWidth="true" hidden="false" outlineLevel="0" max="14" min="14" style="1" width="9.7"/>
    <col collapsed="false" customWidth="true" hidden="false" outlineLevel="0" max="15" min="15" style="1" width="9.85"/>
    <col collapsed="false" customWidth="true" hidden="false" outlineLevel="0" max="16" min="16" style="1" width="11.7"/>
    <col collapsed="false" customWidth="true" hidden="false" outlineLevel="0" max="17" min="17" style="1" width="8.99"/>
    <col collapsed="false" customWidth="true" hidden="false" outlineLevel="0" max="18" min="18" style="7" width="7.7"/>
    <col collapsed="false" customWidth="true" hidden="false" outlineLevel="0" max="19" min="19" style="1" width="7.28"/>
    <col collapsed="false" customWidth="true" hidden="false" outlineLevel="0" max="20" min="20" style="1" width="8.56"/>
    <col collapsed="false" customWidth="true" hidden="false" outlineLevel="0" max="21" min="21" style="1" width="11.56"/>
    <col collapsed="false" customWidth="true" hidden="false" outlineLevel="0" max="22" min="22" style="1" width="10.99"/>
    <col collapsed="false" customWidth="true" hidden="false" outlineLevel="0" max="23" min="23" style="1" width="11.42"/>
    <col collapsed="false" customWidth="false" hidden="false" outlineLevel="0" max="24" min="24" style="1" width="9.14"/>
    <col collapsed="false" customWidth="true" hidden="false" outlineLevel="0" max="25" min="25" style="1" width="11.13"/>
    <col collapsed="false" customWidth="true" hidden="false" outlineLevel="0" max="26" min="26" style="1" width="10.28"/>
    <col collapsed="false" customWidth="true" hidden="false" outlineLevel="0" max="27" min="27" style="1" width="9.85"/>
    <col collapsed="false" customWidth="true" hidden="false" outlineLevel="0" max="30" min="28" style="0" width="10.28"/>
    <col collapsed="false" customWidth="false" hidden="false" outlineLevel="0" max="32" min="31" style="1" width="9.14"/>
    <col collapsed="false" customWidth="true" hidden="false" outlineLevel="0" max="33" min="33" style="1" width="11.13"/>
    <col collapsed="false" customWidth="true" hidden="false" outlineLevel="0" max="34" min="34" style="1" width="11.7"/>
    <col collapsed="false" customWidth="true" hidden="false" outlineLevel="0" max="36" min="35" style="1" width="11.99"/>
    <col collapsed="false" customWidth="false" hidden="false" outlineLevel="0" max="257" min="37" style="1" width="9.14"/>
  </cols>
  <sheetData>
    <row r="1" customFormat="false" ht="12.75" hidden="false" customHeight="false" outlineLevel="0" collapsed="false">
      <c r="Y1" s="0"/>
      <c r="AB1" s="64"/>
      <c r="AC1" s="64"/>
      <c r="AD1" s="64"/>
    </row>
    <row r="2" customFormat="false" ht="11.25" hidden="false" customHeight="false" outlineLevel="0" collapsed="false">
      <c r="AB2" s="64"/>
      <c r="AC2" s="64"/>
      <c r="AD2" s="64"/>
    </row>
    <row r="3" customFormat="false" ht="19.15" hidden="false" customHeight="true" outlineLevel="0" collapsed="false">
      <c r="B3" s="3" t="s">
        <v>146</v>
      </c>
      <c r="C3" s="3"/>
      <c r="D3" s="3"/>
      <c r="E3" s="3"/>
      <c r="F3" s="3"/>
      <c r="G3" s="3"/>
      <c r="H3" s="3"/>
      <c r="I3" s="3"/>
      <c r="J3" s="3"/>
      <c r="K3" s="3"/>
      <c r="L3" s="3"/>
      <c r="M3" s="3"/>
      <c r="N3" s="3"/>
      <c r="O3" s="3"/>
      <c r="P3" s="3"/>
      <c r="Q3" s="3"/>
      <c r="R3" s="3"/>
      <c r="S3" s="3"/>
      <c r="T3" s="3"/>
      <c r="U3" s="3"/>
      <c r="V3" s="3"/>
      <c r="W3" s="3"/>
      <c r="X3" s="66"/>
      <c r="AB3" s="64"/>
      <c r="AC3" s="64"/>
      <c r="AD3" s="64"/>
    </row>
    <row r="4" customFormat="false" ht="45" hidden="false" customHeight="false" outlineLevel="0" collapsed="false">
      <c r="A4" s="4" t="s">
        <v>1</v>
      </c>
      <c r="B4" s="5" t="s">
        <v>150</v>
      </c>
      <c r="C4" s="5" t="s">
        <v>151</v>
      </c>
      <c r="D4" s="5" t="s">
        <v>159</v>
      </c>
      <c r="E4" s="5" t="s">
        <v>160</v>
      </c>
      <c r="F4" s="5" t="s">
        <v>161</v>
      </c>
      <c r="G4" s="5" t="s">
        <v>162</v>
      </c>
      <c r="H4" s="5" t="s">
        <v>163</v>
      </c>
      <c r="I4" s="4" t="s">
        <v>164</v>
      </c>
      <c r="J4" s="4" t="s">
        <v>165</v>
      </c>
      <c r="K4" s="4" t="s">
        <v>166</v>
      </c>
      <c r="L4" s="4" t="s">
        <v>167</v>
      </c>
      <c r="M4" s="4" t="s">
        <v>168</v>
      </c>
      <c r="N4" s="4" t="s">
        <v>169</v>
      </c>
      <c r="O4" s="4" t="s">
        <v>170</v>
      </c>
      <c r="P4" s="4" t="s">
        <v>171</v>
      </c>
      <c r="Q4" s="4" t="s">
        <v>172</v>
      </c>
      <c r="R4" s="5" t="s">
        <v>173</v>
      </c>
      <c r="S4" s="4" t="s">
        <v>174</v>
      </c>
      <c r="T4" s="4" t="s">
        <v>175</v>
      </c>
      <c r="U4" s="4" t="s">
        <v>11</v>
      </c>
      <c r="V4" s="4" t="s">
        <v>22</v>
      </c>
      <c r="W4" s="4" t="s">
        <v>23</v>
      </c>
      <c r="X4" s="4" t="s">
        <v>177</v>
      </c>
      <c r="Y4" s="4" t="s">
        <v>181</v>
      </c>
      <c r="Z4" s="4" t="s">
        <v>183</v>
      </c>
      <c r="AA4" s="4" t="s">
        <v>184</v>
      </c>
      <c r="AB4" s="67" t="s">
        <v>23</v>
      </c>
      <c r="AC4" s="67" t="s">
        <v>192</v>
      </c>
      <c r="AD4" s="67" t="s">
        <v>193</v>
      </c>
      <c r="AE4" s="4" t="s">
        <v>186</v>
      </c>
      <c r="AF4" s="4" t="s">
        <v>191</v>
      </c>
      <c r="AG4" s="4" t="s">
        <v>194</v>
      </c>
      <c r="AH4" s="4" t="s">
        <v>195</v>
      </c>
      <c r="AI4" s="4" t="s">
        <v>196</v>
      </c>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1.25" hidden="false" customHeight="false" outlineLevel="0" collapsed="false">
      <c r="A5" s="6" t="n">
        <v>35749</v>
      </c>
      <c r="B5" s="7" t="n">
        <f aca="false">'Long Term Deals'!AF5</f>
        <v>95953.5924394018</v>
      </c>
      <c r="C5" s="7" t="n">
        <f aca="false">'Long Term Deals'!AG5</f>
        <v>21838.0584837545</v>
      </c>
      <c r="D5" s="7" t="n">
        <f aca="false">'Long Term Deals'!AH5</f>
        <v>44147.5136410521</v>
      </c>
      <c r="E5" s="7" t="n">
        <f aca="false">'Long Term Deals'!AI5</f>
        <v>26175.34</v>
      </c>
      <c r="F5" s="7" t="n">
        <f aca="false">'Long Term Deals'!AJ5</f>
        <v>88111.4</v>
      </c>
      <c r="G5" s="7" t="n">
        <f aca="false">'Long Term Deals'!AK5</f>
        <v>33211.95</v>
      </c>
      <c r="H5" s="7" t="n">
        <f aca="false">'Long Term Deals'!AL5</f>
        <v>147498.69</v>
      </c>
      <c r="I5" s="7" t="n">
        <f aca="false">'Long Term Deals'!AM5</f>
        <v>7977</v>
      </c>
      <c r="J5" s="7" t="n">
        <f aca="false">'Long Term Deals'!AN5</f>
        <v>8408</v>
      </c>
      <c r="K5" s="7" t="n">
        <f aca="false">'Long Term Deals'!AO5</f>
        <v>14085</v>
      </c>
      <c r="L5" s="7" t="n">
        <f aca="false">'Long Term Deals'!AP5</f>
        <v>80000</v>
      </c>
      <c r="M5" s="7" t="n">
        <f aca="false">'Long Term Deals'!AQ5</f>
        <v>5023</v>
      </c>
      <c r="N5" s="7" t="n">
        <f aca="false">'Long Term Deals'!AR5</f>
        <v>7977</v>
      </c>
      <c r="O5" s="7" t="n">
        <f aca="false">'Long Term Deals'!AS5</f>
        <v>8408</v>
      </c>
      <c r="P5" s="7" t="n">
        <f aca="false">'Long Term Deals'!AT5</f>
        <v>14084.5136410521</v>
      </c>
      <c r="Q5" s="7" t="n">
        <f aca="false">'Long Term Deals'!AU5</f>
        <v>221248.035</v>
      </c>
      <c r="R5" s="7" t="n">
        <f aca="false">'Long Term Deals'!AV5</f>
        <v>15978</v>
      </c>
      <c r="S5" s="68" t="n">
        <f aca="false">'Long Term Deals'!AW5</f>
        <v>0.15</v>
      </c>
      <c r="T5" s="68" t="n">
        <f aca="false">'Long Term Deals'!AX5</f>
        <v>0.05</v>
      </c>
      <c r="U5" s="7" t="n">
        <f aca="false">'Long Term Deals'!AY5</f>
        <v>17057404.1735276</v>
      </c>
      <c r="V5" s="7" t="n">
        <f aca="false">'Long Term Deals'!AZ5</f>
        <v>15885148.5550026</v>
      </c>
      <c r="W5" s="5" t="n">
        <f aca="false">U5-V5</f>
        <v>1172255.61852501</v>
      </c>
      <c r="X5" s="5" t="n">
        <f aca="false">'Long Term Deals'!CA5</f>
        <v>46415.6781846313</v>
      </c>
      <c r="Y5" s="7"/>
      <c r="Z5" s="7" t="n">
        <f aca="false">[2]Sheet1!$O13</f>
        <v>525297.336136436</v>
      </c>
      <c r="AA5" s="7" t="n">
        <f aca="false">'[3]Long Term Deals'!$Z4</f>
        <v>127773.398065398</v>
      </c>
      <c r="AB5" s="70" t="n">
        <f aca="false">-Z5+AA5+Y5+W5</f>
        <v>774731.680453973</v>
      </c>
      <c r="AC5" s="70" t="n">
        <f aca="false">AB5-Y5</f>
        <v>774731.680453973</v>
      </c>
      <c r="AD5" s="70" t="n">
        <f aca="false">AC5+Z5-AA5+X5</f>
        <v>1218671.29670964</v>
      </c>
      <c r="AE5" s="13" t="n">
        <f aca="false">(W5-Z5+AA5)/(B5+C5+D5)/'Prices&amp;Fuel'!H5</f>
        <v>0.159469696030366</v>
      </c>
      <c r="AF5" s="1" t="n">
        <v>300000</v>
      </c>
      <c r="AG5" s="7" t="n">
        <f aca="false">((((I5*'Prices&amp;Fuel'!B5+'Prices&amp;Fuel'!C5*FPL!J5+FPL!K5*'Prices&amp;Fuel'!D5))+(L5*'Prices&amp;Fuel'!B5+'Prices&amp;Fuel'!C5*FPL!M5))*'Prices&amp;Fuel'!H5)+(I5+J5+K5)*'Prices&amp;Fuel'!H5*FPL!T5+Q5/2</f>
        <v>11267832.8175</v>
      </c>
      <c r="AH5" s="7" t="n">
        <f aca="false">(N5*'Prices&amp;Fuel'!B5+'Prices&amp;Fuel'!C5*O5+P5*'Prices&amp;Fuel'!D5)*'Prices&amp;Fuel'!H5+(N5+O5+P5)*'Prices&amp;Fuel'!H5*FPL!T5+Q5/2</f>
        <v>3096535.99750258</v>
      </c>
      <c r="AI5" s="7" t="n">
        <f aca="false">R5*'Prices&amp;Fuel'!H5*'Prices&amp;Fuel'!Q5</f>
        <v>1520779.74</v>
      </c>
      <c r="AJ5" s="55" t="n">
        <f aca="false">SUM(AG5:AI5)-'Long Term Deals'!AZ5</f>
        <v>0</v>
      </c>
    </row>
    <row r="6" customFormat="false" ht="11.25" hidden="false" customHeight="false" outlineLevel="0" collapsed="false">
      <c r="A6" s="6" t="n">
        <f aca="false">+A5+365/12</f>
        <v>35779.4166666667</v>
      </c>
      <c r="B6" s="7" t="n">
        <f aca="false">'Long Term Deals'!AF6</f>
        <v>91879.31923672</v>
      </c>
      <c r="C6" s="7" t="n">
        <f aca="false">'Long Term Deals'!AG6</f>
        <v>25818.6539453326</v>
      </c>
      <c r="D6" s="7" t="n">
        <f aca="false">'Long Term Deals'!AH6</f>
        <v>18454.6828261991</v>
      </c>
      <c r="E6" s="7" t="n">
        <f aca="false">'Long Term Deals'!AI6</f>
        <v>30249.6132026818</v>
      </c>
      <c r="F6" s="7" t="n">
        <f aca="false">'Long Term Deals'!AJ6</f>
        <v>84130.8045384219</v>
      </c>
      <c r="G6" s="7" t="n">
        <f aca="false">'Long Term Deals'!AK6</f>
        <v>58904.780814853</v>
      </c>
      <c r="H6" s="7" t="n">
        <f aca="false">'Long Term Deals'!AL6</f>
        <v>173285.198555957</v>
      </c>
      <c r="I6" s="7" t="n">
        <f aca="false">'Long Term Deals'!AM6</f>
        <v>5939.65961835998</v>
      </c>
      <c r="J6" s="7" t="n">
        <f aca="false">'Long Term Deals'!AN6</f>
        <v>10397.8269726663</v>
      </c>
      <c r="K6" s="7" t="n">
        <f aca="false">'Long Term Deals'!AO6</f>
        <v>-0</v>
      </c>
      <c r="L6" s="7" t="n">
        <f aca="false">'Long Term Deals'!AP6</f>
        <v>80000</v>
      </c>
      <c r="M6" s="7" t="n">
        <f aca="false">'Long Term Deals'!AQ6</f>
        <v>5023</v>
      </c>
      <c r="N6" s="7" t="n">
        <f aca="false">'Long Term Deals'!AR6</f>
        <v>5939.65961835998</v>
      </c>
      <c r="O6" s="7" t="n">
        <f aca="false">'Long Term Deals'!AS6</f>
        <v>10397.8269726663</v>
      </c>
      <c r="P6" s="7" t="n">
        <f aca="false">'Long Term Deals'!AT6</f>
        <v>-0.220399607376748</v>
      </c>
      <c r="Q6" s="7" t="n">
        <f aca="false">'Long Term Deals'!AU6</f>
        <v>268592.057761733</v>
      </c>
      <c r="R6" s="7" t="n">
        <f aca="false">'Long Term Deals'!AV6</f>
        <v>18454.9032258065</v>
      </c>
      <c r="S6" s="68" t="n">
        <f aca="false">'Long Term Deals'!AW6</f>
        <v>0.15</v>
      </c>
      <c r="T6" s="68" t="n">
        <f aca="false">'Long Term Deals'!AX6</f>
        <v>0.05</v>
      </c>
      <c r="U6" s="7" t="n">
        <f aca="false">'Long Term Deals'!AY6</f>
        <v>11916927.591542</v>
      </c>
      <c r="V6" s="7" t="n">
        <f aca="false">'Long Term Deals'!AZ6</f>
        <v>10754939.1423363</v>
      </c>
      <c r="W6" s="5" t="n">
        <f aca="false">U6-V6</f>
        <v>1161988.44920578</v>
      </c>
      <c r="X6" s="5" t="n">
        <f aca="false">'Long Term Deals'!CA6</f>
        <v>47962.8674574523</v>
      </c>
      <c r="Y6" s="7"/>
      <c r="Z6" s="7" t="n">
        <f aca="false">[2]Sheet1!$O14</f>
        <v>542807.247340984</v>
      </c>
      <c r="AA6" s="7" t="n">
        <f aca="false">'[3]Long Term Deals'!$Z5</f>
        <v>132032.511334244</v>
      </c>
      <c r="AB6" s="70" t="n">
        <f aca="false">-Z6+AA6+Y6+W6</f>
        <v>751213.713199039</v>
      </c>
      <c r="AC6" s="70" t="n">
        <f aca="false">AB6-Y6</f>
        <v>751213.713199039</v>
      </c>
      <c r="AD6" s="70" t="n">
        <f aca="false">AC6+Z6-AA6+X6</f>
        <v>1209951.31666323</v>
      </c>
      <c r="AE6" s="13" t="n">
        <f aca="false">(W6-Z6+AA6)/(B6+C6+D6)/'Prices&amp;Fuel'!H6</f>
        <v>0.177981841384767</v>
      </c>
      <c r="AF6" s="1" t="n">
        <v>300000</v>
      </c>
      <c r="AG6" s="7" t="n">
        <f aca="false">((((I6*'Prices&amp;Fuel'!B6+'Prices&amp;Fuel'!C6*FPL!J6+FPL!K6*'Prices&amp;Fuel'!D6))+(L6*'Prices&amp;Fuel'!B6+'Prices&amp;Fuel'!C6*FPL!M6))*'Prices&amp;Fuel'!H6)+(I6+J6+K6)*'Prices&amp;Fuel'!H6*FPL!T6+Q6/2</f>
        <v>7905752.65330067</v>
      </c>
      <c r="AH6" s="7" t="n">
        <f aca="false">(N6*'Prices&amp;Fuel'!B6+'Prices&amp;Fuel'!C6*O6+P6*'Prices&amp;Fuel'!D6)*'Prices&amp;Fuel'!H6+(N6+O6+P6)*'Prices&amp;Fuel'!H6*FPL!T6+Q6/2</f>
        <v>1432667.14903559</v>
      </c>
      <c r="AI6" s="7" t="n">
        <f aca="false">R6*'Prices&amp;Fuel'!H6*'Prices&amp;Fuel'!Q6</f>
        <v>1416519.34</v>
      </c>
      <c r="AJ6" s="55" t="n">
        <f aca="false">SUM(AG6:AI6)-'Long Term Deals'!AZ6</f>
        <v>0</v>
      </c>
    </row>
    <row r="7" customFormat="false" ht="11.25" hidden="false" customHeight="false" outlineLevel="0" collapsed="false">
      <c r="A7" s="6" t="n">
        <f aca="false">+A6+365/12</f>
        <v>35809.8333333333</v>
      </c>
      <c r="B7" s="7" t="n">
        <f aca="false">'Long Term Deals'!AF7</f>
        <v>91879.31923672</v>
      </c>
      <c r="C7" s="7" t="n">
        <f aca="false">'Long Term Deals'!AG7</f>
        <v>25988.6539453326</v>
      </c>
      <c r="D7" s="7" t="n">
        <f aca="false">'Long Term Deals'!AH7</f>
        <v>18284.6828261991</v>
      </c>
      <c r="E7" s="7" t="n">
        <f aca="false">'Long Term Deals'!AI7</f>
        <v>30249.6132026818</v>
      </c>
      <c r="F7" s="7" t="n">
        <f aca="false">'Long Term Deals'!AJ7</f>
        <v>83960.8045384219</v>
      </c>
      <c r="G7" s="7" t="n">
        <f aca="false">'Long Term Deals'!AK7</f>
        <v>59074.780814853</v>
      </c>
      <c r="H7" s="7" t="n">
        <f aca="false">'Long Term Deals'!AL7</f>
        <v>173285.198555957</v>
      </c>
      <c r="I7" s="7" t="n">
        <f aca="false">'Long Term Deals'!AM7</f>
        <v>5939.65961835998</v>
      </c>
      <c r="J7" s="7" t="n">
        <f aca="false">'Long Term Deals'!AN7</f>
        <v>10482.8269726663</v>
      </c>
      <c r="K7" s="7" t="n">
        <f aca="false">'Long Term Deals'!AO7</f>
        <v>339</v>
      </c>
      <c r="L7" s="7" t="n">
        <f aca="false">'Long Term Deals'!AP7</f>
        <v>80000</v>
      </c>
      <c r="M7" s="7" t="n">
        <f aca="false">'Long Term Deals'!AQ7</f>
        <v>5023</v>
      </c>
      <c r="N7" s="7" t="n">
        <f aca="false">'Long Term Deals'!AR7</f>
        <v>5939.65961835998</v>
      </c>
      <c r="O7" s="7" t="n">
        <f aca="false">'Long Term Deals'!AS7</f>
        <v>10482.8269726663</v>
      </c>
      <c r="P7" s="7" t="n">
        <f aca="false">'Long Term Deals'!AT7</f>
        <v>339.682826199074</v>
      </c>
      <c r="Q7" s="7" t="n">
        <f aca="false">'Long Term Deals'!AU7</f>
        <v>268592.057761733</v>
      </c>
      <c r="R7" s="7" t="n">
        <f aca="false">'Long Term Deals'!AV7</f>
        <v>17606</v>
      </c>
      <c r="S7" s="68" t="n">
        <f aca="false">'Long Term Deals'!AW7</f>
        <v>0.145</v>
      </c>
      <c r="T7" s="68" t="n">
        <f aca="false">'Long Term Deals'!AX7</f>
        <v>0.05</v>
      </c>
      <c r="U7" s="7" t="n">
        <f aca="false">'Long Term Deals'!AY7</f>
        <v>10814814.7601857</v>
      </c>
      <c r="V7" s="7" t="n">
        <f aca="false">'Long Term Deals'!AZ7</f>
        <v>9711033.79011346</v>
      </c>
      <c r="W7" s="5" t="n">
        <f aca="false">U7-V7</f>
        <v>1103780.9700722</v>
      </c>
      <c r="X7" s="5" t="n">
        <f aca="false">'Long Term Deals'!CA7</f>
        <v>47962.8674574523</v>
      </c>
      <c r="Y7" s="7"/>
      <c r="Z7" s="7" t="n">
        <f aca="false">[2]Sheet1!$O16</f>
        <v>494844.379883532</v>
      </c>
      <c r="AA7" s="7" t="n">
        <f aca="false">'[3]Long Term Deals'!$Z6</f>
        <v>132032.511334244</v>
      </c>
      <c r="AB7" s="70" t="n">
        <f aca="false">-Z7+AA7+Y7+W7</f>
        <v>740969.101522915</v>
      </c>
      <c r="AC7" s="70" t="n">
        <f aca="false">AB7-Y7</f>
        <v>740969.101522915</v>
      </c>
      <c r="AD7" s="70" t="n">
        <f aca="false">AC7+Z7-AA7+X7</f>
        <v>1151743.83752965</v>
      </c>
      <c r="AE7" s="13" t="n">
        <f aca="false">(W7-Z7+AA7)/(B7+C7+D7)/'Prices&amp;Fuel'!H7</f>
        <v>0.175554629503046</v>
      </c>
      <c r="AF7" s="1" t="n">
        <v>300000</v>
      </c>
      <c r="AG7" s="7" t="n">
        <f aca="false">((((I7*'Prices&amp;Fuel'!B7+'Prices&amp;Fuel'!C7*FPL!J7+FPL!K7*'Prices&amp;Fuel'!D7))+(L7*'Prices&amp;Fuel'!B7+'Prices&amp;Fuel'!C7*FPL!M7))*'Prices&amp;Fuel'!H7)+(I7+J7+K7)*'Prices&amp;Fuel'!H7*FPL!T7+Q7/2</f>
        <v>7167389.33397885</v>
      </c>
      <c r="AH7" s="7" t="n">
        <f aca="false">(N7*'Prices&amp;Fuel'!B7+'Prices&amp;Fuel'!C7*O7+P7*'Prices&amp;Fuel'!D7)*'Prices&amp;Fuel'!H7+(N7+O7+P7)*'Prices&amp;Fuel'!H7*FPL!T7+Q7/2</f>
        <v>1331611.95613461</v>
      </c>
      <c r="AI7" s="7" t="n">
        <f aca="false">R7*'Prices&amp;Fuel'!H7*'Prices&amp;Fuel'!Q7</f>
        <v>1212032.5</v>
      </c>
      <c r="AJ7" s="55" t="n">
        <f aca="false">SUM(AG7:AI7)-'Long Term Deals'!AZ7</f>
        <v>0</v>
      </c>
    </row>
    <row r="8" customFormat="false" ht="11.25" hidden="false" customHeight="false" outlineLevel="0" collapsed="false">
      <c r="A8" s="6" t="n">
        <f aca="false">+A7+365/12</f>
        <v>35840.25</v>
      </c>
      <c r="B8" s="7" t="n">
        <f aca="false">'Long Term Deals'!AF8</f>
        <v>91595.8868894602</v>
      </c>
      <c r="C8" s="7" t="n">
        <f aca="false">'Long Term Deals'!AG8</f>
        <v>25908.4832904884</v>
      </c>
      <c r="D8" s="7" t="n">
        <f aca="false">'Long Term Deals'!AH8</f>
        <v>18228.2776349614</v>
      </c>
      <c r="E8" s="7" t="n">
        <f aca="false">'Long Term Deals'!AI8</f>
        <v>30156.2982005141</v>
      </c>
      <c r="F8" s="7" t="n">
        <f aca="false">'Long Term Deals'!AJ8</f>
        <v>83701.7994858612</v>
      </c>
      <c r="G8" s="7" t="n">
        <f aca="false">'Long Term Deals'!AK8</f>
        <v>58892.5449871465</v>
      </c>
      <c r="H8" s="7" t="n">
        <f aca="false">'Long Term Deals'!AL8</f>
        <v>172750.642673522</v>
      </c>
      <c r="I8" s="7" t="n">
        <f aca="false">'Long Term Deals'!AM8</f>
        <v>5797.94344473008</v>
      </c>
      <c r="J8" s="7" t="n">
        <f aca="false">'Long Term Deals'!AN8</f>
        <v>10442.7416452442</v>
      </c>
      <c r="K8" s="7" t="n">
        <f aca="false">'Long Term Deals'!AO8</f>
        <v>4304</v>
      </c>
      <c r="L8" s="7" t="n">
        <f aca="false">'Long Term Deals'!AP8</f>
        <v>80000</v>
      </c>
      <c r="M8" s="7" t="n">
        <f aca="false">'Long Term Deals'!AQ8</f>
        <v>5023</v>
      </c>
      <c r="N8" s="7" t="n">
        <f aca="false">'Long Term Deals'!AR8</f>
        <v>5797.94344473007</v>
      </c>
      <c r="O8" s="7" t="n">
        <f aca="false">'Long Term Deals'!AS8</f>
        <v>10442.7416452442</v>
      </c>
      <c r="P8" s="7" t="n">
        <f aca="false">'Long Term Deals'!AT8</f>
        <v>4304.27763496144</v>
      </c>
      <c r="Q8" s="7" t="n">
        <f aca="false">'Long Term Deals'!AU8</f>
        <v>241850.899742931</v>
      </c>
      <c r="R8" s="7" t="n">
        <f aca="false">'Long Term Deals'!AV8</f>
        <v>9620</v>
      </c>
      <c r="S8" s="68" t="n">
        <f aca="false">'Long Term Deals'!AW8</f>
        <v>0.145</v>
      </c>
      <c r="T8" s="68" t="n">
        <f aca="false">'Long Term Deals'!AX8</f>
        <v>0.05</v>
      </c>
      <c r="U8" s="7" t="n">
        <f aca="false">'Long Term Deals'!AY8</f>
        <v>8724305.93316195</v>
      </c>
      <c r="V8" s="7" t="n">
        <f aca="false">'Long Term Deals'!AZ8</f>
        <v>7739728.47403599</v>
      </c>
      <c r="W8" s="5" t="n">
        <f aca="false">U8-V8</f>
        <v>984577.459125963</v>
      </c>
      <c r="X8" s="5" t="n">
        <f aca="false">'Long Term Deals'!CA8</f>
        <v>43187.6606683805</v>
      </c>
      <c r="Z8" s="7" t="n">
        <f aca="false">[2]Sheet1!$O17</f>
        <v>446956.214088351</v>
      </c>
      <c r="AA8" s="7" t="n">
        <f aca="false">'[3]Long Term Deals'!$Z7</f>
        <v>118520.094803195</v>
      </c>
      <c r="AB8" s="70" t="n">
        <f aca="false">-Z8+AA8+Y8+W8</f>
        <v>656141.339840807</v>
      </c>
      <c r="AC8" s="70" t="n">
        <f aca="false">AB8-Y8</f>
        <v>656141.339840807</v>
      </c>
      <c r="AD8" s="70" t="n">
        <f aca="false">AC8+Z8-AA8+X8</f>
        <v>1027765.11979434</v>
      </c>
      <c r="AE8" s="13" t="n">
        <f aca="false">(W8-Z8+AA8)/(B8+C8+D8)/'Prices&amp;Fuel'!H8</f>
        <v>0.172645414771424</v>
      </c>
      <c r="AF8" s="1" t="n">
        <v>300000</v>
      </c>
      <c r="AG8" s="7" t="n">
        <f aca="false">((((I8*'Prices&amp;Fuel'!B8+'Prices&amp;Fuel'!C8*FPL!J8+FPL!K8*'Prices&amp;Fuel'!D8))+(L8*'Prices&amp;Fuel'!B8+'Prices&amp;Fuel'!C8*FPL!M8))*'Prices&amp;Fuel'!H8)+(I8+J8+K8)*'Prices&amp;Fuel'!H8*FPL!T8+Q8/2</f>
        <v>5921178.16437018</v>
      </c>
      <c r="AH8" s="7" t="n">
        <f aca="false">(N8*'Prices&amp;Fuel'!B8+'Prices&amp;Fuel'!C8*O8+P8*'Prices&amp;Fuel'!D8)*'Prices&amp;Fuel'!H8+(N8+O8+P8)*'Prices&amp;Fuel'!H8*FPL!T8+Q8/2</f>
        <v>1291492.90966581</v>
      </c>
      <c r="AI8" s="7" t="n">
        <f aca="false">R8*'Prices&amp;Fuel'!H8*'Prices&amp;Fuel'!Q8</f>
        <v>527057.4</v>
      </c>
      <c r="AJ8" s="55" t="n">
        <f aca="false">SUM(AG8:AI8)-'Long Term Deals'!AZ8</f>
        <v>0</v>
      </c>
    </row>
    <row r="9" customFormat="false" ht="11.25" hidden="false" customHeight="false" outlineLevel="0" collapsed="false">
      <c r="A9" s="6" t="n">
        <f aca="false">+A8+365/12</f>
        <v>35870.6666666667</v>
      </c>
      <c r="B9" s="7" t="n">
        <f aca="false">'Long Term Deals'!AF9</f>
        <v>91595.8868894602</v>
      </c>
      <c r="C9" s="7" t="n">
        <f aca="false">'Long Term Deals'!AG9</f>
        <v>25908.4832904884</v>
      </c>
      <c r="D9" s="7" t="n">
        <f aca="false">'Long Term Deals'!AH9</f>
        <v>18228.2776349614</v>
      </c>
      <c r="E9" s="7" t="n">
        <f aca="false">'Long Term Deals'!AI9</f>
        <v>30156.2982005141</v>
      </c>
      <c r="F9" s="7" t="n">
        <f aca="false">'Long Term Deals'!AJ9</f>
        <v>83701.7994858612</v>
      </c>
      <c r="G9" s="7" t="n">
        <f aca="false">'Long Term Deals'!AK9</f>
        <v>58892.5449871465</v>
      </c>
      <c r="H9" s="7" t="n">
        <f aca="false">'Long Term Deals'!AL9</f>
        <v>172751</v>
      </c>
      <c r="I9" s="7" t="n">
        <f aca="false">'Long Term Deals'!AM9</f>
        <v>5797.85089974293</v>
      </c>
      <c r="J9" s="7" t="n">
        <f aca="false">'Long Term Deals'!AN9</f>
        <v>10443</v>
      </c>
      <c r="K9" s="7" t="n">
        <f aca="false">'Long Term Deals'!AO9</f>
        <v>9114</v>
      </c>
      <c r="L9" s="7" t="n">
        <f aca="false">'Long Term Deals'!AP9</f>
        <v>80000</v>
      </c>
      <c r="M9" s="7" t="n">
        <f aca="false">'Long Term Deals'!AQ9</f>
        <v>5023</v>
      </c>
      <c r="N9" s="7" t="n">
        <f aca="false">'Long Term Deals'!AR9</f>
        <v>5797.85089974293</v>
      </c>
      <c r="O9" s="7" t="n">
        <f aca="false">'Long Term Deals'!AS9</f>
        <v>10443</v>
      </c>
      <c r="P9" s="7" t="n">
        <f aca="false">'Long Term Deals'!AT9</f>
        <v>9114.27763496144</v>
      </c>
      <c r="Q9" s="7" t="n">
        <f aca="false">'Long Term Deals'!AU9</f>
        <v>267764.05</v>
      </c>
      <c r="R9" s="7" t="n">
        <f aca="false">'Long Term Deals'!AV9</f>
        <v>0</v>
      </c>
      <c r="S9" s="68" t="n">
        <f aca="false">'Long Term Deals'!AW9</f>
        <v>0.145</v>
      </c>
      <c r="T9" s="68" t="n">
        <f aca="false">'Long Term Deals'!AX9</f>
        <v>0.05</v>
      </c>
      <c r="U9" s="7" t="n">
        <f aca="false">'Long Term Deals'!AY9</f>
        <v>10683617.8324036</v>
      </c>
      <c r="V9" s="7" t="n">
        <f aca="false">'Long Term Deals'!AZ9</f>
        <v>9609467.23192802</v>
      </c>
      <c r="W9" s="5" t="n">
        <f aca="false">U9-V9</f>
        <v>1074150.60047558</v>
      </c>
      <c r="X9" s="5" t="n">
        <f aca="false">'Long Term Deals'!CA9</f>
        <v>47814.9654113111</v>
      </c>
      <c r="Z9" s="7" t="n">
        <f aca="false">[2]Sheet1!$O18</f>
        <v>494844.379883532</v>
      </c>
      <c r="AA9" s="7" t="n">
        <f aca="false">'[3]Long Term Deals'!$Z8</f>
        <v>131218.676389252</v>
      </c>
      <c r="AB9" s="70" t="n">
        <f aca="false">-Z9+AA9+Y9+W9</f>
        <v>710524.8969813</v>
      </c>
      <c r="AC9" s="70" t="n">
        <f aca="false">AB9-Y9</f>
        <v>710524.8969813</v>
      </c>
      <c r="AD9" s="70" t="n">
        <f aca="false">AC9+Z9-AA9+X9</f>
        <v>1121965.56588689</v>
      </c>
      <c r="AE9" s="13" t="n">
        <f aca="false">(W9-Z9+AA9)/(B9+C9+D9)/'Prices&amp;Fuel'!H9</f>
        <v>0.168862527447291</v>
      </c>
      <c r="AF9" s="1" t="n">
        <v>300000</v>
      </c>
      <c r="AG9" s="7" t="n">
        <f aca="false">((((I9*'Prices&amp;Fuel'!B9+'Prices&amp;Fuel'!C9*FPL!J9+FPL!K9*'Prices&amp;Fuel'!D9))+(L9*'Prices&amp;Fuel'!B9+'Prices&amp;Fuel'!C9*FPL!M9))*'Prices&amp;Fuel'!H9)+(I9+J9+K9)*'Prices&amp;Fuel'!H9*FPL!T9+Q9/2</f>
        <v>7695501.10147815</v>
      </c>
      <c r="AH9" s="7" t="n">
        <f aca="false">(N9*'Prices&amp;Fuel'!B9+'Prices&amp;Fuel'!C9*O9+P9*'Prices&amp;Fuel'!D9)*'Prices&amp;Fuel'!H9+(N9+O9+P9)*'Prices&amp;Fuel'!H9*FPL!T9+Q9/2</f>
        <v>1913966.13044987</v>
      </c>
      <c r="AI9" s="7" t="n">
        <f aca="false">R9*'Prices&amp;Fuel'!H9*'Prices&amp;Fuel'!Q9</f>
        <v>0</v>
      </c>
      <c r="AJ9" s="55" t="n">
        <f aca="false">SUM(AG9:AI9)-'Long Term Deals'!AZ9</f>
        <v>0</v>
      </c>
    </row>
    <row r="10" customFormat="false" ht="11.25" hidden="false" customHeight="false" outlineLevel="0" collapsed="false">
      <c r="A10" s="6" t="n">
        <f aca="false">+A9+365/12</f>
        <v>35901.0833333333</v>
      </c>
      <c r="B10" s="7" t="n">
        <f aca="false">'Long Term Deals'!AF10</f>
        <v>131948.415164699</v>
      </c>
      <c r="C10" s="7" t="n">
        <f aca="false">'Long Term Deals'!AG10</f>
        <v>101115.599751398</v>
      </c>
      <c r="D10" s="7" t="n">
        <f aca="false">'Long Term Deals'!AH10</f>
        <v>77688.0049720323</v>
      </c>
      <c r="E10" s="7" t="n">
        <f aca="false">'Long Term Deals'!AI10</f>
        <v>0</v>
      </c>
      <c r="F10" s="7" t="n">
        <f aca="false">'Long Term Deals'!AJ10</f>
        <v>0</v>
      </c>
      <c r="G10" s="7" t="n">
        <f aca="false">'Long Term Deals'!AK10</f>
        <v>0</v>
      </c>
      <c r="H10" s="7" t="n">
        <f aca="false">'Long Term Deals'!AL10</f>
        <v>0</v>
      </c>
      <c r="I10" s="7" t="n">
        <f aca="false">'Long Term Deals'!AM10</f>
        <v>25974</v>
      </c>
      <c r="J10" s="7" t="n">
        <f aca="false">'Long Term Deals'!AN10</f>
        <v>48046</v>
      </c>
      <c r="K10" s="7" t="n">
        <f aca="false">'Long Term Deals'!AO10</f>
        <v>38844</v>
      </c>
      <c r="L10" s="7" t="n">
        <f aca="false">'Long Term Deals'!AP10</f>
        <v>80000</v>
      </c>
      <c r="M10" s="7" t="n">
        <f aca="false">'Long Term Deals'!AQ10</f>
        <v>5023</v>
      </c>
      <c r="N10" s="7" t="n">
        <f aca="false">'Long Term Deals'!AR10</f>
        <v>25974</v>
      </c>
      <c r="O10" s="7" t="n">
        <f aca="false">'Long Term Deals'!AS10</f>
        <v>48046</v>
      </c>
      <c r="P10" s="7" t="n">
        <f aca="false">'Long Term Deals'!AT10</f>
        <v>38844.0049720323</v>
      </c>
      <c r="Q10" s="7" t="n">
        <f aca="false">'Long Term Deals'!AU10</f>
        <v>0</v>
      </c>
      <c r="R10" s="7" t="n">
        <f aca="false">'Long Term Deals'!AV10</f>
        <v>0</v>
      </c>
      <c r="S10" s="68" t="n">
        <f aca="false">'Long Term Deals'!AW10</f>
        <v>0.145</v>
      </c>
      <c r="T10" s="68" t="n">
        <f aca="false">'Long Term Deals'!AX10</f>
        <v>0.05</v>
      </c>
      <c r="U10" s="7" t="n">
        <f aca="false">'Long Term Deals'!AY10</f>
        <v>22542096.9546302</v>
      </c>
      <c r="V10" s="7" t="n">
        <f aca="false">'Long Term Deals'!AZ10</f>
        <v>21482235.6460535</v>
      </c>
      <c r="W10" s="5" t="n">
        <f aca="false">U10-V10</f>
        <v>1059861.30857676</v>
      </c>
      <c r="X10" s="5" t="n">
        <f aca="false">'Long Term Deals'!CA10</f>
        <v>46612.8029832194</v>
      </c>
      <c r="Y10" s="71" t="n">
        <f aca="false">SUM([4]Sheet1!$AL$12:$AL$51)</f>
        <v>11090229.4094514</v>
      </c>
      <c r="Z10" s="7" t="n">
        <f aca="false">[2]Sheet1!$O19</f>
        <v>478881.657951805</v>
      </c>
      <c r="AA10" s="7" t="n">
        <f aca="false">'[3]Long Term Deals'!$Z9</f>
        <v>126985.815860567</v>
      </c>
      <c r="AB10" s="70" t="n">
        <f aca="false">-Z10+AA10+Y10+W10</f>
        <v>11798194.875937</v>
      </c>
      <c r="AC10" s="70" t="n">
        <f aca="false">AB10-Y10</f>
        <v>707965.466485517</v>
      </c>
      <c r="AD10" s="70" t="n">
        <f aca="false">AC10+Z10-AA10+X10</f>
        <v>1106474.11155997</v>
      </c>
      <c r="AE10" s="13" t="n">
        <f aca="false">(W10-Z10+AA10)/(B10+C10+D10)/'Prices&amp;Fuel'!H10</f>
        <v>0.0759410957050131</v>
      </c>
      <c r="AF10" s="1" t="n">
        <v>300000</v>
      </c>
      <c r="AG10" s="7" t="n">
        <f aca="false">((((I10*'Prices&amp;Fuel'!B10+'Prices&amp;Fuel'!C10*FPL!J10+FPL!K10*'Prices&amp;Fuel'!D10))+(L10*'Prices&amp;Fuel'!B10+'Prices&amp;Fuel'!C10*FPL!M10))*'Prices&amp;Fuel'!H10)+(I10+J10+K10)*'Prices&amp;Fuel'!H10*FPL!T10+Q10/2</f>
        <v>13613657.7</v>
      </c>
      <c r="AH10" s="7" t="n">
        <f aca="false">(N10*'Prices&amp;Fuel'!B10+'Prices&amp;Fuel'!C10*O10+P10*'Prices&amp;Fuel'!D10)*'Prices&amp;Fuel'!H10+(N10+O10+P10)*'Prices&amp;Fuel'!H10*FPL!T10+Q10/2</f>
        <v>7868577.94605345</v>
      </c>
      <c r="AI10" s="7" t="n">
        <f aca="false">R10*'Prices&amp;Fuel'!H10*'Prices&amp;Fuel'!Q10</f>
        <v>0</v>
      </c>
      <c r="AJ10" s="55" t="n">
        <f aca="false">SUM(AG10:AI10)-'Long Term Deals'!AZ10</f>
        <v>0</v>
      </c>
    </row>
    <row r="11" customFormat="false" ht="11.25" hidden="false" customHeight="false" outlineLevel="0" collapsed="false">
      <c r="A11" s="6" t="n">
        <f aca="false">+A10+365/12</f>
        <v>35931.5</v>
      </c>
      <c r="B11" s="7" t="n">
        <f aca="false">'Long Term Deals'!AF11</f>
        <v>125885.51772465</v>
      </c>
      <c r="C11" s="7" t="n">
        <f aca="false">'Long Term Deals'!AG11</f>
        <v>74496.0065952185</v>
      </c>
      <c r="D11" s="7" t="n">
        <f aca="false">'Long Term Deals'!AH11</f>
        <v>32112.7164056059</v>
      </c>
      <c r="E11" s="7" t="n">
        <f aca="false">'Long Term Deals'!AI11</f>
        <v>59909</v>
      </c>
      <c r="F11" s="7" t="n">
        <f aca="false">'Long Term Deals'!AJ11</f>
        <v>105538</v>
      </c>
      <c r="G11" s="7" t="n">
        <f aca="false">'Long Term Deals'!AK11</f>
        <v>45175</v>
      </c>
      <c r="H11" s="7" t="n">
        <f aca="false">'Long Term Deals'!AL11</f>
        <v>210622</v>
      </c>
      <c r="I11" s="7" t="n">
        <f aca="false">'Long Term Deals'!AM11</f>
        <v>32814.5</v>
      </c>
      <c r="J11" s="7" t="n">
        <f aca="false">'Long Term Deals'!AN11</f>
        <v>34737</v>
      </c>
      <c r="K11" s="7" t="n">
        <f aca="false">'Long Term Deals'!AO11</f>
        <v>6184.5</v>
      </c>
      <c r="L11" s="7" t="n">
        <f aca="false">'Long Term Deals'!AP11</f>
        <v>80000</v>
      </c>
      <c r="M11" s="7" t="n">
        <f aca="false">'Long Term Deals'!AQ11</f>
        <v>5023</v>
      </c>
      <c r="N11" s="7" t="n">
        <f aca="false">'Long Term Deals'!AR11</f>
        <v>13071.5</v>
      </c>
      <c r="O11" s="7" t="n">
        <f aca="false">'Long Term Deals'!AS11</f>
        <v>34737</v>
      </c>
      <c r="P11" s="7" t="n">
        <f aca="false">'Long Term Deals'!AT11</f>
        <v>25928.2164056059</v>
      </c>
      <c r="Q11" s="7" t="n">
        <f aca="false">'Long Term Deals'!AU11</f>
        <v>326464.1</v>
      </c>
      <c r="R11" s="7" t="n">
        <f aca="false">'Long Term Deals'!AV11</f>
        <v>0</v>
      </c>
      <c r="S11" s="68" t="n">
        <f aca="false">'Long Term Deals'!AW11</f>
        <v>0.145</v>
      </c>
      <c r="T11" s="68" t="n">
        <f aca="false">'Long Term Deals'!AX11</f>
        <v>0.05</v>
      </c>
      <c r="U11" s="7" t="n">
        <f aca="false">'Long Term Deals'!AY11</f>
        <v>18013158.2401896</v>
      </c>
      <c r="V11" s="7" t="n">
        <f aca="false">'Long Term Deals'!AZ11</f>
        <v>16546634.9034625</v>
      </c>
      <c r="W11" s="5" t="n">
        <f aca="false">U11-V11</f>
        <v>1466523.33672712</v>
      </c>
      <c r="X11" s="5" t="n">
        <f aca="false">'Long Term Deals'!CA11</f>
        <v>68683.0173124485</v>
      </c>
      <c r="Y11" s="71" t="n">
        <f aca="false">[4]Sheet1!$AL52</f>
        <v>810446.827532589</v>
      </c>
      <c r="Z11" s="7" t="n">
        <f aca="false">[2]Sheet1!$O20</f>
        <v>709276.944499729</v>
      </c>
      <c r="AA11" s="7" t="n">
        <f aca="false">'[3]Long Term Deals'!$Z10</f>
        <v>245187.217824599</v>
      </c>
      <c r="AB11" s="70" t="n">
        <f aca="false">-Z11+AA11+Y11+W11</f>
        <v>1812880.43758458</v>
      </c>
      <c r="AC11" s="70" t="n">
        <f aca="false">AB11-Y11</f>
        <v>1002433.61005199</v>
      </c>
      <c r="AD11" s="70" t="n">
        <f aca="false">AC11+Z11-AA11+X11</f>
        <v>1535206.35403957</v>
      </c>
      <c r="AE11" s="13" t="n">
        <f aca="false">(W11-Z11+AA11)/(B11+C11+D11)/'Prices&amp;Fuel'!H11</f>
        <v>0.139085458484006</v>
      </c>
      <c r="AF11" s="1" t="n">
        <v>430000</v>
      </c>
      <c r="AG11" s="7" t="n">
        <f aca="false">((((I11*'Prices&amp;Fuel'!B11+'Prices&amp;Fuel'!C11*FPL!J11+FPL!K11*'Prices&amp;Fuel'!D11))+(L11*'Prices&amp;Fuel'!B11+'Prices&amp;Fuel'!C11*FPL!M11))*'Prices&amp;Fuel'!H11)+(I11+J11+K11)*'Prices&amp;Fuel'!H11*FPL!T11+Q11/2</f>
        <v>11170349.04</v>
      </c>
      <c r="AH11" s="7" t="n">
        <f aca="false">(N11*'Prices&amp;Fuel'!B11+'Prices&amp;Fuel'!C11*O11+P11*'Prices&amp;Fuel'!D11)*'Prices&amp;Fuel'!H11+(N11+O11+P11)*'Prices&amp;Fuel'!H11*FPL!T11+Q11/2</f>
        <v>5376285.86346249</v>
      </c>
      <c r="AI11" s="7" t="n">
        <f aca="false">R11*'Prices&amp;Fuel'!H11*'Prices&amp;Fuel'!Q11</f>
        <v>0</v>
      </c>
      <c r="AJ11" s="55" t="n">
        <f aca="false">SUM(AG11:AI11)-'Long Term Deals'!AZ11</f>
        <v>0</v>
      </c>
    </row>
    <row r="12" customFormat="false" ht="11.25" hidden="false" customHeight="false" outlineLevel="0" collapsed="false">
      <c r="A12" s="6" t="n">
        <f aca="false">+A11+365/12</f>
        <v>35961.9166666667</v>
      </c>
      <c r="B12" s="7" t="n">
        <f aca="false">'Long Term Deals'!AF12</f>
        <v>125885.51772465</v>
      </c>
      <c r="C12" s="7" t="n">
        <f aca="false">'Long Term Deals'!AG12</f>
        <v>74496.0065952185</v>
      </c>
      <c r="D12" s="7" t="n">
        <f aca="false">'Long Term Deals'!AH12</f>
        <v>32112.7164056059</v>
      </c>
      <c r="E12" s="7" t="n">
        <f aca="false">'Long Term Deals'!AI12</f>
        <v>59909</v>
      </c>
      <c r="F12" s="7" t="n">
        <f aca="false">'Long Term Deals'!AJ12</f>
        <v>105538</v>
      </c>
      <c r="G12" s="7" t="n">
        <f aca="false">'Long Term Deals'!AK12</f>
        <v>45175</v>
      </c>
      <c r="H12" s="7" t="n">
        <f aca="false">'Long Term Deals'!AL12</f>
        <v>210622</v>
      </c>
      <c r="I12" s="7" t="n">
        <f aca="false">'Long Term Deals'!AM12</f>
        <v>32814.5</v>
      </c>
      <c r="J12" s="7" t="n">
        <f aca="false">'Long Term Deals'!AN12</f>
        <v>34737</v>
      </c>
      <c r="K12" s="7" t="n">
        <f aca="false">'Long Term Deals'!AO12</f>
        <v>6184.5</v>
      </c>
      <c r="L12" s="7" t="n">
        <f aca="false">'Long Term Deals'!AP12</f>
        <v>80000</v>
      </c>
      <c r="M12" s="7" t="n">
        <f aca="false">'Long Term Deals'!AQ12</f>
        <v>5023</v>
      </c>
      <c r="N12" s="7" t="n">
        <f aca="false">'Long Term Deals'!AR12</f>
        <v>13071.5</v>
      </c>
      <c r="O12" s="7" t="n">
        <f aca="false">'Long Term Deals'!AS12</f>
        <v>34737</v>
      </c>
      <c r="P12" s="7" t="n">
        <f aca="false">'Long Term Deals'!AT12</f>
        <v>25928.2164056059</v>
      </c>
      <c r="Q12" s="7" t="n">
        <f aca="false">'Long Term Deals'!AU12</f>
        <v>315933</v>
      </c>
      <c r="R12" s="7" t="n">
        <f aca="false">'Long Term Deals'!AV12</f>
        <v>0</v>
      </c>
      <c r="S12" s="68" t="n">
        <f aca="false">'Long Term Deals'!AW12</f>
        <v>0.145</v>
      </c>
      <c r="T12" s="68" t="n">
        <f aca="false">'Long Term Deals'!AX12</f>
        <v>0.05</v>
      </c>
      <c r="U12" s="7" t="n">
        <f aca="false">'Long Term Deals'!AY12</f>
        <v>15897626.6307502</v>
      </c>
      <c r="V12" s="7" t="n">
        <f aca="false">'Long Term Deals'!AZ12</f>
        <v>14459133.1291014</v>
      </c>
      <c r="W12" s="5" t="n">
        <f aca="false">U12-V12</f>
        <v>1438493.50164881</v>
      </c>
      <c r="X12" s="5" t="n">
        <f aca="false">'Long Term Deals'!CA12</f>
        <v>66467.4361088211</v>
      </c>
      <c r="Y12" s="71" t="n">
        <f aca="false">[4]Sheet1!$AL53</f>
        <v>784303.381483151</v>
      </c>
      <c r="Z12" s="7" t="n">
        <f aca="false">[2]Sheet1!$O21</f>
        <v>686397.043064254</v>
      </c>
      <c r="AA12" s="7" t="n">
        <f aca="false">'[3]Long Term Deals'!$Z11</f>
        <v>237277.952733483</v>
      </c>
      <c r="AB12" s="70" t="n">
        <f aca="false">-Z12+AA12+Y12+W12</f>
        <v>1773677.79280119</v>
      </c>
      <c r="AC12" s="70" t="n">
        <f aca="false">AB12-Y12</f>
        <v>989374.411318035</v>
      </c>
      <c r="AD12" s="70" t="n">
        <f aca="false">AC12+Z12-AA12+X12</f>
        <v>1504960.93775763</v>
      </c>
      <c r="AE12" s="13" t="n">
        <f aca="false">(W12-Z12+AA12)/(B12+C12+D12)/'Prices&amp;Fuel'!H12</f>
        <v>0.141849307496936</v>
      </c>
      <c r="AF12" s="1" t="n">
        <v>430000</v>
      </c>
      <c r="AG12" s="7" t="n">
        <f aca="false">((((I12*'Prices&amp;Fuel'!B12+'Prices&amp;Fuel'!C12*FPL!J12+FPL!K12*'Prices&amp;Fuel'!D12))+(L12*'Prices&amp;Fuel'!B12+'Prices&amp;Fuel'!C12*FPL!M12))*'Prices&amp;Fuel'!H12)+(I12+J12+K12)*'Prices&amp;Fuel'!H12*FPL!T12+Q12/2</f>
        <v>9758495.1</v>
      </c>
      <c r="AH12" s="7" t="n">
        <f aca="false">(N12*'Prices&amp;Fuel'!B12+'Prices&amp;Fuel'!C12*O12+P12*'Prices&amp;Fuel'!D12)*'Prices&amp;Fuel'!H12+(N12+O12+P12)*'Prices&amp;Fuel'!H12*FPL!T12+Q12/2</f>
        <v>4700638.0291014</v>
      </c>
      <c r="AI12" s="7" t="n">
        <f aca="false">R12*'Prices&amp;Fuel'!H12*'Prices&amp;Fuel'!Q12</f>
        <v>0</v>
      </c>
      <c r="AJ12" s="55" t="n">
        <f aca="false">SUM(AG12:AI12)-'Long Term Deals'!AZ12</f>
        <v>0</v>
      </c>
    </row>
    <row r="13" customFormat="false" ht="11.25" hidden="false" customHeight="false" outlineLevel="0" collapsed="false">
      <c r="A13" s="6" t="n">
        <f aca="false">+A12+365/12</f>
        <v>35992.3333333333</v>
      </c>
      <c r="B13" s="7" t="n">
        <f aca="false">'Long Term Deals'!AF13</f>
        <v>125885.51772465</v>
      </c>
      <c r="C13" s="7" t="n">
        <f aca="false">'Long Term Deals'!AG13</f>
        <v>74496.0065952185</v>
      </c>
      <c r="D13" s="7" t="n">
        <f aca="false">'Long Term Deals'!AH13</f>
        <v>32112.7164056059</v>
      </c>
      <c r="E13" s="7" t="n">
        <f aca="false">'Long Term Deals'!AI13</f>
        <v>59909</v>
      </c>
      <c r="F13" s="7" t="n">
        <f aca="false">'Long Term Deals'!AJ13</f>
        <v>105538</v>
      </c>
      <c r="G13" s="7" t="n">
        <f aca="false">'Long Term Deals'!AK13</f>
        <v>45175</v>
      </c>
      <c r="H13" s="7" t="n">
        <f aca="false">'Long Term Deals'!AL13</f>
        <v>210622</v>
      </c>
      <c r="I13" s="7" t="n">
        <f aca="false">'Long Term Deals'!AM13</f>
        <v>32814.5</v>
      </c>
      <c r="J13" s="7" t="n">
        <f aca="false">'Long Term Deals'!AN13</f>
        <v>34737</v>
      </c>
      <c r="K13" s="7" t="n">
        <f aca="false">'Long Term Deals'!AO13</f>
        <v>6184.5</v>
      </c>
      <c r="L13" s="7" t="n">
        <f aca="false">'Long Term Deals'!AP13</f>
        <v>80000</v>
      </c>
      <c r="M13" s="7" t="n">
        <f aca="false">'Long Term Deals'!AQ13</f>
        <v>5023</v>
      </c>
      <c r="N13" s="7" t="n">
        <f aca="false">'Long Term Deals'!AR13</f>
        <v>13071.5</v>
      </c>
      <c r="O13" s="7" t="n">
        <f aca="false">'Long Term Deals'!AS13</f>
        <v>34737</v>
      </c>
      <c r="P13" s="7" t="n">
        <f aca="false">'Long Term Deals'!AT13</f>
        <v>25928.2164056059</v>
      </c>
      <c r="Q13" s="7" t="n">
        <f aca="false">'Long Term Deals'!AU13</f>
        <v>326464.1</v>
      </c>
      <c r="R13" s="7" t="n">
        <f aca="false">'Long Term Deals'!AV13</f>
        <v>0</v>
      </c>
      <c r="S13" s="68" t="n">
        <f aca="false">'Long Term Deals'!AW13</f>
        <v>0.145</v>
      </c>
      <c r="T13" s="68" t="n">
        <f aca="false">'Long Term Deals'!AX13</f>
        <v>0.05</v>
      </c>
      <c r="U13" s="7" t="n">
        <f aca="false">'Long Term Deals'!AY13</f>
        <v>18805963.6010635</v>
      </c>
      <c r="V13" s="7" t="n">
        <f aca="false">'Long Term Deals'!AZ13</f>
        <v>17299625.5280627</v>
      </c>
      <c r="W13" s="5" t="n">
        <f aca="false">U13-V13</f>
        <v>1506338.07300083</v>
      </c>
      <c r="X13" s="5" t="n">
        <f aca="false">'Long Term Deals'!CA13</f>
        <v>68683.0173124485</v>
      </c>
      <c r="Y13" s="71" t="n">
        <f aca="false">[4]Sheet1!$AL54</f>
        <v>810446.827532589</v>
      </c>
      <c r="Z13" s="7" t="n">
        <f aca="false">[2]Sheet1!$O22</f>
        <v>709276.944499729</v>
      </c>
      <c r="AA13" s="7" t="n">
        <f aca="false">'[3]Long Term Deals'!$Z12</f>
        <v>245187.217824599</v>
      </c>
      <c r="AB13" s="70" t="n">
        <f aca="false">-Z13+AA13+Y13+W13-X13</f>
        <v>1784012.15654584</v>
      </c>
      <c r="AC13" s="70" t="n">
        <f aca="false">AB13-Y13</f>
        <v>973565.329013247</v>
      </c>
      <c r="AD13" s="70" t="n">
        <f aca="false">AC13+Z13-AA13+X13</f>
        <v>1506338.07300083</v>
      </c>
      <c r="AE13" s="13" t="n">
        <f aca="false">(W13-Z13+AA13)/(B13+C13+D13)/'Prices&amp;Fuel'!H13</f>
        <v>0.144609665567166</v>
      </c>
      <c r="AF13" s="1" t="n">
        <v>430000</v>
      </c>
      <c r="AG13" s="7" t="n">
        <f aca="false">((((I13*'Prices&amp;Fuel'!B13+'Prices&amp;Fuel'!C13*FPL!J13+FPL!K13*'Prices&amp;Fuel'!D13))+(L13*'Prices&amp;Fuel'!B13+'Prices&amp;Fuel'!C13*FPL!M13))*'Prices&amp;Fuel'!H13)+(I13+J13+K13)*'Prices&amp;Fuel'!H13*FPL!T13+Q13/2</f>
        <v>11704048.45</v>
      </c>
      <c r="AH13" s="7" t="n">
        <f aca="false">(N13*'Prices&amp;Fuel'!B13+'Prices&amp;Fuel'!C13*O13+P13*'Prices&amp;Fuel'!D13)*'Prices&amp;Fuel'!H13+(N13+O13+P13)*'Prices&amp;Fuel'!H13*FPL!T13+Q13/2</f>
        <v>5595577.07806265</v>
      </c>
      <c r="AI13" s="7" t="n">
        <f aca="false">R13*'Prices&amp;Fuel'!H13*'Prices&amp;Fuel'!Q13</f>
        <v>0</v>
      </c>
      <c r="AJ13" s="55" t="n">
        <f aca="false">SUM(AG13:AI13)-'Long Term Deals'!AZ13</f>
        <v>0</v>
      </c>
    </row>
    <row r="14" customFormat="false" ht="11.25" hidden="false" customHeight="false" outlineLevel="0" collapsed="false">
      <c r="A14" s="6" t="n">
        <f aca="false">+A13+365/12</f>
        <v>36022.75</v>
      </c>
      <c r="B14" s="7" t="n">
        <f aca="false">'Long Term Deals'!AF14</f>
        <v>116187.970374704</v>
      </c>
      <c r="C14" s="7" t="n">
        <f aca="false">'Long Term Deals'!AG14</f>
        <v>69066.8630162487</v>
      </c>
      <c r="D14" s="7" t="n">
        <f aca="false">'Long Term Deals'!AH14</f>
        <v>30219.8627769061</v>
      </c>
      <c r="E14" s="7" t="n">
        <f aca="false">'Long Term Deals'!AI14</f>
        <v>59909</v>
      </c>
      <c r="F14" s="7" t="n">
        <f aca="false">'Long Term Deals'!AJ14</f>
        <v>105538</v>
      </c>
      <c r="G14" s="7" t="n">
        <f aca="false">'Long Term Deals'!AK14</f>
        <v>45175</v>
      </c>
      <c r="H14" s="7" t="n">
        <f aca="false">'Long Term Deals'!AL14</f>
        <v>210622</v>
      </c>
      <c r="I14" s="7" t="n">
        <f aca="false">'Long Term Deals'!AM14</f>
        <v>27965.5</v>
      </c>
      <c r="J14" s="7" t="n">
        <f aca="false">'Long Term Deals'!AN14</f>
        <v>34425.5</v>
      </c>
      <c r="K14" s="7" t="n">
        <f aca="false">'Long Term Deals'!AO14</f>
        <v>5238</v>
      </c>
      <c r="L14" s="7" t="n">
        <f aca="false">'Long Term Deals'!AP14</f>
        <v>80000</v>
      </c>
      <c r="M14" s="7" t="n">
        <f aca="false">'Long Term Deals'!AQ14</f>
        <v>217</v>
      </c>
      <c r="N14" s="7" t="n">
        <f aca="false">'Long Term Deals'!AR14</f>
        <v>8222.5</v>
      </c>
      <c r="O14" s="7" t="n">
        <f aca="false">'Long Term Deals'!AS14</f>
        <v>34425.5</v>
      </c>
      <c r="P14" s="7" t="n">
        <f aca="false">'Long Term Deals'!AT14</f>
        <v>24981.8627769061</v>
      </c>
      <c r="Q14" s="7" t="n">
        <f aca="false">'Long Term Deals'!AU14</f>
        <v>326464.1</v>
      </c>
      <c r="R14" s="7" t="n">
        <f aca="false">'Long Term Deals'!AV14</f>
        <v>0</v>
      </c>
      <c r="S14" s="68" t="n">
        <f aca="false">'Long Term Deals'!AW14</f>
        <v>0.145</v>
      </c>
      <c r="T14" s="68" t="n">
        <f aca="false">'Long Term Deals'!AX14</f>
        <v>0.05</v>
      </c>
      <c r="U14" s="7" t="n">
        <f aca="false">'Long Term Deals'!AY14</f>
        <v>14600751.793075</v>
      </c>
      <c r="V14" s="7" t="n">
        <f aca="false">'Long Term Deals'!AZ14</f>
        <v>13088920.0650206</v>
      </c>
      <c r="W14" s="5" t="n">
        <f aca="false">U14-V14</f>
        <v>1511831.72805441</v>
      </c>
      <c r="X14" s="5" t="n">
        <f aca="false">'Long Term Deals'!CA14</f>
        <v>66044.9879060181</v>
      </c>
      <c r="Y14" s="71" t="n">
        <f aca="false">[4]Sheet1!$AL55</f>
        <v>764635.60641452</v>
      </c>
      <c r="Z14" s="7" t="n">
        <f aca="false">[2]Sheet1!$O23</f>
        <v>709276.944499729</v>
      </c>
      <c r="AA14" s="7" t="n">
        <f aca="false">'[3]Long Term Deals'!$Z13</f>
        <v>252636.517824595</v>
      </c>
      <c r="AB14" s="70" t="n">
        <f aca="false">-Z14+AA14+Y14+W14-X14</f>
        <v>1753781.91988778</v>
      </c>
      <c r="AC14" s="70" t="n">
        <f aca="false">AB14-Y14</f>
        <v>989146.313473258</v>
      </c>
      <c r="AD14" s="70" t="n">
        <f aca="false">AC14+Z14-AA14+X14</f>
        <v>1511831.72805441</v>
      </c>
      <c r="AE14" s="13" t="n">
        <f aca="false">(W14-Z14+AA14)/(B14+C14+D14)/'Prices&amp;Fuel'!H14</f>
        <v>0.157969495639684</v>
      </c>
      <c r="AF14" s="1" t="n">
        <v>430000</v>
      </c>
      <c r="AG14" s="7" t="n">
        <f aca="false">((((I14*'Prices&amp;Fuel'!B14+'Prices&amp;Fuel'!C14*FPL!J14+FPL!K14*'Prices&amp;Fuel'!D14))+(L14*'Prices&amp;Fuel'!B14+'Prices&amp;Fuel'!C14*FPL!M14))*'Prices&amp;Fuel'!H14)+(I14+J14+K14)*'Prices&amp;Fuel'!H14*FPL!T14+Q14/2</f>
        <v>8857292.41</v>
      </c>
      <c r="AH14" s="7" t="n">
        <f aca="false">(N14*'Prices&amp;Fuel'!B14+'Prices&amp;Fuel'!C14*O14+P14*'Prices&amp;Fuel'!D14)*'Prices&amp;Fuel'!H14+(N14+O14+P14)*'Prices&amp;Fuel'!H14*FPL!T14+Q14/2</f>
        <v>4231627.65502061</v>
      </c>
      <c r="AI14" s="7" t="n">
        <f aca="false">R14*'Prices&amp;Fuel'!H14*'Prices&amp;Fuel'!Q14</f>
        <v>0</v>
      </c>
      <c r="AJ14" s="55" t="n">
        <f aca="false">SUM(AG14:AI14)-'Long Term Deals'!AZ14</f>
        <v>0</v>
      </c>
    </row>
    <row r="15" customFormat="false" ht="11.25" hidden="false" customHeight="false" outlineLevel="0" collapsed="false">
      <c r="A15" s="6" t="n">
        <f aca="false">+A14+365/12</f>
        <v>36053.1666666667</v>
      </c>
      <c r="B15" s="7" t="n">
        <f aca="false">'Long Term Deals'!AF15</f>
        <v>125885.51772465</v>
      </c>
      <c r="C15" s="7" t="n">
        <f aca="false">'Long Term Deals'!AG15</f>
        <v>74496.0065952185</v>
      </c>
      <c r="D15" s="7" t="n">
        <f aca="false">'Long Term Deals'!AH15</f>
        <v>32112.7164056059</v>
      </c>
      <c r="E15" s="7" t="n">
        <f aca="false">'Long Term Deals'!AI15</f>
        <v>59909</v>
      </c>
      <c r="F15" s="7" t="n">
        <f aca="false">'Long Term Deals'!AJ15</f>
        <v>105538</v>
      </c>
      <c r="G15" s="7" t="n">
        <f aca="false">'Long Term Deals'!AK15</f>
        <v>45175</v>
      </c>
      <c r="H15" s="7" t="n">
        <f aca="false">'Long Term Deals'!AL15</f>
        <v>210622</v>
      </c>
      <c r="I15" s="7" t="n">
        <f aca="false">'Long Term Deals'!AM15</f>
        <v>32814.5</v>
      </c>
      <c r="J15" s="7" t="n">
        <f aca="false">'Long Term Deals'!AN15</f>
        <v>37140</v>
      </c>
      <c r="K15" s="7" t="n">
        <f aca="false">'Long Term Deals'!AO15</f>
        <v>6184.5</v>
      </c>
      <c r="L15" s="7" t="n">
        <f aca="false">'Long Term Deals'!AP15</f>
        <v>80000</v>
      </c>
      <c r="M15" s="7" t="n">
        <f aca="false">'Long Term Deals'!AQ15</f>
        <v>217</v>
      </c>
      <c r="N15" s="7" t="n">
        <f aca="false">'Long Term Deals'!AR15</f>
        <v>13071.5</v>
      </c>
      <c r="O15" s="7" t="n">
        <f aca="false">'Long Term Deals'!AS15</f>
        <v>37140</v>
      </c>
      <c r="P15" s="7" t="n">
        <f aca="false">'Long Term Deals'!AT15</f>
        <v>25928.2164056059</v>
      </c>
      <c r="Q15" s="7" t="n">
        <f aca="false">'Long Term Deals'!AU15</f>
        <v>315933</v>
      </c>
      <c r="R15" s="7" t="n">
        <f aca="false">'Long Term Deals'!AV15</f>
        <v>0</v>
      </c>
      <c r="S15" s="68" t="n">
        <f aca="false">'Long Term Deals'!AW15</f>
        <v>0.145</v>
      </c>
      <c r="T15" s="68" t="n">
        <f aca="false">'Long Term Deals'!AX15</f>
        <v>0.05</v>
      </c>
      <c r="U15" s="7" t="n">
        <f aca="false">'Long Term Deals'!AY15</f>
        <v>13070216.7078318</v>
      </c>
      <c r="V15" s="7" t="n">
        <f aca="false">'Long Term Deals'!AZ15</f>
        <v>11584295.7173125</v>
      </c>
      <c r="W15" s="5" t="n">
        <f aca="false">U15-V15</f>
        <v>1485920.99051937</v>
      </c>
      <c r="X15" s="5" t="n">
        <f aca="false">'Long Term Deals'!CA15</f>
        <v>66467.4361088211</v>
      </c>
      <c r="Y15" s="71" t="n">
        <f aca="false">[4]Sheet1!$AL56</f>
        <v>739969.941691471</v>
      </c>
      <c r="Z15" s="7" t="n">
        <f aca="false">[2]Sheet1!$O24</f>
        <v>686397.043064254</v>
      </c>
      <c r="AA15" s="7" t="n">
        <f aca="false">'[3]Long Term Deals'!$Z14</f>
        <v>244486.952733479</v>
      </c>
      <c r="AB15" s="70" t="n">
        <f aca="false">-Z15+AA15+Y15+W15-X15</f>
        <v>1717513.40577125</v>
      </c>
      <c r="AC15" s="70" t="n">
        <f aca="false">AB15-Y15</f>
        <v>977543.464079776</v>
      </c>
      <c r="AD15" s="70" t="n">
        <f aca="false">AC15+Z15-AA15+X15</f>
        <v>1485920.99051937</v>
      </c>
      <c r="AE15" s="13" t="n">
        <f aca="false">(W15-Z15+AA15)/(B15+C15+D15)/'Prices&amp;Fuel'!H15</f>
        <v>0.149682689906765</v>
      </c>
      <c r="AF15" s="1" t="n">
        <v>430000</v>
      </c>
      <c r="AG15" s="7" t="n">
        <f aca="false">((((I15*'Prices&amp;Fuel'!B15+'Prices&amp;Fuel'!C15*FPL!J15+FPL!K15*'Prices&amp;Fuel'!D15))+(L15*'Prices&amp;Fuel'!B15+'Prices&amp;Fuel'!C15*FPL!M15))*'Prices&amp;Fuel'!H15)+(I15+J15+K15)*'Prices&amp;Fuel'!H15*FPL!T15+Q15/2</f>
        <v>7681371</v>
      </c>
      <c r="AH15" s="7" t="n">
        <f aca="false">(N15*'Prices&amp;Fuel'!B15+'Prices&amp;Fuel'!C15*O15+P15*'Prices&amp;Fuel'!D15)*'Prices&amp;Fuel'!H15+(N15+O15+P15)*'Prices&amp;Fuel'!H15*FPL!T15+Q15/2</f>
        <v>3902924.71731245</v>
      </c>
      <c r="AI15" s="7" t="n">
        <f aca="false">R15*'Prices&amp;Fuel'!H15*'Prices&amp;Fuel'!Q15</f>
        <v>0</v>
      </c>
      <c r="AJ15" s="55" t="n">
        <f aca="false">SUM(AG15:AI15)-'Long Term Deals'!AZ15</f>
        <v>0</v>
      </c>
    </row>
    <row r="16" customFormat="false" ht="11.25" hidden="false" customHeight="false" outlineLevel="0" collapsed="false">
      <c r="A16" s="6" t="n">
        <f aca="false">+A15+365/12</f>
        <v>36083.5833333333</v>
      </c>
      <c r="B16" s="7" t="n">
        <f aca="false">'Long Term Deals'!AF16</f>
        <v>107773.149444216</v>
      </c>
      <c r="C16" s="7" t="n">
        <f aca="false">'Long Term Deals'!AG16</f>
        <v>15763.6311239193</v>
      </c>
      <c r="D16" s="7" t="n">
        <f aca="false">'Long Term Deals'!AH16</f>
        <v>12321.2601893783</v>
      </c>
      <c r="E16" s="7" t="n">
        <f aca="false">'Long Term Deals'!AI16</f>
        <v>21880</v>
      </c>
      <c r="F16" s="7" t="n">
        <f aca="false">'Long Term Deals'!AJ16</f>
        <v>86160</v>
      </c>
      <c r="G16" s="7" t="n">
        <f aca="false">'Long Term Deals'!AK16</f>
        <v>64871</v>
      </c>
      <c r="H16" s="7" t="n">
        <f aca="false">'Long Term Deals'!AL16</f>
        <v>172911</v>
      </c>
      <c r="I16" s="7" t="n">
        <f aca="false">'Long Term Deals'!AM16</f>
        <v>13886.5</v>
      </c>
      <c r="J16" s="7" t="n">
        <f aca="false">'Long Term Deals'!AN16</f>
        <v>7773</v>
      </c>
      <c r="K16" s="7" t="n">
        <f aca="false">'Long Term Deals'!AO16</f>
        <v>259</v>
      </c>
      <c r="L16" s="7" t="n">
        <f aca="false">'Long Term Deals'!AP16</f>
        <v>80000</v>
      </c>
      <c r="M16" s="7" t="n">
        <f aca="false">'Long Term Deals'!AQ16</f>
        <v>217</v>
      </c>
      <c r="N16" s="7" t="n">
        <f aca="false">'Long Term Deals'!AR16</f>
        <v>13886.5</v>
      </c>
      <c r="O16" s="7" t="n">
        <f aca="false">'Long Term Deals'!AS16</f>
        <v>7773</v>
      </c>
      <c r="P16" s="7" t="n">
        <f aca="false">'Long Term Deals'!AT16</f>
        <v>258.905350668665</v>
      </c>
      <c r="Q16" s="7" t="n">
        <f aca="false">'Long Term Deals'!AU16</f>
        <v>268012.05</v>
      </c>
      <c r="R16" s="7" t="n">
        <f aca="false">'Long Term Deals'!AV16</f>
        <v>11803.3548387097</v>
      </c>
      <c r="S16" s="68" t="n">
        <f aca="false">'Long Term Deals'!AW16</f>
        <v>0.145</v>
      </c>
      <c r="T16" s="68" t="n">
        <f aca="false">'Long Term Deals'!AX16</f>
        <v>0.05</v>
      </c>
      <c r="U16" s="7" t="n">
        <f aca="false">'Long Term Deals'!AY16</f>
        <v>9770414.9614368</v>
      </c>
      <c r="V16" s="7" t="n">
        <f aca="false">'Long Term Deals'!AZ16</f>
        <v>8704670.89305887</v>
      </c>
      <c r="W16" s="5" t="n">
        <f aca="false">U16-V16</f>
        <v>1065744.06837793</v>
      </c>
      <c r="X16" s="5" t="n">
        <f aca="false">'Long Term Deals'!CA16</f>
        <v>47859.2013174146</v>
      </c>
      <c r="Y16" s="71" t="n">
        <f aca="false">[4]Sheet1!$AL57</f>
        <v>764635.60641452</v>
      </c>
      <c r="Z16" s="7" t="n">
        <f aca="false">[2]Sheet1!$O25</f>
        <v>494844.379883532</v>
      </c>
      <c r="AA16" s="7" t="n">
        <f aca="false">'[3]Long Term Deals'!$Z15</f>
        <v>138667.976389252</v>
      </c>
      <c r="AB16" s="70" t="n">
        <f aca="false">-Z16+AA16+Y16+W16-X16</f>
        <v>1426344.06998076</v>
      </c>
      <c r="AC16" s="70" t="n">
        <f aca="false">AB16-Y16</f>
        <v>661708.463566239</v>
      </c>
      <c r="AD16" s="70" t="n">
        <f aca="false">AC16+Z16-AA16+X16</f>
        <v>1065744.06837793</v>
      </c>
      <c r="AE16" s="13" t="n">
        <f aca="false">(W16-Z16+AA16)/(B16+C16+D16)/'Prices&amp;Fuel'!H16</f>
        <v>0.168479387636908</v>
      </c>
      <c r="AF16" s="1" t="n">
        <v>300000</v>
      </c>
      <c r="AG16" s="7" t="n">
        <f aca="false">((((I16*'Prices&amp;Fuel'!B16+'Prices&amp;Fuel'!C16*FPL!J16+FPL!K16*'Prices&amp;Fuel'!D16))+(L16*'Prices&amp;Fuel'!B16+'Prices&amp;Fuel'!C16*FPL!M16))*'Prices&amp;Fuel'!H16)+(I16+J16+K16)*'Prices&amp;Fuel'!H16*FPL!T16+Q16/2</f>
        <v>6449360.9</v>
      </c>
      <c r="AH16" s="7" t="n">
        <f aca="false">(N16*'Prices&amp;Fuel'!B16+'Prices&amp;Fuel'!C16*O16+P16*'Prices&amp;Fuel'!D16)*'Prices&amp;Fuel'!H16+(N16+O16+P16)*'Prices&amp;Fuel'!H16*FPL!T16+Q16/2</f>
        <v>1525299.16305887</v>
      </c>
      <c r="AI16" s="7" t="n">
        <f aca="false">R16*'Prices&amp;Fuel'!H16*'Prices&amp;Fuel'!Q16</f>
        <v>730010.83</v>
      </c>
      <c r="AJ16" s="55" t="n">
        <f aca="false">SUM(AG16:AI16)-'Long Term Deals'!AZ16</f>
        <v>0</v>
      </c>
    </row>
    <row r="17" customFormat="false" ht="11.25" hidden="false" customHeight="false" outlineLevel="0" collapsed="false">
      <c r="A17" s="6" t="n">
        <f aca="false">+A16+365/12</f>
        <v>36114</v>
      </c>
      <c r="B17" s="7" t="n">
        <f aca="false">'Long Term Deals'!AF17</f>
        <v>99984.9650061754</v>
      </c>
      <c r="C17" s="7" t="n">
        <f aca="false">'Long Term Deals'!AG17</f>
        <v>23551.8155619597</v>
      </c>
      <c r="D17" s="7" t="n">
        <f aca="false">'Long Term Deals'!AH17</f>
        <v>12321.2601893783</v>
      </c>
      <c r="E17" s="7" t="n">
        <f aca="false">'Long Term Deals'!AI17</f>
        <v>21880</v>
      </c>
      <c r="F17" s="7" t="n">
        <f aca="false">'Long Term Deals'!AJ17</f>
        <v>86160</v>
      </c>
      <c r="G17" s="7" t="n">
        <f aca="false">'Long Term Deals'!AK17</f>
        <v>64871</v>
      </c>
      <c r="H17" s="7" t="n">
        <f aca="false">'Long Term Deals'!AL17</f>
        <v>172911</v>
      </c>
      <c r="I17" s="7" t="n">
        <f aca="false">'Long Term Deals'!AM17</f>
        <v>9992</v>
      </c>
      <c r="J17" s="7" t="n">
        <f aca="false">'Long Term Deals'!AN17</f>
        <v>11667</v>
      </c>
      <c r="K17" s="7" t="n">
        <f aca="false">'Long Term Deals'!AO17</f>
        <v>-13</v>
      </c>
      <c r="L17" s="7" t="n">
        <f aca="false">'Long Term Deals'!AP17</f>
        <v>80000</v>
      </c>
      <c r="M17" s="7" t="n">
        <f aca="false">'Long Term Deals'!AQ17</f>
        <v>217</v>
      </c>
      <c r="N17" s="7" t="n">
        <f aca="false">'Long Term Deals'!AR17</f>
        <v>9992</v>
      </c>
      <c r="O17" s="7" t="n">
        <f aca="false">'Long Term Deals'!AS17</f>
        <v>11667</v>
      </c>
      <c r="P17" s="7" t="n">
        <f aca="false">'Long Term Deals'!AT17</f>
        <v>-13.5731439549909</v>
      </c>
      <c r="Q17" s="7" t="n">
        <f aca="false">'Long Term Deals'!AU17</f>
        <v>259366.5</v>
      </c>
      <c r="R17" s="7" t="n">
        <f aca="false">'Long Term Deals'!AV17</f>
        <v>12347.8333333333</v>
      </c>
      <c r="S17" s="68" t="n">
        <f aca="false">'Long Term Deals'!AW17</f>
        <v>0.145</v>
      </c>
      <c r="T17" s="68" t="n">
        <f aca="false">'Long Term Deals'!AX17</f>
        <v>0.05</v>
      </c>
      <c r="U17" s="7" t="n">
        <f aca="false">'Long Term Deals'!AY17</f>
        <v>9243901.93400576</v>
      </c>
      <c r="V17" s="7" t="n">
        <f aca="false">'Long Term Deals'!AZ17</f>
        <v>8204345.17913545</v>
      </c>
      <c r="W17" s="5" t="n">
        <f aca="false">U17-V17</f>
        <v>1039556.75487031</v>
      </c>
      <c r="X17" s="5" t="n">
        <f aca="false">'Long Term Deals'!CA17</f>
        <v>46315.356113627</v>
      </c>
      <c r="Y17" s="71" t="n">
        <f aca="false">[4]Sheet1!$AL58</f>
        <v>739969.941691471</v>
      </c>
      <c r="Z17" s="7" t="n">
        <f aca="false">[2]Sheet1!$O26</f>
        <v>478881.657951805</v>
      </c>
      <c r="AA17" s="7" t="n">
        <f aca="false">'[3]Long Term Deals'!$Z16</f>
        <v>134194.815860567</v>
      </c>
      <c r="AB17" s="70" t="n">
        <f aca="false">-Z17+AA17+Y17+W17-X17</f>
        <v>1388524.49835692</v>
      </c>
      <c r="AC17" s="70" t="n">
        <f aca="false">AB17-Y17</f>
        <v>648554.556665449</v>
      </c>
      <c r="AD17" s="70" t="n">
        <f aca="false">AC17+Z17-AA17+X17</f>
        <v>1039556.75487031</v>
      </c>
      <c r="AE17" s="13" t="n">
        <f aca="false">(W17-Z17+AA17)/(B17+C17+D17)/'Prices&amp;Fuel'!H17</f>
        <v>0.170489212834377</v>
      </c>
      <c r="AF17" s="1" t="n">
        <v>300000</v>
      </c>
      <c r="AG17" s="7" t="n">
        <f aca="false">((((I17*'Prices&amp;Fuel'!B17+'Prices&amp;Fuel'!C17*FPL!J17+FPL!K17*'Prices&amp;Fuel'!D17))+(L17*'Prices&amp;Fuel'!B17+'Prices&amp;Fuel'!C17*FPL!M17))*'Prices&amp;Fuel'!H17)+(I17+J17+K17)*'Prices&amp;Fuel'!H17*FPL!T17+Q17/2</f>
        <v>6054421.35</v>
      </c>
      <c r="AH17" s="7" t="n">
        <f aca="false">(N17*'Prices&amp;Fuel'!B17+'Prices&amp;Fuel'!C17*O17+P17*'Prices&amp;Fuel'!D17)*'Prices&amp;Fuel'!H17+(N17+O17+P17)*'Prices&amp;Fuel'!H17*FPL!T17+Q17/2</f>
        <v>1433432.74913545</v>
      </c>
      <c r="AI17" s="7" t="n">
        <f aca="false">R17*'Prices&amp;Fuel'!H17*'Prices&amp;Fuel'!Q17</f>
        <v>716491.08</v>
      </c>
      <c r="AJ17" s="55" t="n">
        <f aca="false">SUM(AG17:AI17)-'Long Term Deals'!AZ17</f>
        <v>0</v>
      </c>
    </row>
    <row r="18" customFormat="false" ht="11.25" hidden="false" customHeight="false" outlineLevel="0" collapsed="false">
      <c r="A18" s="6" t="n">
        <f aca="false">+A17+365/12</f>
        <v>36144.4166666667</v>
      </c>
      <c r="B18" s="7" t="n">
        <f aca="false">'Long Term Deals'!AF18</f>
        <v>121864.965006175</v>
      </c>
      <c r="C18" s="7" t="n">
        <f aca="false">'Long Term Deals'!AG18</f>
        <v>109711.81556196</v>
      </c>
      <c r="D18" s="7" t="n">
        <f aca="false">'Long Term Deals'!AH18</f>
        <v>77192.2601893783</v>
      </c>
      <c r="E18" s="7" t="n">
        <f aca="false">'Long Term Deals'!AI18</f>
        <v>0</v>
      </c>
      <c r="F18" s="7" t="n">
        <f aca="false">'Long Term Deals'!AJ18</f>
        <v>0</v>
      </c>
      <c r="G18" s="7" t="n">
        <f aca="false">'Long Term Deals'!AK18</f>
        <v>0</v>
      </c>
      <c r="H18" s="7" t="n">
        <f aca="false">'Long Term Deals'!AL18</f>
        <v>0</v>
      </c>
      <c r="I18" s="7" t="n">
        <f aca="false">'Long Term Deals'!AM18</f>
        <v>20932</v>
      </c>
      <c r="J18" s="7" t="n">
        <f aca="false">'Long Term Deals'!AN18</f>
        <v>54747</v>
      </c>
      <c r="K18" s="7" t="n">
        <f aca="false">'Long Term Deals'!AO18</f>
        <v>32993</v>
      </c>
      <c r="L18" s="7" t="n">
        <f aca="false">'Long Term Deals'!AP18</f>
        <v>80000</v>
      </c>
      <c r="M18" s="7" t="n">
        <f aca="false">'Long Term Deals'!AQ18</f>
        <v>217</v>
      </c>
      <c r="N18" s="7" t="n">
        <f aca="false">'Long Term Deals'!AR18</f>
        <v>20932</v>
      </c>
      <c r="O18" s="7" t="n">
        <f aca="false">'Long Term Deals'!AS18</f>
        <v>54747</v>
      </c>
      <c r="P18" s="7" t="n">
        <f aca="false">'Long Term Deals'!AT18</f>
        <v>32993.2601893783</v>
      </c>
      <c r="Q18" s="7" t="n">
        <f aca="false">'Long Term Deals'!AU18</f>
        <v>0</v>
      </c>
      <c r="R18" s="7" t="n">
        <f aca="false">'Long Term Deals'!AV18</f>
        <v>11206</v>
      </c>
      <c r="S18" s="68" t="n">
        <f aca="false">'Long Term Deals'!AW18</f>
        <v>0.145</v>
      </c>
      <c r="T18" s="68" t="n">
        <f aca="false">'Long Term Deals'!AX18</f>
        <v>0.05</v>
      </c>
      <c r="U18" s="7" t="n">
        <f aca="false">'Long Term Deals'!AY18</f>
        <v>21491327.5010292</v>
      </c>
      <c r="V18" s="7" t="n">
        <f aca="false">'Long Term Deals'!AZ18</f>
        <v>20316243.9996459</v>
      </c>
      <c r="W18" s="5" t="n">
        <f aca="false">U18-V18</f>
        <v>1175083.50138329</v>
      </c>
      <c r="X18" s="5" t="n">
        <f aca="false">'Long Term Deals'!CA18</f>
        <v>47859.2013174146</v>
      </c>
      <c r="Y18" s="71" t="n">
        <f aca="false">[4]Sheet1!$AL59</f>
        <v>764635.60641452</v>
      </c>
      <c r="Z18" s="7" t="n">
        <f aca="false">[2]Sheet1!$O27</f>
        <v>494844.379883532</v>
      </c>
      <c r="AA18" s="7" t="n">
        <f aca="false">'[3]Long Term Deals'!$Z17</f>
        <v>138667.976389252</v>
      </c>
      <c r="AB18" s="70" t="n">
        <f aca="false">-Z18+AA18+Y18+W18-X18</f>
        <v>1535683.50298611</v>
      </c>
      <c r="AC18" s="70" t="n">
        <f aca="false">AB18-Y18</f>
        <v>771047.896571592</v>
      </c>
      <c r="AD18" s="70" t="n">
        <f aca="false">AC18+Z18-AA18+X18</f>
        <v>1175083.50138329</v>
      </c>
      <c r="AE18" s="13" t="n">
        <f aca="false">(W18-Z18+AA18)/(B18+C18+D18)/'Prices&amp;Fuel'!H18</f>
        <v>0.0855537780977375</v>
      </c>
      <c r="AF18" s="1" t="n">
        <v>300000</v>
      </c>
      <c r="AG18" s="7" t="n">
        <f aca="false">((((I18*'Prices&amp;Fuel'!B18+'Prices&amp;Fuel'!C18*FPL!J18+FPL!K18*'Prices&amp;Fuel'!D18))+(L18*'Prices&amp;Fuel'!B18+'Prices&amp;Fuel'!C18*FPL!M18))*'Prices&amp;Fuel'!H18)+(I18+J18+K18)*'Prices&amp;Fuel'!H18*FPL!T18+Q18/2</f>
        <v>12374642.93</v>
      </c>
      <c r="AH18" s="7" t="n">
        <f aca="false">(N18*'Prices&amp;Fuel'!B18+'Prices&amp;Fuel'!C18*O18+P18*'Prices&amp;Fuel'!D18)*'Prices&amp;Fuel'!H18+(N18+O18+P18)*'Prices&amp;Fuel'!H18*FPL!T18+Q18/2</f>
        <v>7226798.78964595</v>
      </c>
      <c r="AI18" s="7" t="n">
        <f aca="false">R18*'Prices&amp;Fuel'!H18*'Prices&amp;Fuel'!Q18</f>
        <v>714802.28</v>
      </c>
      <c r="AJ18" s="55" t="n">
        <f aca="false">SUM(AG18:AI18)-'Long Term Deals'!AZ18</f>
        <v>0</v>
      </c>
    </row>
    <row r="19" customFormat="false" ht="11.25" hidden="false" customHeight="false" outlineLevel="0" collapsed="false">
      <c r="A19" s="6" t="n">
        <f aca="false">+A18+365/12</f>
        <v>36174.8333333333</v>
      </c>
      <c r="B19" s="7" t="n">
        <f aca="false">'Long Term Deals'!AF19</f>
        <v>121440</v>
      </c>
      <c r="C19" s="7" t="n">
        <f aca="false">'Long Term Deals'!AG19</f>
        <v>109329.230769231</v>
      </c>
      <c r="D19" s="7" t="n">
        <f aca="false">'Long Term Deals'!AH19</f>
        <v>76923.0769230769</v>
      </c>
      <c r="E19" s="7" t="n">
        <f aca="false">'Long Term Deals'!AI19</f>
        <v>0</v>
      </c>
      <c r="F19" s="7" t="n">
        <f aca="false">'Long Term Deals'!AJ19</f>
        <v>0</v>
      </c>
      <c r="G19" s="7" t="n">
        <f aca="false">'Long Term Deals'!AK19</f>
        <v>0</v>
      </c>
      <c r="H19" s="7" t="n">
        <f aca="false">'Long Term Deals'!AL19</f>
        <v>0</v>
      </c>
      <c r="I19" s="7" t="n">
        <f aca="false">'Long Term Deals'!AM19</f>
        <v>20720</v>
      </c>
      <c r="J19" s="7" t="n">
        <f aca="false">'Long Term Deals'!AN19</f>
        <v>54556</v>
      </c>
      <c r="K19" s="7" t="n">
        <f aca="false">'Long Term Deals'!AO19</f>
        <v>32623</v>
      </c>
      <c r="L19" s="7" t="n">
        <f aca="false">'Long Term Deals'!AP19</f>
        <v>80000</v>
      </c>
      <c r="M19" s="7" t="n">
        <f aca="false">'Long Term Deals'!AQ19</f>
        <v>217</v>
      </c>
      <c r="N19" s="7" t="n">
        <f aca="false">'Long Term Deals'!AR19</f>
        <v>20720</v>
      </c>
      <c r="O19" s="7" t="n">
        <f aca="false">'Long Term Deals'!AS19</f>
        <v>54556</v>
      </c>
      <c r="P19" s="7" t="n">
        <f aca="false">'Long Term Deals'!AT19</f>
        <v>32622.141439206</v>
      </c>
      <c r="Q19" s="7" t="n">
        <f aca="false">'Long Term Deals'!AU19</f>
        <v>0</v>
      </c>
      <c r="R19" s="7" t="n">
        <f aca="false">'Long Term Deals'!AV19</f>
        <v>11677.935483871</v>
      </c>
      <c r="S19" s="68" t="n">
        <f aca="false">'Long Term Deals'!AW19</f>
        <v>0.14</v>
      </c>
      <c r="T19" s="68" t="n">
        <f aca="false">'Long Term Deals'!AX19</f>
        <v>0.05</v>
      </c>
      <c r="U19" s="7" t="n">
        <f aca="false">'Long Term Deals'!AY19</f>
        <v>18125614.1538462</v>
      </c>
      <c r="V19" s="7" t="n">
        <f aca="false">'Long Term Deals'!AZ19</f>
        <v>17006154.3346154</v>
      </c>
      <c r="W19" s="5" t="n">
        <f aca="false">U19-V19</f>
        <v>1119459.81923077</v>
      </c>
      <c r="X19" s="5" t="n">
        <f aca="false">'Long Term Deals'!CA19</f>
        <v>47692.3076923077</v>
      </c>
      <c r="Y19" s="71" t="n">
        <f aca="false">[4]Sheet1!$AL60</f>
        <v>764635.60641452</v>
      </c>
      <c r="Z19" s="7" t="n">
        <f aca="false">[2]Sheet1!$O29</f>
        <v>446881.51242608</v>
      </c>
      <c r="AA19" s="7" t="n">
        <f aca="false">'[3]Long Term Deals'!$Z18</f>
        <v>138667.976389252</v>
      </c>
      <c r="AB19" s="70" t="n">
        <f aca="false">-Z19+AA19+Y19+W19-X19</f>
        <v>1528189.58191615</v>
      </c>
      <c r="AC19" s="70" t="n">
        <f aca="false">AB19-Y19</f>
        <v>763553.975501634</v>
      </c>
      <c r="AD19" s="70" t="n">
        <f aca="false">AC19+Z19-AA19+X19</f>
        <v>1119459.81923077</v>
      </c>
      <c r="AE19" s="13" t="n">
        <f aca="false">(W19-Z19+AA19)/(B19+C19+D19)/'Prices&amp;Fuel'!H19</f>
        <v>0.0850500135606552</v>
      </c>
      <c r="AF19" s="1" t="n">
        <v>300000</v>
      </c>
      <c r="AG19" s="7" t="n">
        <f aca="false">((((I19*'Prices&amp;Fuel'!B19+'Prices&amp;Fuel'!C19*FPL!J19+FPL!K19*'Prices&amp;Fuel'!D19))+(L19*'Prices&amp;Fuel'!B19+'Prices&amp;Fuel'!C19*FPL!M19))*'Prices&amp;Fuel'!H19)+(I19+J19+K19)*'Prices&amp;Fuel'!H19*FPL!T19+Q19/2</f>
        <v>10340802.68</v>
      </c>
      <c r="AH19" s="7" t="n">
        <f aca="false">(N19*'Prices&amp;Fuel'!B19+'Prices&amp;Fuel'!C19*O19+P19*'Prices&amp;Fuel'!D19)*'Prices&amp;Fuel'!H19+(N19+O19+P19)*'Prices&amp;Fuel'!H19*FPL!T19+Q19/2</f>
        <v>6038381.24461538</v>
      </c>
      <c r="AI19" s="7" t="n">
        <f aca="false">R19*'Prices&amp;Fuel'!H19*'Prices&amp;Fuel'!Q19</f>
        <v>626970.41</v>
      </c>
      <c r="AJ19" s="55" t="n">
        <f aca="false">SUM(AG19:AI19)-'Long Term Deals'!AZ19</f>
        <v>0</v>
      </c>
    </row>
    <row r="20" customFormat="false" ht="11.25" hidden="false" customHeight="false" outlineLevel="0" collapsed="false">
      <c r="A20" s="6" t="n">
        <f aca="false">+A19+365/12</f>
        <v>36205.25</v>
      </c>
      <c r="B20" s="7" t="n">
        <f aca="false">'Long Term Deals'!AF20</f>
        <v>121440</v>
      </c>
      <c r="C20" s="7" t="n">
        <f aca="false">'Long Term Deals'!AG20</f>
        <v>109329.230769231</v>
      </c>
      <c r="D20" s="7" t="n">
        <f aca="false">'Long Term Deals'!AH20</f>
        <v>76923.0769230769</v>
      </c>
      <c r="E20" s="7" t="n">
        <f aca="false">'Long Term Deals'!AI20</f>
        <v>0</v>
      </c>
      <c r="F20" s="7" t="n">
        <f aca="false">'Long Term Deals'!AJ20</f>
        <v>0</v>
      </c>
      <c r="G20" s="7" t="n">
        <f aca="false">'Long Term Deals'!AK20</f>
        <v>0</v>
      </c>
      <c r="H20" s="7" t="n">
        <f aca="false">'Long Term Deals'!AL20</f>
        <v>0</v>
      </c>
      <c r="I20" s="7" t="n">
        <f aca="false">'Long Term Deals'!AM20</f>
        <v>20720</v>
      </c>
      <c r="J20" s="7" t="n">
        <f aca="false">'Long Term Deals'!AN20</f>
        <v>54556</v>
      </c>
      <c r="K20" s="7" t="n">
        <f aca="false">'Long Term Deals'!AO20</f>
        <v>31922</v>
      </c>
      <c r="L20" s="7" t="n">
        <f aca="false">'Long Term Deals'!AP20</f>
        <v>80000</v>
      </c>
      <c r="M20" s="7" t="n">
        <f aca="false">'Long Term Deals'!AQ20</f>
        <v>217</v>
      </c>
      <c r="N20" s="7" t="n">
        <f aca="false">'Long Term Deals'!AR20</f>
        <v>20720</v>
      </c>
      <c r="O20" s="7" t="n">
        <f aca="false">'Long Term Deals'!AS20</f>
        <v>54556</v>
      </c>
      <c r="P20" s="7" t="n">
        <f aca="false">'Long Term Deals'!AT20</f>
        <v>31921.1483516484</v>
      </c>
      <c r="Q20" s="7" t="n">
        <f aca="false">'Long Term Deals'!AU20</f>
        <v>0</v>
      </c>
      <c r="R20" s="7" t="n">
        <f aca="false">'Long Term Deals'!AV20</f>
        <v>13079.9285714286</v>
      </c>
      <c r="S20" s="68" t="n">
        <f aca="false">'Long Term Deals'!AW20</f>
        <v>0.14</v>
      </c>
      <c r="T20" s="68" t="n">
        <f aca="false">'Long Term Deals'!AX20</f>
        <v>0.05</v>
      </c>
      <c r="U20" s="7" t="n">
        <f aca="false">'Long Term Deals'!AY20</f>
        <v>16353375.0153846</v>
      </c>
      <c r="V20" s="7" t="n">
        <f aca="false">'Long Term Deals'!AZ20</f>
        <v>15389678.3053846</v>
      </c>
      <c r="W20" s="5" t="n">
        <f aca="false">U20-V20</f>
        <v>963696.710000001</v>
      </c>
      <c r="X20" s="5" t="n">
        <f aca="false">'Long Term Deals'!CA20</f>
        <v>43076.9230769231</v>
      </c>
      <c r="Y20" s="71" t="n">
        <f aca="false">[4]Sheet1!$AL61</f>
        <v>690638.612245373</v>
      </c>
      <c r="Z20" s="7" t="n">
        <f aca="false">[2]Sheet1!$O30</f>
        <v>403634.914449362</v>
      </c>
      <c r="AA20" s="7" t="n">
        <f aca="false">'[3]Long Term Deals'!$Z19</f>
        <v>125248.494803196</v>
      </c>
      <c r="AB20" s="70" t="n">
        <f aca="false">-Z20+AA20+Y20+W20-X20</f>
        <v>1332871.97952228</v>
      </c>
      <c r="AC20" s="70" t="n">
        <f aca="false">AB20-Y20</f>
        <v>642233.367276911</v>
      </c>
      <c r="AD20" s="70" t="n">
        <f aca="false">AC20+Z20-AA20+X20</f>
        <v>963696.710000001</v>
      </c>
      <c r="AE20" s="13" t="n">
        <f aca="false">(W20-Z20+AA20)/(B20+C20+D20)/'Prices&amp;Fuel'!H20</f>
        <v>0.0795449444160701</v>
      </c>
      <c r="AF20" s="1" t="n">
        <v>300000</v>
      </c>
      <c r="AG20" s="7" t="n">
        <f aca="false">((((I20*'Prices&amp;Fuel'!B20+'Prices&amp;Fuel'!C20*FPL!J20+FPL!K20*'Prices&amp;Fuel'!D20))+(L20*'Prices&amp;Fuel'!B20+'Prices&amp;Fuel'!C20*FPL!M20))*'Prices&amp;Fuel'!H20)+(I20+J20+K20)*'Prices&amp;Fuel'!H20*FPL!T20+Q20/2</f>
        <v>9326945.32</v>
      </c>
      <c r="AH20" s="7" t="n">
        <f aca="false">(N20*'Prices&amp;Fuel'!B20+'Prices&amp;Fuel'!C20*O20+P20*'Prices&amp;Fuel'!D20)*'Prices&amp;Fuel'!H20+(N20+O20+P20)*'Prices&amp;Fuel'!H20*FPL!T20+Q20/2</f>
        <v>5418548.11538461</v>
      </c>
      <c r="AI20" s="7" t="n">
        <f aca="false">R20*'Prices&amp;Fuel'!H20*'Prices&amp;Fuel'!Q20</f>
        <v>644184.87</v>
      </c>
      <c r="AJ20" s="55" t="n">
        <f aca="false">SUM(AG20:AI20)-'Long Term Deals'!AZ20</f>
        <v>0</v>
      </c>
    </row>
    <row r="21" customFormat="false" ht="11.25" hidden="false" customHeight="false" outlineLevel="0" collapsed="false">
      <c r="A21" s="6" t="n">
        <f aca="false">+A20+365/12</f>
        <v>36235.6666666667</v>
      </c>
      <c r="B21" s="7" t="n">
        <f aca="false">'Long Term Deals'!AF21</f>
        <v>121440</v>
      </c>
      <c r="C21" s="7" t="n">
        <f aca="false">'Long Term Deals'!AG21</f>
        <v>109329.230769231</v>
      </c>
      <c r="D21" s="7" t="n">
        <f aca="false">'Long Term Deals'!AH21</f>
        <v>76923.0769230769</v>
      </c>
      <c r="E21" s="7" t="n">
        <f aca="false">'Long Term Deals'!AI21</f>
        <v>0</v>
      </c>
      <c r="F21" s="7" t="n">
        <f aca="false">'Long Term Deals'!AJ21</f>
        <v>0</v>
      </c>
      <c r="G21" s="7" t="n">
        <f aca="false">'Long Term Deals'!AK21</f>
        <v>0</v>
      </c>
      <c r="H21" s="7" t="n">
        <f aca="false">'Long Term Deals'!AL21</f>
        <v>0</v>
      </c>
      <c r="I21" s="7" t="n">
        <f aca="false">'Long Term Deals'!AM21</f>
        <v>20720</v>
      </c>
      <c r="J21" s="7" t="n">
        <f aca="false">'Long Term Deals'!AN21</f>
        <v>54556</v>
      </c>
      <c r="K21" s="7" t="n">
        <f aca="false">'Long Term Deals'!AO21</f>
        <v>33055</v>
      </c>
      <c r="L21" s="7" t="n">
        <f aca="false">'Long Term Deals'!AP21</f>
        <v>80000</v>
      </c>
      <c r="M21" s="7" t="n">
        <f aca="false">'Long Term Deals'!AQ21</f>
        <v>217</v>
      </c>
      <c r="N21" s="7" t="n">
        <f aca="false">'Long Term Deals'!AR21</f>
        <v>20720</v>
      </c>
      <c r="O21" s="7" t="n">
        <f aca="false">'Long Term Deals'!AS21</f>
        <v>54556</v>
      </c>
      <c r="P21" s="7" t="n">
        <f aca="false">'Long Term Deals'!AT21</f>
        <v>33055.3995037221</v>
      </c>
      <c r="Q21" s="7" t="n">
        <f aca="false">'Long Term Deals'!AU21</f>
        <v>0</v>
      </c>
      <c r="R21" s="7" t="n">
        <f aca="false">'Long Term Deals'!AV21</f>
        <v>10812.6774193548</v>
      </c>
      <c r="S21" s="68" t="n">
        <f aca="false">'Long Term Deals'!AW21</f>
        <v>0.14</v>
      </c>
      <c r="T21" s="68" t="n">
        <f aca="false">'Long Term Deals'!AX21</f>
        <v>0.05</v>
      </c>
      <c r="U21" s="7" t="n">
        <f aca="false">'Long Term Deals'!AY21</f>
        <v>16732491.3230769</v>
      </c>
      <c r="V21" s="7" t="n">
        <f aca="false">'Long Term Deals'!AZ21</f>
        <v>15660460.7046154</v>
      </c>
      <c r="W21" s="5" t="n">
        <f aca="false">U21-V21</f>
        <v>1072030.61846154</v>
      </c>
      <c r="X21" s="5" t="n">
        <f aca="false">'Long Term Deals'!CA21</f>
        <v>47692.3076923077</v>
      </c>
      <c r="Y21" s="71" t="n">
        <f aca="false">[4]Sheet1!$AL62</f>
        <v>764635.60641452</v>
      </c>
      <c r="Z21" s="7" t="n">
        <f aca="false">[2]Sheet1!$O31</f>
        <v>446881.51242608</v>
      </c>
      <c r="AA21" s="7" t="n">
        <f aca="false">'[3]Long Term Deals'!$Z20</f>
        <v>138667.976389252</v>
      </c>
      <c r="AB21" s="70" t="n">
        <f aca="false">-Z21+AA21+Y21+W21-X21</f>
        <v>1480760.38114692</v>
      </c>
      <c r="AC21" s="70" t="n">
        <f aca="false">AB21-Y21</f>
        <v>716124.774732403</v>
      </c>
      <c r="AD21" s="70" t="n">
        <f aca="false">AC21+Z21-AA21+X21</f>
        <v>1072030.61846154</v>
      </c>
      <c r="AE21" s="13" t="n">
        <f aca="false">(W21-Z21+AA21)/(B21+C21+D21)/'Prices&amp;Fuel'!H21</f>
        <v>0.0800775973509777</v>
      </c>
      <c r="AF21" s="1" t="n">
        <v>300000</v>
      </c>
      <c r="AG21" s="7" t="n">
        <f aca="false">((((I21*'Prices&amp;Fuel'!B21+'Prices&amp;Fuel'!C21*FPL!J21+FPL!K21*'Prices&amp;Fuel'!D21))+(L21*'Prices&amp;Fuel'!B21+'Prices&amp;Fuel'!C21*FPL!M21))*'Prices&amp;Fuel'!H21)+(I21+J21+K21)*'Prices&amp;Fuel'!H21*FPL!T21+Q21/2</f>
        <v>9539609.54</v>
      </c>
      <c r="AH21" s="7" t="n">
        <f aca="false">(N21*'Prices&amp;Fuel'!B21+'Prices&amp;Fuel'!C21*O21+P21*'Prices&amp;Fuel'!D21)*'Prices&amp;Fuel'!H21+(N21+O21+P21)*'Prices&amp;Fuel'!H21*FPL!T21+Q21/2</f>
        <v>5585464.96461539</v>
      </c>
      <c r="AI21" s="7" t="n">
        <f aca="false">R21*'Prices&amp;Fuel'!H21*'Prices&amp;Fuel'!Q21</f>
        <v>535386.2</v>
      </c>
      <c r="AJ21" s="55" t="n">
        <f aca="false">SUM(AG21:AI21)-'Long Term Deals'!AZ21</f>
        <v>0</v>
      </c>
    </row>
    <row r="22" customFormat="false" ht="11.25" hidden="false" customHeight="false" outlineLevel="0" collapsed="false">
      <c r="A22" s="6" t="n">
        <f aca="false">+A21+365/12</f>
        <v>36266.0833333333</v>
      </c>
      <c r="B22" s="7" t="n">
        <f aca="false">'Long Term Deals'!AF22</f>
        <v>130649.230769231</v>
      </c>
      <c r="C22" s="7" t="n">
        <f aca="false">'Long Term Deals'!AG22</f>
        <v>100120</v>
      </c>
      <c r="D22" s="7" t="n">
        <f aca="false">'Long Term Deals'!AH22</f>
        <v>76923.0769230769</v>
      </c>
      <c r="E22" s="7" t="n">
        <f aca="false">'Long Term Deals'!AI22</f>
        <v>0</v>
      </c>
      <c r="F22" s="7" t="n">
        <f aca="false">'Long Term Deals'!AJ22</f>
        <v>0</v>
      </c>
      <c r="G22" s="7" t="n">
        <f aca="false">'Long Term Deals'!AK22</f>
        <v>0</v>
      </c>
      <c r="H22" s="7" t="n">
        <f aca="false">'Long Term Deals'!AL22</f>
        <v>0</v>
      </c>
      <c r="I22" s="7" t="n">
        <f aca="false">'Long Term Deals'!AM22</f>
        <v>25325</v>
      </c>
      <c r="J22" s="7" t="n">
        <f aca="false">'Long Term Deals'!AN22</f>
        <v>49952</v>
      </c>
      <c r="K22" s="7" t="n">
        <f aca="false">'Long Term Deals'!AO22</f>
        <v>33031</v>
      </c>
      <c r="L22" s="7" t="n">
        <f aca="false">'Long Term Deals'!AP22</f>
        <v>80000</v>
      </c>
      <c r="M22" s="7" t="n">
        <f aca="false">'Long Term Deals'!AQ22</f>
        <v>217</v>
      </c>
      <c r="N22" s="7" t="n">
        <f aca="false">'Long Term Deals'!AR22</f>
        <v>25325</v>
      </c>
      <c r="O22" s="7" t="n">
        <f aca="false">'Long Term Deals'!AS22</f>
        <v>49952</v>
      </c>
      <c r="P22" s="7" t="n">
        <f aca="false">'Long Term Deals'!AT22</f>
        <v>33031.9102564103</v>
      </c>
      <c r="Q22" s="7" t="n">
        <f aca="false">'Long Term Deals'!AU22</f>
        <v>0</v>
      </c>
      <c r="R22" s="7" t="n">
        <f aca="false">'Long Term Deals'!AV22</f>
        <v>10860.1666666667</v>
      </c>
      <c r="S22" s="68" t="n">
        <f aca="false">'Long Term Deals'!AW22</f>
        <v>0.14</v>
      </c>
      <c r="T22" s="68" t="n">
        <f aca="false">'Long Term Deals'!AX22</f>
        <v>0.05</v>
      </c>
      <c r="U22" s="7" t="n">
        <f aca="false">'Long Term Deals'!AY22</f>
        <v>18489374.7692308</v>
      </c>
      <c r="V22" s="7" t="n">
        <f aca="false">'Long Term Deals'!AZ22</f>
        <v>17446985.5846154</v>
      </c>
      <c r="W22" s="5" t="n">
        <f aca="false">U22-V22</f>
        <v>1042389.18461538</v>
      </c>
      <c r="X22" s="5" t="n">
        <f aca="false">'Long Term Deals'!CA22</f>
        <v>46153.8461538462</v>
      </c>
      <c r="Y22" s="71" t="n">
        <f aca="false">[4]Sheet1!$AL63</f>
        <v>739969.941691471</v>
      </c>
      <c r="Z22" s="7" t="n">
        <f aca="false">[2]Sheet1!$O32</f>
        <v>432465.979767174</v>
      </c>
      <c r="AA22" s="7" t="n">
        <f aca="false">'[3]Long Term Deals'!$Z21</f>
        <v>134194.815860567</v>
      </c>
      <c r="AB22" s="70" t="n">
        <f aca="false">-Z22+AA22+Y22+W22-X22</f>
        <v>1437934.1162464</v>
      </c>
      <c r="AC22" s="70" t="n">
        <f aca="false">AB22-Y22</f>
        <v>697964.174554932</v>
      </c>
      <c r="AD22" s="70" t="n">
        <f aca="false">AC22+Z22-AA22+X22</f>
        <v>1042389.18461538</v>
      </c>
      <c r="AE22" s="13" t="n">
        <f aca="false">(W22-Z22+AA22)/(B22+C22+D22)/'Prices&amp;Fuel'!H22</f>
        <v>0.0806127855767843</v>
      </c>
      <c r="AF22" s="1" t="n">
        <v>300000</v>
      </c>
      <c r="AG22" s="7" t="n">
        <f aca="false">((((I22*'Prices&amp;Fuel'!B22+'Prices&amp;Fuel'!C22*FPL!J22+FPL!K22*'Prices&amp;Fuel'!D22))+(L22*'Prices&amp;Fuel'!B22+'Prices&amp;Fuel'!C22*FPL!M22))*'Prices&amp;Fuel'!H22)+(I22+J22+K22)*'Prices&amp;Fuel'!H22*FPL!T22+Q22/2</f>
        <v>10639154.1</v>
      </c>
      <c r="AH22" s="7" t="n">
        <f aca="false">(N22*'Prices&amp;Fuel'!B22+'Prices&amp;Fuel'!C22*O22+P22*'Prices&amp;Fuel'!D22)*'Prices&amp;Fuel'!H22+(N22+O22+P22)*'Prices&amp;Fuel'!H22*FPL!T22+Q22/2</f>
        <v>6210967.18461539</v>
      </c>
      <c r="AI22" s="7" t="n">
        <f aca="false">R22*'Prices&amp;Fuel'!H22*'Prices&amp;Fuel'!Q22</f>
        <v>596864.3</v>
      </c>
      <c r="AJ22" s="55" t="n">
        <f aca="false">SUM(AG22:AI22)-'Long Term Deals'!AZ22</f>
        <v>0</v>
      </c>
    </row>
    <row r="23" customFormat="false" ht="11.25" hidden="false" customHeight="false" outlineLevel="0" collapsed="false">
      <c r="A23" s="6" t="n">
        <f aca="false">+A22+365/12</f>
        <v>36296.5</v>
      </c>
      <c r="B23" s="7" t="n">
        <f aca="false">'Long Term Deals'!AF23</f>
        <v>185871.134020619</v>
      </c>
      <c r="C23" s="7" t="n">
        <f aca="false">'Long Term Deals'!AG23</f>
        <v>180108.24742268</v>
      </c>
      <c r="D23" s="7" t="n">
        <f aca="false">'Long Term Deals'!AH23</f>
        <v>77319.587628866</v>
      </c>
      <c r="E23" s="7" t="n">
        <f aca="false">'Long Term Deals'!AI23</f>
        <v>0</v>
      </c>
      <c r="F23" s="7" t="n">
        <f aca="false">'Long Term Deals'!AJ23</f>
        <v>0</v>
      </c>
      <c r="G23" s="7" t="n">
        <f aca="false">'Long Term Deals'!AK23</f>
        <v>0</v>
      </c>
      <c r="H23" s="7" t="n">
        <f aca="false">'Long Term Deals'!AL23</f>
        <v>0</v>
      </c>
      <c r="I23" s="7" t="n">
        <f aca="false">'Long Term Deals'!AM23</f>
        <v>62807</v>
      </c>
      <c r="J23" s="7" t="n">
        <f aca="false">'Long Term Deals'!AN23</f>
        <v>89946</v>
      </c>
      <c r="K23" s="7" t="n">
        <f aca="false">'Long Term Deals'!AO23</f>
        <v>23042</v>
      </c>
      <c r="L23" s="7" t="n">
        <f aca="false">'Long Term Deals'!AP23</f>
        <v>80000</v>
      </c>
      <c r="M23" s="7" t="n">
        <f aca="false">'Long Term Deals'!AQ23</f>
        <v>217</v>
      </c>
      <c r="N23" s="7" t="n">
        <f aca="false">'Long Term Deals'!AR23</f>
        <v>43064</v>
      </c>
      <c r="O23" s="7" t="n">
        <f aca="false">'Long Term Deals'!AS23</f>
        <v>89946</v>
      </c>
      <c r="P23" s="7" t="n">
        <f aca="false">'Long Term Deals'!AT23</f>
        <v>42786.1037578982</v>
      </c>
      <c r="Q23" s="7" t="n">
        <f aca="false">'Long Term Deals'!AU23</f>
        <v>0</v>
      </c>
      <c r="R23" s="7" t="n">
        <f aca="false">'Long Term Deals'!AV23</f>
        <v>11491.4838709677</v>
      </c>
      <c r="S23" s="68" t="n">
        <f aca="false">'Long Term Deals'!AW23</f>
        <v>0.14</v>
      </c>
      <c r="T23" s="68" t="n">
        <f aca="false">'Long Term Deals'!AX23</f>
        <v>0.05</v>
      </c>
      <c r="U23" s="7" t="n">
        <f aca="false">'Long Term Deals'!AY23</f>
        <v>33930147.1649485</v>
      </c>
      <c r="V23" s="7" t="n">
        <f aca="false">'Long Term Deals'!AZ23</f>
        <v>32430351.5787629</v>
      </c>
      <c r="W23" s="5" t="n">
        <f aca="false">U23-V23</f>
        <v>1499795.58618557</v>
      </c>
      <c r="X23" s="5" t="n">
        <f aca="false">'Long Term Deals'!CA23</f>
        <v>68711.3402061856</v>
      </c>
      <c r="Y23" s="71" t="n">
        <f aca="false">[4]Sheet1!$AL64</f>
        <v>764635.60641452</v>
      </c>
      <c r="Z23" s="7" t="n">
        <f aca="false">[2]Sheet1!$O33</f>
        <v>640530.167810714</v>
      </c>
      <c r="AA23" s="7" t="n">
        <f aca="false">'[3]Long Term Deals'!$Z22</f>
        <v>252636.517824595</v>
      </c>
      <c r="AB23" s="70" t="n">
        <f aca="false">-Z23+AA23+Y23+W23-X23</f>
        <v>1807826.20240778</v>
      </c>
      <c r="AC23" s="70" t="n">
        <f aca="false">AB23-Y23</f>
        <v>1043190.59599326</v>
      </c>
      <c r="AD23" s="70" t="n">
        <f aca="false">AC23+Z23-AA23+X23</f>
        <v>1499795.58618557</v>
      </c>
      <c r="AE23" s="13" t="n">
        <f aca="false">(W23-Z23+AA23)/(B23+C23+D23)/'Prices&amp;Fuel'!H23</f>
        <v>0.0809110936319178</v>
      </c>
      <c r="AF23" s="1" t="n">
        <v>430000</v>
      </c>
      <c r="AG23" s="7" t="n">
        <f aca="false">((((I23*'Prices&amp;Fuel'!B23+'Prices&amp;Fuel'!C23*FPL!J23+FPL!K23*'Prices&amp;Fuel'!D23))+(L23*'Prices&amp;Fuel'!B23+'Prices&amp;Fuel'!C23*FPL!M23))*'Prices&amp;Fuel'!H23)+(I23+J23+K23)*'Prices&amp;Fuel'!H23*FPL!T23+Q23/2</f>
        <v>18665890.5</v>
      </c>
      <c r="AH23" s="7" t="n">
        <f aca="false">(N23*'Prices&amp;Fuel'!B23+'Prices&amp;Fuel'!C23*O23+P23*'Prices&amp;Fuel'!D23)*'Prices&amp;Fuel'!H23+(N23+O23+P23)*'Prices&amp;Fuel'!H23*FPL!T23+Q23/2</f>
        <v>12946162.4587629</v>
      </c>
      <c r="AI23" s="7" t="n">
        <f aca="false">R23*'Prices&amp;Fuel'!H23*'Prices&amp;Fuel'!Q23</f>
        <v>818298.62</v>
      </c>
      <c r="AJ23" s="55" t="n">
        <f aca="false">SUM(AG23:AI23)-'Long Term Deals'!AZ23</f>
        <v>0</v>
      </c>
    </row>
    <row r="24" customFormat="false" ht="11.25" hidden="false" customHeight="false" outlineLevel="0" collapsed="false">
      <c r="A24" s="6" t="n">
        <f aca="false">+A23+365/12</f>
        <v>36326.9166666667</v>
      </c>
      <c r="B24" s="7" t="n">
        <f aca="false">'Long Term Deals'!AF24</f>
        <v>185871.134020619</v>
      </c>
      <c r="C24" s="7" t="n">
        <f aca="false">'Long Term Deals'!AG24</f>
        <v>180108.24742268</v>
      </c>
      <c r="D24" s="7" t="n">
        <f aca="false">'Long Term Deals'!AH24</f>
        <v>77319.587628866</v>
      </c>
      <c r="E24" s="7" t="n">
        <f aca="false">'Long Term Deals'!AI24</f>
        <v>0</v>
      </c>
      <c r="F24" s="7" t="n">
        <f aca="false">'Long Term Deals'!AJ24</f>
        <v>0</v>
      </c>
      <c r="G24" s="7" t="n">
        <f aca="false">'Long Term Deals'!AK24</f>
        <v>0</v>
      </c>
      <c r="H24" s="7" t="n">
        <f aca="false">'Long Term Deals'!AL24</f>
        <v>0</v>
      </c>
      <c r="I24" s="7" t="n">
        <f aca="false">'Long Term Deals'!AM24</f>
        <v>62807</v>
      </c>
      <c r="J24" s="7" t="n">
        <f aca="false">'Long Term Deals'!AN24</f>
        <v>89946</v>
      </c>
      <c r="K24" s="7" t="n">
        <f aca="false">'Long Term Deals'!AO24</f>
        <v>22881</v>
      </c>
      <c r="L24" s="7" t="n">
        <f aca="false">'Long Term Deals'!AP24</f>
        <v>80000</v>
      </c>
      <c r="M24" s="7" t="n">
        <f aca="false">'Long Term Deals'!AQ24</f>
        <v>217</v>
      </c>
      <c r="N24" s="7" t="n">
        <f aca="false">'Long Term Deals'!AR24</f>
        <v>43064</v>
      </c>
      <c r="O24" s="7" t="n">
        <f aca="false">'Long Term Deals'!AS24</f>
        <v>89946</v>
      </c>
      <c r="P24" s="7" t="n">
        <f aca="false">'Long Term Deals'!AT24</f>
        <v>42625.4542955327</v>
      </c>
      <c r="Q24" s="7" t="n">
        <f aca="false">'Long Term Deals'!AU24</f>
        <v>0</v>
      </c>
      <c r="R24" s="7" t="n">
        <f aca="false">'Long Term Deals'!AV24</f>
        <v>11813.1333333333</v>
      </c>
      <c r="S24" s="68" t="n">
        <f aca="false">'Long Term Deals'!AW24</f>
        <v>0.14</v>
      </c>
      <c r="T24" s="68" t="n">
        <f aca="false">'Long Term Deals'!AX24</f>
        <v>0.05</v>
      </c>
      <c r="U24" s="7" t="n">
        <f aca="false">'Long Term Deals'!AY24</f>
        <v>31351272.6804124</v>
      </c>
      <c r="V24" s="7" t="n">
        <f aca="false">'Long Term Deals'!AZ24</f>
        <v>29958762.2412371</v>
      </c>
      <c r="W24" s="5" t="n">
        <f aca="false">U24-V24</f>
        <v>1392510.43917526</v>
      </c>
      <c r="X24" s="5" t="n">
        <f aca="false">'Long Term Deals'!CA24</f>
        <v>66494.8453608248</v>
      </c>
      <c r="Y24" s="71" t="n">
        <f aca="false">[4]Sheet1!$AL65</f>
        <v>739969.941691471</v>
      </c>
      <c r="Z24" s="7" t="n">
        <f aca="false">[2]Sheet1!$O34</f>
        <v>619867.904332949</v>
      </c>
      <c r="AA24" s="7" t="n">
        <f aca="false">'[3]Long Term Deals'!$Z23</f>
        <v>244486.952733479</v>
      </c>
      <c r="AB24" s="70" t="n">
        <f aca="false">-Z24+AA24+Y24+W24-X24</f>
        <v>1690604.58390643</v>
      </c>
      <c r="AC24" s="70" t="n">
        <f aca="false">AB24-Y24</f>
        <v>950634.642214964</v>
      </c>
      <c r="AD24" s="70" t="n">
        <f aca="false">AC24+Z24-AA24+X24</f>
        <v>1392510.43917526</v>
      </c>
      <c r="AE24" s="13" t="n">
        <f aca="false">(W24-Z24+AA24)/(B24+C24+D24)/'Prices&amp;Fuel'!H24</f>
        <v>0.0764818296859314</v>
      </c>
      <c r="AF24" s="1" t="n">
        <v>430000</v>
      </c>
      <c r="AG24" s="7" t="n">
        <f aca="false">((((I24*'Prices&amp;Fuel'!B24+'Prices&amp;Fuel'!C24*FPL!J24+FPL!K24*'Prices&amp;Fuel'!D24))+(L24*'Prices&amp;Fuel'!B24+'Prices&amp;Fuel'!C24*FPL!M24))*'Prices&amp;Fuel'!H24)+(I24+J24+K24)*'Prices&amp;Fuel'!H24*FPL!T24+Q24/2</f>
        <v>17237628</v>
      </c>
      <c r="AH24" s="7" t="n">
        <f aca="false">(N24*'Prices&amp;Fuel'!B24+'Prices&amp;Fuel'!C24*O24+P24*'Prices&amp;Fuel'!D24)*'Prices&amp;Fuel'!H24+(N24+O24+P24)*'Prices&amp;Fuel'!H24*FPL!T24+Q24/2</f>
        <v>11949132.2012371</v>
      </c>
      <c r="AI24" s="7" t="n">
        <f aca="false">R24*'Prices&amp;Fuel'!H24*'Prices&amp;Fuel'!Q24</f>
        <v>772002.04</v>
      </c>
      <c r="AJ24" s="55" t="n">
        <f aca="false">SUM(AG24:AI24)-'Long Term Deals'!AZ24</f>
        <v>0</v>
      </c>
    </row>
    <row r="25" customFormat="false" ht="11.25" hidden="false" customHeight="false" outlineLevel="0" collapsed="false">
      <c r="A25" s="6" t="n">
        <f aca="false">+A24+365/12</f>
        <v>36357.3333333333</v>
      </c>
      <c r="B25" s="7" t="n">
        <f aca="false">'Long Term Deals'!AF25</f>
        <v>155670.103092784</v>
      </c>
      <c r="C25" s="7" t="n">
        <f aca="false">'Long Term Deals'!AG25</f>
        <v>0</v>
      </c>
      <c r="D25" s="7" t="n">
        <f aca="false">'Long Term Deals'!AH25</f>
        <v>77319.587628866</v>
      </c>
      <c r="E25" s="7" t="n">
        <f aca="false">'Long Term Deals'!AI25</f>
        <v>0</v>
      </c>
      <c r="F25" s="7" t="n">
        <f aca="false">'Long Term Deals'!AJ25</f>
        <v>0</v>
      </c>
      <c r="G25" s="7" t="n">
        <f aca="false">'Long Term Deals'!AK25</f>
        <v>0</v>
      </c>
      <c r="H25" s="7" t="n">
        <f aca="false">'Long Term Deals'!AL25</f>
        <v>0</v>
      </c>
      <c r="I25" s="7" t="n">
        <f aca="false">'Long Term Deals'!AM25</f>
        <v>37835</v>
      </c>
      <c r="J25" s="7" t="n">
        <f aca="false">'Long Term Deals'!AN25</f>
        <v>0</v>
      </c>
      <c r="K25" s="7" t="n">
        <f aca="false">'Long Term Deals'!AO25</f>
        <v>32615</v>
      </c>
      <c r="L25" s="7" t="n">
        <f aca="false">'Long Term Deals'!AP25</f>
        <v>80000</v>
      </c>
      <c r="M25" s="7" t="n">
        <f aca="false">'Long Term Deals'!AQ25</f>
        <v>0</v>
      </c>
      <c r="N25" s="7" t="n">
        <f aca="false">'Long Term Deals'!AR25</f>
        <v>37835.1030927835</v>
      </c>
      <c r="O25" s="7" t="n">
        <f aca="false">'Long Term Deals'!AS25</f>
        <v>0</v>
      </c>
      <c r="P25" s="7" t="n">
        <f aca="false">'Long Term Deals'!AT25</f>
        <v>32615.4263385434</v>
      </c>
      <c r="Q25" s="7" t="n">
        <f aca="false">'Long Term Deals'!AU25</f>
        <v>0</v>
      </c>
      <c r="R25" s="7" t="n">
        <f aca="false">'Long Term Deals'!AV25</f>
        <v>12089.1612903226</v>
      </c>
      <c r="S25" s="68" t="n">
        <f aca="false">'Long Term Deals'!AW25</f>
        <v>0.135</v>
      </c>
      <c r="T25" s="68" t="n">
        <f aca="false">'Long Term Deals'!AX25</f>
        <v>0.025</v>
      </c>
      <c r="U25" s="7" t="n">
        <f aca="false">'Long Term Deals'!AY25</f>
        <v>17225773.1958763</v>
      </c>
      <c r="V25" s="7" t="n">
        <f aca="false">'Long Term Deals'!AZ25</f>
        <v>16281861.7940206</v>
      </c>
      <c r="W25" s="5" t="n">
        <f aca="false">U25-V25</f>
        <v>943911.401855668</v>
      </c>
      <c r="X25" s="5" t="n">
        <f aca="false">'Long Term Deals'!CA25</f>
        <v>36113.4020618557</v>
      </c>
      <c r="Y25" s="71" t="n">
        <f aca="false">[4]Sheet1!$AL66</f>
        <v>764635.60641452</v>
      </c>
      <c r="Z25" s="7" t="n">
        <f aca="false">[2]Sheet1!$O35</f>
        <v>300518.712543033</v>
      </c>
      <c r="AA25" s="7" t="n">
        <f aca="false">'[3]Long Term Deals'!$Z24</f>
        <v>-44141.0768835924</v>
      </c>
      <c r="AB25" s="70" t="n">
        <f aca="false">-Z25+AA25+Y25+W25-X25</f>
        <v>1327773.81678171</v>
      </c>
      <c r="AC25" s="70" t="n">
        <f aca="false">AB25-Y25</f>
        <v>563138.210367187</v>
      </c>
      <c r="AD25" s="70" t="n">
        <f aca="false">AC25+Z25-AA25+X25</f>
        <v>943911.401855668</v>
      </c>
      <c r="AE25" s="13" t="n">
        <f aca="false">(W25-Z25+AA25)/(B25+C25+D25)/'Prices&amp;Fuel'!H25</f>
        <v>0.0829680365481261</v>
      </c>
      <c r="AF25" s="1" t="n">
        <v>226000</v>
      </c>
      <c r="AG25" s="7" t="n">
        <f aca="false">((((I25*'Prices&amp;Fuel'!B25+'Prices&amp;Fuel'!C25*FPL!J25+FPL!K25*'Prices&amp;Fuel'!D25))+(L25*'Prices&amp;Fuel'!B25+'Prices&amp;Fuel'!C25*FPL!M25))*'Prices&amp;Fuel'!H25)+(I25+J25+K25)*'Prices&amp;Fuel'!H25*FPL!T25+Q25/2</f>
        <v>10501846.75</v>
      </c>
      <c r="AH25" s="7" t="n">
        <f aca="false">(N25*'Prices&amp;Fuel'!B25+'Prices&amp;Fuel'!C25*O25+P25*'Prices&amp;Fuel'!D25)*'Prices&amp;Fuel'!H25+(N25+O25+P25)*'Prices&amp;Fuel'!H25*FPL!T25+Q25/2</f>
        <v>4946683.92402062</v>
      </c>
      <c r="AI25" s="7" t="n">
        <f aca="false">R25*'Prices&amp;Fuel'!H25*'Prices&amp;Fuel'!Q25</f>
        <v>833331.12</v>
      </c>
      <c r="AJ25" s="55" t="n">
        <f aca="false">SUM(AG25:AI25)-'Long Term Deals'!AZ25</f>
        <v>0</v>
      </c>
    </row>
    <row r="26" customFormat="false" ht="11.25" hidden="false" customHeight="false" outlineLevel="0" collapsed="false">
      <c r="A26" s="6" t="n">
        <f aca="false">+A25+365/12</f>
        <v>36387.75</v>
      </c>
      <c r="B26" s="7" t="n">
        <f aca="false">'Long Term Deals'!AF26</f>
        <v>155670.103092784</v>
      </c>
      <c r="C26" s="7" t="n">
        <f aca="false">'Long Term Deals'!AG26</f>
        <v>0</v>
      </c>
      <c r="D26" s="7" t="n">
        <f aca="false">'Long Term Deals'!AH26</f>
        <v>77319.587628866</v>
      </c>
      <c r="E26" s="7" t="n">
        <f aca="false">'Long Term Deals'!AI26</f>
        <v>0</v>
      </c>
      <c r="F26" s="7" t="n">
        <f aca="false">'Long Term Deals'!AJ26</f>
        <v>0</v>
      </c>
      <c r="G26" s="7" t="n">
        <f aca="false">'Long Term Deals'!AK26</f>
        <v>0</v>
      </c>
      <c r="H26" s="7" t="n">
        <f aca="false">'Long Term Deals'!AL26</f>
        <v>0</v>
      </c>
      <c r="I26" s="7" t="n">
        <f aca="false">'Long Term Deals'!AM26</f>
        <v>37835</v>
      </c>
      <c r="J26" s="7" t="n">
        <f aca="false">'Long Term Deals'!AN26</f>
        <v>0</v>
      </c>
      <c r="K26" s="7" t="n">
        <f aca="false">'Long Term Deals'!AO26</f>
        <v>34109</v>
      </c>
      <c r="L26" s="7" t="n">
        <f aca="false">'Long Term Deals'!AP26</f>
        <v>80000</v>
      </c>
      <c r="M26" s="7" t="n">
        <f aca="false">'Long Term Deals'!AQ26</f>
        <v>0</v>
      </c>
      <c r="N26" s="7" t="n">
        <f aca="false">'Long Term Deals'!AR26</f>
        <v>37835.1030927835</v>
      </c>
      <c r="O26" s="7" t="n">
        <f aca="false">'Long Term Deals'!AS26</f>
        <v>0</v>
      </c>
      <c r="P26" s="7" t="n">
        <f aca="false">'Long Term Deals'!AT26</f>
        <v>34108.7489191886</v>
      </c>
      <c r="Q26" s="7" t="n">
        <f aca="false">'Long Term Deals'!AU26</f>
        <v>0</v>
      </c>
      <c r="R26" s="7" t="n">
        <f aca="false">'Long Term Deals'!AV26</f>
        <v>9101.83870967742</v>
      </c>
      <c r="S26" s="68" t="n">
        <f aca="false">'Long Term Deals'!AW26</f>
        <v>0.135</v>
      </c>
      <c r="T26" s="68" t="n">
        <f aca="false">'Long Term Deals'!AX26</f>
        <v>0.025</v>
      </c>
      <c r="U26" s="7" t="n">
        <f aca="false">'Long Term Deals'!AY26</f>
        <v>19633226.8041237</v>
      </c>
      <c r="V26" s="7" t="n">
        <f aca="false">'Long Term Deals'!AZ26</f>
        <v>18670379.6451031</v>
      </c>
      <c r="W26" s="5" t="n">
        <f aca="false">U26-V26</f>
        <v>962847.159020621</v>
      </c>
      <c r="X26" s="5" t="n">
        <f aca="false">'Long Term Deals'!CA26</f>
        <v>36113.4020618557</v>
      </c>
      <c r="Y26" s="71" t="n">
        <f aca="false">[4]Sheet1!$AL67</f>
        <v>763215.32511061</v>
      </c>
      <c r="Z26" s="7" t="n">
        <f aca="false">[2]Sheet1!$O36</f>
        <v>300518.712543033</v>
      </c>
      <c r="AA26" s="7" t="n">
        <f aca="false">'[3]Long Term Deals'!$Z25</f>
        <v>-44025.6018835929</v>
      </c>
      <c r="AB26" s="70" t="n">
        <f aca="false">-Z26+AA26+Y26+W26-X26</f>
        <v>1345404.76764275</v>
      </c>
      <c r="AC26" s="70" t="n">
        <f aca="false">AB26-Y26</f>
        <v>582189.44253214</v>
      </c>
      <c r="AD26" s="70" t="n">
        <f aca="false">AC26+Z26-AA26+X26</f>
        <v>962847.159020621</v>
      </c>
      <c r="AE26" s="13" t="n">
        <f aca="false">(W26-Z26+AA26)/(B26+C26+D26)/'Prices&amp;Fuel'!H26</f>
        <v>0.085605732123348</v>
      </c>
      <c r="AF26" s="1" t="n">
        <v>226000</v>
      </c>
      <c r="AG26" s="7" t="n">
        <f aca="false">((((I26*'Prices&amp;Fuel'!B26+'Prices&amp;Fuel'!C26*FPL!J26+FPL!K26*'Prices&amp;Fuel'!D26))+(L26*'Prices&amp;Fuel'!B26+'Prices&amp;Fuel'!C26*FPL!M26))*'Prices&amp;Fuel'!H26)+(I26+J26+K26)*'Prices&amp;Fuel'!H26*FPL!T26+Q26/2</f>
        <v>12161135.08</v>
      </c>
      <c r="AH26" s="7" t="n">
        <f aca="false">(N26*'Prices&amp;Fuel'!B26+'Prices&amp;Fuel'!C26*O26+P26*'Prices&amp;Fuel'!D26)*'Prices&amp;Fuel'!H26+(N26+O26+P26)*'Prices&amp;Fuel'!H26*FPL!T26+Q26/2</f>
        <v>5787523.17510309</v>
      </c>
      <c r="AI26" s="7" t="n">
        <f aca="false">R26*'Prices&amp;Fuel'!H26*'Prices&amp;Fuel'!Q26</f>
        <v>721721.39</v>
      </c>
      <c r="AJ26" s="55" t="n">
        <f aca="false">SUM(AG26:AI26)-'Long Term Deals'!AZ26</f>
        <v>0</v>
      </c>
    </row>
    <row r="27" customFormat="false" ht="11.25" hidden="false" customHeight="false" outlineLevel="0" collapsed="false">
      <c r="A27" s="6" t="n">
        <f aca="false">+A26+365/12</f>
        <v>36418.1666666667</v>
      </c>
      <c r="B27" s="7" t="n">
        <f aca="false">'Long Term Deals'!AF27</f>
        <v>155670.103092784</v>
      </c>
      <c r="C27" s="7" t="n">
        <f aca="false">'Long Term Deals'!AG27</f>
        <v>0</v>
      </c>
      <c r="D27" s="7" t="n">
        <f aca="false">'Long Term Deals'!AH27</f>
        <v>77319.587628866</v>
      </c>
      <c r="E27" s="7" t="n">
        <f aca="false">'Long Term Deals'!AI27</f>
        <v>0</v>
      </c>
      <c r="F27" s="7" t="n">
        <f aca="false">'Long Term Deals'!AJ27</f>
        <v>0</v>
      </c>
      <c r="G27" s="7" t="n">
        <f aca="false">'Long Term Deals'!AK27</f>
        <v>0</v>
      </c>
      <c r="H27" s="7" t="n">
        <f aca="false">'Long Term Deals'!AL27</f>
        <v>0</v>
      </c>
      <c r="I27" s="7" t="n">
        <f aca="false">'Long Term Deals'!AM27</f>
        <v>37835</v>
      </c>
      <c r="J27" s="7" t="n">
        <f aca="false">'Long Term Deals'!AN27</f>
        <v>0</v>
      </c>
      <c r="K27" s="7" t="n">
        <f aca="false">'Long Term Deals'!AO27</f>
        <v>34115</v>
      </c>
      <c r="L27" s="7" t="n">
        <f aca="false">'Long Term Deals'!AP27</f>
        <v>80000</v>
      </c>
      <c r="M27" s="7" t="n">
        <f aca="false">'Long Term Deals'!AQ27</f>
        <v>0</v>
      </c>
      <c r="N27" s="7" t="n">
        <f aca="false">'Long Term Deals'!AR27</f>
        <v>37835.1030927835</v>
      </c>
      <c r="O27" s="7" t="n">
        <f aca="false">'Long Term Deals'!AS27</f>
        <v>0</v>
      </c>
      <c r="P27" s="7" t="n">
        <f aca="false">'Long Term Deals'!AT27</f>
        <v>34115.6542955326</v>
      </c>
      <c r="Q27" s="7" t="n">
        <f aca="false">'Long Term Deals'!AU27</f>
        <v>0</v>
      </c>
      <c r="R27" s="7" t="n">
        <f aca="false">'Long Term Deals'!AV27</f>
        <v>9088.93333333333</v>
      </c>
      <c r="S27" s="68" t="n">
        <f aca="false">'Long Term Deals'!AW27</f>
        <v>0.135</v>
      </c>
      <c r="T27" s="68" t="n">
        <f aca="false">'Long Term Deals'!AX27</f>
        <v>0.025</v>
      </c>
      <c r="U27" s="7" t="n">
        <f aca="false">'Long Term Deals'!AY27</f>
        <v>21026907.2164948</v>
      </c>
      <c r="V27" s="7" t="n">
        <f aca="false">'Long Term Deals'!AZ27</f>
        <v>20090925.3519588</v>
      </c>
      <c r="W27" s="5" t="n">
        <f aca="false">U27-V27</f>
        <v>935981.864536084</v>
      </c>
      <c r="X27" s="5" t="n">
        <f aca="false">'Long Term Deals'!CA27</f>
        <v>34948.4536082474</v>
      </c>
      <c r="Y27" s="71" t="n">
        <f aca="false">[4]Sheet1!$AL68</f>
        <v>738595.475913493</v>
      </c>
      <c r="Z27" s="7" t="n">
        <f aca="false">[2]Sheet1!$O37</f>
        <v>290824.560525515</v>
      </c>
      <c r="AA27" s="7" t="n">
        <f aca="false">'[3]Long Term Deals'!$Z26</f>
        <v>-42605.4211776705</v>
      </c>
      <c r="AB27" s="70" t="n">
        <f aca="false">-Z27+AA27+Y27+W27-X27</f>
        <v>1306198.90513814</v>
      </c>
      <c r="AC27" s="70" t="n">
        <f aca="false">AB27-Y27</f>
        <v>567603.429224651</v>
      </c>
      <c r="AD27" s="70" t="n">
        <f aca="false">AC27+Z27-AA27+X27</f>
        <v>935981.864536084</v>
      </c>
      <c r="AE27" s="13" t="n">
        <f aca="false">(W27-Z27+AA27)/(B27+C27+D27)/'Prices&amp;Fuel'!H27</f>
        <v>0.0862058003462996</v>
      </c>
      <c r="AF27" s="1" t="n">
        <v>226000</v>
      </c>
      <c r="AG27" s="7" t="n">
        <f aca="false">((((I27*'Prices&amp;Fuel'!B27+'Prices&amp;Fuel'!C27*FPL!J27+FPL!K27*'Prices&amp;Fuel'!D27))+(L27*'Prices&amp;Fuel'!B27+'Prices&amp;Fuel'!C27*FPL!M27))*'Prices&amp;Fuel'!H27)+(I27+J27+K27)*'Prices&amp;Fuel'!H27*FPL!T27+Q27/2</f>
        <v>13091272.5</v>
      </c>
      <c r="AH27" s="7" t="n">
        <f aca="false">(N27*'Prices&amp;Fuel'!B27+'Prices&amp;Fuel'!C27*O27+P27*'Prices&amp;Fuel'!D27)*'Prices&amp;Fuel'!H27+(N27+O27+P27)*'Prices&amp;Fuel'!H27*FPL!T27+Q27/2</f>
        <v>6227338.05195876</v>
      </c>
      <c r="AI27" s="7" t="n">
        <f aca="false">R27*'Prices&amp;Fuel'!H27*'Prices&amp;Fuel'!Q27</f>
        <v>772314.8</v>
      </c>
      <c r="AJ27" s="55" t="n">
        <f aca="false">SUM(AG27:AI27)-'Long Term Deals'!AZ27</f>
        <v>0</v>
      </c>
    </row>
    <row r="28" customFormat="false" ht="11.25" hidden="false" customHeight="false" outlineLevel="0" collapsed="false">
      <c r="A28" s="6" t="n">
        <f aca="false">+A27+365/12</f>
        <v>36448.5833333333</v>
      </c>
      <c r="B28" s="7" t="n">
        <f aca="false">'Long Term Deals'!AF28</f>
        <v>58611.8251928021</v>
      </c>
      <c r="C28" s="7" t="n">
        <f aca="false">'Long Term Deals'!AG28</f>
        <v>0</v>
      </c>
      <c r="D28" s="7" t="n">
        <f aca="false">'Long Term Deals'!AH28</f>
        <v>77120.822622108</v>
      </c>
      <c r="E28" s="7" t="n">
        <f aca="false">'Long Term Deals'!AI28</f>
        <v>0</v>
      </c>
      <c r="F28" s="7" t="n">
        <f aca="false">'Long Term Deals'!AJ28</f>
        <v>0</v>
      </c>
      <c r="G28" s="7" t="n">
        <f aca="false">'Long Term Deals'!AK28</f>
        <v>0</v>
      </c>
      <c r="H28" s="7" t="n">
        <f aca="false">'Long Term Deals'!AL28</f>
        <v>0</v>
      </c>
      <c r="I28" s="7" t="n">
        <f aca="false">'Long Term Deals'!AM28</f>
        <v>0</v>
      </c>
      <c r="J28" s="7" t="n">
        <f aca="false">'Long Term Deals'!AN28</f>
        <v>0</v>
      </c>
      <c r="K28" s="7" t="n">
        <f aca="false">'Long Term Deals'!AO28</f>
        <v>33442</v>
      </c>
      <c r="L28" s="7" t="n">
        <f aca="false">'Long Term Deals'!AP28</f>
        <v>58611.8251928021</v>
      </c>
      <c r="M28" s="7" t="n">
        <f aca="false">'Long Term Deals'!AQ28</f>
        <v>0</v>
      </c>
      <c r="N28" s="7" t="n">
        <f aca="false">'Long Term Deals'!AR28</f>
        <v>0</v>
      </c>
      <c r="O28" s="7" t="n">
        <f aca="false">'Long Term Deals'!AS28</f>
        <v>0</v>
      </c>
      <c r="P28" s="7" t="n">
        <f aca="false">'Long Term Deals'!AT28</f>
        <v>33442.0484285596</v>
      </c>
      <c r="Q28" s="7" t="n">
        <f aca="false">'Long Term Deals'!AU28</f>
        <v>0</v>
      </c>
      <c r="R28" s="7" t="n">
        <f aca="false">'Long Term Deals'!AV28</f>
        <v>10236.7741935484</v>
      </c>
      <c r="S28" s="68" t="n">
        <f aca="false">'Long Term Deals'!AW28</f>
        <v>0.135</v>
      </c>
      <c r="T28" s="68" t="n">
        <f aca="false">'Long Term Deals'!AX28</f>
        <v>0.025</v>
      </c>
      <c r="U28" s="7" t="n">
        <f aca="false">'Long Term Deals'!AY28</f>
        <v>11140874.0359897</v>
      </c>
      <c r="V28" s="7" t="n">
        <f aca="false">'Long Term Deals'!AZ28</f>
        <v>10526748.142365</v>
      </c>
      <c r="W28" s="5" t="n">
        <f aca="false">U28-V28</f>
        <v>614125.893624678</v>
      </c>
      <c r="X28" s="5" t="n">
        <f aca="false">'Long Term Deals'!CA28</f>
        <v>21038.5604113111</v>
      </c>
      <c r="Y28" s="71" t="n">
        <f aca="false">[4]Sheet1!$AL69</f>
        <v>763215.32511061</v>
      </c>
      <c r="Z28" s="7" t="n">
        <f aca="false">[2]Sheet1!$O38</f>
        <v>175524.203786196</v>
      </c>
      <c r="AA28" s="7" t="n">
        <f aca="false">'[3]Long Term Deals'!$Z27</f>
        <v>-34947.7629697056</v>
      </c>
      <c r="AB28" s="70" t="n">
        <f aca="false">-Z28+AA28+Y28+W28-X28</f>
        <v>1145830.69156808</v>
      </c>
      <c r="AC28" s="70" t="n">
        <f aca="false">AB28-Y28</f>
        <v>382615.366457465</v>
      </c>
      <c r="AD28" s="70" t="n">
        <f aca="false">AC28+Z28-AA28+X28</f>
        <v>614125.893624678</v>
      </c>
      <c r="AE28" s="13" t="n">
        <f aca="false">(W28-Z28+AA28)/(B28+C28+D28)/'Prices&amp;Fuel'!H28</f>
        <v>0.0959319266568634</v>
      </c>
      <c r="AF28" s="1" t="n">
        <v>132000</v>
      </c>
      <c r="AG28" s="7" t="n">
        <f aca="false">((((I28*'Prices&amp;Fuel'!B28+'Prices&amp;Fuel'!C28*FPL!J28+FPL!K28*'Prices&amp;Fuel'!D28))+(L28*'Prices&amp;Fuel'!B28+'Prices&amp;Fuel'!C28*FPL!M28))*'Prices&amp;Fuel'!H28)+(I28+J28+K28)*'Prices&amp;Fuel'!H28*FPL!T28+Q28/2</f>
        <v>7131552.31663239</v>
      </c>
      <c r="AH28" s="7" t="n">
        <f aca="false">(N28*'Prices&amp;Fuel'!B28+'Prices&amp;Fuel'!C28*O28+P28*'Prices&amp;Fuel'!D28)*'Prices&amp;Fuel'!H28+(N28+O28+P28)*'Prices&amp;Fuel'!H28*FPL!T28+Q28/2</f>
        <v>2607309.30573265</v>
      </c>
      <c r="AI28" s="7" t="n">
        <f aca="false">R28*'Prices&amp;Fuel'!H28*'Prices&amp;Fuel'!Q28</f>
        <v>787886.52</v>
      </c>
      <c r="AJ28" s="55" t="n">
        <f aca="false">SUM(AG28:AI28)-'Long Term Deals'!AZ28</f>
        <v>0</v>
      </c>
    </row>
    <row r="29" customFormat="false" ht="11.25" hidden="false" customHeight="false" outlineLevel="0" collapsed="false">
      <c r="A29" s="6" t="n">
        <f aca="false">+A28+365/12</f>
        <v>36479</v>
      </c>
      <c r="B29" s="7" t="n">
        <f aca="false">'Long Term Deals'!AF29</f>
        <v>58611.8251928021</v>
      </c>
      <c r="C29" s="7" t="n">
        <f aca="false">'Long Term Deals'!AG29</f>
        <v>0</v>
      </c>
      <c r="D29" s="7" t="n">
        <f aca="false">'Long Term Deals'!AH29</f>
        <v>77120.822622108</v>
      </c>
      <c r="E29" s="7" t="n">
        <f aca="false">'Long Term Deals'!AI29</f>
        <v>0</v>
      </c>
      <c r="F29" s="7" t="n">
        <f aca="false">'Long Term Deals'!AJ29</f>
        <v>0</v>
      </c>
      <c r="G29" s="7" t="n">
        <f aca="false">'Long Term Deals'!AK29</f>
        <v>0</v>
      </c>
      <c r="H29" s="7" t="n">
        <f aca="false">'Long Term Deals'!AL29</f>
        <v>0</v>
      </c>
      <c r="I29" s="7" t="n">
        <f aca="false">'Long Term Deals'!AM29</f>
        <v>0</v>
      </c>
      <c r="J29" s="7" t="n">
        <f aca="false">'Long Term Deals'!AN29</f>
        <v>0</v>
      </c>
      <c r="K29" s="7" t="n">
        <f aca="false">'Long Term Deals'!AO29</f>
        <v>33099</v>
      </c>
      <c r="L29" s="7" t="n">
        <f aca="false">'Long Term Deals'!AP29</f>
        <v>58611.8251928021</v>
      </c>
      <c r="M29" s="7" t="n">
        <f aca="false">'Long Term Deals'!AQ29</f>
        <v>0</v>
      </c>
      <c r="N29" s="7" t="n">
        <f aca="false">'Long Term Deals'!AR29</f>
        <v>0</v>
      </c>
      <c r="O29" s="7" t="n">
        <f aca="false">'Long Term Deals'!AS29</f>
        <v>0</v>
      </c>
      <c r="P29" s="7" t="n">
        <f aca="false">'Long Term Deals'!AT29</f>
        <v>33099.922622108</v>
      </c>
      <c r="Q29" s="7" t="n">
        <f aca="false">'Long Term Deals'!AU29</f>
        <v>0</v>
      </c>
      <c r="R29" s="7" t="n">
        <f aca="false">'Long Term Deals'!AV29</f>
        <v>10921.9</v>
      </c>
      <c r="S29" s="68" t="n">
        <f aca="false">'Long Term Deals'!AW29</f>
        <v>0.135</v>
      </c>
      <c r="T29" s="68" t="n">
        <f aca="false">'Long Term Deals'!AX29</f>
        <v>0.025</v>
      </c>
      <c r="U29" s="7" t="n">
        <f aca="false">'Long Term Deals'!AY29</f>
        <v>12776760.9254499</v>
      </c>
      <c r="V29" s="7" t="n">
        <f aca="false">'Long Term Deals'!AZ29</f>
        <v>12177932.6366195</v>
      </c>
      <c r="W29" s="5" t="n">
        <f aca="false">U29-V29</f>
        <v>598828.288830338</v>
      </c>
      <c r="X29" s="5" t="n">
        <f aca="false">'Long Term Deals'!CA29</f>
        <v>20359.8971722365</v>
      </c>
      <c r="Y29" s="71" t="n">
        <f aca="false">[4]Sheet1!$AL70</f>
        <v>738595.475913493</v>
      </c>
      <c r="Z29" s="7" t="n">
        <f aca="false">[2]Sheet1!$O39</f>
        <v>169862.132696319</v>
      </c>
      <c r="AA29" s="7" t="n">
        <f aca="false">'[3]Long Term Deals'!$Z28</f>
        <v>-33820.4157771345</v>
      </c>
      <c r="AB29" s="70" t="n">
        <f aca="false">-Z29+AA29+Y29+W29-X29</f>
        <v>1113381.31909814</v>
      </c>
      <c r="AC29" s="70" t="n">
        <f aca="false">AB29-Y29</f>
        <v>374785.843184648</v>
      </c>
      <c r="AD29" s="70" t="n">
        <f aca="false">AC29+Z29-AA29+X29</f>
        <v>598828.288830338</v>
      </c>
      <c r="AE29" s="13" t="n">
        <f aca="false">(W29-Z29+AA29)/(B29+C29+D29)/'Prices&amp;Fuel'!H29</f>
        <v>0.0970402102265329</v>
      </c>
      <c r="AF29" s="1" t="n">
        <v>132000</v>
      </c>
      <c r="AG29" s="7" t="n">
        <f aca="false">((((I29*'Prices&amp;Fuel'!B29+'Prices&amp;Fuel'!C29*FPL!J29+FPL!K29*'Prices&amp;Fuel'!D29))+(L29*'Prices&amp;Fuel'!B29+'Prices&amp;Fuel'!C29*FPL!M29))*'Prices&amp;Fuel'!H29)+(I29+J29+K29)*'Prices&amp;Fuel'!H29*FPL!T29+Q29/2</f>
        <v>8223772.0222365</v>
      </c>
      <c r="AH29" s="7" t="n">
        <f aca="false">(N29*'Prices&amp;Fuel'!B29+'Prices&amp;Fuel'!C29*O29+P29*'Prices&amp;Fuel'!D29)*'Prices&amp;Fuel'!H29+(N29+O29+P29)*'Prices&amp;Fuel'!H29*FPL!T29+Q29/2</f>
        <v>2983958.02438303</v>
      </c>
      <c r="AI29" s="7" t="n">
        <f aca="false">R29*'Prices&amp;Fuel'!H29*'Prices&amp;Fuel'!Q29</f>
        <v>970202.59</v>
      </c>
      <c r="AJ29" s="55" t="n">
        <f aca="false">SUM(AG29:AI29)-'Long Term Deals'!AZ29</f>
        <v>0</v>
      </c>
    </row>
    <row r="30" customFormat="false" ht="11.25" hidden="false" customHeight="false" outlineLevel="0" collapsed="false">
      <c r="A30" s="6" t="n">
        <f aca="false">+A29+365/12</f>
        <v>36509.4166666667</v>
      </c>
      <c r="B30" s="7" t="n">
        <f aca="false">'Long Term Deals'!AF30</f>
        <v>58611.8251928021</v>
      </c>
      <c r="C30" s="7" t="n">
        <f aca="false">'Long Term Deals'!AG30</f>
        <v>0</v>
      </c>
      <c r="D30" s="7" t="n">
        <f aca="false">'Long Term Deals'!AH30</f>
        <v>77120.822622108</v>
      </c>
      <c r="E30" s="7" t="n">
        <f aca="false">'Long Term Deals'!AI30</f>
        <v>0</v>
      </c>
      <c r="F30" s="7" t="n">
        <f aca="false">'Long Term Deals'!AJ30</f>
        <v>0</v>
      </c>
      <c r="G30" s="7" t="n">
        <f aca="false">'Long Term Deals'!AK30</f>
        <v>0</v>
      </c>
      <c r="H30" s="7" t="n">
        <f aca="false">'Long Term Deals'!AL30</f>
        <v>0</v>
      </c>
      <c r="I30" s="7" t="n">
        <f aca="false">'Long Term Deals'!AM30</f>
        <v>0</v>
      </c>
      <c r="J30" s="7" t="n">
        <f aca="false">'Long Term Deals'!AN30</f>
        <v>0</v>
      </c>
      <c r="K30" s="7" t="n">
        <f aca="false">'Long Term Deals'!AO30</f>
        <v>37432</v>
      </c>
      <c r="L30" s="7" t="n">
        <f aca="false">'Long Term Deals'!AP30</f>
        <v>58611.8251928021</v>
      </c>
      <c r="M30" s="7" t="n">
        <f aca="false">'Long Term Deals'!AQ30</f>
        <v>0</v>
      </c>
      <c r="N30" s="7" t="n">
        <f aca="false">'Long Term Deals'!AR30</f>
        <v>0</v>
      </c>
      <c r="O30" s="7" t="n">
        <f aca="false">'Long Term Deals'!AS30</f>
        <v>0</v>
      </c>
      <c r="P30" s="7" t="n">
        <f aca="false">'Long Term Deals'!AT30</f>
        <v>37431.887138237</v>
      </c>
      <c r="Q30" s="7" t="n">
        <f aca="false">'Long Term Deals'!AU30</f>
        <v>0</v>
      </c>
      <c r="R30" s="7" t="n">
        <f aca="false">'Long Term Deals'!AV30</f>
        <v>2256.93548387097</v>
      </c>
      <c r="S30" s="68" t="n">
        <f aca="false">'Long Term Deals'!AW30</f>
        <v>0.135</v>
      </c>
      <c r="T30" s="68" t="n">
        <f aca="false">'Long Term Deals'!AX30</f>
        <v>0.025</v>
      </c>
      <c r="U30" s="7" t="n">
        <f aca="false">'Long Term Deals'!AY30</f>
        <v>9499866.32390746</v>
      </c>
      <c r="V30" s="7" t="n">
        <f aca="false">'Long Term Deals'!AZ30</f>
        <v>8896887.54528278</v>
      </c>
      <c r="W30" s="5" t="n">
        <f aca="false">U30-V30</f>
        <v>602978.77862468</v>
      </c>
      <c r="X30" s="5" t="n">
        <f aca="false">'Long Term Deals'!CA30</f>
        <v>21038.5604113111</v>
      </c>
      <c r="Y30" s="71" t="n">
        <f aca="false">[4]Sheet1!$AL71</f>
        <v>763215.32511061</v>
      </c>
      <c r="Z30" s="7" t="n">
        <f aca="false">[2]Sheet1!$O40</f>
        <v>175524.203786196</v>
      </c>
      <c r="AA30" s="7" t="n">
        <f aca="false">'[3]Long Term Deals'!$Z29</f>
        <v>-34895.0629697055</v>
      </c>
      <c r="AB30" s="70" t="n">
        <f aca="false">-Z30+AA30+Y30+W30-X30</f>
        <v>1134736.27656808</v>
      </c>
      <c r="AC30" s="70" t="n">
        <f aca="false">AB30-Y30</f>
        <v>371520.951457467</v>
      </c>
      <c r="AD30" s="70" t="n">
        <f aca="false">AC30+Z30-AA30+X30</f>
        <v>602978.77862468</v>
      </c>
      <c r="AE30" s="13" t="n">
        <f aca="false">(W30-Z30+AA30)/(B30+C30+D30)/'Prices&amp;Fuel'!H30</f>
        <v>0.0932952407850408</v>
      </c>
      <c r="AF30" s="1" t="n">
        <v>132000</v>
      </c>
      <c r="AG30" s="7" t="n">
        <f aca="false">((((I30*'Prices&amp;Fuel'!B30+'Prices&amp;Fuel'!C30*FPL!J30+FPL!K30*'Prices&amp;Fuel'!D30))+(L30*'Prices&amp;Fuel'!B30+'Prices&amp;Fuel'!C30*FPL!M30))*'Prices&amp;Fuel'!H30)+(I30+J30+K30)*'Prices&amp;Fuel'!H30*FPL!T30+Q30/2</f>
        <v>6281462.82005141</v>
      </c>
      <c r="AH30" s="7" t="n">
        <f aca="false">(N30*'Prices&amp;Fuel'!B30+'Prices&amp;Fuel'!C30*O30+P30*'Prices&amp;Fuel'!D30)*'Prices&amp;Fuel'!H30+(N30+O30+P30)*'Prices&amp;Fuel'!H30*FPL!T30+Q30/2</f>
        <v>2465825.56523136</v>
      </c>
      <c r="AI30" s="7" t="n">
        <f aca="false">R30*'Prices&amp;Fuel'!H30*'Prices&amp;Fuel'!Q30</f>
        <v>149599.16</v>
      </c>
      <c r="AJ30" s="55" t="n">
        <f aca="false">SUM(AG30:AI30)-'Long Term Deals'!AZ30</f>
        <v>0</v>
      </c>
    </row>
    <row r="31" customFormat="false" ht="11.25" hidden="false" customHeight="false" outlineLevel="0" collapsed="false">
      <c r="A31" s="6" t="n">
        <f aca="false">+A30+365/12</f>
        <v>36539.8333333333</v>
      </c>
      <c r="B31" s="7" t="n">
        <f aca="false">'Long Term Deals'!AF31</f>
        <v>58611.8251928021</v>
      </c>
      <c r="C31" s="7" t="n">
        <f aca="false">'Long Term Deals'!AG31</f>
        <v>0</v>
      </c>
      <c r="D31" s="7" t="n">
        <f aca="false">'Long Term Deals'!AH31</f>
        <v>77120.822622108</v>
      </c>
      <c r="E31" s="7" t="n">
        <f aca="false">'Long Term Deals'!AI31</f>
        <v>0</v>
      </c>
      <c r="F31" s="7" t="n">
        <f aca="false">'Long Term Deals'!AJ31</f>
        <v>0</v>
      </c>
      <c r="G31" s="7" t="n">
        <f aca="false">'Long Term Deals'!AK31</f>
        <v>0</v>
      </c>
      <c r="H31" s="7" t="n">
        <f aca="false">'Long Term Deals'!AL31</f>
        <v>0</v>
      </c>
      <c r="I31" s="7" t="n">
        <f aca="false">'Long Term Deals'!AM31</f>
        <v>0</v>
      </c>
      <c r="J31" s="7" t="n">
        <f aca="false">'Long Term Deals'!AN31</f>
        <v>0</v>
      </c>
      <c r="K31" s="7" t="n">
        <f aca="false">'Long Term Deals'!AO31</f>
        <v>37415</v>
      </c>
      <c r="L31" s="7" t="n">
        <f aca="false">'Long Term Deals'!AP31</f>
        <v>58611.8251928021</v>
      </c>
      <c r="M31" s="7" t="n">
        <f aca="false">'Long Term Deals'!AQ31</f>
        <v>0</v>
      </c>
      <c r="N31" s="7" t="n">
        <f aca="false">'Long Term Deals'!AR31</f>
        <v>0</v>
      </c>
      <c r="O31" s="7" t="n">
        <f aca="false">'Long Term Deals'!AS31</f>
        <v>0</v>
      </c>
      <c r="P31" s="7" t="n">
        <f aca="false">'Long Term Deals'!AT31</f>
        <v>37414.7581059789</v>
      </c>
      <c r="Q31" s="7" t="n">
        <f aca="false">'Long Term Deals'!AU31</f>
        <v>0</v>
      </c>
      <c r="R31" s="7" t="n">
        <f aca="false">'Long Term Deals'!AV31</f>
        <v>2291.06451612903</v>
      </c>
      <c r="S31" s="68" t="n">
        <f aca="false">'Long Term Deals'!AW31</f>
        <v>0.12</v>
      </c>
      <c r="T31" s="68" t="n">
        <f aca="false">'Long Term Deals'!AX31</f>
        <v>0.025</v>
      </c>
      <c r="U31" s="7" t="n">
        <f aca="false">'Long Term Deals'!AY31</f>
        <v>10320370.1799486</v>
      </c>
      <c r="V31" s="7" t="n">
        <f aca="false">'Long Term Deals'!AZ31</f>
        <v>9777555.08255784</v>
      </c>
      <c r="W31" s="5" t="n">
        <f aca="false">U31-V31</f>
        <v>542815.097390747</v>
      </c>
      <c r="X31" s="5" t="n">
        <f aca="false">'Long Term Deals'!CA31</f>
        <v>21038.5604113111</v>
      </c>
      <c r="Y31" s="71" t="n">
        <f aca="false">[4]Sheet1!$AL72</f>
        <v>762567.143039026</v>
      </c>
      <c r="Z31" s="7" t="n">
        <f aca="false">[2]Sheet1!$O42</f>
        <v>112213.218742359</v>
      </c>
      <c r="AA31" s="7" t="n">
        <f aca="false">'[3]Long Term Deals'!$Z30</f>
        <v>-34895.0629697055</v>
      </c>
      <c r="AB31" s="70" t="n">
        <f aca="false">-Z31+AA31+Y31+W31-X31</f>
        <v>1137235.3983064</v>
      </c>
      <c r="AC31" s="70" t="n">
        <f aca="false">AB31-Y31</f>
        <v>374668.255267371</v>
      </c>
      <c r="AD31" s="70" t="n">
        <f aca="false">AC31+Z31-AA31+X31</f>
        <v>542815.097390747</v>
      </c>
      <c r="AE31" s="13" t="n">
        <f aca="false">(W31-Z31+AA31)/(B31+C31+D31)/'Prices&amp;Fuel'!H31</f>
        <v>0.0940432253781814</v>
      </c>
      <c r="AF31" s="1" t="n">
        <v>132000</v>
      </c>
      <c r="AG31" s="7" t="n">
        <f aca="false">((((I31*'Prices&amp;Fuel'!B31+'Prices&amp;Fuel'!C31*FPL!J31+FPL!K31*'Prices&amp;Fuel'!D31))+(L31*'Prices&amp;Fuel'!B31+'Prices&amp;Fuel'!C31*FPL!M31))*'Prices&amp;Fuel'!H31)+(I31+J31+K31)*'Prices&amp;Fuel'!H31*FPL!T31+Q31/2</f>
        <v>6905477.57705656</v>
      </c>
      <c r="AH31" s="7" t="n">
        <f aca="false">(N31*'Prices&amp;Fuel'!B31+'Prices&amp;Fuel'!C31*O31+P31*'Prices&amp;Fuel'!D31)*'Prices&amp;Fuel'!H31+(N31+O31+P31)*'Prices&amp;Fuel'!H31*FPL!T31+Q31/2</f>
        <v>2708267.26550129</v>
      </c>
      <c r="AI31" s="7" t="n">
        <f aca="false">R31*'Prices&amp;Fuel'!H31*'Prices&amp;Fuel'!Q31</f>
        <v>163810.24</v>
      </c>
      <c r="AJ31" s="55" t="n">
        <f aca="false">SUM(AG31:AI31)-'Long Term Deals'!AZ31</f>
        <v>0</v>
      </c>
    </row>
    <row r="32" customFormat="false" ht="11.25" hidden="false" customHeight="false" outlineLevel="0" collapsed="false">
      <c r="A32" s="6" t="n">
        <f aca="false">+A31+365/12</f>
        <v>36570.25</v>
      </c>
      <c r="B32" s="7" t="n">
        <f aca="false">'Long Term Deals'!AF32</f>
        <v>58762.8865979382</v>
      </c>
      <c r="C32" s="7" t="n">
        <f aca="false">'Long Term Deals'!AG32</f>
        <v>0</v>
      </c>
      <c r="D32" s="7" t="n">
        <f aca="false">'Long Term Deals'!AH32</f>
        <v>77319.587628866</v>
      </c>
      <c r="E32" s="7" t="n">
        <f aca="false">'Long Term Deals'!AI32</f>
        <v>0</v>
      </c>
      <c r="F32" s="7" t="n">
        <f aca="false">'Long Term Deals'!AJ32</f>
        <v>0</v>
      </c>
      <c r="G32" s="7" t="n">
        <f aca="false">'Long Term Deals'!AK32</f>
        <v>0</v>
      </c>
      <c r="H32" s="7" t="n">
        <f aca="false">'Long Term Deals'!AL32</f>
        <v>0</v>
      </c>
      <c r="I32" s="7" t="n">
        <f aca="false">'Long Term Deals'!AM32</f>
        <v>0</v>
      </c>
      <c r="J32" s="7" t="n">
        <f aca="false">'Long Term Deals'!AN32</f>
        <v>0</v>
      </c>
      <c r="K32" s="7" t="n">
        <f aca="false">'Long Term Deals'!AO32</f>
        <v>37481</v>
      </c>
      <c r="L32" s="7" t="n">
        <f aca="false">'Long Term Deals'!AP32</f>
        <v>58762.8865979382</v>
      </c>
      <c r="M32" s="7" t="n">
        <f aca="false">'Long Term Deals'!AQ32</f>
        <v>0</v>
      </c>
      <c r="N32" s="7" t="n">
        <f aca="false">'Long Term Deals'!AR32</f>
        <v>0</v>
      </c>
      <c r="O32" s="7" t="n">
        <f aca="false">'Long Term Deals'!AS32</f>
        <v>0</v>
      </c>
      <c r="P32" s="7" t="n">
        <f aca="false">'Long Term Deals'!AT32</f>
        <v>37480.2428012798</v>
      </c>
      <c r="Q32" s="7" t="n">
        <f aca="false">'Long Term Deals'!AU32</f>
        <v>0</v>
      </c>
      <c r="R32" s="7" t="n">
        <f aca="false">'Long Term Deals'!AV32</f>
        <v>2358.34482758621</v>
      </c>
      <c r="S32" s="68" t="n">
        <f aca="false">'Long Term Deals'!AW32</f>
        <v>0.12</v>
      </c>
      <c r="T32" s="68" t="n">
        <f aca="false">'Long Term Deals'!AX32</f>
        <v>0.025</v>
      </c>
      <c r="U32" s="7" t="n">
        <f aca="false">'Long Term Deals'!AY32</f>
        <v>10744948.4536082</v>
      </c>
      <c r="V32" s="7" t="n">
        <f aca="false">'Long Term Deals'!AZ32</f>
        <v>10235878.1226804</v>
      </c>
      <c r="W32" s="5" t="n">
        <f aca="false">U32-V32</f>
        <v>509070.330927838</v>
      </c>
      <c r="X32" s="5" t="n">
        <f aca="false">'Long Term Deals'!CA32</f>
        <v>19731.9587628866</v>
      </c>
      <c r="Y32" s="71" t="n">
        <f aca="false">[4]Sheet1!$AL73</f>
        <v>713369.26284296</v>
      </c>
      <c r="Z32" s="7" t="n">
        <f aca="false">[2]Sheet1!$O43</f>
        <v>104973.656242852</v>
      </c>
      <c r="AA32" s="7" t="n">
        <f aca="false">'[3]Long Term Deals'!$Z31</f>
        <v>-32643.7685845632</v>
      </c>
      <c r="AB32" s="70" t="n">
        <f aca="false">-Z32+AA32+Y32+W32-X32</f>
        <v>1065090.2101805</v>
      </c>
      <c r="AC32" s="70" t="n">
        <f aca="false">AB32-Y32</f>
        <v>351720.947337536</v>
      </c>
      <c r="AD32" s="70" t="n">
        <f aca="false">AC32+Z32-AA32+X32</f>
        <v>509070.330927838</v>
      </c>
      <c r="AE32" s="13" t="n">
        <f aca="false">(W32-Z32+AA32)/(B32+C32+D32)/'Prices&amp;Fuel'!H32</f>
        <v>0.0941246914622283</v>
      </c>
      <c r="AF32" s="1" t="n">
        <v>132000</v>
      </c>
      <c r="AG32" s="7" t="n">
        <f aca="false">((((I32*'Prices&amp;Fuel'!B32+'Prices&amp;Fuel'!C32*FPL!J32+FPL!K32*'Prices&amp;Fuel'!D32))+(L32*'Prices&amp;Fuel'!B32+'Prices&amp;Fuel'!C32*FPL!M32))*'Prices&amp;Fuel'!H32)+(I32+J32+K32)*'Prices&amp;Fuel'!H32*FPL!T32+Q32/2</f>
        <v>7228141.32025773</v>
      </c>
      <c r="AH32" s="7" t="n">
        <f aca="false">(N32*'Prices&amp;Fuel'!B32+'Prices&amp;Fuel'!C32*O32+P32*'Prices&amp;Fuel'!D32)*'Prices&amp;Fuel'!H32+(N32+O32+P32)*'Prices&amp;Fuel'!H32*FPL!T32+Q32/2</f>
        <v>2831444.94242268</v>
      </c>
      <c r="AI32" s="7" t="n">
        <f aca="false">R32*'Prices&amp;Fuel'!H32*'Prices&amp;Fuel'!Q32</f>
        <v>176291.86</v>
      </c>
      <c r="AJ32" s="55" t="n">
        <f aca="false">SUM(AG32:AI32)-'Long Term Deals'!AZ32</f>
        <v>0</v>
      </c>
    </row>
    <row r="33" customFormat="false" ht="11.25" hidden="false" customHeight="false" outlineLevel="0" collapsed="false">
      <c r="A33" s="6" t="n">
        <f aca="false">+A32+365/12</f>
        <v>36600.6666666667</v>
      </c>
      <c r="B33" s="7" t="n">
        <f aca="false">'Long Term Deals'!AF33</f>
        <v>58762.8865979382</v>
      </c>
      <c r="C33" s="7" t="n">
        <f aca="false">'Long Term Deals'!AG33</f>
        <v>0</v>
      </c>
      <c r="D33" s="7" t="n">
        <f aca="false">'Long Term Deals'!AH33</f>
        <v>77319.587628866</v>
      </c>
      <c r="E33" s="7" t="n">
        <f aca="false">'Long Term Deals'!AI33</f>
        <v>0</v>
      </c>
      <c r="F33" s="7" t="n">
        <f aca="false">'Long Term Deals'!AJ33</f>
        <v>0</v>
      </c>
      <c r="G33" s="7" t="n">
        <f aca="false">'Long Term Deals'!AK33</f>
        <v>0</v>
      </c>
      <c r="H33" s="7" t="n">
        <f aca="false">'Long Term Deals'!AL33</f>
        <v>0</v>
      </c>
      <c r="I33" s="7" t="n">
        <f aca="false">'Long Term Deals'!AM33</f>
        <v>0</v>
      </c>
      <c r="J33" s="7" t="n">
        <f aca="false">'Long Term Deals'!AN33</f>
        <v>0</v>
      </c>
      <c r="K33" s="7" t="n">
        <f aca="false">'Long Term Deals'!AO33</f>
        <v>37509</v>
      </c>
      <c r="L33" s="7" t="n">
        <f aca="false">'Long Term Deals'!AP33</f>
        <v>58762.8865979382</v>
      </c>
      <c r="M33" s="7" t="n">
        <f aca="false">'Long Term Deals'!AQ33</f>
        <v>0</v>
      </c>
      <c r="N33" s="7" t="n">
        <f aca="false">'Long Term Deals'!AR33</f>
        <v>0</v>
      </c>
      <c r="O33" s="7" t="n">
        <f aca="false">'Long Term Deals'!AS33</f>
        <v>0</v>
      </c>
      <c r="P33" s="7" t="n">
        <f aca="false">'Long Term Deals'!AT33</f>
        <v>37508.587628866</v>
      </c>
      <c r="Q33" s="7" t="n">
        <f aca="false">'Long Term Deals'!AU33</f>
        <v>0</v>
      </c>
      <c r="R33" s="7" t="n">
        <f aca="false">'Long Term Deals'!AV33</f>
        <v>2302</v>
      </c>
      <c r="S33" s="68" t="n">
        <f aca="false">'Long Term Deals'!AW33</f>
        <v>0.12</v>
      </c>
      <c r="T33" s="68" t="n">
        <f aca="false">'Long Term Deals'!AX33</f>
        <v>0.025</v>
      </c>
      <c r="U33" s="7" t="n">
        <f aca="false">'Long Term Deals'!AY33</f>
        <v>11485979.3814433</v>
      </c>
      <c r="V33" s="7" t="n">
        <f aca="false">'Long Term Deals'!AZ33</f>
        <v>10930462.8369072</v>
      </c>
      <c r="W33" s="5" t="n">
        <f aca="false">U33-V33</f>
        <v>555516.544536082</v>
      </c>
      <c r="X33" s="5" t="n">
        <f aca="false">'Long Term Deals'!CA33</f>
        <v>21092.7835051546</v>
      </c>
      <c r="Y33" s="71" t="n">
        <f aca="false">[4]Sheet1!$AL74</f>
        <v>762567.143039026</v>
      </c>
      <c r="Z33" s="7" t="n">
        <f aca="false">[2]Sheet1!$O44</f>
        <v>112213.218742359</v>
      </c>
      <c r="AA33" s="7" t="n">
        <f aca="false">'[3]Long Term Deals'!$Z32</f>
        <v>-34895.0629697055</v>
      </c>
      <c r="AB33" s="70" t="n">
        <f aca="false">-Z33+AA33+Y33+W33-X33</f>
        <v>1149882.62235789</v>
      </c>
      <c r="AC33" s="70" t="n">
        <f aca="false">AB33-Y33</f>
        <v>387315.479318863</v>
      </c>
      <c r="AD33" s="70" t="n">
        <f aca="false">AC33+Z33-AA33+X33</f>
        <v>555516.544536082</v>
      </c>
      <c r="AE33" s="13" t="n">
        <f aca="false">(W33-Z33+AA33)/(B33+C33+D33)/'Prices&amp;Fuel'!H33</f>
        <v>0.0968123203663971</v>
      </c>
      <c r="AF33" s="1" t="n">
        <v>132000</v>
      </c>
      <c r="AG33" s="7" t="n">
        <f aca="false">((((I33*'Prices&amp;Fuel'!B33+'Prices&amp;Fuel'!C33*FPL!J33+FPL!K33*'Prices&amp;Fuel'!D33))+(L33*'Prices&amp;Fuel'!B33+'Prices&amp;Fuel'!C33*FPL!M33))*'Prices&amp;Fuel'!H33)+(I33+J33+K33)*'Prices&amp;Fuel'!H33*FPL!T33+Q33/2</f>
        <v>7717267.17510309</v>
      </c>
      <c r="AH33" s="7" t="n">
        <f aca="false">(N33*'Prices&amp;Fuel'!B33+'Prices&amp;Fuel'!C33*O33+P33*'Prices&amp;Fuel'!D33)*'Prices&amp;Fuel'!H33+(N33+O33+P33)*'Prices&amp;Fuel'!H33*FPL!T33+Q33/2</f>
        <v>3017378.33180412</v>
      </c>
      <c r="AI33" s="7" t="n">
        <f aca="false">R33*'Prices&amp;Fuel'!H33*'Prices&amp;Fuel'!Q33</f>
        <v>195817.33</v>
      </c>
      <c r="AJ33" s="55" t="n">
        <f aca="false">SUM(AG33:AI33)-'Long Term Deals'!AZ33</f>
        <v>0</v>
      </c>
    </row>
    <row r="34" customFormat="false" ht="11.25" hidden="false" customHeight="false" outlineLevel="0" collapsed="false">
      <c r="A34" s="6" t="n">
        <f aca="false">+A33+365/12</f>
        <v>36631.0833333333</v>
      </c>
      <c r="B34" s="7" t="n">
        <f aca="false">'Long Term Deals'!AF34</f>
        <v>58756.8291928667</v>
      </c>
      <c r="C34" s="7" t="n">
        <f aca="false">'Long Term Deals'!AG34</f>
        <v>0</v>
      </c>
      <c r="D34" s="7" t="n">
        <f aca="false">'Long Term Deals'!AH34</f>
        <v>77311.6173590352</v>
      </c>
      <c r="E34" s="7" t="n">
        <f aca="false">'Long Term Deals'!AI34</f>
        <v>0</v>
      </c>
      <c r="F34" s="7" t="n">
        <f aca="false">'Long Term Deals'!AJ34</f>
        <v>0</v>
      </c>
      <c r="G34" s="7" t="n">
        <f aca="false">'Long Term Deals'!AK34</f>
        <v>0</v>
      </c>
      <c r="H34" s="7" t="n">
        <f aca="false">'Long Term Deals'!AL34</f>
        <v>0</v>
      </c>
      <c r="I34" s="7" t="n">
        <f aca="false">'Long Term Deals'!AM34</f>
        <v>0</v>
      </c>
      <c r="J34" s="7" t="n">
        <f aca="false">'Long Term Deals'!AN34</f>
        <v>0</v>
      </c>
      <c r="K34" s="7" t="n">
        <f aca="false">'Long Term Deals'!AO34</f>
        <v>37649</v>
      </c>
      <c r="L34" s="7" t="n">
        <f aca="false">'Long Term Deals'!AP34</f>
        <v>58756.8291928667</v>
      </c>
      <c r="M34" s="7" t="n">
        <f aca="false">'Long Term Deals'!AQ34</f>
        <v>0</v>
      </c>
      <c r="N34" s="7" t="n">
        <f aca="false">'Long Term Deals'!AR34</f>
        <v>0</v>
      </c>
      <c r="O34" s="7" t="n">
        <f aca="false">'Long Term Deals'!AS34</f>
        <v>0</v>
      </c>
      <c r="P34" s="7" t="n">
        <f aca="false">'Long Term Deals'!AT34</f>
        <v>37648.5840257018</v>
      </c>
      <c r="Q34" s="7" t="n">
        <f aca="false">'Long Term Deals'!AU34</f>
        <v>0</v>
      </c>
      <c r="R34" s="7" t="n">
        <f aca="false">'Long Term Deals'!AV34</f>
        <v>2014.03333333333</v>
      </c>
      <c r="S34" s="68" t="n">
        <f aca="false">'Long Term Deals'!AW34</f>
        <v>0.12</v>
      </c>
      <c r="T34" s="68" t="n">
        <f aca="false">'Long Term Deals'!AX34</f>
        <v>0.025</v>
      </c>
      <c r="U34" s="7" t="n">
        <f aca="false">'Long Term Deals'!AY34</f>
        <v>12216472.5286053</v>
      </c>
      <c r="V34" s="7" t="n">
        <f aca="false">'Long Term Deals'!AZ34</f>
        <v>11665852.8729992</v>
      </c>
      <c r="W34" s="5" t="n">
        <f aca="false">U34-V34</f>
        <v>550619.655606123</v>
      </c>
      <c r="X34" s="5" t="n">
        <f aca="false">'Long Term Deals'!CA34</f>
        <v>20410.2669827853</v>
      </c>
      <c r="Y34" s="71" t="n">
        <f aca="false">[4]Sheet1!$AL75</f>
        <v>737968.202940993</v>
      </c>
      <c r="Z34" s="7" t="n">
        <f aca="false">[2]Sheet1!$O45</f>
        <v>108593.437492605</v>
      </c>
      <c r="AA34" s="7" t="n">
        <f aca="false">'[3]Long Term Deals'!$Z33</f>
        <v>-33769.4157771343</v>
      </c>
      <c r="AB34" s="70" t="n">
        <f aca="false">-Z34+AA34+Y34+W34-X34</f>
        <v>1125814.73829459</v>
      </c>
      <c r="AC34" s="70" t="n">
        <f aca="false">AB34-Y34</f>
        <v>387846.535353598</v>
      </c>
      <c r="AD34" s="70" t="n">
        <f aca="false">AC34+Z34-AA34+X34</f>
        <v>550619.655606123</v>
      </c>
      <c r="AE34" s="13" t="n">
        <f aca="false">(W34-Z34+AA34)/(B34+C34+D34)/'Prices&amp;Fuel'!H34</f>
        <v>0.100012607057203</v>
      </c>
      <c r="AF34" s="1" t="n">
        <v>132000</v>
      </c>
      <c r="AG34" s="7" t="n">
        <f aca="false">((((I34*'Prices&amp;Fuel'!B34+'Prices&amp;Fuel'!C34*FPL!J34+FPL!K34*'Prices&amp;Fuel'!D34))+(L34*'Prices&amp;Fuel'!B34+'Prices&amp;Fuel'!C34*FPL!M34))*'Prices&amp;Fuel'!H34)+(I34+J34+K34)*'Prices&amp;Fuel'!H34*FPL!T34+Q34/2</f>
        <v>8259640.4459901</v>
      </c>
      <c r="AH34" s="7" t="n">
        <f aca="false">(N34*'Prices&amp;Fuel'!B34+'Prices&amp;Fuel'!C34*O34+P34*'Prices&amp;Fuel'!D34)*'Prices&amp;Fuel'!H34+(N34+O34+P34)*'Prices&amp;Fuel'!H34*FPL!T34+Q34/2</f>
        <v>3235895.79700907</v>
      </c>
      <c r="AI34" s="7" t="n">
        <f aca="false">R34*'Prices&amp;Fuel'!H34*'Prices&amp;Fuel'!Q34</f>
        <v>170316.63</v>
      </c>
      <c r="AJ34" s="55" t="n">
        <f aca="false">SUM(AG34:AI34)-'Long Term Deals'!AZ34</f>
        <v>0</v>
      </c>
    </row>
    <row r="35" customFormat="false" ht="11.25" hidden="false" customHeight="false" outlineLevel="0" collapsed="false">
      <c r="A35" s="6" t="n">
        <f aca="false">+A34+365/12</f>
        <v>36661.5</v>
      </c>
      <c r="B35" s="7" t="n">
        <f aca="false">'Long Term Deals'!AF35</f>
        <v>155670.103092784</v>
      </c>
      <c r="C35" s="7" t="n">
        <f aca="false">'Long Term Deals'!AG35</f>
        <v>0</v>
      </c>
      <c r="D35" s="7" t="n">
        <f aca="false">'Long Term Deals'!AH35</f>
        <v>77319.587628866</v>
      </c>
      <c r="E35" s="7" t="n">
        <f aca="false">'Long Term Deals'!AI35</f>
        <v>0</v>
      </c>
      <c r="F35" s="7" t="n">
        <f aca="false">'Long Term Deals'!AJ35</f>
        <v>0</v>
      </c>
      <c r="G35" s="7" t="n">
        <f aca="false">'Long Term Deals'!AK35</f>
        <v>0</v>
      </c>
      <c r="H35" s="7" t="n">
        <f aca="false">'Long Term Deals'!AL35</f>
        <v>0</v>
      </c>
      <c r="I35" s="7" t="n">
        <f aca="false">'Long Term Deals'!AM35</f>
        <v>37835</v>
      </c>
      <c r="J35" s="7" t="n">
        <f aca="false">'Long Term Deals'!AN35</f>
        <v>0</v>
      </c>
      <c r="K35" s="7" t="n">
        <f aca="false">'Long Term Deals'!AO35</f>
        <v>37753</v>
      </c>
      <c r="L35" s="7" t="n">
        <f aca="false">'Long Term Deals'!AP35</f>
        <v>80000</v>
      </c>
      <c r="M35" s="7" t="n">
        <f aca="false">'Long Term Deals'!AQ35</f>
        <v>0</v>
      </c>
      <c r="N35" s="7" t="n">
        <f aca="false">'Long Term Deals'!AR35</f>
        <v>37835.1030927835</v>
      </c>
      <c r="O35" s="7" t="n">
        <f aca="false">'Long Term Deals'!AS35</f>
        <v>0</v>
      </c>
      <c r="P35" s="7" t="n">
        <f aca="false">'Long Term Deals'!AT35</f>
        <v>37752.8134353176</v>
      </c>
      <c r="Q35" s="7" t="n">
        <f aca="false">'Long Term Deals'!AU35</f>
        <v>0</v>
      </c>
      <c r="R35" s="7" t="n">
        <f aca="false">'Long Term Deals'!AV35</f>
        <v>1813.77419354839</v>
      </c>
      <c r="S35" s="68" t="n">
        <f aca="false">'Long Term Deals'!AW35</f>
        <v>0.12</v>
      </c>
      <c r="T35" s="68" t="n">
        <f aca="false">'Long Term Deals'!AX35</f>
        <v>0.025</v>
      </c>
      <c r="U35" s="7" t="n">
        <f aca="false">'Long Term Deals'!AY35</f>
        <v>22919546.3917526</v>
      </c>
      <c r="V35" s="7" t="n">
        <f aca="false">'Long Term Deals'!AZ35</f>
        <v>22097206.0910825</v>
      </c>
      <c r="W35" s="5" t="n">
        <f aca="false">U35-V35</f>
        <v>822340.300670106</v>
      </c>
      <c r="X35" s="5" t="n">
        <f aca="false">'Long Term Deals'!CA35</f>
        <v>36113.4020618557</v>
      </c>
      <c r="Y35" s="71" t="n">
        <f aca="false">[4]Sheet1!$AL76</f>
        <v>762567.143039026</v>
      </c>
      <c r="Z35" s="7" t="n">
        <f aca="false">[2]Sheet1!$O46</f>
        <v>192122.63208919</v>
      </c>
      <c r="AA35" s="7" t="n">
        <f aca="false">'[3]Long Term Deals'!$Z34</f>
        <v>-43972.9018835931</v>
      </c>
      <c r="AB35" s="70" t="n">
        <f aca="false">-Z35+AA35+Y35+W35-X35</f>
        <v>1312698.50767449</v>
      </c>
      <c r="AC35" s="70" t="n">
        <f aca="false">AB35-Y35</f>
        <v>550131.364635467</v>
      </c>
      <c r="AD35" s="70" t="n">
        <f aca="false">AC35+Z35-AA35+X35</f>
        <v>822340.300670106</v>
      </c>
      <c r="AE35" s="13" t="n">
        <f aca="false">(W35-Z35+AA35)/(B35+C35+D35)/'Prices&amp;Fuel'!H35</f>
        <v>0.0811672029255499</v>
      </c>
      <c r="AF35" s="1" t="n">
        <v>226000</v>
      </c>
      <c r="AG35" s="7" t="n">
        <f aca="false">((((I35*'Prices&amp;Fuel'!B35+'Prices&amp;Fuel'!C35*FPL!J35+FPL!K35*'Prices&amp;Fuel'!D35))+(L35*'Prices&amp;Fuel'!B35+'Prices&amp;Fuel'!C35*FPL!M35))*'Prices&amp;Fuel'!H35)+(I35+J35+K35)*'Prices&amp;Fuel'!H35*FPL!T35+Q35/2</f>
        <v>14732897.25</v>
      </c>
      <c r="AH35" s="7" t="n">
        <f aca="false">(N35*'Prices&amp;Fuel'!B35+'Prices&amp;Fuel'!C35*O35+P35*'Prices&amp;Fuel'!D35)*'Prices&amp;Fuel'!H35+(N35+O35+P35)*'Prices&amp;Fuel'!H35*FPL!T35+Q35/2</f>
        <v>7193689.26108248</v>
      </c>
      <c r="AI35" s="7" t="n">
        <f aca="false">R35*'Prices&amp;Fuel'!H35*'Prices&amp;Fuel'!Q35</f>
        <v>170619.58</v>
      </c>
      <c r="AJ35" s="55" t="n">
        <f aca="false">SUM(AG35:AI35)-'Long Term Deals'!AZ35</f>
        <v>0</v>
      </c>
    </row>
    <row r="36" customFormat="false" ht="11.25" hidden="false" customHeight="false" outlineLevel="0" collapsed="false">
      <c r="A36" s="6" t="n">
        <f aca="false">+A35+365/12</f>
        <v>36691.9166666667</v>
      </c>
      <c r="B36" s="7" t="n">
        <f aca="false">'Long Term Deals'!AF36</f>
        <v>155654.056282857</v>
      </c>
      <c r="C36" s="7" t="n">
        <f aca="false">'Long Term Deals'!AG36</f>
        <v>0</v>
      </c>
      <c r="D36" s="7" t="n">
        <f aca="false">'Long Term Deals'!AH36</f>
        <v>77311.6173590352</v>
      </c>
      <c r="E36" s="7" t="n">
        <f aca="false">'Long Term Deals'!AI36</f>
        <v>0</v>
      </c>
      <c r="F36" s="7" t="n">
        <f aca="false">'Long Term Deals'!AJ36</f>
        <v>0</v>
      </c>
      <c r="G36" s="7" t="n">
        <f aca="false">'Long Term Deals'!AK36</f>
        <v>0</v>
      </c>
      <c r="H36" s="7" t="n">
        <f aca="false">'Long Term Deals'!AL36</f>
        <v>0</v>
      </c>
      <c r="I36" s="7" t="n">
        <f aca="false">'Long Term Deals'!AM36</f>
        <v>37827</v>
      </c>
      <c r="J36" s="7" t="n">
        <f aca="false">'Long Term Deals'!AN36</f>
        <v>0</v>
      </c>
      <c r="K36" s="7" t="n">
        <f aca="false">'Long Term Deals'!AO36</f>
        <v>37663</v>
      </c>
      <c r="L36" s="7" t="n">
        <f aca="false">'Long Term Deals'!AP36</f>
        <v>80000</v>
      </c>
      <c r="M36" s="7" t="n">
        <f aca="false">'Long Term Deals'!AQ36</f>
        <v>0</v>
      </c>
      <c r="N36" s="7" t="n">
        <f aca="false">'Long Term Deals'!AR36</f>
        <v>37827.0562828574</v>
      </c>
      <c r="O36" s="7" t="n">
        <f aca="false">'Long Term Deals'!AS36</f>
        <v>0</v>
      </c>
      <c r="P36" s="7" t="n">
        <f aca="false">'Long Term Deals'!AT36</f>
        <v>37662.0840257018</v>
      </c>
      <c r="Q36" s="7" t="n">
        <f aca="false">'Long Term Deals'!AU36</f>
        <v>0</v>
      </c>
      <c r="R36" s="7" t="n">
        <f aca="false">'Long Term Deals'!AV36</f>
        <v>1986.53333333333</v>
      </c>
      <c r="S36" s="68" t="n">
        <f aca="false">'Long Term Deals'!AW36</f>
        <v>0.12</v>
      </c>
      <c r="T36" s="68" t="n">
        <f aca="false">'Long Term Deals'!AX36</f>
        <v>0.025</v>
      </c>
      <c r="U36" s="7" t="n">
        <f aca="false">'Long Term Deals'!AY36</f>
        <v>31333470.7762086</v>
      </c>
      <c r="V36" s="7" t="n">
        <f aca="false">'Long Term Deals'!AZ36</f>
        <v>30483828.3002907</v>
      </c>
      <c r="W36" s="5" t="n">
        <f aca="false">U36-V36</f>
        <v>849642.475917947</v>
      </c>
      <c r="X36" s="5" t="n">
        <f aca="false">'Long Term Deals'!CA36</f>
        <v>34944.8510462839</v>
      </c>
      <c r="Y36" s="71" t="n">
        <f aca="false">[4]Sheet1!$AL77</f>
        <v>737968.202940993</v>
      </c>
      <c r="Z36" s="7" t="n">
        <f aca="false">[2]Sheet1!$O47</f>
        <v>185925.127828249</v>
      </c>
      <c r="AA36" s="7" t="n">
        <f aca="false">'[3]Long Term Deals'!$Z35</f>
        <v>-42554.4211776707</v>
      </c>
      <c r="AB36" s="70" t="n">
        <f aca="false">-Z36+AA36+Y36+W36-X36</f>
        <v>1324186.27880674</v>
      </c>
      <c r="AC36" s="70" t="n">
        <f aca="false">AB36-Y36</f>
        <v>586218.075865743</v>
      </c>
      <c r="AD36" s="70" t="n">
        <f aca="false">AC36+Z36-AA36+X36</f>
        <v>849642.475917947</v>
      </c>
      <c r="AE36" s="13" t="n">
        <f aca="false">(W36-Z36+AA36)/(B36+C36+D36)/'Prices&amp;Fuel'!H36</f>
        <v>0.0888776040409082</v>
      </c>
      <c r="AF36" s="1" t="n">
        <v>226000</v>
      </c>
      <c r="AG36" s="7" t="n">
        <f aca="false">((((I36*'Prices&amp;Fuel'!B36+'Prices&amp;Fuel'!C36*FPL!J36+FPL!K36*'Prices&amp;Fuel'!D36))+(L36*'Prices&amp;Fuel'!B36+'Prices&amp;Fuel'!C36*FPL!M36))*'Prices&amp;Fuel'!H36)+(I36+J36+K36)*'Prices&amp;Fuel'!H36*FPL!T36+Q36/2</f>
        <v>20336763.6</v>
      </c>
      <c r="AH36" s="7" t="n">
        <f aca="false">(N36*'Prices&amp;Fuel'!B36+'Prices&amp;Fuel'!C36*O36+P36*'Prices&amp;Fuel'!D36)*'Prices&amp;Fuel'!H36+(N36+O36+P36)*'Prices&amp;Fuel'!H36*FPL!T36+Q36/2</f>
        <v>9896651.04029069</v>
      </c>
      <c r="AI36" s="7" t="n">
        <f aca="false">R36*'Prices&amp;Fuel'!H36*'Prices&amp;Fuel'!Q36</f>
        <v>250413.66</v>
      </c>
      <c r="AJ36" s="55" t="n">
        <f aca="false">SUM(AG36:AI36)-'Long Term Deals'!AZ36</f>
        <v>0</v>
      </c>
    </row>
    <row r="37" customFormat="false" ht="11.25" hidden="false" customHeight="false" outlineLevel="0" collapsed="false">
      <c r="A37" s="6" t="n">
        <f aca="false">+A36+365/12</f>
        <v>36722.3333333333</v>
      </c>
      <c r="B37" s="7" t="n">
        <f aca="false">'Long Term Deals'!AF37</f>
        <v>155654.056282857</v>
      </c>
      <c r="C37" s="7" t="n">
        <f aca="false">'Long Term Deals'!AG37</f>
        <v>0</v>
      </c>
      <c r="D37" s="7" t="n">
        <f aca="false">'Long Term Deals'!AH37</f>
        <v>77311.6173590352</v>
      </c>
      <c r="E37" s="7" t="n">
        <f aca="false">'Long Term Deals'!AI37</f>
        <v>0</v>
      </c>
      <c r="F37" s="7" t="n">
        <f aca="false">'Long Term Deals'!AJ37</f>
        <v>0</v>
      </c>
      <c r="G37" s="7" t="n">
        <f aca="false">'Long Term Deals'!AK37</f>
        <v>0</v>
      </c>
      <c r="H37" s="7" t="n">
        <f aca="false">'Long Term Deals'!AL37</f>
        <v>0</v>
      </c>
      <c r="I37" s="7" t="n">
        <f aca="false">'Long Term Deals'!AM37</f>
        <v>37827</v>
      </c>
      <c r="J37" s="7" t="n">
        <f aca="false">'Long Term Deals'!AN37</f>
        <v>0</v>
      </c>
      <c r="K37" s="7" t="n">
        <f aca="false">'Long Term Deals'!AO37</f>
        <v>37844</v>
      </c>
      <c r="L37" s="7" t="n">
        <f aca="false">'Long Term Deals'!AP37</f>
        <v>80000</v>
      </c>
      <c r="M37" s="7" t="n">
        <f aca="false">'Long Term Deals'!AQ37</f>
        <v>0</v>
      </c>
      <c r="N37" s="7" t="n">
        <f aca="false">'Long Term Deals'!AR37</f>
        <v>37827.0562828574</v>
      </c>
      <c r="O37" s="7" t="n">
        <f aca="false">'Long Term Deals'!AS37</f>
        <v>0</v>
      </c>
      <c r="P37" s="7" t="n">
        <f aca="false">'Long Term Deals'!AT37</f>
        <v>37844.5205848416</v>
      </c>
      <c r="Q37" s="7" t="n">
        <f aca="false">'Long Term Deals'!AU37</f>
        <v>0</v>
      </c>
      <c r="R37" s="7" t="n">
        <f aca="false">'Long Term Deals'!AV37</f>
        <v>1623.09677419355</v>
      </c>
      <c r="S37" s="68" t="n">
        <f aca="false">'Long Term Deals'!AW37</f>
        <v>0.12</v>
      </c>
      <c r="T37" s="68" t="n">
        <f aca="false">'Long Term Deals'!AX37</f>
        <v>0.025</v>
      </c>
      <c r="U37" s="7" t="n">
        <f aca="false">'Long Term Deals'!AY37</f>
        <v>32305700.4432533</v>
      </c>
      <c r="V37" s="7" t="n">
        <f aca="false">'Long Term Deals'!AZ37</f>
        <v>31427166.5074714</v>
      </c>
      <c r="W37" s="5" t="n">
        <f aca="false">U37-V37</f>
        <v>878533.93578187</v>
      </c>
      <c r="X37" s="5" t="n">
        <f aca="false">'Long Term Deals'!CA37</f>
        <v>36109.6794144934</v>
      </c>
      <c r="Y37" s="71" t="n">
        <f aca="false">[4]Sheet1!$AL78</f>
        <v>762567.143039026</v>
      </c>
      <c r="Z37" s="7" t="n">
        <f aca="false">[2]Sheet1!$O48</f>
        <v>192122.63208919</v>
      </c>
      <c r="AA37" s="7" t="n">
        <f aca="false">'[3]Long Term Deals'!$Z36</f>
        <v>-43972.9018835931</v>
      </c>
      <c r="AB37" s="70" t="n">
        <f aca="false">-Z37+AA37+Y37+W37-X37</f>
        <v>1368895.86543362</v>
      </c>
      <c r="AC37" s="70" t="n">
        <f aca="false">AB37-Y37</f>
        <v>606328.722394593</v>
      </c>
      <c r="AD37" s="70" t="n">
        <f aca="false">AC37+Z37-AA37+X37</f>
        <v>878533.93578187</v>
      </c>
      <c r="AE37" s="13" t="n">
        <f aca="false">(W37-Z37+AA37)/(B37+C37+D37)/'Prices&amp;Fuel'!H37</f>
        <v>0.0889565363395654</v>
      </c>
      <c r="AF37" s="1" t="n">
        <v>226000</v>
      </c>
      <c r="AG37" s="7" t="n">
        <f aca="false">((((I37*'Prices&amp;Fuel'!B37+'Prices&amp;Fuel'!C37*FPL!J37+FPL!K37*'Prices&amp;Fuel'!D37))+(L37*'Prices&amp;Fuel'!B37+'Prices&amp;Fuel'!C37*FPL!M37))*'Prices&amp;Fuel'!H37)+(I37+J37+K37)*'Prices&amp;Fuel'!H37*FPL!T37+Q37/2</f>
        <v>20990889.725</v>
      </c>
      <c r="AH37" s="7" t="n">
        <f aca="false">(N37*'Prices&amp;Fuel'!B37+'Prices&amp;Fuel'!C37*O37+P37*'Prices&amp;Fuel'!D37)*'Prices&amp;Fuel'!H37+(N37+O37+P37)*'Prices&amp;Fuel'!H37*FPL!T37+Q37/2</f>
        <v>10227767.6224714</v>
      </c>
      <c r="AI37" s="7" t="n">
        <f aca="false">R37*'Prices&amp;Fuel'!H37*'Prices&amp;Fuel'!Q37</f>
        <v>208509.16</v>
      </c>
      <c r="AJ37" s="55" t="n">
        <f aca="false">SUM(AG37:AI37)-'Long Term Deals'!AZ37</f>
        <v>0</v>
      </c>
    </row>
    <row r="38" customFormat="false" ht="11.25" hidden="false" customHeight="false" outlineLevel="0" collapsed="false">
      <c r="A38" s="6" t="n">
        <f aca="false">+A37+365/12</f>
        <v>36752.75</v>
      </c>
      <c r="B38" s="7" t="n">
        <f aca="false">'Long Term Deals'!AF38</f>
        <v>155654.056282857</v>
      </c>
      <c r="C38" s="7" t="n">
        <f aca="false">'Long Term Deals'!AG38</f>
        <v>0</v>
      </c>
      <c r="D38" s="7" t="n">
        <f aca="false">'Long Term Deals'!AH38</f>
        <v>77311.6173590352</v>
      </c>
      <c r="E38" s="7" t="n">
        <f aca="false">'Long Term Deals'!AI38</f>
        <v>0</v>
      </c>
      <c r="F38" s="7" t="n">
        <f aca="false">'Long Term Deals'!AJ38</f>
        <v>0</v>
      </c>
      <c r="G38" s="7" t="n">
        <f aca="false">'Long Term Deals'!AK38</f>
        <v>0</v>
      </c>
      <c r="H38" s="7" t="n">
        <f aca="false">'Long Term Deals'!AL38</f>
        <v>0</v>
      </c>
      <c r="I38" s="7" t="n">
        <f aca="false">'Long Term Deals'!AM38</f>
        <v>37827</v>
      </c>
      <c r="J38" s="7" t="n">
        <f aca="false">'Long Term Deals'!AN38</f>
        <v>0</v>
      </c>
      <c r="K38" s="7" t="n">
        <f aca="false">'Long Term Deals'!AO38</f>
        <v>37860</v>
      </c>
      <c r="L38" s="7" t="n">
        <f aca="false">'Long Term Deals'!AP38</f>
        <v>80000</v>
      </c>
      <c r="M38" s="7" t="n">
        <f aca="false">'Long Term Deals'!AQ38</f>
        <v>0</v>
      </c>
      <c r="N38" s="7" t="n">
        <f aca="false">'Long Term Deals'!AR38</f>
        <v>37827.0562828574</v>
      </c>
      <c r="O38" s="7" t="n">
        <f aca="false">'Long Term Deals'!AS38</f>
        <v>0</v>
      </c>
      <c r="P38" s="7" t="n">
        <f aca="false">'Long Term Deals'!AT38</f>
        <v>37859.9399396803</v>
      </c>
      <c r="Q38" s="7" t="n">
        <f aca="false">'Long Term Deals'!AU38</f>
        <v>0</v>
      </c>
      <c r="R38" s="7" t="n">
        <f aca="false">'Long Term Deals'!AV38</f>
        <v>1591.67741935484</v>
      </c>
      <c r="S38" s="68" t="n">
        <f aca="false">'Long Term Deals'!AW38</f>
        <v>0.12</v>
      </c>
      <c r="T38" s="68" t="n">
        <f aca="false">'Long Term Deals'!AX38</f>
        <v>0.025</v>
      </c>
      <c r="U38" s="7" t="n">
        <f aca="false">'Long Term Deals'!AY38</f>
        <v>28405855.066488</v>
      </c>
      <c r="V38" s="7" t="n">
        <f aca="false">'Long Term Deals'!AZ38</f>
        <v>27533505.4007061</v>
      </c>
      <c r="W38" s="5" t="n">
        <f aca="false">U38-V38</f>
        <v>872349.665781882</v>
      </c>
      <c r="X38" s="5" t="n">
        <f aca="false">'Long Term Deals'!CA38</f>
        <v>36109.6794144934</v>
      </c>
      <c r="Y38" s="71" t="n">
        <f aca="false">[4]Sheet1!$AL79</f>
        <v>762567.143039026</v>
      </c>
      <c r="Z38" s="7" t="n">
        <f aca="false">[2]Sheet1!$O49</f>
        <v>192122.63208919</v>
      </c>
      <c r="AA38" s="7" t="n">
        <f aca="false">'[3]Long Term Deals'!$Z37</f>
        <v>-43972.9018835931</v>
      </c>
      <c r="AB38" s="70" t="n">
        <f aca="false">-Z38+AA38+Y38+W38-X38</f>
        <v>1362711.59543363</v>
      </c>
      <c r="AC38" s="70" t="n">
        <f aca="false">AB38-Y38</f>
        <v>600144.452394605</v>
      </c>
      <c r="AD38" s="70" t="n">
        <f aca="false">AC38+Z38-AA38+X38</f>
        <v>872349.665781882</v>
      </c>
      <c r="AE38" s="13" t="n">
        <f aca="false">(W38-Z38+AA38)/(B38+C38+D38)/'Prices&amp;Fuel'!H38</f>
        <v>0.0881002188507003</v>
      </c>
      <c r="AF38" s="1" t="n">
        <v>226000</v>
      </c>
      <c r="AG38" s="7" t="n">
        <f aca="false">((((I38*'Prices&amp;Fuel'!B38+'Prices&amp;Fuel'!C38*FPL!J38+FPL!K38*'Prices&amp;Fuel'!D38))+(L38*'Prices&amp;Fuel'!B38+'Prices&amp;Fuel'!C38*FPL!M38))*'Prices&amp;Fuel'!H38)+(I38+J38+K38)*'Prices&amp;Fuel'!H38*FPL!T38+Q38/2</f>
        <v>18386849.425</v>
      </c>
      <c r="AH38" s="7" t="n">
        <f aca="false">(N38*'Prices&amp;Fuel'!B38+'Prices&amp;Fuel'!C38*O38+P38*'Prices&amp;Fuel'!D38)*'Prices&amp;Fuel'!H38+(N38+O38+P38)*'Prices&amp;Fuel'!H38*FPL!T38+Q38/2</f>
        <v>8962848.99570611</v>
      </c>
      <c r="AI38" s="7" t="n">
        <f aca="false">R38*'Prices&amp;Fuel'!H38*'Prices&amp;Fuel'!Q38</f>
        <v>183806.98</v>
      </c>
      <c r="AJ38" s="55" t="n">
        <f aca="false">SUM(AG38:AI38)-'Long Term Deals'!AZ38</f>
        <v>0</v>
      </c>
    </row>
    <row r="39" customFormat="false" ht="11.25" hidden="false" customHeight="false" outlineLevel="0" collapsed="false">
      <c r="A39" s="6" t="n">
        <f aca="false">+A38+365/12</f>
        <v>36783.1666666667</v>
      </c>
      <c r="B39" s="7" t="n">
        <f aca="false">'Long Term Deals'!AF39</f>
        <v>155654.056282857</v>
      </c>
      <c r="C39" s="7" t="n">
        <f aca="false">'Long Term Deals'!AG39</f>
        <v>0</v>
      </c>
      <c r="D39" s="7" t="n">
        <f aca="false">'Long Term Deals'!AH39</f>
        <v>77311.6173590352</v>
      </c>
      <c r="E39" s="7" t="n">
        <f aca="false">'Long Term Deals'!AI39</f>
        <v>0</v>
      </c>
      <c r="F39" s="7" t="n">
        <f aca="false">'Long Term Deals'!AJ39</f>
        <v>0</v>
      </c>
      <c r="G39" s="7" t="n">
        <f aca="false">'Long Term Deals'!AK39</f>
        <v>0</v>
      </c>
      <c r="H39" s="7" t="n">
        <f aca="false">'Long Term Deals'!AL39</f>
        <v>0</v>
      </c>
      <c r="I39" s="7" t="n">
        <f aca="false">'Long Term Deals'!AM39</f>
        <v>37827</v>
      </c>
      <c r="J39" s="7" t="n">
        <f aca="false">'Long Term Deals'!AN39</f>
        <v>0</v>
      </c>
      <c r="K39" s="7" t="n">
        <f aca="false">'Long Term Deals'!AO39</f>
        <v>37879</v>
      </c>
      <c r="L39" s="7" t="n">
        <f aca="false">'Long Term Deals'!AP39</f>
        <v>80000</v>
      </c>
      <c r="M39" s="7" t="n">
        <f aca="false">'Long Term Deals'!AQ39</f>
        <v>0</v>
      </c>
      <c r="N39" s="7" t="n">
        <f aca="false">'Long Term Deals'!AR39</f>
        <v>37827.0562828574</v>
      </c>
      <c r="O39" s="7" t="n">
        <f aca="false">'Long Term Deals'!AS39</f>
        <v>0</v>
      </c>
      <c r="P39" s="7" t="n">
        <f aca="false">'Long Term Deals'!AT39</f>
        <v>37878.0173590352</v>
      </c>
      <c r="Q39" s="7" t="n">
        <f aca="false">'Long Term Deals'!AU39</f>
        <v>0</v>
      </c>
      <c r="R39" s="7" t="n">
        <f aca="false">'Long Term Deals'!AV39</f>
        <v>1554.6</v>
      </c>
      <c r="S39" s="68" t="n">
        <f aca="false">'Long Term Deals'!AW39</f>
        <v>0.12</v>
      </c>
      <c r="T39" s="68" t="n">
        <f aca="false">'Long Term Deals'!AX39</f>
        <v>0.025</v>
      </c>
      <c r="U39" s="7" t="n">
        <f aca="false">'Long Term Deals'!AY39</f>
        <v>32917740.43913</v>
      </c>
      <c r="V39" s="7" t="n">
        <f aca="false">'Long Term Deals'!AZ39</f>
        <v>32117383.0836275</v>
      </c>
      <c r="W39" s="5" t="n">
        <f aca="false">U39-V39</f>
        <v>800357.355502524</v>
      </c>
      <c r="X39" s="5" t="n">
        <f aca="false">'Long Term Deals'!CA39</f>
        <v>34944.8510462839</v>
      </c>
      <c r="Y39" s="71" t="n">
        <f aca="false">[4]Sheet1!$AL80</f>
        <v>737968.202940993</v>
      </c>
      <c r="Z39" s="7" t="n">
        <f aca="false">[2]Sheet1!$O50</f>
        <v>185925.127828249</v>
      </c>
      <c r="AA39" s="7" t="n">
        <f aca="false">'[3]Long Term Deals'!$Z38</f>
        <v>-42554.4211776707</v>
      </c>
      <c r="AB39" s="70" t="n">
        <f aca="false">-Z39+AA39+Y39+W39-X39</f>
        <v>1274901.15839131</v>
      </c>
      <c r="AC39" s="70" t="n">
        <f aca="false">AB39-Y39</f>
        <v>536932.95545032</v>
      </c>
      <c r="AD39" s="70" t="n">
        <f aca="false">AC39+Z39-AA39+X39</f>
        <v>800357.355502524</v>
      </c>
      <c r="AE39" s="13" t="n">
        <f aca="false">(W39-Z39+AA39)/(B39+C39+D39)/'Prices&amp;Fuel'!H39</f>
        <v>0.0818257610740937</v>
      </c>
      <c r="AF39" s="1" t="n">
        <v>226000</v>
      </c>
      <c r="AG39" s="7" t="n">
        <f aca="false">((((I39*'Prices&amp;Fuel'!B39+'Prices&amp;Fuel'!C39*FPL!J39+FPL!K39*'Prices&amp;Fuel'!D39))+(L39*'Prices&amp;Fuel'!B39+'Prices&amp;Fuel'!C39*FPL!M39))*'Prices&amp;Fuel'!H39)+(I39+J39+K39)*'Prices&amp;Fuel'!H39*FPL!T39+Q39/2</f>
        <v>21450783.9</v>
      </c>
      <c r="AH39" s="7" t="n">
        <f aca="false">(N39*'Prices&amp;Fuel'!B39+'Prices&amp;Fuel'!C39*O39+P39*'Prices&amp;Fuel'!D39)*'Prices&amp;Fuel'!H39+(N39+O39+P39)*'Prices&amp;Fuel'!H39*FPL!T39+Q39/2</f>
        <v>10458655.9236275</v>
      </c>
      <c r="AI39" s="7" t="n">
        <f aca="false">R39*'Prices&amp;Fuel'!H39*'Prices&amp;Fuel'!Q39</f>
        <v>207943.26</v>
      </c>
      <c r="AJ39" s="55" t="n">
        <f aca="false">SUM(AG39:AI39)-'Long Term Deals'!AZ39</f>
        <v>0</v>
      </c>
    </row>
    <row r="40" customFormat="false" ht="11.25" hidden="false" customHeight="false" outlineLevel="0" collapsed="false">
      <c r="A40" s="6" t="n">
        <f aca="false">+A39+365/12</f>
        <v>36813.5833333333</v>
      </c>
      <c r="B40" s="7" t="n">
        <f aca="false">'Long Term Deals'!AF40</f>
        <v>58847.8215981829</v>
      </c>
      <c r="C40" s="7" t="n">
        <f aca="false">'Long Term Deals'!AG40</f>
        <v>0</v>
      </c>
      <c r="D40" s="7" t="n">
        <f aca="false">'Long Term Deals'!AH40</f>
        <v>77431.3442081355</v>
      </c>
      <c r="E40" s="7" t="n">
        <f aca="false">'Long Term Deals'!AI40</f>
        <v>0</v>
      </c>
      <c r="F40" s="7" t="n">
        <f aca="false">'Long Term Deals'!AJ40</f>
        <v>0</v>
      </c>
      <c r="G40" s="7" t="n">
        <f aca="false">'Long Term Deals'!AK40</f>
        <v>0</v>
      </c>
      <c r="H40" s="7" t="n">
        <f aca="false">'Long Term Deals'!AL40</f>
        <v>0</v>
      </c>
      <c r="I40" s="7" t="n">
        <f aca="false">'Long Term Deals'!AM40</f>
        <v>0</v>
      </c>
      <c r="J40" s="7" t="n">
        <f aca="false">'Long Term Deals'!AN40</f>
        <v>0</v>
      </c>
      <c r="K40" s="7" t="n">
        <f aca="false">'Long Term Deals'!AO40</f>
        <v>38716</v>
      </c>
      <c r="L40" s="7" t="n">
        <f aca="false">'Long Term Deals'!AP40</f>
        <v>58847.8215981829</v>
      </c>
      <c r="M40" s="7" t="n">
        <f aca="false">'Long Term Deals'!AQ40</f>
        <v>0</v>
      </c>
      <c r="N40" s="7" t="n">
        <f aca="false">'Long Term Deals'!AR40</f>
        <v>0</v>
      </c>
      <c r="O40" s="7" t="n">
        <f aca="false">'Long Term Deals'!AS40</f>
        <v>0</v>
      </c>
      <c r="P40" s="7" t="n">
        <f aca="false">'Long Term Deals'!AT40</f>
        <v>38715.3442081355</v>
      </c>
      <c r="Q40" s="7" t="n">
        <f aca="false">'Long Term Deals'!AU40</f>
        <v>0</v>
      </c>
      <c r="R40" s="7" t="n">
        <f aca="false">'Long Term Deals'!AV40</f>
        <v>0</v>
      </c>
      <c r="S40" s="68" t="n">
        <f aca="false">'Long Term Deals'!AW40</f>
        <v>0.12</v>
      </c>
      <c r="T40" s="68" t="n">
        <f aca="false">'Long Term Deals'!AX40</f>
        <v>0.025</v>
      </c>
      <c r="U40" s="7" t="n">
        <f aca="false">'Long Term Deals'!AY40</f>
        <v>22727679.1245096</v>
      </c>
      <c r="V40" s="7" t="n">
        <f aca="false">'Long Term Deals'!AZ40</f>
        <v>22112703.9025398</v>
      </c>
      <c r="W40" s="5" t="n">
        <f aca="false">U40-V40</f>
        <v>614975.221969854</v>
      </c>
      <c r="X40" s="5" t="n">
        <f aca="false">'Long Term Deals'!CA40</f>
        <v>21123.2706999794</v>
      </c>
      <c r="Y40" s="71" t="n">
        <f aca="false">[4]Sheet1!$AL81</f>
        <v>762567.143039026</v>
      </c>
      <c r="Z40" s="7" t="n">
        <f aca="false">[2]Sheet1!$O51</f>
        <v>112213.218742359</v>
      </c>
      <c r="AA40" s="7" t="n">
        <f aca="false">'[3]Long Term Deals'!$Z39</f>
        <v>-34895.0629697055</v>
      </c>
      <c r="AB40" s="70" t="n">
        <f aca="false">-Z40+AA40+Y40+W40-X40</f>
        <v>1209310.81259684</v>
      </c>
      <c r="AC40" s="70" t="n">
        <f aca="false">AB40-Y40</f>
        <v>446743.66955781</v>
      </c>
      <c r="AD40" s="70" t="n">
        <f aca="false">AC40+Z40-AA40+X40</f>
        <v>614975.221969854</v>
      </c>
      <c r="AE40" s="13" t="n">
        <f aca="false">(W40-Z40+AA40)/(B40+C40+D40)/'Prices&amp;Fuel'!H40</f>
        <v>0.110746803111851</v>
      </c>
      <c r="AF40" s="1" t="n">
        <v>132000</v>
      </c>
      <c r="AG40" s="7" t="n">
        <f aca="false">((((I40*'Prices&amp;Fuel'!B40+'Prices&amp;Fuel'!C40*FPL!J40+FPL!K40*'Prices&amp;Fuel'!D40))+(L40*'Prices&amp;Fuel'!B40+'Prices&amp;Fuel'!C40*FPL!M40))*'Prices&amp;Fuel'!H40)+(I40+J40+K40)*'Prices&amp;Fuel'!H40*FPL!T40+Q40/2</f>
        <v>15817782.511018</v>
      </c>
      <c r="AH40" s="7" t="n">
        <f aca="false">(N40*'Prices&amp;Fuel'!B40+'Prices&amp;Fuel'!C40*O40+P40*'Prices&amp;Fuel'!D40)*'Prices&amp;Fuel'!H40+(N40+O40+P40)*'Prices&amp;Fuel'!H40*FPL!T40+Q40/2</f>
        <v>6294921.39152178</v>
      </c>
      <c r="AI40" s="7" t="n">
        <f aca="false">R40*'Prices&amp;Fuel'!H40*'Prices&amp;Fuel'!Q40</f>
        <v>0</v>
      </c>
      <c r="AJ40" s="55" t="n">
        <f aca="false">SUM(AG40:AI40)-'Long Term Deals'!AZ40</f>
        <v>0</v>
      </c>
    </row>
    <row r="41" customFormat="false" ht="11.25" hidden="false" customHeight="false" outlineLevel="0" collapsed="false">
      <c r="A41" s="6" t="n">
        <f aca="false">+A40+365/12</f>
        <v>36844</v>
      </c>
      <c r="B41" s="7" t="n">
        <f aca="false">'Long Term Deals'!AF41</f>
        <v>58611.8251928021</v>
      </c>
      <c r="C41" s="7" t="n">
        <f aca="false">'Long Term Deals'!AG41</f>
        <v>0</v>
      </c>
      <c r="D41" s="7" t="n">
        <f aca="false">'Long Term Deals'!AH41</f>
        <v>77120.822622108</v>
      </c>
      <c r="E41" s="7" t="n">
        <f aca="false">'Long Term Deals'!AI41</f>
        <v>0</v>
      </c>
      <c r="F41" s="7" t="n">
        <f aca="false">'Long Term Deals'!AJ41</f>
        <v>0</v>
      </c>
      <c r="G41" s="7" t="n">
        <f aca="false">'Long Term Deals'!AK41</f>
        <v>0</v>
      </c>
      <c r="H41" s="7" t="n">
        <f aca="false">'Long Term Deals'!AL41</f>
        <v>0</v>
      </c>
      <c r="I41" s="7" t="n">
        <f aca="false">'Long Term Deals'!AM41</f>
        <v>0</v>
      </c>
      <c r="J41" s="7" t="n">
        <f aca="false">'Long Term Deals'!AN41</f>
        <v>0</v>
      </c>
      <c r="K41" s="7" t="n">
        <f aca="false">'Long Term Deals'!AO41</f>
        <v>38560</v>
      </c>
      <c r="L41" s="7" t="n">
        <f aca="false">'Long Term Deals'!AP41</f>
        <v>58611.8251928021</v>
      </c>
      <c r="M41" s="7" t="n">
        <f aca="false">'Long Term Deals'!AQ41</f>
        <v>0</v>
      </c>
      <c r="N41" s="7" t="n">
        <f aca="false">'Long Term Deals'!AR41</f>
        <v>0</v>
      </c>
      <c r="O41" s="7" t="n">
        <f aca="false">'Long Term Deals'!AS41</f>
        <v>0</v>
      </c>
      <c r="P41" s="7" t="n">
        <f aca="false">'Long Term Deals'!AT41</f>
        <v>38560.822622108</v>
      </c>
      <c r="Q41" s="7" t="n">
        <f aca="false">'Long Term Deals'!AU41</f>
        <v>0</v>
      </c>
      <c r="R41" s="7" t="n">
        <f aca="false">'Long Term Deals'!AV41</f>
        <v>0</v>
      </c>
      <c r="S41" s="68" t="n">
        <f aca="false">'Long Term Deals'!AW41</f>
        <v>0.12</v>
      </c>
      <c r="T41" s="68" t="n">
        <f aca="false">'Long Term Deals'!AX41</f>
        <v>0.025</v>
      </c>
      <c r="U41" s="7" t="n">
        <f aca="false">'Long Term Deals'!AY41</f>
        <v>14879383.033419</v>
      </c>
      <c r="V41" s="7" t="n">
        <f aca="false">'Long Term Deals'!AZ41</f>
        <v>14332904.8843188</v>
      </c>
      <c r="W41" s="5" t="n">
        <f aca="false">U41-V41</f>
        <v>546478.149100257</v>
      </c>
      <c r="X41" s="5" t="n">
        <f aca="false">'Long Term Deals'!CA41</f>
        <v>20359.8971722365</v>
      </c>
      <c r="Y41" s="71" t="n">
        <f aca="false">[4]Sheet1!$AL82</f>
        <v>737968.202940993</v>
      </c>
      <c r="Z41" s="7" t="n">
        <f aca="false">[2]Sheet1!$O52</f>
        <v>108593.437492605</v>
      </c>
      <c r="AA41" s="7" t="n">
        <f aca="false">'[3]Long Term Deals'!$Z40</f>
        <v>-33769.4157771343</v>
      </c>
      <c r="AB41" s="70" t="n">
        <f aca="false">-Z41+AA41+Y41+W41-X41</f>
        <v>1121723.60159927</v>
      </c>
      <c r="AC41" s="70" t="n">
        <f aca="false">AB41-Y41</f>
        <v>383755.398658281</v>
      </c>
      <c r="AD41" s="70" t="n">
        <f aca="false">AC41+Z41-AA41+X41</f>
        <v>546478.149100257</v>
      </c>
      <c r="AE41" s="13" t="n">
        <f aca="false">(W41-Z41+AA41)/(B41+C41+D41)/'Prices&amp;Fuel'!H41</f>
        <v>0.0992429609078732</v>
      </c>
      <c r="AF41" s="1" t="n">
        <v>132000</v>
      </c>
      <c r="AG41" s="7" t="n">
        <f aca="false">((((I41*'Prices&amp;Fuel'!B41+'Prices&amp;Fuel'!C41*FPL!J41+FPL!K41*'Prices&amp;Fuel'!D41))+(L41*'Prices&amp;Fuel'!B41+'Prices&amp;Fuel'!C41*FPL!M41))*'Prices&amp;Fuel'!H41)+(I41+J41+K41)*'Prices&amp;Fuel'!H41*FPL!T41+Q41/2</f>
        <v>10243529.6452442</v>
      </c>
      <c r="AH41" s="7" t="n">
        <f aca="false">(N41*'Prices&amp;Fuel'!B41+'Prices&amp;Fuel'!C41*O41+P41*'Prices&amp;Fuel'!D41)*'Prices&amp;Fuel'!H41+(N41+O41+P41)*'Prices&amp;Fuel'!H41*FPL!T41+Q41/2</f>
        <v>4089375.23907455</v>
      </c>
      <c r="AI41" s="7" t="n">
        <f aca="false">R41*'Prices&amp;Fuel'!H41*'Prices&amp;Fuel'!Q41</f>
        <v>0</v>
      </c>
      <c r="AJ41" s="55" t="n">
        <f aca="false">SUM(AG41:AI41)-'Long Term Deals'!AZ41</f>
        <v>0</v>
      </c>
    </row>
    <row r="42" customFormat="false" ht="11.25" hidden="false" customHeight="false" outlineLevel="0" collapsed="false">
      <c r="A42" s="6" t="n">
        <f aca="false">+A41+365/12</f>
        <v>36874.4166666667</v>
      </c>
      <c r="B42" s="7" t="n">
        <f aca="false">'Long Term Deals'!AF42</f>
        <v>58611.8251928021</v>
      </c>
      <c r="C42" s="7" t="n">
        <f aca="false">'Long Term Deals'!AG42</f>
        <v>0</v>
      </c>
      <c r="D42" s="7" t="n">
        <f aca="false">'Long Term Deals'!AH42</f>
        <v>77120.822622108</v>
      </c>
      <c r="E42" s="7" t="n">
        <f aca="false">'Long Term Deals'!AI42</f>
        <v>0</v>
      </c>
      <c r="F42" s="7" t="n">
        <f aca="false">'Long Term Deals'!AJ42</f>
        <v>0</v>
      </c>
      <c r="G42" s="7" t="n">
        <f aca="false">'Long Term Deals'!AK42</f>
        <v>0</v>
      </c>
      <c r="H42" s="7" t="n">
        <f aca="false">'Long Term Deals'!AL42</f>
        <v>0</v>
      </c>
      <c r="I42" s="7" t="n">
        <f aca="false">'Long Term Deals'!AM42</f>
        <v>0</v>
      </c>
      <c r="J42" s="7" t="n">
        <f aca="false">'Long Term Deals'!AN42</f>
        <v>0</v>
      </c>
      <c r="K42" s="7" t="n">
        <f aca="false">'Long Term Deals'!AO42</f>
        <v>38560</v>
      </c>
      <c r="L42" s="7" t="n">
        <f aca="false">'Long Term Deals'!AP42</f>
        <v>58611.8251928021</v>
      </c>
      <c r="M42" s="7" t="n">
        <f aca="false">'Long Term Deals'!AQ42</f>
        <v>0</v>
      </c>
      <c r="N42" s="7" t="n">
        <f aca="false">'Long Term Deals'!AR42</f>
        <v>0</v>
      </c>
      <c r="O42" s="7" t="n">
        <f aca="false">'Long Term Deals'!AS42</f>
        <v>0</v>
      </c>
      <c r="P42" s="7" t="n">
        <f aca="false">'Long Term Deals'!AT42</f>
        <v>38560.822622108</v>
      </c>
      <c r="Q42" s="7" t="n">
        <f aca="false">'Long Term Deals'!AU42</f>
        <v>0</v>
      </c>
      <c r="R42" s="7" t="n">
        <f aca="false">'Long Term Deals'!AV42</f>
        <v>0</v>
      </c>
      <c r="S42" s="68" t="n">
        <f aca="false">'Long Term Deals'!AW42</f>
        <v>0.12</v>
      </c>
      <c r="T42" s="68" t="n">
        <f aca="false">'Long Term Deals'!AX42</f>
        <v>0.025</v>
      </c>
      <c r="U42" s="7" t="n">
        <f aca="false">'Long Term Deals'!AY42</f>
        <v>11672575.8354756</v>
      </c>
      <c r="V42" s="7" t="n">
        <f aca="false">'Long Term Deals'!AZ42</f>
        <v>11107881.748072</v>
      </c>
      <c r="W42" s="5" t="n">
        <f aca="false">U42-V42</f>
        <v>564694.087403599</v>
      </c>
      <c r="X42" s="5" t="n">
        <f aca="false">'Long Term Deals'!CA42</f>
        <v>21038.5604113111</v>
      </c>
      <c r="Y42" s="71" t="n">
        <f aca="false">[4]Sheet1!$AL83</f>
        <v>762567.143039026</v>
      </c>
      <c r="Z42" s="7" t="n">
        <f aca="false">[2]Sheet1!$O53</f>
        <v>112213.218742359</v>
      </c>
      <c r="AA42" s="7" t="n">
        <f aca="false">'[3]Long Term Deals'!$Z41</f>
        <v>-34895.0629697055</v>
      </c>
      <c r="AB42" s="70" t="n">
        <f aca="false">-Z42+AA42+Y42+W42-X42</f>
        <v>1159114.38831925</v>
      </c>
      <c r="AC42" s="70" t="n">
        <f aca="false">AB42-Y42</f>
        <v>396547.245280224</v>
      </c>
      <c r="AD42" s="70" t="n">
        <f aca="false">AC42+Z42-AA42+X42</f>
        <v>564694.087403599</v>
      </c>
      <c r="AE42" s="13" t="n">
        <f aca="false">(W42-Z42+AA42)/(B42+C42+D42)/'Prices&amp;Fuel'!H42</f>
        <v>0.0992429609078733</v>
      </c>
      <c r="AF42" s="1" t="n">
        <v>132000</v>
      </c>
      <c r="AG42" s="7" t="n">
        <f aca="false">((((I42*'Prices&amp;Fuel'!B42+'Prices&amp;Fuel'!C42*FPL!J42+FPL!K42*'Prices&amp;Fuel'!D42))+(L42*'Prices&amp;Fuel'!B42+'Prices&amp;Fuel'!C42*FPL!M42))*'Prices&amp;Fuel'!H42)+(I42+J42+K42)*'Prices&amp;Fuel'!H42*FPL!T42+Q42/2</f>
        <v>7934133.24215938</v>
      </c>
      <c r="AH42" s="7" t="n">
        <f aca="false">(N42*'Prices&amp;Fuel'!B42+'Prices&amp;Fuel'!C42*O42+P42*'Prices&amp;Fuel'!D42)*'Prices&amp;Fuel'!H42+(N42+O42+P42)*'Prices&amp;Fuel'!H42*FPL!T42+Q42/2</f>
        <v>3173748.5059126</v>
      </c>
      <c r="AI42" s="7" t="n">
        <f aca="false">R42*'Prices&amp;Fuel'!H42*'Prices&amp;Fuel'!Q42</f>
        <v>0</v>
      </c>
      <c r="AJ42" s="55" t="n">
        <f aca="false">SUM(AG42:AI42)-'Long Term Deals'!AZ42</f>
        <v>0</v>
      </c>
    </row>
    <row r="43" customFormat="false" ht="11.25" hidden="false" customHeight="false" outlineLevel="0" collapsed="false">
      <c r="A43" s="6" t="n">
        <f aca="false">+A42+365/12</f>
        <v>36904.8333333333</v>
      </c>
      <c r="B43" s="7" t="n">
        <f aca="false">'Long Term Deals'!AF43</f>
        <v>58611.8251928021</v>
      </c>
      <c r="C43" s="7" t="n">
        <f aca="false">'Long Term Deals'!AG43</f>
        <v>0</v>
      </c>
      <c r="D43" s="7" t="n">
        <f aca="false">'Long Term Deals'!AH43</f>
        <v>77120.822622108</v>
      </c>
      <c r="E43" s="7" t="n">
        <f aca="false">'Long Term Deals'!AI43</f>
        <v>0</v>
      </c>
      <c r="F43" s="7" t="n">
        <f aca="false">'Long Term Deals'!AJ43</f>
        <v>0</v>
      </c>
      <c r="G43" s="7" t="n">
        <f aca="false">'Long Term Deals'!AK43</f>
        <v>0</v>
      </c>
      <c r="H43" s="7" t="n">
        <f aca="false">'Long Term Deals'!AL43</f>
        <v>0</v>
      </c>
      <c r="I43" s="7" t="n">
        <f aca="false">'Long Term Deals'!AM43</f>
        <v>0</v>
      </c>
      <c r="J43" s="7" t="n">
        <f aca="false">'Long Term Deals'!AN43</f>
        <v>0</v>
      </c>
      <c r="K43" s="7" t="n">
        <f aca="false">'Long Term Deals'!AO43</f>
        <v>38560</v>
      </c>
      <c r="L43" s="7" t="n">
        <f aca="false">'Long Term Deals'!AP43</f>
        <v>58611.8251928021</v>
      </c>
      <c r="M43" s="7" t="n">
        <f aca="false">'Long Term Deals'!AQ43</f>
        <v>0</v>
      </c>
      <c r="N43" s="7" t="n">
        <f aca="false">'Long Term Deals'!AR43</f>
        <v>0</v>
      </c>
      <c r="O43" s="7" t="n">
        <f aca="false">'Long Term Deals'!AS43</f>
        <v>0</v>
      </c>
      <c r="P43" s="7" t="n">
        <f aca="false">'Long Term Deals'!AT43</f>
        <v>38560.822622108</v>
      </c>
      <c r="Q43" s="7" t="n">
        <f aca="false">'Long Term Deals'!AU43</f>
        <v>0</v>
      </c>
      <c r="R43" s="7" t="n">
        <f aca="false">'Long Term Deals'!AV43</f>
        <v>0</v>
      </c>
      <c r="S43" s="68" t="n">
        <f aca="false">'Long Term Deals'!AW43</f>
        <v>0.1</v>
      </c>
      <c r="T43" s="68" t="n">
        <f aca="false">'Long Term Deals'!AX43</f>
        <v>0.025</v>
      </c>
      <c r="U43" s="7" t="n">
        <f aca="false">'Long Term Deals'!AY43</f>
        <v>9905336.76092545</v>
      </c>
      <c r="V43" s="7" t="n">
        <f aca="false">'Long Term Deals'!AZ43</f>
        <v>9424796.9151671</v>
      </c>
      <c r="W43" s="5" t="n">
        <f aca="false">U43-V43</f>
        <v>480539.845758354</v>
      </c>
      <c r="X43" s="5" t="n">
        <f aca="false">'Long Term Deals'!CA43</f>
        <v>21038.5604113111</v>
      </c>
      <c r="Y43" s="71" t="n">
        <f aca="false">[4]Sheet1!$AL84</f>
        <v>762567.143039026</v>
      </c>
      <c r="Z43" s="7" t="n">
        <f aca="false">[2]Sheet1!$O55</f>
        <v>27798.572017243</v>
      </c>
      <c r="AA43" s="7" t="n">
        <f aca="false">'[3]Long Term Deals'!$Z42</f>
        <v>-34895.0629697055</v>
      </c>
      <c r="AB43" s="70" t="n">
        <f aca="false">-Z43+AA43+Y43+W43-X43</f>
        <v>1159374.79339912</v>
      </c>
      <c r="AC43" s="70" t="n">
        <f aca="false">AB43-Y43</f>
        <v>396807.650360095</v>
      </c>
      <c r="AD43" s="70" t="n">
        <f aca="false">AC43+Z43-AA43+X43</f>
        <v>480539.845758355</v>
      </c>
      <c r="AE43" s="13" t="n">
        <f aca="false">(W43-Z43+AA43)/(B43+C43+D43)/'Prices&amp;Fuel'!H43</f>
        <v>0.0993048484787859</v>
      </c>
      <c r="AF43" s="1" t="n">
        <v>132000</v>
      </c>
      <c r="AG43" s="7" t="n">
        <f aca="false">((((I43*'Prices&amp;Fuel'!B43+'Prices&amp;Fuel'!C43*FPL!J43+FPL!K43*'Prices&amp;Fuel'!D43))+(L43*'Prices&amp;Fuel'!B43+'Prices&amp;Fuel'!C43*FPL!M43))*'Prices&amp;Fuel'!H43)+(I43+J43+K43)*'Prices&amp;Fuel'!H43*FPL!T43+Q43/2</f>
        <v>6729202.60976864</v>
      </c>
      <c r="AH43" s="7" t="n">
        <f aca="false">(N43*'Prices&amp;Fuel'!B43+'Prices&amp;Fuel'!C43*O43+P43*'Prices&amp;Fuel'!D43)*'Prices&amp;Fuel'!H43+(N43+O43+P43)*'Prices&amp;Fuel'!H43*FPL!T43+Q43/2</f>
        <v>2695594.30539846</v>
      </c>
      <c r="AI43" s="7" t="n">
        <f aca="false">R43*'Prices&amp;Fuel'!H43*'Prices&amp;Fuel'!Q43</f>
        <v>0</v>
      </c>
      <c r="AJ43" s="55" t="n">
        <f aca="false">SUM(AG43:AI43)-'Long Term Deals'!AZ43</f>
        <v>0</v>
      </c>
    </row>
    <row r="44" customFormat="false" ht="11.25" hidden="false" customHeight="false" outlineLevel="0" collapsed="false">
      <c r="A44" s="6" t="n">
        <f aca="false">+A43+365/12</f>
        <v>36935.25</v>
      </c>
      <c r="B44" s="7" t="n">
        <f aca="false">'Long Term Deals'!AF44</f>
        <v>58611.8251928021</v>
      </c>
      <c r="C44" s="7" t="n">
        <f aca="false">'Long Term Deals'!AG44</f>
        <v>0</v>
      </c>
      <c r="D44" s="7" t="n">
        <f aca="false">'Long Term Deals'!AH44</f>
        <v>77120.822622108</v>
      </c>
      <c r="E44" s="7" t="n">
        <f aca="false">'Long Term Deals'!AI44</f>
        <v>0</v>
      </c>
      <c r="F44" s="7" t="n">
        <f aca="false">'Long Term Deals'!AJ44</f>
        <v>0</v>
      </c>
      <c r="G44" s="7" t="n">
        <f aca="false">'Long Term Deals'!AK44</f>
        <v>0</v>
      </c>
      <c r="H44" s="7" t="n">
        <f aca="false">'Long Term Deals'!AL44</f>
        <v>0</v>
      </c>
      <c r="I44" s="7" t="n">
        <f aca="false">'Long Term Deals'!AM44</f>
        <v>0</v>
      </c>
      <c r="J44" s="7" t="n">
        <f aca="false">'Long Term Deals'!AN44</f>
        <v>0</v>
      </c>
      <c r="K44" s="7" t="n">
        <f aca="false">'Long Term Deals'!AO44</f>
        <v>38560</v>
      </c>
      <c r="L44" s="7" t="n">
        <f aca="false">'Long Term Deals'!AP44</f>
        <v>58611.8251928021</v>
      </c>
      <c r="M44" s="7" t="n">
        <f aca="false">'Long Term Deals'!AQ44</f>
        <v>0</v>
      </c>
      <c r="N44" s="7" t="n">
        <f aca="false">'Long Term Deals'!AR44</f>
        <v>0</v>
      </c>
      <c r="O44" s="7" t="n">
        <f aca="false">'Long Term Deals'!AS44</f>
        <v>0</v>
      </c>
      <c r="P44" s="7" t="n">
        <f aca="false">'Long Term Deals'!AT44</f>
        <v>38560.822622108</v>
      </c>
      <c r="Q44" s="7" t="n">
        <f aca="false">'Long Term Deals'!AU44</f>
        <v>0</v>
      </c>
      <c r="R44" s="7" t="n">
        <f aca="false">'Long Term Deals'!AV44</f>
        <v>0</v>
      </c>
      <c r="S44" s="68" t="n">
        <f aca="false">'Long Term Deals'!AW44</f>
        <v>0.1</v>
      </c>
      <c r="T44" s="68" t="n">
        <f aca="false">'Long Term Deals'!AX44</f>
        <v>0.025</v>
      </c>
      <c r="U44" s="7" t="n">
        <f aca="false">'Long Term Deals'!AY44</f>
        <v>9972894.60154242</v>
      </c>
      <c r="V44" s="7" t="n">
        <f aca="false">'Long Term Deals'!AZ44</f>
        <v>9538858.61182519</v>
      </c>
      <c r="W44" s="5" t="n">
        <f aca="false">U44-V44</f>
        <v>434035.989717225</v>
      </c>
      <c r="X44" s="5" t="n">
        <f aca="false">'Long Term Deals'!CA44</f>
        <v>19002.5706940874</v>
      </c>
      <c r="Y44" s="71" t="n">
        <f aca="false">[4]Sheet1!$AL85</f>
        <v>688770.322744927</v>
      </c>
      <c r="Z44" s="7" t="n">
        <f aca="false">[2]Sheet1!$O56</f>
        <v>25108.3876284775</v>
      </c>
      <c r="AA44" s="7" t="n">
        <f aca="false">'[3]Long Term Deals'!$Z43</f>
        <v>-31518.1213919921</v>
      </c>
      <c r="AB44" s="70" t="n">
        <f aca="false">-Z44+AA44+Y44+W44-X44</f>
        <v>1047177.23274759</v>
      </c>
      <c r="AC44" s="70" t="n">
        <f aca="false">AB44-Y44</f>
        <v>358406.910002667</v>
      </c>
      <c r="AD44" s="70" t="n">
        <f aca="false">AC44+Z44-AA44+X44</f>
        <v>434035.989717224</v>
      </c>
      <c r="AE44" s="13" t="n">
        <f aca="false">(W44-Z44+AA44)/(B44+C44+D44)/'Prices&amp;Fuel'!H44</f>
        <v>0.0993048484787863</v>
      </c>
      <c r="AF44" s="1" t="n">
        <v>132000</v>
      </c>
      <c r="AG44" s="7" t="n">
        <f aca="false">((((I44*'Prices&amp;Fuel'!B44+'Prices&amp;Fuel'!C44*FPL!J44+FPL!K44*'Prices&amp;Fuel'!D44))+(L44*'Prices&amp;Fuel'!B44+'Prices&amp;Fuel'!C44*FPL!M44))*'Prices&amp;Fuel'!H44)+(I44+J44+K44)*'Prices&amp;Fuel'!H44*FPL!T44+Q44/2</f>
        <v>6812608.45244216</v>
      </c>
      <c r="AH44" s="7" t="n">
        <f aca="false">(N44*'Prices&amp;Fuel'!B44+'Prices&amp;Fuel'!C44*O44+P44*'Prices&amp;Fuel'!D44)*'Prices&amp;Fuel'!H44+(N44+O44+P44)*'Prices&amp;Fuel'!H44*FPL!T44+Q44/2</f>
        <v>2726250.15938303</v>
      </c>
      <c r="AI44" s="7" t="n">
        <f aca="false">R44*'Prices&amp;Fuel'!H44*'Prices&amp;Fuel'!Q44</f>
        <v>0</v>
      </c>
      <c r="AJ44" s="55" t="n">
        <f aca="false">SUM(AG44:AI44)-'Long Term Deals'!AZ44</f>
        <v>0</v>
      </c>
    </row>
    <row r="45" customFormat="false" ht="11.25" hidden="false" customHeight="false" outlineLevel="0" collapsed="false">
      <c r="A45" s="6" t="n">
        <f aca="false">+A44+365/12</f>
        <v>36965.6666666667</v>
      </c>
      <c r="B45" s="7" t="n">
        <f aca="false">'Long Term Deals'!AF45</f>
        <v>58611.8251928021</v>
      </c>
      <c r="C45" s="7" t="n">
        <f aca="false">'Long Term Deals'!AG45</f>
        <v>0</v>
      </c>
      <c r="D45" s="7" t="n">
        <f aca="false">'Long Term Deals'!AH45</f>
        <v>77120.822622108</v>
      </c>
      <c r="E45" s="7" t="n">
        <f aca="false">'Long Term Deals'!AI45</f>
        <v>0</v>
      </c>
      <c r="F45" s="7" t="n">
        <f aca="false">'Long Term Deals'!AJ45</f>
        <v>0</v>
      </c>
      <c r="G45" s="7" t="n">
        <f aca="false">'Long Term Deals'!AK45</f>
        <v>0</v>
      </c>
      <c r="H45" s="7" t="n">
        <f aca="false">'Long Term Deals'!AL45</f>
        <v>0</v>
      </c>
      <c r="I45" s="7" t="n">
        <f aca="false">'Long Term Deals'!AM45</f>
        <v>0</v>
      </c>
      <c r="J45" s="7" t="n">
        <f aca="false">'Long Term Deals'!AN45</f>
        <v>0</v>
      </c>
      <c r="K45" s="7" t="n">
        <f aca="false">'Long Term Deals'!AO45</f>
        <v>38560</v>
      </c>
      <c r="L45" s="7" t="n">
        <f aca="false">'Long Term Deals'!AP45</f>
        <v>58611.8251928021</v>
      </c>
      <c r="M45" s="7" t="n">
        <f aca="false">'Long Term Deals'!AQ45</f>
        <v>0</v>
      </c>
      <c r="N45" s="7" t="n">
        <f aca="false">'Long Term Deals'!AR45</f>
        <v>0</v>
      </c>
      <c r="O45" s="7" t="n">
        <f aca="false">'Long Term Deals'!AS45</f>
        <v>0</v>
      </c>
      <c r="P45" s="7" t="n">
        <f aca="false">'Long Term Deals'!AT45</f>
        <v>38560.822622108</v>
      </c>
      <c r="Q45" s="7" t="n">
        <f aca="false">'Long Term Deals'!AU45</f>
        <v>0</v>
      </c>
      <c r="R45" s="7" t="n">
        <f aca="false">'Long Term Deals'!AV45</f>
        <v>0</v>
      </c>
      <c r="S45" s="68" t="n">
        <f aca="false">'Long Term Deals'!AW45</f>
        <v>0.1</v>
      </c>
      <c r="T45" s="68" t="n">
        <f aca="false">'Long Term Deals'!AX45</f>
        <v>0.025</v>
      </c>
      <c r="U45" s="7" t="n">
        <f aca="false">'Long Term Deals'!AY45</f>
        <v>11041419.0231362</v>
      </c>
      <c r="V45" s="7" t="n">
        <f aca="false">'Long Term Deals'!AZ45</f>
        <v>10560879.1773779</v>
      </c>
      <c r="W45" s="5" t="n">
        <f aca="false">U45-V45</f>
        <v>480539.845758354</v>
      </c>
      <c r="X45" s="5" t="n">
        <f aca="false">'Long Term Deals'!CA45</f>
        <v>21038.5604113111</v>
      </c>
      <c r="Y45" s="71" t="n">
        <f aca="false">[4]Sheet1!$AL86</f>
        <v>762567.143039026</v>
      </c>
      <c r="Z45" s="7" t="n">
        <f aca="false">[2]Sheet1!$O57</f>
        <v>27798.572017243</v>
      </c>
      <c r="AA45" s="7" t="n">
        <f aca="false">'[3]Long Term Deals'!$Z44</f>
        <v>-34895.0629697055</v>
      </c>
      <c r="AB45" s="70" t="n">
        <f aca="false">-Z45+AA45+Y45+W45-X45</f>
        <v>1159374.79339912</v>
      </c>
      <c r="AC45" s="70" t="n">
        <f aca="false">AB45-Y45</f>
        <v>396807.650360095</v>
      </c>
      <c r="AD45" s="70" t="n">
        <f aca="false">AC45+Z45-AA45+X45</f>
        <v>480539.845758355</v>
      </c>
      <c r="AE45" s="13" t="n">
        <f aca="false">(W45-Z45+AA45)/(B45+C45+D45)/'Prices&amp;Fuel'!H45</f>
        <v>0.0993048484787859</v>
      </c>
      <c r="AF45" s="1" t="n">
        <v>132000</v>
      </c>
      <c r="AG45" s="7" t="n">
        <f aca="false">((((I45*'Prices&amp;Fuel'!B45+'Prices&amp;Fuel'!C45*FPL!J45+FPL!K45*'Prices&amp;Fuel'!D45))+(L45*'Prices&amp;Fuel'!B45+'Prices&amp;Fuel'!C45*FPL!M45))*'Prices&amp;Fuel'!H45)+(I45+J45+K45)*'Prices&amp;Fuel'!H45*FPL!T45+Q45/2</f>
        <v>7542530.78663239</v>
      </c>
      <c r="AH45" s="7" t="n">
        <f aca="false">(N45*'Prices&amp;Fuel'!B45+'Prices&amp;Fuel'!C45*O45+P45*'Prices&amp;Fuel'!D45)*'Prices&amp;Fuel'!H45+(N45+O45+P45)*'Prices&amp;Fuel'!H45*FPL!T45+Q45/2</f>
        <v>3018348.3907455</v>
      </c>
      <c r="AI45" s="7" t="n">
        <f aca="false">R45*'Prices&amp;Fuel'!H45*'Prices&amp;Fuel'!Q45</f>
        <v>0</v>
      </c>
      <c r="AJ45" s="55" t="n">
        <f aca="false">SUM(AG45:AI45)-'Long Term Deals'!AZ45</f>
        <v>0</v>
      </c>
    </row>
    <row r="46" customFormat="false" ht="11.25" hidden="false" customHeight="false" outlineLevel="0" collapsed="false">
      <c r="A46" s="6" t="n">
        <f aca="false">+A45+365/12</f>
        <v>36996.0833333333</v>
      </c>
      <c r="B46" s="7" t="n">
        <f aca="false">'Long Term Deals'!AF46</f>
        <v>58611.8251928021</v>
      </c>
      <c r="C46" s="7" t="n">
        <f aca="false">'Long Term Deals'!AG46</f>
        <v>0</v>
      </c>
      <c r="D46" s="7" t="n">
        <f aca="false">'Long Term Deals'!AH46</f>
        <v>77120.822622108</v>
      </c>
      <c r="E46" s="7" t="n">
        <f aca="false">'Long Term Deals'!AI46</f>
        <v>0</v>
      </c>
      <c r="F46" s="7" t="n">
        <f aca="false">'Long Term Deals'!AJ46</f>
        <v>0</v>
      </c>
      <c r="G46" s="7" t="n">
        <f aca="false">'Long Term Deals'!AK46</f>
        <v>0</v>
      </c>
      <c r="H46" s="7" t="n">
        <f aca="false">'Long Term Deals'!AL46</f>
        <v>0</v>
      </c>
      <c r="I46" s="7" t="n">
        <f aca="false">'Long Term Deals'!AM46</f>
        <v>0</v>
      </c>
      <c r="J46" s="7" t="n">
        <f aca="false">'Long Term Deals'!AN46</f>
        <v>0</v>
      </c>
      <c r="K46" s="7" t="n">
        <f aca="false">'Long Term Deals'!AO46</f>
        <v>38560</v>
      </c>
      <c r="L46" s="7" t="n">
        <f aca="false">'Long Term Deals'!AP46</f>
        <v>58611.8251928021</v>
      </c>
      <c r="M46" s="7" t="n">
        <f aca="false">'Long Term Deals'!AQ46</f>
        <v>0</v>
      </c>
      <c r="N46" s="7" t="n">
        <f aca="false">'Long Term Deals'!AR46</f>
        <v>0</v>
      </c>
      <c r="O46" s="7" t="n">
        <f aca="false">'Long Term Deals'!AS46</f>
        <v>0</v>
      </c>
      <c r="P46" s="7" t="n">
        <f aca="false">'Long Term Deals'!AT46</f>
        <v>38560.822622108</v>
      </c>
      <c r="Q46" s="7" t="n">
        <f aca="false">'Long Term Deals'!AU46</f>
        <v>0</v>
      </c>
      <c r="R46" s="7" t="n">
        <f aca="false">'Long Term Deals'!AV46</f>
        <v>0</v>
      </c>
      <c r="S46" s="68" t="n">
        <f aca="false">'Long Term Deals'!AW46</f>
        <v>0.1</v>
      </c>
      <c r="T46" s="68" t="n">
        <f aca="false">'Long Term Deals'!AX46</f>
        <v>0.025</v>
      </c>
      <c r="U46" s="7" t="n">
        <f aca="false">'Long Term Deals'!AY46</f>
        <v>11784678.6632391</v>
      </c>
      <c r="V46" s="7" t="n">
        <f aca="false">'Long Term Deals'!AZ46</f>
        <v>11319640.1028278</v>
      </c>
      <c r="W46" s="5" t="n">
        <f aca="false">U46-V46</f>
        <v>465038.560411312</v>
      </c>
      <c r="X46" s="5" t="n">
        <f aca="false">'Long Term Deals'!CA46</f>
        <v>20359.8971722365</v>
      </c>
      <c r="Y46" s="71" t="n">
        <f aca="false">[4]Sheet1!$AL87</f>
        <v>737968.202940993</v>
      </c>
      <c r="Z46" s="7" t="n">
        <f aca="false">[2]Sheet1!$O58</f>
        <v>26901.8438876545</v>
      </c>
      <c r="AA46" s="7" t="n">
        <f aca="false">'[3]Long Term Deals'!$Z45</f>
        <v>-33769.4157771343</v>
      </c>
      <c r="AB46" s="70" t="n">
        <f aca="false">-Z46+AA46+Y46+W46-X46</f>
        <v>1121975.60651528</v>
      </c>
      <c r="AC46" s="70" t="n">
        <f aca="false">AB46-Y46</f>
        <v>384007.403574286</v>
      </c>
      <c r="AD46" s="70" t="n">
        <f aca="false">AC46+Z46-AA46+X46</f>
        <v>465038.560411312</v>
      </c>
      <c r="AE46" s="13" t="n">
        <f aca="false">(W46-Z46+AA46)/(B46+C46+D46)/'Prices&amp;Fuel'!H46</f>
        <v>0.0993048484787862</v>
      </c>
      <c r="AF46" s="1" t="n">
        <v>132000</v>
      </c>
      <c r="AG46" s="7" t="n">
        <f aca="false">((((I46*'Prices&amp;Fuel'!B46+'Prices&amp;Fuel'!C46*FPL!J46+FPL!K46*'Prices&amp;Fuel'!D46))+(L46*'Prices&amp;Fuel'!B46+'Prices&amp;Fuel'!C46*FPL!M46))*'Prices&amp;Fuel'!H46)+(I46+J46+K46)*'Prices&amp;Fuel'!H46*FPL!T46+Q46/2</f>
        <v>8086315.12596401</v>
      </c>
      <c r="AH46" s="7" t="n">
        <f aca="false">(N46*'Prices&amp;Fuel'!B46+'Prices&amp;Fuel'!C46*O46+P46*'Prices&amp;Fuel'!D46)*'Prices&amp;Fuel'!H46+(N46+O46+P46)*'Prices&amp;Fuel'!H46*FPL!T46+Q46/2</f>
        <v>3233324.97686375</v>
      </c>
      <c r="AI46" s="7" t="n">
        <f aca="false">R46*'Prices&amp;Fuel'!H46*'Prices&amp;Fuel'!Q46</f>
        <v>0</v>
      </c>
      <c r="AJ46" s="55" t="n">
        <f aca="false">SUM(AG46:AI46)-'Long Term Deals'!AZ46</f>
        <v>0</v>
      </c>
    </row>
    <row r="47" customFormat="false" ht="11.25" hidden="false" customHeight="false" outlineLevel="0" collapsed="false">
      <c r="A47" s="6" t="n">
        <f aca="false">+A46+365/12</f>
        <v>37026.5</v>
      </c>
      <c r="B47" s="7" t="n">
        <f aca="false">'Long Term Deals'!AF47</f>
        <v>155269.922879177</v>
      </c>
      <c r="C47" s="7" t="n">
        <f aca="false">'Long Term Deals'!AG47</f>
        <v>0</v>
      </c>
      <c r="D47" s="7" t="n">
        <f aca="false">'Long Term Deals'!AH47</f>
        <v>77120.822622108</v>
      </c>
      <c r="E47" s="7" t="n">
        <f aca="false">'Long Term Deals'!AI47</f>
        <v>0</v>
      </c>
      <c r="F47" s="7" t="n">
        <f aca="false">'Long Term Deals'!AJ47</f>
        <v>0</v>
      </c>
      <c r="G47" s="7" t="n">
        <f aca="false">'Long Term Deals'!AK47</f>
        <v>0</v>
      </c>
      <c r="H47" s="7" t="n">
        <f aca="false">'Long Term Deals'!AL47</f>
        <v>0</v>
      </c>
      <c r="I47" s="7" t="n">
        <f aca="false">'Long Term Deals'!AM47</f>
        <v>37635</v>
      </c>
      <c r="J47" s="7" t="n">
        <f aca="false">'Long Term Deals'!AN47</f>
        <v>0</v>
      </c>
      <c r="K47" s="7" t="n">
        <f aca="false">'Long Term Deals'!AO47</f>
        <v>38560</v>
      </c>
      <c r="L47" s="7" t="n">
        <f aca="false">'Long Term Deals'!AP47</f>
        <v>80000</v>
      </c>
      <c r="M47" s="7" t="n">
        <f aca="false">'Long Term Deals'!AQ47</f>
        <v>0</v>
      </c>
      <c r="N47" s="7" t="n">
        <f aca="false">'Long Term Deals'!AR47</f>
        <v>37634.9228791774</v>
      </c>
      <c r="O47" s="7" t="n">
        <f aca="false">'Long Term Deals'!AS47</f>
        <v>0</v>
      </c>
      <c r="P47" s="7" t="n">
        <f aca="false">'Long Term Deals'!AT47</f>
        <v>38560.822622108</v>
      </c>
      <c r="Q47" s="7" t="n">
        <f aca="false">'Long Term Deals'!AU47</f>
        <v>0</v>
      </c>
      <c r="R47" s="7" t="n">
        <f aca="false">'Long Term Deals'!AV47</f>
        <v>0</v>
      </c>
      <c r="S47" s="68" t="n">
        <f aca="false">'Long Term Deals'!AW47</f>
        <v>0.1</v>
      </c>
      <c r="T47" s="68" t="n">
        <f aca="false">'Long Term Deals'!AX47</f>
        <v>0.025</v>
      </c>
      <c r="U47" s="7" t="n">
        <f aca="false">'Long Term Deals'!AY47</f>
        <v>22115989.7172237</v>
      </c>
      <c r="V47" s="7" t="n">
        <f aca="false">'Long Term Deals'!AZ47</f>
        <v>21394143.9588689</v>
      </c>
      <c r="W47" s="5" t="n">
        <f aca="false">U47-V47</f>
        <v>721845.758354757</v>
      </c>
      <c r="X47" s="5" t="n">
        <f aca="false">'Long Term Deals'!CA47</f>
        <v>36020.5655526992</v>
      </c>
      <c r="Y47" s="71" t="n">
        <f aca="false">[4]Sheet1!$AL88</f>
        <v>762567.143039026</v>
      </c>
      <c r="Z47" s="7" t="n">
        <f aca="false">[2]Sheet1!$O59</f>
        <v>47594.5248174008</v>
      </c>
      <c r="AA47" s="7" t="n">
        <f aca="false">'[3]Long Term Deals'!$Z46</f>
        <v>-43972.9018835931</v>
      </c>
      <c r="AB47" s="70" t="n">
        <f aca="false">-Z47+AA47+Y47+W47-X47</f>
        <v>1356824.90914009</v>
      </c>
      <c r="AC47" s="70" t="n">
        <f aca="false">AB47-Y47</f>
        <v>594257.766101064</v>
      </c>
      <c r="AD47" s="70" t="n">
        <f aca="false">AC47+Z47-AA47+X47</f>
        <v>721845.758354757</v>
      </c>
      <c r="AE47" s="13" t="n">
        <f aca="false">(W47-Z47+AA47)/(B47+C47+D47)/'Prices&amp;Fuel'!H47</f>
        <v>0.0874886779236775</v>
      </c>
      <c r="AF47" s="1" t="n">
        <v>226000</v>
      </c>
      <c r="AG47" s="7" t="n">
        <f aca="false">((((I47*'Prices&amp;Fuel'!B47+'Prices&amp;Fuel'!C47*FPL!J47+FPL!K47*'Prices&amp;Fuel'!D47))+(L47*'Prices&amp;Fuel'!B47+'Prices&amp;Fuel'!C47*FPL!M47))*'Prices&amp;Fuel'!H47)+(I47+J47+K47)*'Prices&amp;Fuel'!H47*FPL!T47+Q47/2</f>
        <v>14355037.475</v>
      </c>
      <c r="AH47" s="7" t="n">
        <f aca="false">(N47*'Prices&amp;Fuel'!B47+'Prices&amp;Fuel'!C47*O47+P47*'Prices&amp;Fuel'!D47)*'Prices&amp;Fuel'!H47+(N47+O47+P47)*'Prices&amp;Fuel'!H47*FPL!T47+Q47/2</f>
        <v>7039106.4838689</v>
      </c>
      <c r="AI47" s="7" t="n">
        <f aca="false">R47*'Prices&amp;Fuel'!H47*'Prices&amp;Fuel'!Q47</f>
        <v>0</v>
      </c>
      <c r="AJ47" s="55" t="n">
        <f aca="false">SUM(AG47:AI47)-'Long Term Deals'!AZ47</f>
        <v>0</v>
      </c>
    </row>
    <row r="48" customFormat="false" ht="11.25" hidden="false" customHeight="false" outlineLevel="0" collapsed="false">
      <c r="A48" s="6" t="n">
        <f aca="false">+A47+365/12</f>
        <v>37056.9166666667</v>
      </c>
      <c r="B48" s="7" t="n">
        <f aca="false">'Long Term Deals'!AF48</f>
        <v>155269.922879177</v>
      </c>
      <c r="C48" s="7" t="n">
        <f aca="false">'Long Term Deals'!AG48</f>
        <v>0</v>
      </c>
      <c r="D48" s="7" t="n">
        <f aca="false">'Long Term Deals'!AH48</f>
        <v>77120.822622108</v>
      </c>
      <c r="E48" s="7" t="n">
        <f aca="false">'Long Term Deals'!AI48</f>
        <v>0</v>
      </c>
      <c r="F48" s="7" t="n">
        <f aca="false">'Long Term Deals'!AJ48</f>
        <v>0</v>
      </c>
      <c r="G48" s="7" t="n">
        <f aca="false">'Long Term Deals'!AK48</f>
        <v>0</v>
      </c>
      <c r="H48" s="7" t="n">
        <f aca="false">'Long Term Deals'!AL48</f>
        <v>0</v>
      </c>
      <c r="I48" s="7" t="n">
        <f aca="false">'Long Term Deals'!AM48</f>
        <v>37635</v>
      </c>
      <c r="J48" s="7" t="n">
        <f aca="false">'Long Term Deals'!AN48</f>
        <v>0</v>
      </c>
      <c r="K48" s="7" t="n">
        <f aca="false">'Long Term Deals'!AO48</f>
        <v>38560</v>
      </c>
      <c r="L48" s="7" t="n">
        <f aca="false">'Long Term Deals'!AP48</f>
        <v>80000</v>
      </c>
      <c r="M48" s="7" t="n">
        <f aca="false">'Long Term Deals'!AQ48</f>
        <v>0</v>
      </c>
      <c r="N48" s="7" t="n">
        <f aca="false">'Long Term Deals'!AR48</f>
        <v>37634.9228791774</v>
      </c>
      <c r="O48" s="7" t="n">
        <f aca="false">'Long Term Deals'!AS48</f>
        <v>0</v>
      </c>
      <c r="P48" s="7" t="n">
        <f aca="false">'Long Term Deals'!AT48</f>
        <v>38560.822622108</v>
      </c>
      <c r="Q48" s="7" t="n">
        <f aca="false">'Long Term Deals'!AU48</f>
        <v>0</v>
      </c>
      <c r="R48" s="7" t="n">
        <f aca="false">'Long Term Deals'!AV48</f>
        <v>0</v>
      </c>
      <c r="S48" s="68" t="n">
        <f aca="false">'Long Term Deals'!AW48</f>
        <v>0.1</v>
      </c>
      <c r="T48" s="68" t="n">
        <f aca="false">'Long Term Deals'!AX48</f>
        <v>0.025</v>
      </c>
      <c r="U48" s="7" t="n">
        <f aca="false">'Long Term Deals'!AY48</f>
        <v>30535526.9922879</v>
      </c>
      <c r="V48" s="7" t="n">
        <f aca="false">'Long Term Deals'!AZ48</f>
        <v>29836966.5809769</v>
      </c>
      <c r="W48" s="5" t="n">
        <f aca="false">U48-V48</f>
        <v>698560.411311049</v>
      </c>
      <c r="X48" s="5" t="n">
        <f aca="false">'Long Term Deals'!CA48</f>
        <v>34858.6118251928</v>
      </c>
      <c r="Y48" s="71" t="n">
        <f aca="false">[4]Sheet1!$AL89</f>
        <v>737968.202940993</v>
      </c>
      <c r="Z48" s="7" t="n">
        <f aca="false">[2]Sheet1!$O60</f>
        <v>46059.2175652266</v>
      </c>
      <c r="AA48" s="7" t="n">
        <f aca="false">'[3]Long Term Deals'!$Z47</f>
        <v>-42554.4211776707</v>
      </c>
      <c r="AB48" s="70" t="n">
        <f aca="false">-Z48+AA48+Y48+W48-X48</f>
        <v>1313056.36368395</v>
      </c>
      <c r="AC48" s="70" t="n">
        <f aca="false">AB48-Y48</f>
        <v>575088.160742959</v>
      </c>
      <c r="AD48" s="70" t="n">
        <f aca="false">AC48+Z48-AA48+X48</f>
        <v>698560.411311049</v>
      </c>
      <c r="AE48" s="13" t="n">
        <f aca="false">(W48-Z48+AA48)/(B48+C48+D48)/'Prices&amp;Fuel'!H48</f>
        <v>0.0874886779236766</v>
      </c>
      <c r="AF48" s="1" t="n">
        <v>226000</v>
      </c>
      <c r="AG48" s="7" t="n">
        <f aca="false">((((I48*'Prices&amp;Fuel'!B48+'Prices&amp;Fuel'!C48*FPL!J48+FPL!K48*'Prices&amp;Fuel'!D48))+(L48*'Prices&amp;Fuel'!B48+'Prices&amp;Fuel'!C48*FPL!M48))*'Prices&amp;Fuel'!H48)+(I48+J48+K48)*'Prices&amp;Fuel'!H48*FPL!T48+Q48/2</f>
        <v>20030435.25</v>
      </c>
      <c r="AH48" s="7" t="n">
        <f aca="false">(N48*'Prices&amp;Fuel'!B48+'Prices&amp;Fuel'!C48*O48+P48*'Prices&amp;Fuel'!D48)*'Prices&amp;Fuel'!H48+(N48+O48+P48)*'Prices&amp;Fuel'!H48*FPL!T48+Q48/2</f>
        <v>9806531.33097686</v>
      </c>
      <c r="AI48" s="7" t="n">
        <f aca="false">R48*'Prices&amp;Fuel'!H48*'Prices&amp;Fuel'!Q48</f>
        <v>0</v>
      </c>
      <c r="AJ48" s="55" t="n">
        <f aca="false">SUM(AG48:AI48)-'Long Term Deals'!AZ48</f>
        <v>0</v>
      </c>
    </row>
    <row r="49" customFormat="false" ht="11.25" hidden="false" customHeight="false" outlineLevel="0" collapsed="false">
      <c r="A49" s="6" t="n">
        <f aca="false">+A48+365/12</f>
        <v>37087.3333333333</v>
      </c>
      <c r="B49" s="7" t="n">
        <f aca="false">'Long Term Deals'!AF49</f>
        <v>155269.922879177</v>
      </c>
      <c r="C49" s="7" t="n">
        <f aca="false">'Long Term Deals'!AG49</f>
        <v>0</v>
      </c>
      <c r="D49" s="7" t="n">
        <f aca="false">'Long Term Deals'!AH49</f>
        <v>77120.822622108</v>
      </c>
      <c r="E49" s="7" t="n">
        <f aca="false">'Long Term Deals'!AI49</f>
        <v>0</v>
      </c>
      <c r="F49" s="7" t="n">
        <f aca="false">'Long Term Deals'!AJ49</f>
        <v>0</v>
      </c>
      <c r="G49" s="7" t="n">
        <f aca="false">'Long Term Deals'!AK49</f>
        <v>0</v>
      </c>
      <c r="H49" s="7" t="n">
        <f aca="false">'Long Term Deals'!AL49</f>
        <v>0</v>
      </c>
      <c r="I49" s="7" t="n">
        <f aca="false">'Long Term Deals'!AM49</f>
        <v>37635</v>
      </c>
      <c r="J49" s="7" t="n">
        <f aca="false">'Long Term Deals'!AN49</f>
        <v>0</v>
      </c>
      <c r="K49" s="7" t="n">
        <f aca="false">'Long Term Deals'!AO49</f>
        <v>38560</v>
      </c>
      <c r="L49" s="7" t="n">
        <f aca="false">'Long Term Deals'!AP49</f>
        <v>80000</v>
      </c>
      <c r="M49" s="7" t="n">
        <f aca="false">'Long Term Deals'!AQ49</f>
        <v>0</v>
      </c>
      <c r="N49" s="7" t="n">
        <f aca="false">'Long Term Deals'!AR49</f>
        <v>37634.9228791774</v>
      </c>
      <c r="O49" s="7" t="n">
        <f aca="false">'Long Term Deals'!AS49</f>
        <v>0</v>
      </c>
      <c r="P49" s="7" t="n">
        <f aca="false">'Long Term Deals'!AT49</f>
        <v>38560.822622108</v>
      </c>
      <c r="Q49" s="7" t="n">
        <f aca="false">'Long Term Deals'!AU49</f>
        <v>0</v>
      </c>
      <c r="R49" s="7" t="n">
        <f aca="false">'Long Term Deals'!AV49</f>
        <v>0</v>
      </c>
      <c r="S49" s="68" t="n">
        <f aca="false">'Long Term Deals'!AW49</f>
        <v>0.1</v>
      </c>
      <c r="T49" s="68" t="n">
        <f aca="false">'Long Term Deals'!AX49</f>
        <v>0.025</v>
      </c>
      <c r="U49" s="7" t="n">
        <f aca="false">'Long Term Deals'!AY49</f>
        <v>31481336.7609255</v>
      </c>
      <c r="V49" s="7" t="n">
        <f aca="false">'Long Term Deals'!AZ49</f>
        <v>30759491.0025707</v>
      </c>
      <c r="W49" s="5" t="n">
        <f aca="false">U49-V49</f>
        <v>721845.758354757</v>
      </c>
      <c r="X49" s="5" t="n">
        <f aca="false">'Long Term Deals'!CA49</f>
        <v>36020.5655526992</v>
      </c>
      <c r="Y49" s="71" t="n">
        <f aca="false">[4]Sheet1!$AL90</f>
        <v>762567.143039026</v>
      </c>
      <c r="Z49" s="7" t="n">
        <f aca="false">[2]Sheet1!$O61</f>
        <v>47594.5248174008</v>
      </c>
      <c r="AA49" s="7" t="n">
        <f aca="false">'[3]Long Term Deals'!$Z48</f>
        <v>-43972.9018835931</v>
      </c>
      <c r="AB49" s="70" t="n">
        <f aca="false">-Z49+AA49+Y49+W49-X49</f>
        <v>1356824.90914009</v>
      </c>
      <c r="AC49" s="70" t="n">
        <f aca="false">AB49-Y49</f>
        <v>594257.766101064</v>
      </c>
      <c r="AD49" s="70" t="n">
        <f aca="false">AC49+Z49-AA49+X49</f>
        <v>721845.758354757</v>
      </c>
      <c r="AE49" s="13" t="n">
        <f aca="false">(W49-Z49+AA49)/(B49+C49+D49)/'Prices&amp;Fuel'!H49</f>
        <v>0.0874886779236775</v>
      </c>
      <c r="AF49" s="1" t="n">
        <v>226000</v>
      </c>
      <c r="AG49" s="7" t="n">
        <f aca="false">((((I49*'Prices&amp;Fuel'!B49+'Prices&amp;Fuel'!C49*FPL!J49+FPL!K49*'Prices&amp;Fuel'!D49))+(L49*'Prices&amp;Fuel'!B49+'Prices&amp;Fuel'!C49*FPL!M49))*'Prices&amp;Fuel'!H49)+(I49+J49+K49)*'Prices&amp;Fuel'!H49*FPL!T49+Q49/2</f>
        <v>20649695.975</v>
      </c>
      <c r="AH49" s="7" t="n">
        <f aca="false">(N49*'Prices&amp;Fuel'!B49+'Prices&amp;Fuel'!C49*O49+P49*'Prices&amp;Fuel'!D49)*'Prices&amp;Fuel'!H49+(N49+O49+P49)*'Prices&amp;Fuel'!H49*FPL!T49+Q49/2</f>
        <v>10109795.0275707</v>
      </c>
      <c r="AI49" s="7" t="n">
        <f aca="false">R49*'Prices&amp;Fuel'!H49*'Prices&amp;Fuel'!Q49</f>
        <v>0</v>
      </c>
      <c r="AJ49" s="55" t="n">
        <f aca="false">SUM(AG49:AI49)-'Long Term Deals'!AZ49</f>
        <v>0</v>
      </c>
    </row>
    <row r="50" customFormat="false" ht="11.25" hidden="false" customHeight="false" outlineLevel="0" collapsed="false">
      <c r="A50" s="6" t="n">
        <f aca="false">+A49+365/12</f>
        <v>37117.75</v>
      </c>
      <c r="B50" s="7" t="n">
        <f aca="false">'Long Term Deals'!AF50</f>
        <v>155269.922879177</v>
      </c>
      <c r="C50" s="7" t="n">
        <f aca="false">'Long Term Deals'!AG50</f>
        <v>0</v>
      </c>
      <c r="D50" s="7" t="n">
        <f aca="false">'Long Term Deals'!AH50</f>
        <v>77120.822622108</v>
      </c>
      <c r="E50" s="7" t="n">
        <f aca="false">'Long Term Deals'!AI50</f>
        <v>0</v>
      </c>
      <c r="F50" s="7" t="n">
        <f aca="false">'Long Term Deals'!AJ50</f>
        <v>0</v>
      </c>
      <c r="G50" s="7" t="n">
        <f aca="false">'Long Term Deals'!AK50</f>
        <v>0</v>
      </c>
      <c r="H50" s="7" t="n">
        <f aca="false">'Long Term Deals'!AL50</f>
        <v>0</v>
      </c>
      <c r="I50" s="7" t="n">
        <f aca="false">'Long Term Deals'!AM50</f>
        <v>37635</v>
      </c>
      <c r="J50" s="7" t="n">
        <f aca="false">'Long Term Deals'!AN50</f>
        <v>0</v>
      </c>
      <c r="K50" s="7" t="n">
        <f aca="false">'Long Term Deals'!AO50</f>
        <v>38560</v>
      </c>
      <c r="L50" s="7" t="n">
        <f aca="false">'Long Term Deals'!AP50</f>
        <v>80000</v>
      </c>
      <c r="M50" s="7" t="n">
        <f aca="false">'Long Term Deals'!AQ50</f>
        <v>0</v>
      </c>
      <c r="N50" s="7" t="n">
        <f aca="false">'Long Term Deals'!AR50</f>
        <v>37634.9228791774</v>
      </c>
      <c r="O50" s="7" t="n">
        <f aca="false">'Long Term Deals'!AS50</f>
        <v>0</v>
      </c>
      <c r="P50" s="7" t="n">
        <f aca="false">'Long Term Deals'!AT50</f>
        <v>38560.822622108</v>
      </c>
      <c r="Q50" s="7" t="n">
        <f aca="false">'Long Term Deals'!AU50</f>
        <v>0</v>
      </c>
      <c r="R50" s="7" t="n">
        <f aca="false">'Long Term Deals'!AV50</f>
        <v>0</v>
      </c>
      <c r="S50" s="68" t="n">
        <f aca="false">'Long Term Deals'!AW50</f>
        <v>0.1</v>
      </c>
      <c r="T50" s="68" t="n">
        <f aca="false">'Long Term Deals'!AX50</f>
        <v>0.025</v>
      </c>
      <c r="U50" s="7" t="n">
        <f aca="false">'Long Term Deals'!AY50</f>
        <v>27591115.6812339</v>
      </c>
      <c r="V50" s="7" t="n">
        <f aca="false">'Long Term Deals'!AZ50</f>
        <v>26869269.9228792</v>
      </c>
      <c r="W50" s="5" t="n">
        <f aca="false">U50-V50</f>
        <v>721845.75835475</v>
      </c>
      <c r="X50" s="5" t="n">
        <f aca="false">'Long Term Deals'!CA50</f>
        <v>36020.5655526992</v>
      </c>
      <c r="Y50" s="71" t="n">
        <f aca="false">[4]Sheet1!$AL91</f>
        <v>762567.143039026</v>
      </c>
      <c r="Z50" s="7" t="n">
        <f aca="false">[2]Sheet1!$O62</f>
        <v>47594.5248174008</v>
      </c>
      <c r="AA50" s="7" t="n">
        <f aca="false">'[3]Long Term Deals'!$Z49</f>
        <v>-43972.9018835931</v>
      </c>
      <c r="AB50" s="70" t="n">
        <f aca="false">-Z50+AA50+Y50+W50-X50</f>
        <v>1356824.90914008</v>
      </c>
      <c r="AC50" s="70" t="n">
        <f aca="false">AB50-Y50</f>
        <v>594257.766101056</v>
      </c>
      <c r="AD50" s="70" t="n">
        <f aca="false">AC50+Z50-AA50+X50</f>
        <v>721845.75835475</v>
      </c>
      <c r="AE50" s="13" t="n">
        <f aca="false">(W50-Z50+AA50)/(B50+C50+D50)/'Prices&amp;Fuel'!H50</f>
        <v>0.0874886779236765</v>
      </c>
      <c r="AF50" s="1" t="n">
        <v>226000</v>
      </c>
      <c r="AG50" s="7" t="n">
        <f aca="false">((((I50*'Prices&amp;Fuel'!B50+'Prices&amp;Fuel'!C50*FPL!J50+FPL!K50*'Prices&amp;Fuel'!D50))+(L50*'Prices&amp;Fuel'!B50+'Prices&amp;Fuel'!C50*FPL!M50))*'Prices&amp;Fuel'!H50)+(I50+J50+K50)*'Prices&amp;Fuel'!H50*FPL!T50+Q50/2</f>
        <v>18034991.675</v>
      </c>
      <c r="AH50" s="7" t="n">
        <f aca="false">(N50*'Prices&amp;Fuel'!B50+'Prices&amp;Fuel'!C50*O50+P50*'Prices&amp;Fuel'!D50)*'Prices&amp;Fuel'!H50+(N50+O50+P50)*'Prices&amp;Fuel'!H50*FPL!T50+Q50/2</f>
        <v>8834278.24787918</v>
      </c>
      <c r="AI50" s="7" t="n">
        <f aca="false">R50*'Prices&amp;Fuel'!H50*'Prices&amp;Fuel'!Q50</f>
        <v>0</v>
      </c>
      <c r="AJ50" s="55" t="n">
        <f aca="false">SUM(AG50:AI50)-'Long Term Deals'!AZ50</f>
        <v>0</v>
      </c>
    </row>
    <row r="51" customFormat="false" ht="11.25" hidden="false" customHeight="false" outlineLevel="0" collapsed="false">
      <c r="A51" s="6" t="n">
        <f aca="false">+A50+365/12</f>
        <v>37148.1666666667</v>
      </c>
      <c r="B51" s="7" t="n">
        <f aca="false">'Long Term Deals'!AF51</f>
        <v>155269.922879177</v>
      </c>
      <c r="C51" s="7" t="n">
        <f aca="false">'Long Term Deals'!AG51</f>
        <v>0</v>
      </c>
      <c r="D51" s="7" t="n">
        <f aca="false">'Long Term Deals'!AH51</f>
        <v>77120.822622108</v>
      </c>
      <c r="E51" s="7" t="n">
        <f aca="false">'Long Term Deals'!AI51</f>
        <v>0</v>
      </c>
      <c r="F51" s="7" t="n">
        <f aca="false">'Long Term Deals'!AJ51</f>
        <v>0</v>
      </c>
      <c r="G51" s="7" t="n">
        <f aca="false">'Long Term Deals'!AK51</f>
        <v>0</v>
      </c>
      <c r="H51" s="7" t="n">
        <f aca="false">'Long Term Deals'!AL51</f>
        <v>0</v>
      </c>
      <c r="I51" s="7" t="n">
        <f aca="false">'Long Term Deals'!AM51</f>
        <v>37635</v>
      </c>
      <c r="J51" s="7" t="n">
        <f aca="false">'Long Term Deals'!AN51</f>
        <v>0</v>
      </c>
      <c r="K51" s="7" t="n">
        <f aca="false">'Long Term Deals'!AO51</f>
        <v>38560</v>
      </c>
      <c r="L51" s="7" t="n">
        <f aca="false">'Long Term Deals'!AP51</f>
        <v>80000</v>
      </c>
      <c r="M51" s="7" t="n">
        <f aca="false">'Long Term Deals'!AQ51</f>
        <v>0</v>
      </c>
      <c r="N51" s="7" t="n">
        <f aca="false">'Long Term Deals'!AR51</f>
        <v>37634.9228791774</v>
      </c>
      <c r="O51" s="7" t="n">
        <f aca="false">'Long Term Deals'!AS51</f>
        <v>0</v>
      </c>
      <c r="P51" s="7" t="n">
        <f aca="false">'Long Term Deals'!AT51</f>
        <v>38560.822622108</v>
      </c>
      <c r="Q51" s="7" t="n">
        <f aca="false">'Long Term Deals'!AU51</f>
        <v>0</v>
      </c>
      <c r="R51" s="7" t="n">
        <f aca="false">'Long Term Deals'!AV51</f>
        <v>0</v>
      </c>
      <c r="S51" s="68" t="n">
        <f aca="false">'Long Term Deals'!AW51</f>
        <v>0.1</v>
      </c>
      <c r="T51" s="68" t="n">
        <f aca="false">'Long Term Deals'!AX51</f>
        <v>0.025</v>
      </c>
      <c r="U51" s="7" t="n">
        <f aca="false">'Long Term Deals'!AY51</f>
        <v>32069305.9125964</v>
      </c>
      <c r="V51" s="7" t="n">
        <f aca="false">'Long Term Deals'!AZ51</f>
        <v>31370745.5012854</v>
      </c>
      <c r="W51" s="5" t="n">
        <f aca="false">U51-V51</f>
        <v>698560.411311049</v>
      </c>
      <c r="X51" s="5" t="n">
        <f aca="false">'Long Term Deals'!CA51</f>
        <v>34858.6118251928</v>
      </c>
      <c r="Y51" s="71" t="n">
        <f aca="false">[4]Sheet1!$AL92</f>
        <v>737968.202940993</v>
      </c>
      <c r="Z51" s="7" t="n">
        <f aca="false">[2]Sheet1!$O63</f>
        <v>46059.2175652266</v>
      </c>
      <c r="AA51" s="7" t="n">
        <f aca="false">'[3]Long Term Deals'!$Z50</f>
        <v>-42554.4211776707</v>
      </c>
      <c r="AB51" s="70" t="n">
        <f aca="false">-Z51+AA51+Y51+W51-X51</f>
        <v>1313056.36368395</v>
      </c>
      <c r="AC51" s="70" t="n">
        <f aca="false">AB51-Y51</f>
        <v>575088.160742959</v>
      </c>
      <c r="AD51" s="70" t="n">
        <f aca="false">AC51+Z51-AA51+X51</f>
        <v>698560.411311049</v>
      </c>
      <c r="AE51" s="13" t="n">
        <f aca="false">(W51-Z51+AA51)/(B51+C51+D51)/'Prices&amp;Fuel'!H51</f>
        <v>0.0874886779236766</v>
      </c>
      <c r="AF51" s="1" t="n">
        <v>226000</v>
      </c>
      <c r="AG51" s="7" t="n">
        <f aca="false">((((I51*'Prices&amp;Fuel'!B51+'Prices&amp;Fuel'!C51*FPL!J51+FPL!K51*'Prices&amp;Fuel'!D51))+(L51*'Prices&amp;Fuel'!B51+'Prices&amp;Fuel'!C51*FPL!M51))*'Prices&amp;Fuel'!H51)+(I51+J51+K51)*'Prices&amp;Fuel'!H51*FPL!T51+Q51/2</f>
        <v>21061322.25</v>
      </c>
      <c r="AH51" s="7" t="n">
        <f aca="false">(N51*'Prices&amp;Fuel'!B51+'Prices&amp;Fuel'!C51*O51+P51*'Prices&amp;Fuel'!D51)*'Prices&amp;Fuel'!H51+(N51+O51+P51)*'Prices&amp;Fuel'!H51*FPL!T51+Q51/2</f>
        <v>10309423.2512853</v>
      </c>
      <c r="AI51" s="7" t="n">
        <f aca="false">R51*'Prices&amp;Fuel'!H51*'Prices&amp;Fuel'!Q51</f>
        <v>0</v>
      </c>
      <c r="AJ51" s="55" t="n">
        <f aca="false">SUM(AG51:AI51)-'Long Term Deals'!AZ51</f>
        <v>0</v>
      </c>
    </row>
    <row r="52" customFormat="false" ht="11.25" hidden="false" customHeight="false" outlineLevel="0" collapsed="false">
      <c r="A52" s="6" t="n">
        <f aca="false">+A51+365/12</f>
        <v>37178.5833333333</v>
      </c>
      <c r="B52" s="7" t="n">
        <f aca="false">'Long Term Deals'!AF52</f>
        <v>58611.8251928021</v>
      </c>
      <c r="C52" s="7" t="n">
        <f aca="false">'Long Term Deals'!AG52</f>
        <v>0</v>
      </c>
      <c r="D52" s="7" t="n">
        <f aca="false">'Long Term Deals'!AH52</f>
        <v>77120.822622108</v>
      </c>
      <c r="E52" s="7" t="n">
        <f aca="false">'Long Term Deals'!AI52</f>
        <v>0</v>
      </c>
      <c r="F52" s="7" t="n">
        <f aca="false">'Long Term Deals'!AJ52</f>
        <v>0</v>
      </c>
      <c r="G52" s="7" t="n">
        <f aca="false">'Long Term Deals'!AK52</f>
        <v>0</v>
      </c>
      <c r="H52" s="7" t="n">
        <f aca="false">'Long Term Deals'!AL52</f>
        <v>0</v>
      </c>
      <c r="I52" s="7" t="n">
        <f aca="false">'Long Term Deals'!AM52</f>
        <v>0</v>
      </c>
      <c r="J52" s="7" t="n">
        <f aca="false">'Long Term Deals'!AN52</f>
        <v>0</v>
      </c>
      <c r="K52" s="7" t="n">
        <f aca="false">'Long Term Deals'!AO52</f>
        <v>38560</v>
      </c>
      <c r="L52" s="7" t="n">
        <f aca="false">'Long Term Deals'!AP52</f>
        <v>58611.8251928021</v>
      </c>
      <c r="M52" s="7" t="n">
        <f aca="false">'Long Term Deals'!AQ52</f>
        <v>0</v>
      </c>
      <c r="N52" s="7" t="n">
        <f aca="false">'Long Term Deals'!AR52</f>
        <v>0</v>
      </c>
      <c r="O52" s="7" t="n">
        <f aca="false">'Long Term Deals'!AS52</f>
        <v>0</v>
      </c>
      <c r="P52" s="7" t="n">
        <f aca="false">'Long Term Deals'!AT52</f>
        <v>38560.822622108</v>
      </c>
      <c r="Q52" s="7" t="n">
        <f aca="false">'Long Term Deals'!AU52</f>
        <v>0</v>
      </c>
      <c r="R52" s="7" t="n">
        <f aca="false">'Long Term Deals'!AV52</f>
        <v>0</v>
      </c>
      <c r="S52" s="68" t="n">
        <f aca="false">'Long Term Deals'!AW52</f>
        <v>0.1</v>
      </c>
      <c r="T52" s="68" t="n">
        <f aca="false">'Long Term Deals'!AX52</f>
        <v>0.025</v>
      </c>
      <c r="U52" s="7" t="n">
        <f aca="false">'Long Term Deals'!AY52</f>
        <v>22276010.2827764</v>
      </c>
      <c r="V52" s="7" t="n">
        <f aca="false">'Long Term Deals'!AZ52</f>
        <v>21795470.437018</v>
      </c>
      <c r="W52" s="5" t="n">
        <f aca="false">U52-V52</f>
        <v>480539.845758352</v>
      </c>
      <c r="X52" s="5" t="n">
        <f aca="false">'Long Term Deals'!CA52</f>
        <v>21038.5604113111</v>
      </c>
      <c r="Y52" s="71" t="n">
        <f aca="false">[4]Sheet1!$AL93</f>
        <v>762567.143039026</v>
      </c>
      <c r="Z52" s="7" t="n">
        <f aca="false">[2]Sheet1!$O64</f>
        <v>27798.572017243</v>
      </c>
      <c r="AA52" s="7" t="n">
        <f aca="false">'[3]Long Term Deals'!$Z51</f>
        <v>-34895.0629697055</v>
      </c>
      <c r="AB52" s="70" t="n">
        <f aca="false">-Z52+AA52+Y52+W52-X52</f>
        <v>1159374.79339912</v>
      </c>
      <c r="AC52" s="70" t="n">
        <f aca="false">AB52-Y52</f>
        <v>396807.650360093</v>
      </c>
      <c r="AD52" s="70" t="n">
        <f aca="false">AC52+Z52-AA52+X52</f>
        <v>480539.845758353</v>
      </c>
      <c r="AE52" s="13" t="n">
        <f aca="false">(W52-Z52+AA52)/(B52+C52+D52)/'Prices&amp;Fuel'!H52</f>
        <v>0.0993048484787855</v>
      </c>
      <c r="AF52" s="1" t="n">
        <v>132000</v>
      </c>
      <c r="AG52" s="7" t="n">
        <f aca="false">((((I52*'Prices&amp;Fuel'!B52+'Prices&amp;Fuel'!C52*FPL!J52+FPL!K52*'Prices&amp;Fuel'!D52))+(L52*'Prices&amp;Fuel'!B52+'Prices&amp;Fuel'!C52*FPL!M52))*'Prices&amp;Fuel'!H52)+(I52+J52+K52)*'Prices&amp;Fuel'!H52*FPL!T52+Q52/2</f>
        <v>15585442.7578406</v>
      </c>
      <c r="AH52" s="7" t="n">
        <f aca="false">(N52*'Prices&amp;Fuel'!B52+'Prices&amp;Fuel'!C52*O52+P52*'Prices&amp;Fuel'!D52)*'Prices&amp;Fuel'!H52+(N52+O52+P52)*'Prices&amp;Fuel'!H52*FPL!T52+Q52/2</f>
        <v>6210027.67917738</v>
      </c>
      <c r="AI52" s="7" t="n">
        <f aca="false">R52*'Prices&amp;Fuel'!H52*'Prices&amp;Fuel'!Q52</f>
        <v>0</v>
      </c>
      <c r="AJ52" s="55" t="n">
        <f aca="false">SUM(AG52:AI52)-'Long Term Deals'!AZ52</f>
        <v>0</v>
      </c>
    </row>
    <row r="53" customFormat="false" ht="11.25" hidden="false" customHeight="false" outlineLevel="0" collapsed="false">
      <c r="A53" s="6" t="n">
        <f aca="false">+A52+365/12</f>
        <v>37209</v>
      </c>
      <c r="B53" s="7" t="n">
        <f aca="false">'Long Term Deals'!AF53</f>
        <v>58611.8251928021</v>
      </c>
      <c r="C53" s="7" t="n">
        <f aca="false">'Long Term Deals'!AG53</f>
        <v>0</v>
      </c>
      <c r="D53" s="7" t="n">
        <f aca="false">'Long Term Deals'!AH53</f>
        <v>77120.822622108</v>
      </c>
      <c r="E53" s="7" t="n">
        <f aca="false">'Long Term Deals'!AI53</f>
        <v>0</v>
      </c>
      <c r="F53" s="7" t="n">
        <f aca="false">'Long Term Deals'!AJ53</f>
        <v>0</v>
      </c>
      <c r="G53" s="7" t="n">
        <f aca="false">'Long Term Deals'!AK53</f>
        <v>0</v>
      </c>
      <c r="H53" s="7" t="n">
        <f aca="false">'Long Term Deals'!AL53</f>
        <v>0</v>
      </c>
      <c r="I53" s="7" t="n">
        <f aca="false">'Long Term Deals'!AM53</f>
        <v>0</v>
      </c>
      <c r="J53" s="7" t="n">
        <f aca="false">'Long Term Deals'!AN53</f>
        <v>0</v>
      </c>
      <c r="K53" s="7" t="n">
        <f aca="false">'Long Term Deals'!AO53</f>
        <v>38560</v>
      </c>
      <c r="L53" s="7" t="n">
        <f aca="false">'Long Term Deals'!AP53</f>
        <v>58611.8251928021</v>
      </c>
      <c r="M53" s="7" t="n">
        <f aca="false">'Long Term Deals'!AQ53</f>
        <v>0</v>
      </c>
      <c r="N53" s="7" t="n">
        <f aca="false">'Long Term Deals'!AR53</f>
        <v>0</v>
      </c>
      <c r="O53" s="7" t="n">
        <f aca="false">'Long Term Deals'!AS53</f>
        <v>0</v>
      </c>
      <c r="P53" s="7" t="n">
        <f aca="false">'Long Term Deals'!AT53</f>
        <v>38560.822622108</v>
      </c>
      <c r="Q53" s="7" t="n">
        <f aca="false">'Long Term Deals'!AU53</f>
        <v>0</v>
      </c>
      <c r="R53" s="7" t="n">
        <f aca="false">'Long Term Deals'!AV53</f>
        <v>0</v>
      </c>
      <c r="S53" s="68" t="n">
        <f aca="false">'Long Term Deals'!AW53</f>
        <v>0.1</v>
      </c>
      <c r="T53" s="68" t="n">
        <f aca="false">'Long Term Deals'!AX53</f>
        <v>0.025</v>
      </c>
      <c r="U53" s="7" t="n">
        <f aca="false">'Long Term Deals'!AY53</f>
        <v>14512904.8843188</v>
      </c>
      <c r="V53" s="7" t="n">
        <f aca="false">'Long Term Deals'!AZ53</f>
        <v>14047866.3239075</v>
      </c>
      <c r="W53" s="5" t="n">
        <f aca="false">U53-V53</f>
        <v>465038.560411312</v>
      </c>
      <c r="X53" s="5" t="n">
        <f aca="false">'Long Term Deals'!CA53</f>
        <v>20359.8971722365</v>
      </c>
      <c r="Y53" s="71" t="n">
        <f aca="false">[4]Sheet1!$AL94</f>
        <v>737968.202940993</v>
      </c>
      <c r="Z53" s="7" t="n">
        <f aca="false">[2]Sheet1!$O65</f>
        <v>26901.8438876545</v>
      </c>
      <c r="AA53" s="7" t="n">
        <f aca="false">'[3]Long Term Deals'!$Z52</f>
        <v>-33769.4157771343</v>
      </c>
      <c r="AB53" s="70" t="n">
        <f aca="false">-Z53+AA53+Y53+W53-X53</f>
        <v>1121975.60651528</v>
      </c>
      <c r="AC53" s="70" t="n">
        <f aca="false">AB53-Y53</f>
        <v>384007.403574286</v>
      </c>
      <c r="AD53" s="70" t="n">
        <f aca="false">AC53+Z53-AA53+X53</f>
        <v>465038.560411312</v>
      </c>
      <c r="AE53" s="13" t="n">
        <f aca="false">(W53-Z53+AA53)/(B53+C53+D53)/'Prices&amp;Fuel'!H53</f>
        <v>0.0993048484787862</v>
      </c>
      <c r="AF53" s="1" t="n">
        <v>132000</v>
      </c>
      <c r="AG53" s="7" t="n">
        <f aca="false">((((I53*'Prices&amp;Fuel'!B53+'Prices&amp;Fuel'!C53*FPL!J53+FPL!K53*'Prices&amp;Fuel'!D53))+(L53*'Prices&amp;Fuel'!B53+'Prices&amp;Fuel'!C53*FPL!M53))*'Prices&amp;Fuel'!H53)+(I53+J53+K53)*'Prices&amp;Fuel'!H53*FPL!T53+Q53/2</f>
        <v>10039468.8123393</v>
      </c>
      <c r="AH53" s="7" t="n">
        <f aca="false">(N53*'Prices&amp;Fuel'!B53+'Prices&amp;Fuel'!C53*O53+P53*'Prices&amp;Fuel'!D53)*'Prices&amp;Fuel'!H53+(N53+O53+P53)*'Prices&amp;Fuel'!H53*FPL!T53+Q53/2</f>
        <v>4008397.51156812</v>
      </c>
      <c r="AI53" s="7" t="n">
        <f aca="false">R53*'Prices&amp;Fuel'!H53*'Prices&amp;Fuel'!Q53</f>
        <v>0</v>
      </c>
      <c r="AJ53" s="55" t="n">
        <f aca="false">SUM(AG53:AI53)-'Long Term Deals'!AZ53</f>
        <v>0</v>
      </c>
    </row>
    <row r="54" customFormat="false" ht="11.25" hidden="false" customHeight="false" outlineLevel="0" collapsed="false">
      <c r="A54" s="6" t="n">
        <f aca="false">+A53+365/12</f>
        <v>37239.4166666667</v>
      </c>
      <c r="B54" s="7" t="n">
        <f aca="false">'Long Term Deals'!AF54</f>
        <v>58611.8251928021</v>
      </c>
      <c r="C54" s="7" t="n">
        <f aca="false">'Long Term Deals'!AG54</f>
        <v>0</v>
      </c>
      <c r="D54" s="7" t="n">
        <f aca="false">'Long Term Deals'!AH54</f>
        <v>77120.822622108</v>
      </c>
      <c r="E54" s="7" t="n">
        <f aca="false">'Long Term Deals'!AI54</f>
        <v>0</v>
      </c>
      <c r="F54" s="7" t="n">
        <f aca="false">'Long Term Deals'!AJ54</f>
        <v>0</v>
      </c>
      <c r="G54" s="7" t="n">
        <f aca="false">'Long Term Deals'!AK54</f>
        <v>0</v>
      </c>
      <c r="H54" s="7" t="n">
        <f aca="false">'Long Term Deals'!AL54</f>
        <v>0</v>
      </c>
      <c r="I54" s="7" t="n">
        <f aca="false">'Long Term Deals'!AM54</f>
        <v>0</v>
      </c>
      <c r="J54" s="7" t="n">
        <f aca="false">'Long Term Deals'!AN54</f>
        <v>0</v>
      </c>
      <c r="K54" s="7" t="n">
        <f aca="false">'Long Term Deals'!AO54</f>
        <v>38560</v>
      </c>
      <c r="L54" s="7" t="n">
        <f aca="false">'Long Term Deals'!AP54</f>
        <v>58611.8251928021</v>
      </c>
      <c r="M54" s="7" t="n">
        <f aca="false">'Long Term Deals'!AQ54</f>
        <v>0</v>
      </c>
      <c r="N54" s="7" t="n">
        <f aca="false">'Long Term Deals'!AR54</f>
        <v>0</v>
      </c>
      <c r="O54" s="7" t="n">
        <f aca="false">'Long Term Deals'!AS54</f>
        <v>0</v>
      </c>
      <c r="P54" s="7" t="n">
        <f aca="false">'Long Term Deals'!AT54</f>
        <v>38560.822622108</v>
      </c>
      <c r="Q54" s="7" t="n">
        <f aca="false">'Long Term Deals'!AU54</f>
        <v>0</v>
      </c>
      <c r="R54" s="7" t="n">
        <f aca="false">'Long Term Deals'!AV54</f>
        <v>0</v>
      </c>
      <c r="S54" s="68" t="n">
        <f aca="false">'Long Term Deals'!AW54</f>
        <v>0.1</v>
      </c>
      <c r="T54" s="68" t="n">
        <f aca="false">'Long Term Deals'!AX54</f>
        <v>0.025</v>
      </c>
      <c r="U54" s="7" t="n">
        <f aca="false">'Long Term Deals'!AY54</f>
        <v>11293881.748072</v>
      </c>
      <c r="V54" s="7" t="n">
        <f aca="false">'Long Term Deals'!AZ54</f>
        <v>10813341.9023136</v>
      </c>
      <c r="W54" s="5" t="n">
        <f aca="false">U54-V54</f>
        <v>480539.845758352</v>
      </c>
      <c r="X54" s="5" t="n">
        <f aca="false">'Long Term Deals'!CA54</f>
        <v>21038.5604113111</v>
      </c>
      <c r="Y54" s="71" t="n">
        <f aca="false">[4]Sheet1!$AL95</f>
        <v>762567.143039026</v>
      </c>
      <c r="Z54" s="7" t="n">
        <f aca="false">[2]Sheet1!$O66</f>
        <v>27798.572017243</v>
      </c>
      <c r="AA54" s="7" t="n">
        <f aca="false">'[3]Long Term Deals'!$Z53</f>
        <v>-34895.0629697055</v>
      </c>
      <c r="AB54" s="70" t="n">
        <f aca="false">-Z54+AA54+Y54+W54-X54</f>
        <v>1159374.79339912</v>
      </c>
      <c r="AC54" s="70" t="n">
        <f aca="false">AB54-Y54</f>
        <v>396807.650360093</v>
      </c>
      <c r="AD54" s="70" t="n">
        <f aca="false">AC54+Z54-AA54+X54</f>
        <v>480539.845758353</v>
      </c>
      <c r="AE54" s="13" t="n">
        <f aca="false">(W54-Z54+AA54)/(B54+C54+D54)/'Prices&amp;Fuel'!H54</f>
        <v>0.0993048484787855</v>
      </c>
      <c r="AF54" s="1" t="n">
        <v>132000</v>
      </c>
      <c r="AG54" s="7" t="n">
        <f aca="false">((((I54*'Prices&amp;Fuel'!B54+'Prices&amp;Fuel'!C54*FPL!J54+FPL!K54*'Prices&amp;Fuel'!D54))+(L54*'Prices&amp;Fuel'!B54+'Prices&amp;Fuel'!C54*FPL!M54))*'Prices&amp;Fuel'!H54)+(I54+J54+K54)*'Prices&amp;Fuel'!H54*FPL!T54+Q54/2</f>
        <v>7723270.381491</v>
      </c>
      <c r="AH54" s="7" t="n">
        <f aca="false">(N54*'Prices&amp;Fuel'!B54+'Prices&amp;Fuel'!C54*O54+P54*'Prices&amp;Fuel'!D54)*'Prices&amp;Fuel'!H54+(N54+O54+P54)*'Prices&amp;Fuel'!H54*FPL!T54+Q54/2</f>
        <v>3090071.52082262</v>
      </c>
      <c r="AI54" s="7" t="n">
        <f aca="false">R54*'Prices&amp;Fuel'!H54*'Prices&amp;Fuel'!Q54</f>
        <v>0</v>
      </c>
      <c r="AJ54" s="55" t="n">
        <f aca="false">SUM(AG54:AI54)-'Long Term Deals'!AZ54</f>
        <v>0</v>
      </c>
    </row>
    <row r="55" customFormat="false" ht="11.25" hidden="false" customHeight="false" outlineLevel="0" collapsed="false">
      <c r="A55" s="6" t="n">
        <f aca="false">+A54+365/12</f>
        <v>37269.8333333333</v>
      </c>
      <c r="B55" s="7" t="n">
        <f aca="false">'Long Term Deals'!AF55</f>
        <v>58611.8251928021</v>
      </c>
      <c r="C55" s="7" t="n">
        <f aca="false">'Long Term Deals'!AG55</f>
        <v>0</v>
      </c>
      <c r="D55" s="7" t="n">
        <f aca="false">'Long Term Deals'!AH55</f>
        <v>77120.822622108</v>
      </c>
      <c r="E55" s="7" t="n">
        <f aca="false">'Long Term Deals'!AI55</f>
        <v>0</v>
      </c>
      <c r="F55" s="7" t="n">
        <f aca="false">'Long Term Deals'!AJ55</f>
        <v>0</v>
      </c>
      <c r="G55" s="7" t="n">
        <f aca="false">'Long Term Deals'!AK55</f>
        <v>0</v>
      </c>
      <c r="H55" s="7" t="n">
        <f aca="false">'Long Term Deals'!AL55</f>
        <v>0</v>
      </c>
      <c r="I55" s="7" t="n">
        <f aca="false">'Long Term Deals'!AM55</f>
        <v>0</v>
      </c>
      <c r="J55" s="7" t="n">
        <f aca="false">'Long Term Deals'!AN55</f>
        <v>0</v>
      </c>
      <c r="K55" s="7" t="n">
        <f aca="false">'Long Term Deals'!AO55</f>
        <v>38560</v>
      </c>
      <c r="L55" s="7" t="n">
        <f aca="false">'Long Term Deals'!AP55</f>
        <v>58611.8251928021</v>
      </c>
      <c r="M55" s="7" t="n">
        <f aca="false">'Long Term Deals'!AQ55</f>
        <v>0</v>
      </c>
      <c r="N55" s="7" t="n">
        <f aca="false">'Long Term Deals'!AR55</f>
        <v>0</v>
      </c>
      <c r="O55" s="7" t="n">
        <f aca="false">'Long Term Deals'!AS55</f>
        <v>0</v>
      </c>
      <c r="P55" s="7" t="n">
        <f aca="false">'Long Term Deals'!AT55</f>
        <v>38560.822622108</v>
      </c>
      <c r="Q55" s="7" t="n">
        <f aca="false">'Long Term Deals'!AU55</f>
        <v>0</v>
      </c>
      <c r="R55" s="7" t="n">
        <f aca="false">'Long Term Deals'!AV55</f>
        <v>0</v>
      </c>
      <c r="S55" s="68" t="n">
        <f aca="false">'Long Term Deals'!AW55</f>
        <v>0.09</v>
      </c>
      <c r="T55" s="68" t="n">
        <f aca="false">'Long Term Deals'!AX55</f>
        <v>0.025</v>
      </c>
      <c r="U55" s="7" t="n">
        <f aca="false">'Long Term Deals'!AY55</f>
        <v>9821182.51928021</v>
      </c>
      <c r="V55" s="7" t="n">
        <f aca="false">'Long Term Deals'!AZ55</f>
        <v>9382719.79434448</v>
      </c>
      <c r="W55" s="5" t="n">
        <f aca="false">U55-V55</f>
        <v>438462.724935731</v>
      </c>
      <c r="X55" s="5" t="n">
        <f aca="false">'Long Term Deals'!CA55</f>
        <v>21038.5604113111</v>
      </c>
      <c r="Y55" s="71" t="n">
        <f aca="false">[4]Sheet1!$AL96</f>
        <v>762567.143039026</v>
      </c>
      <c r="Z55" s="7" t="n">
        <f aca="false">[2]Sheet1!$O68</f>
        <v>-14408.7513453151</v>
      </c>
      <c r="AA55" s="7" t="n">
        <f aca="false">'[3]Long Term Deals'!$Z54</f>
        <v>-34895.0629697055</v>
      </c>
      <c r="AB55" s="70" t="n">
        <f aca="false">-Z55+AA55+Y55+W55-X55</f>
        <v>1159504.99593906</v>
      </c>
      <c r="AC55" s="70" t="n">
        <f aca="false">AB55-Y55</f>
        <v>396937.85290003</v>
      </c>
      <c r="AD55" s="70" t="n">
        <f aca="false">AC55+Z55-AA55+X55</f>
        <v>438462.724935731</v>
      </c>
      <c r="AE55" s="13" t="n">
        <f aca="false">(W55-Z55+AA55)/(B55+C55+D55)/'Prices&amp;Fuel'!H55</f>
        <v>0.0993357922642421</v>
      </c>
      <c r="AF55" s="1" t="n">
        <v>132000</v>
      </c>
      <c r="AG55" s="7" t="n">
        <f aca="false">((((I55*'Prices&amp;Fuel'!B55+'Prices&amp;Fuel'!C55*FPL!J55+FPL!K55*'Prices&amp;Fuel'!D55))+(L55*'Prices&amp;Fuel'!B55+'Prices&amp;Fuel'!C55*FPL!M55))*'Prices&amp;Fuel'!H55)+(I55+J55+K55)*'Prices&amp;Fuel'!H55*FPL!T55+Q55/2</f>
        <v>6699079.34395887</v>
      </c>
      <c r="AH55" s="7" t="n">
        <f aca="false">(N55*'Prices&amp;Fuel'!B55+'Prices&amp;Fuel'!C55*O55+P55*'Prices&amp;Fuel'!D55)*'Prices&amp;Fuel'!H55+(N55+O55+P55)*'Prices&amp;Fuel'!H55*FPL!T55+Q55/2</f>
        <v>2683640.4503856</v>
      </c>
      <c r="AI55" s="7" t="n">
        <f aca="false">R55*'Prices&amp;Fuel'!H55*'Prices&amp;Fuel'!Q55</f>
        <v>0</v>
      </c>
      <c r="AJ55" s="55" t="n">
        <f aca="false">SUM(AG55:AI55)-'Long Term Deals'!AZ55</f>
        <v>0</v>
      </c>
    </row>
    <row r="56" customFormat="false" ht="11.25" hidden="false" customHeight="false" outlineLevel="0" collapsed="false">
      <c r="A56" s="6" t="n">
        <f aca="false">+A55+365/12</f>
        <v>37300.25</v>
      </c>
      <c r="B56" s="7" t="n">
        <f aca="false">'Long Term Deals'!AF56</f>
        <v>58611.8251928021</v>
      </c>
      <c r="C56" s="7" t="n">
        <f aca="false">'Long Term Deals'!AG56</f>
        <v>0</v>
      </c>
      <c r="D56" s="7" t="n">
        <f aca="false">'Long Term Deals'!AH56</f>
        <v>77120.822622108</v>
      </c>
      <c r="E56" s="7" t="n">
        <f aca="false">'Long Term Deals'!AI56</f>
        <v>0</v>
      </c>
      <c r="F56" s="7" t="n">
        <f aca="false">'Long Term Deals'!AJ56</f>
        <v>0</v>
      </c>
      <c r="G56" s="7" t="n">
        <f aca="false">'Long Term Deals'!AK56</f>
        <v>0</v>
      </c>
      <c r="H56" s="7" t="n">
        <f aca="false">'Long Term Deals'!AL56</f>
        <v>0</v>
      </c>
      <c r="I56" s="7" t="n">
        <f aca="false">'Long Term Deals'!AM56</f>
        <v>0</v>
      </c>
      <c r="J56" s="7" t="n">
        <f aca="false">'Long Term Deals'!AN56</f>
        <v>0</v>
      </c>
      <c r="K56" s="7" t="n">
        <f aca="false">'Long Term Deals'!AO56</f>
        <v>38560</v>
      </c>
      <c r="L56" s="7" t="n">
        <f aca="false">'Long Term Deals'!AP56</f>
        <v>58611.8251928021</v>
      </c>
      <c r="M56" s="7" t="n">
        <f aca="false">'Long Term Deals'!AQ56</f>
        <v>0</v>
      </c>
      <c r="N56" s="7" t="n">
        <f aca="false">'Long Term Deals'!AR56</f>
        <v>0</v>
      </c>
      <c r="O56" s="7" t="n">
        <f aca="false">'Long Term Deals'!AS56</f>
        <v>0</v>
      </c>
      <c r="P56" s="7" t="n">
        <f aca="false">'Long Term Deals'!AT56</f>
        <v>38560.822622108</v>
      </c>
      <c r="Q56" s="7" t="n">
        <f aca="false">'Long Term Deals'!AU56</f>
        <v>0</v>
      </c>
      <c r="R56" s="7" t="n">
        <f aca="false">'Long Term Deals'!AV56</f>
        <v>0</v>
      </c>
      <c r="S56" s="68" t="n">
        <f aca="false">'Long Term Deals'!AW56</f>
        <v>0.09</v>
      </c>
      <c r="T56" s="68" t="n">
        <f aca="false">'Long Term Deals'!AX56</f>
        <v>0.025</v>
      </c>
      <c r="U56" s="7" t="n">
        <f aca="false">'Long Term Deals'!AY56</f>
        <v>9896884.31876607</v>
      </c>
      <c r="V56" s="7" t="n">
        <f aca="false">'Long Term Deals'!AZ56</f>
        <v>9500853.47043702</v>
      </c>
      <c r="W56" s="5" t="n">
        <f aca="false">U56-V56</f>
        <v>396030.848329049</v>
      </c>
      <c r="X56" s="5" t="n">
        <f aca="false">'Long Term Deals'!CA56</f>
        <v>19002.5706940874</v>
      </c>
      <c r="Y56" s="71" t="n">
        <f aca="false">[4]Sheet1!$AL97</f>
        <v>688770.322744927</v>
      </c>
      <c r="Z56" s="7" t="n">
        <f aca="false">[2]Sheet1!$O69</f>
        <v>-13014.356053833</v>
      </c>
      <c r="AA56" s="7" t="n">
        <f aca="false">'[3]Long Term Deals'!$Z55</f>
        <v>-31518.1213919921</v>
      </c>
      <c r="AB56" s="70" t="n">
        <f aca="false">-Z56+AA56+Y56+W56-X56</f>
        <v>1047294.83504173</v>
      </c>
      <c r="AC56" s="70" t="n">
        <f aca="false">AB56-Y56</f>
        <v>358524.512296802</v>
      </c>
      <c r="AD56" s="70" t="n">
        <f aca="false">AC56+Z56-AA56+X56</f>
        <v>396030.848329049</v>
      </c>
      <c r="AE56" s="13" t="n">
        <f aca="false">(W56-Z56+AA56)/(B56+C56+D56)/'Prices&amp;Fuel'!H56</f>
        <v>0.0993357922642424</v>
      </c>
      <c r="AF56" s="1" t="n">
        <v>132000</v>
      </c>
      <c r="AG56" s="7" t="n">
        <f aca="false">((((I56*'Prices&amp;Fuel'!B56+'Prices&amp;Fuel'!C56*FPL!J56+FPL!K56*'Prices&amp;Fuel'!D56))+(L56*'Prices&amp;Fuel'!B56+'Prices&amp;Fuel'!C56*FPL!M56))*'Prices&amp;Fuel'!H56)+(I56+J56+K56)*'Prices&amp;Fuel'!H56*FPL!T56+Q56/2</f>
        <v>6785400.34138818</v>
      </c>
      <c r="AH56" s="7" t="n">
        <f aca="false">(N56*'Prices&amp;Fuel'!B56+'Prices&amp;Fuel'!C56*O56+P56*'Prices&amp;Fuel'!D56)*'Prices&amp;Fuel'!H56+(N56+O56+P56)*'Prices&amp;Fuel'!H56*FPL!T56+Q56/2</f>
        <v>2715453.12904884</v>
      </c>
      <c r="AI56" s="7" t="n">
        <f aca="false">R56*'Prices&amp;Fuel'!H56*'Prices&amp;Fuel'!Q56</f>
        <v>0</v>
      </c>
      <c r="AJ56" s="55" t="n">
        <f aca="false">SUM(AG56:AI56)-'Long Term Deals'!AZ56</f>
        <v>0</v>
      </c>
    </row>
    <row r="57" customFormat="false" ht="11.25" hidden="false" customHeight="false" outlineLevel="0" collapsed="false">
      <c r="A57" s="6" t="n">
        <f aca="false">+A56+365/12</f>
        <v>37330.6666666667</v>
      </c>
      <c r="B57" s="7" t="n">
        <f aca="false">'Long Term Deals'!AF57</f>
        <v>58611.8251928021</v>
      </c>
      <c r="C57" s="7" t="n">
        <f aca="false">'Long Term Deals'!AG57</f>
        <v>0</v>
      </c>
      <c r="D57" s="7" t="n">
        <f aca="false">'Long Term Deals'!AH57</f>
        <v>77120.822622108</v>
      </c>
      <c r="E57" s="7" t="n">
        <f aca="false">'Long Term Deals'!AI57</f>
        <v>0</v>
      </c>
      <c r="F57" s="7" t="n">
        <f aca="false">'Long Term Deals'!AJ57</f>
        <v>0</v>
      </c>
      <c r="G57" s="7" t="n">
        <f aca="false">'Long Term Deals'!AK57</f>
        <v>0</v>
      </c>
      <c r="H57" s="7" t="n">
        <f aca="false">'Long Term Deals'!AL57</f>
        <v>0</v>
      </c>
      <c r="I57" s="7" t="n">
        <f aca="false">'Long Term Deals'!AM57</f>
        <v>0</v>
      </c>
      <c r="J57" s="7" t="n">
        <f aca="false">'Long Term Deals'!AN57</f>
        <v>0</v>
      </c>
      <c r="K57" s="7" t="n">
        <f aca="false">'Long Term Deals'!AO57</f>
        <v>38560</v>
      </c>
      <c r="L57" s="7" t="n">
        <f aca="false">'Long Term Deals'!AP57</f>
        <v>58611.8251928021</v>
      </c>
      <c r="M57" s="7" t="n">
        <f aca="false">'Long Term Deals'!AQ57</f>
        <v>0</v>
      </c>
      <c r="N57" s="7" t="n">
        <f aca="false">'Long Term Deals'!AR57</f>
        <v>0</v>
      </c>
      <c r="O57" s="7" t="n">
        <f aca="false">'Long Term Deals'!AS57</f>
        <v>0</v>
      </c>
      <c r="P57" s="7" t="n">
        <f aca="false">'Long Term Deals'!AT57</f>
        <v>38560.822622108</v>
      </c>
      <c r="Q57" s="7" t="n">
        <f aca="false">'Long Term Deals'!AU57</f>
        <v>0</v>
      </c>
      <c r="R57" s="7" t="n">
        <f aca="false">'Long Term Deals'!AV57</f>
        <v>0</v>
      </c>
      <c r="S57" s="68" t="n">
        <f aca="false">'Long Term Deals'!AW57</f>
        <v>0.09</v>
      </c>
      <c r="T57" s="68" t="n">
        <f aca="false">'Long Term Deals'!AX57</f>
        <v>0.025</v>
      </c>
      <c r="U57" s="7" t="n">
        <f aca="false">'Long Term Deals'!AY57</f>
        <v>10957264.781491</v>
      </c>
      <c r="V57" s="7" t="n">
        <f aca="false">'Long Term Deals'!AZ57</f>
        <v>10518802.0565553</v>
      </c>
      <c r="W57" s="5" t="n">
        <f aca="false">U57-V57</f>
        <v>438462.724935731</v>
      </c>
      <c r="X57" s="5" t="n">
        <f aca="false">'Long Term Deals'!CA57</f>
        <v>21038.5604113111</v>
      </c>
      <c r="Y57" s="71" t="n">
        <f aca="false">[4]Sheet1!$AL98</f>
        <v>762567.143039026</v>
      </c>
      <c r="Z57" s="7" t="n">
        <f aca="false">[2]Sheet1!$O70</f>
        <v>-14408.7513453151</v>
      </c>
      <c r="AA57" s="7" t="n">
        <f aca="false">'[3]Long Term Deals'!$Z56</f>
        <v>-34895.0629697055</v>
      </c>
      <c r="AB57" s="70" t="n">
        <f aca="false">-Z57+AA57+Y57+W57-X57</f>
        <v>1159504.99593906</v>
      </c>
      <c r="AC57" s="70" t="n">
        <f aca="false">AB57-Y57</f>
        <v>396937.85290003</v>
      </c>
      <c r="AD57" s="70" t="n">
        <f aca="false">AC57+Z57-AA57+X57</f>
        <v>438462.724935731</v>
      </c>
      <c r="AE57" s="13" t="n">
        <f aca="false">(W57-Z57+AA57)/(B57+C57+D57)/'Prices&amp;Fuel'!H57</f>
        <v>0.0993357922642421</v>
      </c>
      <c r="AF57" s="1" t="n">
        <v>132000</v>
      </c>
      <c r="AG57" s="7" t="n">
        <f aca="false">((((I57*'Prices&amp;Fuel'!B57+'Prices&amp;Fuel'!C57*FPL!J57+FPL!K57*'Prices&amp;Fuel'!D57))+(L57*'Prices&amp;Fuel'!B57+'Prices&amp;Fuel'!C57*FPL!M57))*'Prices&amp;Fuel'!H57)+(I57+J57+K57)*'Prices&amp;Fuel'!H57*FPL!T57+Q57/2</f>
        <v>7512407.52082262</v>
      </c>
      <c r="AH57" s="7" t="n">
        <f aca="false">(N57*'Prices&amp;Fuel'!B57+'Prices&amp;Fuel'!C57*O57+P57*'Prices&amp;Fuel'!D57)*'Prices&amp;Fuel'!H57+(N57+O57+P57)*'Prices&amp;Fuel'!H57*FPL!T57+Q57/2</f>
        <v>3006394.53573265</v>
      </c>
      <c r="AI57" s="7" t="n">
        <f aca="false">R57*'Prices&amp;Fuel'!H57*'Prices&amp;Fuel'!Q57</f>
        <v>0</v>
      </c>
      <c r="AJ57" s="55" t="n">
        <f aca="false">SUM(AG57:AI57)-'Long Term Deals'!AZ57</f>
        <v>0</v>
      </c>
    </row>
    <row r="58" customFormat="false" ht="11.25" hidden="false" customHeight="false" outlineLevel="0" collapsed="false">
      <c r="A58" s="6" t="n">
        <f aca="false">+A57+365/12</f>
        <v>37361.0833333333</v>
      </c>
      <c r="B58" s="7" t="n">
        <f aca="false">'Long Term Deals'!AF58</f>
        <v>58611.8251928021</v>
      </c>
      <c r="C58" s="7" t="n">
        <f aca="false">'Long Term Deals'!AG58</f>
        <v>0</v>
      </c>
      <c r="D58" s="7" t="n">
        <f aca="false">'Long Term Deals'!AH58</f>
        <v>77120.822622108</v>
      </c>
      <c r="E58" s="7" t="n">
        <f aca="false">'Long Term Deals'!AI58</f>
        <v>0</v>
      </c>
      <c r="F58" s="7" t="n">
        <f aca="false">'Long Term Deals'!AJ58</f>
        <v>0</v>
      </c>
      <c r="G58" s="7" t="n">
        <f aca="false">'Long Term Deals'!AK58</f>
        <v>0</v>
      </c>
      <c r="H58" s="7" t="n">
        <f aca="false">'Long Term Deals'!AL58</f>
        <v>0</v>
      </c>
      <c r="I58" s="7" t="n">
        <f aca="false">'Long Term Deals'!AM58</f>
        <v>0</v>
      </c>
      <c r="J58" s="7" t="n">
        <f aca="false">'Long Term Deals'!AN58</f>
        <v>0</v>
      </c>
      <c r="K58" s="7" t="n">
        <f aca="false">'Long Term Deals'!AO58</f>
        <v>38560</v>
      </c>
      <c r="L58" s="7" t="n">
        <f aca="false">'Long Term Deals'!AP58</f>
        <v>58611.8251928021</v>
      </c>
      <c r="M58" s="7" t="n">
        <f aca="false">'Long Term Deals'!AQ58</f>
        <v>0</v>
      </c>
      <c r="N58" s="7" t="n">
        <f aca="false">'Long Term Deals'!AR58</f>
        <v>0</v>
      </c>
      <c r="O58" s="7" t="n">
        <f aca="false">'Long Term Deals'!AS58</f>
        <v>0</v>
      </c>
      <c r="P58" s="7" t="n">
        <f aca="false">'Long Term Deals'!AT58</f>
        <v>38560.822622108</v>
      </c>
      <c r="Q58" s="7" t="n">
        <f aca="false">'Long Term Deals'!AU58</f>
        <v>0</v>
      </c>
      <c r="R58" s="7" t="n">
        <f aca="false">'Long Term Deals'!AV58</f>
        <v>0</v>
      </c>
      <c r="S58" s="68" t="n">
        <f aca="false">'Long Term Deals'!AW58</f>
        <v>0.09</v>
      </c>
      <c r="T58" s="68" t="n">
        <f aca="false">'Long Term Deals'!AX58</f>
        <v>0.025</v>
      </c>
      <c r="U58" s="7" t="n">
        <f aca="false">'Long Term Deals'!AY58</f>
        <v>11703239.0745501</v>
      </c>
      <c r="V58" s="7" t="n">
        <f aca="false">'Long Term Deals'!AZ58</f>
        <v>11278920.3084833</v>
      </c>
      <c r="W58" s="5" t="n">
        <f aca="false">U58-V58</f>
        <v>424318.766066838</v>
      </c>
      <c r="X58" s="5" t="n">
        <f aca="false">'Long Term Deals'!CA58</f>
        <v>20359.8971722365</v>
      </c>
      <c r="Y58" s="71" t="n">
        <f aca="false">[4]Sheet1!$AL99</f>
        <v>737968.202940993</v>
      </c>
      <c r="Z58" s="7" t="n">
        <f aca="false">[2]Sheet1!$O71</f>
        <v>-13943.9529148211</v>
      </c>
      <c r="AA58" s="7" t="n">
        <f aca="false">'[3]Long Term Deals'!$Z57</f>
        <v>-33769.4157771343</v>
      </c>
      <c r="AB58" s="70" t="n">
        <f aca="false">-Z58+AA58+Y58+W58-X58</f>
        <v>1122101.60897328</v>
      </c>
      <c r="AC58" s="70" t="n">
        <f aca="false">AB58-Y58</f>
        <v>384133.406032288</v>
      </c>
      <c r="AD58" s="70" t="n">
        <f aca="false">AC58+Z58-AA58+X58</f>
        <v>424318.766066838</v>
      </c>
      <c r="AE58" s="13" t="n">
        <f aca="false">(W58-Z58+AA58)/(B58+C58+D58)/'Prices&amp;Fuel'!H58</f>
        <v>0.0993357922642425</v>
      </c>
      <c r="AF58" s="1" t="n">
        <v>132000</v>
      </c>
      <c r="AG58" s="7" t="n">
        <f aca="false">((((I58*'Prices&amp;Fuel'!B58+'Prices&amp;Fuel'!C58*FPL!J58+FPL!K58*'Prices&amp;Fuel'!D58))+(L58*'Prices&amp;Fuel'!B58+'Prices&amp;Fuel'!C58*FPL!M58))*'Prices&amp;Fuel'!H58)+(I58+J58+K58)*'Prices&amp;Fuel'!H58*FPL!T58+Q58/2</f>
        <v>8057163.57840617</v>
      </c>
      <c r="AH58" s="7" t="n">
        <f aca="false">(N58*'Prices&amp;Fuel'!B58+'Prices&amp;Fuel'!C58*O58+P58*'Prices&amp;Fuel'!D58)*'Prices&amp;Fuel'!H58+(N58+O58+P58)*'Prices&amp;Fuel'!H58*FPL!T58+Q58/2</f>
        <v>3221756.73007712</v>
      </c>
      <c r="AI58" s="7" t="n">
        <f aca="false">R58*'Prices&amp;Fuel'!H58*'Prices&amp;Fuel'!Q58</f>
        <v>0</v>
      </c>
      <c r="AJ58" s="55" t="n">
        <f aca="false">SUM(AG58:AI58)-'Long Term Deals'!AZ58</f>
        <v>0</v>
      </c>
    </row>
    <row r="59" customFormat="false" ht="11.25" hidden="false" customHeight="false" outlineLevel="0" collapsed="false">
      <c r="A59" s="6" t="n">
        <f aca="false">+A58+365/12</f>
        <v>37391.5</v>
      </c>
      <c r="B59" s="7" t="n">
        <f aca="false">'Long Term Deals'!AF59</f>
        <v>155269.922879177</v>
      </c>
      <c r="C59" s="7" t="n">
        <f aca="false">'Long Term Deals'!AG59</f>
        <v>0</v>
      </c>
      <c r="D59" s="7" t="n">
        <f aca="false">'Long Term Deals'!AH59</f>
        <v>77120.822622108</v>
      </c>
      <c r="E59" s="7" t="n">
        <f aca="false">'Long Term Deals'!AI59</f>
        <v>0</v>
      </c>
      <c r="F59" s="7" t="n">
        <f aca="false">'Long Term Deals'!AJ59</f>
        <v>0</v>
      </c>
      <c r="G59" s="7" t="n">
        <f aca="false">'Long Term Deals'!AK59</f>
        <v>0</v>
      </c>
      <c r="H59" s="7" t="n">
        <f aca="false">'Long Term Deals'!AL59</f>
        <v>0</v>
      </c>
      <c r="I59" s="7" t="n">
        <f aca="false">'Long Term Deals'!AM59</f>
        <v>37635</v>
      </c>
      <c r="J59" s="7" t="n">
        <f aca="false">'Long Term Deals'!AN59</f>
        <v>0</v>
      </c>
      <c r="K59" s="7" t="n">
        <f aca="false">'Long Term Deals'!AO59</f>
        <v>38560</v>
      </c>
      <c r="L59" s="7" t="n">
        <f aca="false">'Long Term Deals'!AP59</f>
        <v>80000</v>
      </c>
      <c r="M59" s="7" t="n">
        <f aca="false">'Long Term Deals'!AQ59</f>
        <v>0</v>
      </c>
      <c r="N59" s="7" t="n">
        <f aca="false">'Long Term Deals'!AR59</f>
        <v>37634.9228791774</v>
      </c>
      <c r="O59" s="7" t="n">
        <f aca="false">'Long Term Deals'!AS59</f>
        <v>0</v>
      </c>
      <c r="P59" s="7" t="n">
        <f aca="false">'Long Term Deals'!AT59</f>
        <v>38560.822622108</v>
      </c>
      <c r="Q59" s="7" t="n">
        <f aca="false">'Long Term Deals'!AU59</f>
        <v>0</v>
      </c>
      <c r="R59" s="7" t="n">
        <f aca="false">'Long Term Deals'!AV59</f>
        <v>0</v>
      </c>
      <c r="S59" s="68" t="n">
        <f aca="false">'Long Term Deals'!AW59</f>
        <v>0.09</v>
      </c>
      <c r="T59" s="68" t="n">
        <f aca="false">'Long Term Deals'!AX59</f>
        <v>0.025</v>
      </c>
      <c r="U59" s="7" t="n">
        <f aca="false">'Long Term Deals'!AY59</f>
        <v>21971907.4550129</v>
      </c>
      <c r="V59" s="7" t="n">
        <f aca="false">'Long Term Deals'!AZ59</f>
        <v>21322102.8277635</v>
      </c>
      <c r="W59" s="5" t="n">
        <f aca="false">U59-V59</f>
        <v>649804.627249356</v>
      </c>
      <c r="X59" s="5" t="n">
        <f aca="false">'Long Term Deals'!CA59</f>
        <v>36020.5655526992</v>
      </c>
      <c r="Y59" s="71" t="n">
        <f aca="false">[4]Sheet1!$AL100</f>
        <v>762567.143039026</v>
      </c>
      <c r="Z59" s="7" t="n">
        <f aca="false">[2]Sheet1!$O72</f>
        <v>-24669.528818494</v>
      </c>
      <c r="AA59" s="7" t="n">
        <f aca="false">'[3]Long Term Deals'!$Z58</f>
        <v>-43972.9018835931</v>
      </c>
      <c r="AB59" s="70" t="n">
        <f aca="false">-Z59+AA59+Y59+W59-X59</f>
        <v>1357047.83167058</v>
      </c>
      <c r="AC59" s="70" t="n">
        <f aca="false">AB59-Y59</f>
        <v>594480.688631558</v>
      </c>
      <c r="AD59" s="70" t="n">
        <f aca="false">AC59+Z59-AA59+X59</f>
        <v>649804.627249356</v>
      </c>
      <c r="AE59" s="13" t="n">
        <f aca="false">(W59-Z59+AA59)/(B59+C59+D59)/'Prices&amp;Fuel'!H59</f>
        <v>0.0875196217091336</v>
      </c>
      <c r="AF59" s="1" t="n">
        <v>226000</v>
      </c>
      <c r="AG59" s="7" t="n">
        <f aca="false">((((I59*'Prices&amp;Fuel'!B59+'Prices&amp;Fuel'!C59*FPL!J59+FPL!K59*'Prices&amp;Fuel'!D59))+(L59*'Prices&amp;Fuel'!B59+'Prices&amp;Fuel'!C59*FPL!M59))*'Prices&amp;Fuel'!H59)+(I59+J59+K59)*'Prices&amp;Fuel'!H59*FPL!T59+Q59/2</f>
        <v>14306617.025</v>
      </c>
      <c r="AH59" s="7" t="n">
        <f aca="false">(N59*'Prices&amp;Fuel'!B59+'Prices&amp;Fuel'!C59*O59+P59*'Prices&amp;Fuel'!D59)*'Prices&amp;Fuel'!H59+(N59+O59+P59)*'Prices&amp;Fuel'!H59*FPL!T59+Q59/2</f>
        <v>7015485.8027635</v>
      </c>
      <c r="AI59" s="7" t="n">
        <f aca="false">R59*'Prices&amp;Fuel'!H59*'Prices&amp;Fuel'!Q59</f>
        <v>0</v>
      </c>
      <c r="AJ59" s="55" t="n">
        <f aca="false">SUM(AG59:AI59)-'Long Term Deals'!AZ59</f>
        <v>0</v>
      </c>
    </row>
    <row r="60" customFormat="false" ht="11.25" hidden="false" customHeight="false" outlineLevel="0" collapsed="false">
      <c r="A60" s="6" t="n">
        <f aca="false">+A59+365/12</f>
        <v>37421.9166666667</v>
      </c>
      <c r="B60" s="7" t="n">
        <f aca="false">'Long Term Deals'!AF60</f>
        <v>155269.922879177</v>
      </c>
      <c r="C60" s="7" t="n">
        <f aca="false">'Long Term Deals'!AG60</f>
        <v>0</v>
      </c>
      <c r="D60" s="7" t="n">
        <f aca="false">'Long Term Deals'!AH60</f>
        <v>77120.822622108</v>
      </c>
      <c r="E60" s="7" t="n">
        <f aca="false">'Long Term Deals'!AI60</f>
        <v>0</v>
      </c>
      <c r="F60" s="7" t="n">
        <f aca="false">'Long Term Deals'!AJ60</f>
        <v>0</v>
      </c>
      <c r="G60" s="7" t="n">
        <f aca="false">'Long Term Deals'!AK60</f>
        <v>0</v>
      </c>
      <c r="H60" s="7" t="n">
        <f aca="false">'Long Term Deals'!AL60</f>
        <v>0</v>
      </c>
      <c r="I60" s="7" t="n">
        <f aca="false">'Long Term Deals'!AM60</f>
        <v>37635</v>
      </c>
      <c r="J60" s="7" t="n">
        <f aca="false">'Long Term Deals'!AN60</f>
        <v>0</v>
      </c>
      <c r="K60" s="7" t="n">
        <f aca="false">'Long Term Deals'!AO60</f>
        <v>38560</v>
      </c>
      <c r="L60" s="7" t="n">
        <f aca="false">'Long Term Deals'!AP60</f>
        <v>80000</v>
      </c>
      <c r="M60" s="7" t="n">
        <f aca="false">'Long Term Deals'!AQ60</f>
        <v>0</v>
      </c>
      <c r="N60" s="7" t="n">
        <f aca="false">'Long Term Deals'!AR60</f>
        <v>37634.9228791774</v>
      </c>
      <c r="O60" s="7" t="n">
        <f aca="false">'Long Term Deals'!AS60</f>
        <v>0</v>
      </c>
      <c r="P60" s="7" t="n">
        <f aca="false">'Long Term Deals'!AT60</f>
        <v>38560.822622108</v>
      </c>
      <c r="Q60" s="7" t="n">
        <f aca="false">'Long Term Deals'!AU60</f>
        <v>0</v>
      </c>
      <c r="R60" s="7" t="n">
        <f aca="false">'Long Term Deals'!AV60</f>
        <v>0</v>
      </c>
      <c r="S60" s="68" t="n">
        <f aca="false">'Long Term Deals'!AW60</f>
        <v>0.09</v>
      </c>
      <c r="T60" s="68" t="n">
        <f aca="false">'Long Term Deals'!AX60</f>
        <v>0.025</v>
      </c>
      <c r="U60" s="7" t="n">
        <f aca="false">'Long Term Deals'!AY60</f>
        <v>30396092.5449871</v>
      </c>
      <c r="V60" s="7" t="n">
        <f aca="false">'Long Term Deals'!AZ60</f>
        <v>29767249.3573265</v>
      </c>
      <c r="W60" s="5" t="n">
        <f aca="false">U60-V60</f>
        <v>628843.187660664</v>
      </c>
      <c r="X60" s="5" t="n">
        <f aca="false">'Long Term Deals'!CA60</f>
        <v>34858.6118251928</v>
      </c>
      <c r="Y60" s="71" t="n">
        <f aca="false">[4]Sheet1!$AL101</f>
        <v>737968.202940993</v>
      </c>
      <c r="Z60" s="7" t="n">
        <f aca="false">[2]Sheet1!$O73</f>
        <v>-23873.7375662845</v>
      </c>
      <c r="AA60" s="7" t="n">
        <f aca="false">'[3]Long Term Deals'!$Z59</f>
        <v>-42554.4211776707</v>
      </c>
      <c r="AB60" s="70" t="n">
        <f aca="false">-Z60+AA60+Y60+W60-X60</f>
        <v>1313272.09516508</v>
      </c>
      <c r="AC60" s="70" t="n">
        <f aca="false">AB60-Y60</f>
        <v>575303.892224085</v>
      </c>
      <c r="AD60" s="70" t="n">
        <f aca="false">AC60+Z60-AA60+X60</f>
        <v>628843.187660664</v>
      </c>
      <c r="AE60" s="13" t="n">
        <f aca="false">(W60-Z60+AA60)/(B60+C60+D60)/'Prices&amp;Fuel'!H60</f>
        <v>0.0875196217091332</v>
      </c>
      <c r="AF60" s="1" t="n">
        <v>226000</v>
      </c>
      <c r="AG60" s="7" t="n">
        <f aca="false">((((I60*'Prices&amp;Fuel'!B60+'Prices&amp;Fuel'!C60*FPL!J60+FPL!K60*'Prices&amp;Fuel'!D60))+(L60*'Prices&amp;Fuel'!B60+'Prices&amp;Fuel'!C60*FPL!M60))*'Prices&amp;Fuel'!H60)+(I60+J60+K60)*'Prices&amp;Fuel'!H60*FPL!T60+Q60/2</f>
        <v>19983576.75</v>
      </c>
      <c r="AH60" s="7" t="n">
        <f aca="false">(N60*'Prices&amp;Fuel'!B60+'Prices&amp;Fuel'!C60*O60+P60*'Prices&amp;Fuel'!D60)*'Prices&amp;Fuel'!H60+(N60+O60+P60)*'Prices&amp;Fuel'!H60*FPL!T60+Q60/2</f>
        <v>9783672.60732648</v>
      </c>
      <c r="AI60" s="7" t="n">
        <f aca="false">R60*'Prices&amp;Fuel'!H60*'Prices&amp;Fuel'!Q60</f>
        <v>0</v>
      </c>
      <c r="AJ60" s="55" t="n">
        <f aca="false">SUM(AG60:AI60)-'Long Term Deals'!AZ60</f>
        <v>0</v>
      </c>
    </row>
    <row r="61" customFormat="false" ht="11.25" hidden="false" customHeight="false" outlineLevel="0" collapsed="false">
      <c r="A61" s="6" t="n">
        <f aca="false">+A60+365/12</f>
        <v>37452.3333333333</v>
      </c>
      <c r="B61" s="7" t="n">
        <f aca="false">'Long Term Deals'!AF61</f>
        <v>155269.922879177</v>
      </c>
      <c r="C61" s="7" t="n">
        <f aca="false">'Long Term Deals'!AG61</f>
        <v>0</v>
      </c>
      <c r="D61" s="7" t="n">
        <f aca="false">'Long Term Deals'!AH61</f>
        <v>77120.822622108</v>
      </c>
      <c r="E61" s="7" t="n">
        <f aca="false">'Long Term Deals'!AI61</f>
        <v>0</v>
      </c>
      <c r="F61" s="7" t="n">
        <f aca="false">'Long Term Deals'!AJ61</f>
        <v>0</v>
      </c>
      <c r="G61" s="7" t="n">
        <f aca="false">'Long Term Deals'!AK61</f>
        <v>0</v>
      </c>
      <c r="H61" s="7" t="n">
        <f aca="false">'Long Term Deals'!AL61</f>
        <v>0</v>
      </c>
      <c r="I61" s="7" t="n">
        <f aca="false">'Long Term Deals'!AM61</f>
        <v>37635</v>
      </c>
      <c r="J61" s="7" t="n">
        <f aca="false">'Long Term Deals'!AN61</f>
        <v>0</v>
      </c>
      <c r="K61" s="7" t="n">
        <f aca="false">'Long Term Deals'!AO61</f>
        <v>38560</v>
      </c>
      <c r="L61" s="7" t="n">
        <f aca="false">'Long Term Deals'!AP61</f>
        <v>80000</v>
      </c>
      <c r="M61" s="7" t="n">
        <f aca="false">'Long Term Deals'!AQ61</f>
        <v>0</v>
      </c>
      <c r="N61" s="7" t="n">
        <f aca="false">'Long Term Deals'!AR61</f>
        <v>37634.9228791774</v>
      </c>
      <c r="O61" s="7" t="n">
        <f aca="false">'Long Term Deals'!AS61</f>
        <v>0</v>
      </c>
      <c r="P61" s="7" t="n">
        <f aca="false">'Long Term Deals'!AT61</f>
        <v>38560.822622108</v>
      </c>
      <c r="Q61" s="7" t="n">
        <f aca="false">'Long Term Deals'!AU61</f>
        <v>0</v>
      </c>
      <c r="R61" s="7" t="n">
        <f aca="false">'Long Term Deals'!AV61</f>
        <v>0</v>
      </c>
      <c r="S61" s="68" t="n">
        <f aca="false">'Long Term Deals'!AW61</f>
        <v>0.09</v>
      </c>
      <c r="T61" s="68" t="n">
        <f aca="false">'Long Term Deals'!AX61</f>
        <v>0.025</v>
      </c>
      <c r="U61" s="7" t="n">
        <f aca="false">'Long Term Deals'!AY61</f>
        <v>31337254.4987147</v>
      </c>
      <c r="V61" s="7" t="n">
        <f aca="false">'Long Term Deals'!AZ61</f>
        <v>30687449.8714653</v>
      </c>
      <c r="W61" s="5" t="n">
        <f aca="false">U61-V61</f>
        <v>649804.627249356</v>
      </c>
      <c r="X61" s="5" t="n">
        <f aca="false">'Long Term Deals'!CA61</f>
        <v>36020.5655526992</v>
      </c>
      <c r="Y61" s="71" t="n">
        <f aca="false">[4]Sheet1!$AL102</f>
        <v>762567.143039026</v>
      </c>
      <c r="Z61" s="7" t="n">
        <f aca="false">[2]Sheet1!$O74</f>
        <v>-24669.528818494</v>
      </c>
      <c r="AA61" s="7" t="n">
        <f aca="false">'[3]Long Term Deals'!$Z60</f>
        <v>-43972.9018835931</v>
      </c>
      <c r="AB61" s="70" t="n">
        <f aca="false">-Z61+AA61+Y61+W61-X61</f>
        <v>1357047.83167058</v>
      </c>
      <c r="AC61" s="70" t="n">
        <f aca="false">AB61-Y61</f>
        <v>594480.688631558</v>
      </c>
      <c r="AD61" s="70" t="n">
        <f aca="false">AC61+Z61-AA61+X61</f>
        <v>649804.627249356</v>
      </c>
      <c r="AE61" s="13" t="n">
        <f aca="false">(W61-Z61+AA61)/(B61+C61+D61)/'Prices&amp;Fuel'!H61</f>
        <v>0.0875196217091336</v>
      </c>
      <c r="AF61" s="1" t="n">
        <v>226000</v>
      </c>
      <c r="AG61" s="7" t="n">
        <f aca="false">((((I61*'Prices&amp;Fuel'!B61+'Prices&amp;Fuel'!C61*FPL!J61+FPL!K61*'Prices&amp;Fuel'!D61))+(L61*'Prices&amp;Fuel'!B61+'Prices&amp;Fuel'!C61*FPL!M61))*'Prices&amp;Fuel'!H61)+(I61+J61+K61)*'Prices&amp;Fuel'!H61*FPL!T61+Q61/2</f>
        <v>20601275.525</v>
      </c>
      <c r="AH61" s="7" t="n">
        <f aca="false">(N61*'Prices&amp;Fuel'!B61+'Prices&amp;Fuel'!C61*O61+P61*'Prices&amp;Fuel'!D61)*'Prices&amp;Fuel'!H61+(N61+O61+P61)*'Prices&amp;Fuel'!H61*FPL!T61+Q61/2</f>
        <v>10086174.3464653</v>
      </c>
      <c r="AI61" s="7" t="n">
        <f aca="false">R61*'Prices&amp;Fuel'!H61*'Prices&amp;Fuel'!Q61</f>
        <v>0</v>
      </c>
      <c r="AJ61" s="55" t="n">
        <f aca="false">SUM(AG61:AI61)-'Long Term Deals'!AZ61</f>
        <v>0</v>
      </c>
    </row>
    <row r="62" customFormat="false" ht="11.25" hidden="false" customHeight="false" outlineLevel="0" collapsed="false">
      <c r="A62" s="6" t="n">
        <f aca="false">+A61+365/12</f>
        <v>37482.75</v>
      </c>
      <c r="B62" s="7" t="n">
        <f aca="false">'Long Term Deals'!AF62</f>
        <v>155269.922879177</v>
      </c>
      <c r="C62" s="7" t="n">
        <f aca="false">'Long Term Deals'!AG62</f>
        <v>0</v>
      </c>
      <c r="D62" s="7" t="n">
        <f aca="false">'Long Term Deals'!AH62</f>
        <v>77120.822622108</v>
      </c>
      <c r="E62" s="7" t="n">
        <f aca="false">'Long Term Deals'!AI62</f>
        <v>0</v>
      </c>
      <c r="F62" s="7" t="n">
        <f aca="false">'Long Term Deals'!AJ62</f>
        <v>0</v>
      </c>
      <c r="G62" s="7" t="n">
        <f aca="false">'Long Term Deals'!AK62</f>
        <v>0</v>
      </c>
      <c r="H62" s="7" t="n">
        <f aca="false">'Long Term Deals'!AL62</f>
        <v>0</v>
      </c>
      <c r="I62" s="7" t="n">
        <f aca="false">'Long Term Deals'!AM62</f>
        <v>37635</v>
      </c>
      <c r="J62" s="7" t="n">
        <f aca="false">'Long Term Deals'!AN62</f>
        <v>0</v>
      </c>
      <c r="K62" s="7" t="n">
        <f aca="false">'Long Term Deals'!AO62</f>
        <v>38560</v>
      </c>
      <c r="L62" s="7" t="n">
        <f aca="false">'Long Term Deals'!AP62</f>
        <v>80000</v>
      </c>
      <c r="M62" s="7" t="n">
        <f aca="false">'Long Term Deals'!AQ62</f>
        <v>0</v>
      </c>
      <c r="N62" s="7" t="n">
        <f aca="false">'Long Term Deals'!AR62</f>
        <v>37634.9228791774</v>
      </c>
      <c r="O62" s="7" t="n">
        <f aca="false">'Long Term Deals'!AS62</f>
        <v>0</v>
      </c>
      <c r="P62" s="7" t="n">
        <f aca="false">'Long Term Deals'!AT62</f>
        <v>38560.822622108</v>
      </c>
      <c r="Q62" s="7" t="n">
        <f aca="false">'Long Term Deals'!AU62</f>
        <v>0</v>
      </c>
      <c r="R62" s="7" t="n">
        <f aca="false">'Long Term Deals'!AV62</f>
        <v>0</v>
      </c>
      <c r="S62" s="68" t="n">
        <f aca="false">'Long Term Deals'!AW62</f>
        <v>0.09</v>
      </c>
      <c r="T62" s="68" t="n">
        <f aca="false">'Long Term Deals'!AX62</f>
        <v>0.025</v>
      </c>
      <c r="U62" s="7" t="n">
        <f aca="false">'Long Term Deals'!AY62</f>
        <v>27447033.4190231</v>
      </c>
      <c r="V62" s="7" t="n">
        <f aca="false">'Long Term Deals'!AZ62</f>
        <v>26797228.7917738</v>
      </c>
      <c r="W62" s="5" t="n">
        <f aca="false">U62-V62</f>
        <v>649804.627249356</v>
      </c>
      <c r="X62" s="5" t="n">
        <f aca="false">'Long Term Deals'!CA62</f>
        <v>36020.5655526992</v>
      </c>
      <c r="Y62" s="71" t="n">
        <f aca="false">[4]Sheet1!$AL103</f>
        <v>762567.143039026</v>
      </c>
      <c r="Z62" s="7" t="n">
        <f aca="false">[2]Sheet1!$O75</f>
        <v>-24669.528818494</v>
      </c>
      <c r="AA62" s="7" t="n">
        <f aca="false">'[3]Long Term Deals'!$Z61</f>
        <v>-43972.9018835931</v>
      </c>
      <c r="AB62" s="70" t="n">
        <f aca="false">-Z62+AA62+Y62+W62-X62</f>
        <v>1357047.83167058</v>
      </c>
      <c r="AC62" s="70" t="n">
        <f aca="false">AB62-Y62</f>
        <v>594480.688631558</v>
      </c>
      <c r="AD62" s="70" t="n">
        <f aca="false">AC62+Z62-AA62+X62</f>
        <v>649804.627249356</v>
      </c>
      <c r="AE62" s="13" t="n">
        <f aca="false">(W62-Z62+AA62)/(B62+C62+D62)/'Prices&amp;Fuel'!H62</f>
        <v>0.0875196217091336</v>
      </c>
      <c r="AF62" s="1" t="n">
        <v>226000</v>
      </c>
      <c r="AG62" s="7" t="n">
        <f aca="false">((((I62*'Prices&amp;Fuel'!B62+'Prices&amp;Fuel'!C62*FPL!J62+FPL!K62*'Prices&amp;Fuel'!D62))+(L62*'Prices&amp;Fuel'!B62+'Prices&amp;Fuel'!C62*FPL!M62))*'Prices&amp;Fuel'!H62)+(I62+J62+K62)*'Prices&amp;Fuel'!H62*FPL!T62+Q62/2</f>
        <v>17986571.225</v>
      </c>
      <c r="AH62" s="7" t="n">
        <f aca="false">(N62*'Prices&amp;Fuel'!B62+'Prices&amp;Fuel'!C62*O62+P62*'Prices&amp;Fuel'!D62)*'Prices&amp;Fuel'!H62+(N62+O62+P62)*'Prices&amp;Fuel'!H62*FPL!T62+Q62/2</f>
        <v>8810657.56677378</v>
      </c>
      <c r="AI62" s="7" t="n">
        <f aca="false">R62*'Prices&amp;Fuel'!H62*'Prices&amp;Fuel'!Q62</f>
        <v>0</v>
      </c>
      <c r="AJ62" s="55" t="n">
        <f aca="false">SUM(AG62:AI62)-'Long Term Deals'!AZ62</f>
        <v>0</v>
      </c>
    </row>
    <row r="63" customFormat="false" ht="11.25" hidden="false" customHeight="false" outlineLevel="0" collapsed="false">
      <c r="A63" s="6" t="n">
        <f aca="false">+A62+365/12</f>
        <v>37513.1666666667</v>
      </c>
      <c r="B63" s="7" t="n">
        <f aca="false">'Long Term Deals'!AF63</f>
        <v>155269.922879177</v>
      </c>
      <c r="C63" s="7" t="n">
        <f aca="false">'Long Term Deals'!AG63</f>
        <v>0</v>
      </c>
      <c r="D63" s="7" t="n">
        <f aca="false">'Long Term Deals'!AH63</f>
        <v>77120.822622108</v>
      </c>
      <c r="E63" s="7" t="n">
        <f aca="false">'Long Term Deals'!AI63</f>
        <v>0</v>
      </c>
      <c r="F63" s="7" t="n">
        <f aca="false">'Long Term Deals'!AJ63</f>
        <v>0</v>
      </c>
      <c r="G63" s="7" t="n">
        <f aca="false">'Long Term Deals'!AK63</f>
        <v>0</v>
      </c>
      <c r="H63" s="7" t="n">
        <f aca="false">'Long Term Deals'!AL63</f>
        <v>0</v>
      </c>
      <c r="I63" s="7" t="n">
        <f aca="false">'Long Term Deals'!AM63</f>
        <v>37635</v>
      </c>
      <c r="J63" s="7" t="n">
        <f aca="false">'Long Term Deals'!AN63</f>
        <v>0</v>
      </c>
      <c r="K63" s="7" t="n">
        <f aca="false">'Long Term Deals'!AO63</f>
        <v>38560</v>
      </c>
      <c r="L63" s="7" t="n">
        <f aca="false">'Long Term Deals'!AP63</f>
        <v>80000</v>
      </c>
      <c r="M63" s="7" t="n">
        <f aca="false">'Long Term Deals'!AQ63</f>
        <v>0</v>
      </c>
      <c r="N63" s="7" t="n">
        <f aca="false">'Long Term Deals'!AR63</f>
        <v>37634.9228791774</v>
      </c>
      <c r="O63" s="7" t="n">
        <f aca="false">'Long Term Deals'!AS63</f>
        <v>0</v>
      </c>
      <c r="P63" s="7" t="n">
        <f aca="false">'Long Term Deals'!AT63</f>
        <v>38560.822622108</v>
      </c>
      <c r="Q63" s="7" t="n">
        <f aca="false">'Long Term Deals'!AU63</f>
        <v>0</v>
      </c>
      <c r="R63" s="7" t="n">
        <f aca="false">'Long Term Deals'!AV63</f>
        <v>0</v>
      </c>
      <c r="S63" s="68" t="n">
        <f aca="false">'Long Term Deals'!AW63</f>
        <v>0.09</v>
      </c>
      <c r="T63" s="68" t="n">
        <f aca="false">'Long Term Deals'!AX63</f>
        <v>0.025</v>
      </c>
      <c r="U63" s="7" t="n">
        <f aca="false">'Long Term Deals'!AY63</f>
        <v>31929871.4652956</v>
      </c>
      <c r="V63" s="7" t="n">
        <f aca="false">'Long Term Deals'!AZ63</f>
        <v>31301028.277635</v>
      </c>
      <c r="W63" s="5" t="n">
        <f aca="false">U63-V63</f>
        <v>628843.187660661</v>
      </c>
      <c r="X63" s="5" t="n">
        <f aca="false">'Long Term Deals'!CA63</f>
        <v>34858.6118251928</v>
      </c>
      <c r="Y63" s="71" t="n">
        <f aca="false">[4]Sheet1!$AL104</f>
        <v>737968.202940993</v>
      </c>
      <c r="Z63" s="7" t="n">
        <f aca="false">[2]Sheet1!$O76</f>
        <v>-23873.7375662845</v>
      </c>
      <c r="AA63" s="7" t="n">
        <f aca="false">'[3]Long Term Deals'!$Z62</f>
        <v>-42554.4211776707</v>
      </c>
      <c r="AB63" s="70" t="n">
        <f aca="false">-Z63+AA63+Y63+W63-X63</f>
        <v>1313272.09516507</v>
      </c>
      <c r="AC63" s="70" t="n">
        <f aca="false">AB63-Y63</f>
        <v>575303.892224082</v>
      </c>
      <c r="AD63" s="70" t="n">
        <f aca="false">AC63+Z63-AA63+X63</f>
        <v>628843.187660661</v>
      </c>
      <c r="AE63" s="13" t="n">
        <f aca="false">(W63-Z63+AA63)/(B63+C63+D63)/'Prices&amp;Fuel'!H63</f>
        <v>0.0875196217091327</v>
      </c>
      <c r="AF63" s="1" t="n">
        <v>226000</v>
      </c>
      <c r="AG63" s="7" t="n">
        <f aca="false">((((I63*'Prices&amp;Fuel'!B63+'Prices&amp;Fuel'!C63*FPL!J63+FPL!K63*'Prices&amp;Fuel'!D63))+(L63*'Prices&amp;Fuel'!B63+'Prices&amp;Fuel'!C63*FPL!M63))*'Prices&amp;Fuel'!H63)+(I63+J63+K63)*'Prices&amp;Fuel'!H63*FPL!T63+Q63/2</f>
        <v>21014463.75</v>
      </c>
      <c r="AH63" s="7" t="n">
        <f aca="false">(N63*'Prices&amp;Fuel'!B63+'Prices&amp;Fuel'!C63*O63+P63*'Prices&amp;Fuel'!D63)*'Prices&amp;Fuel'!H63+(N63+O63+P63)*'Prices&amp;Fuel'!H63*FPL!T63+Q63/2</f>
        <v>10286564.527635</v>
      </c>
      <c r="AI63" s="7" t="n">
        <f aca="false">R63*'Prices&amp;Fuel'!H63*'Prices&amp;Fuel'!Q63</f>
        <v>0</v>
      </c>
      <c r="AJ63" s="55" t="n">
        <f aca="false">SUM(AG63:AI63)-'Long Term Deals'!AZ63</f>
        <v>0</v>
      </c>
    </row>
    <row r="64" customFormat="false" ht="11.25" hidden="false" customHeight="false" outlineLevel="0" collapsed="false">
      <c r="A64" s="6" t="n">
        <f aca="false">+A63+365/12</f>
        <v>37543.5833333333</v>
      </c>
      <c r="B64" s="7" t="n">
        <f aca="false">'Long Term Deals'!AF64</f>
        <v>58611.8251928021</v>
      </c>
      <c r="C64" s="7" t="n">
        <f aca="false">'Long Term Deals'!AG64</f>
        <v>0</v>
      </c>
      <c r="D64" s="7" t="n">
        <f aca="false">'Long Term Deals'!AH64</f>
        <v>77120.822622108</v>
      </c>
      <c r="E64" s="7" t="n">
        <f aca="false">'Long Term Deals'!AI64</f>
        <v>0</v>
      </c>
      <c r="F64" s="7" t="n">
        <f aca="false">'Long Term Deals'!AJ64</f>
        <v>0</v>
      </c>
      <c r="G64" s="7" t="n">
        <f aca="false">'Long Term Deals'!AK64</f>
        <v>0</v>
      </c>
      <c r="H64" s="7" t="n">
        <f aca="false">'Long Term Deals'!AL64</f>
        <v>0</v>
      </c>
      <c r="I64" s="7" t="n">
        <f aca="false">'Long Term Deals'!AM64</f>
        <v>0</v>
      </c>
      <c r="J64" s="7" t="n">
        <f aca="false">'Long Term Deals'!AN64</f>
        <v>0</v>
      </c>
      <c r="K64" s="7" t="n">
        <f aca="false">'Long Term Deals'!AO64</f>
        <v>38560</v>
      </c>
      <c r="L64" s="7" t="n">
        <f aca="false">'Long Term Deals'!AP64</f>
        <v>58611.8251928021</v>
      </c>
      <c r="M64" s="7" t="n">
        <f aca="false">'Long Term Deals'!AQ64</f>
        <v>0</v>
      </c>
      <c r="N64" s="7" t="n">
        <f aca="false">'Long Term Deals'!AR64</f>
        <v>0</v>
      </c>
      <c r="O64" s="7" t="n">
        <f aca="false">'Long Term Deals'!AS64</f>
        <v>0</v>
      </c>
      <c r="P64" s="7" t="n">
        <f aca="false">'Long Term Deals'!AT64</f>
        <v>38560.822622108</v>
      </c>
      <c r="Q64" s="7" t="n">
        <f aca="false">'Long Term Deals'!AU64</f>
        <v>0</v>
      </c>
      <c r="R64" s="7" t="n">
        <f aca="false">'Long Term Deals'!AV64</f>
        <v>0</v>
      </c>
      <c r="S64" s="68" t="n">
        <f aca="false">'Long Term Deals'!AW64</f>
        <v>0.09</v>
      </c>
      <c r="T64" s="68" t="n">
        <f aca="false">'Long Term Deals'!AX64</f>
        <v>0.025</v>
      </c>
      <c r="U64" s="7" t="n">
        <f aca="false">'Long Term Deals'!AY64</f>
        <v>22191856.0411311</v>
      </c>
      <c r="V64" s="7" t="n">
        <f aca="false">'Long Term Deals'!AZ64</f>
        <v>21753393.3161954</v>
      </c>
      <c r="W64" s="5" t="n">
        <f aca="false">U64-V64</f>
        <v>438462.724935729</v>
      </c>
      <c r="X64" s="5" t="n">
        <f aca="false">'Long Term Deals'!CA64</f>
        <v>21038.5604113111</v>
      </c>
      <c r="Y64" s="71" t="n">
        <f aca="false">[4]Sheet1!$AL105</f>
        <v>762567.143039026</v>
      </c>
      <c r="Z64" s="7" t="n">
        <f aca="false">[2]Sheet1!$O77</f>
        <v>-14408.7513453151</v>
      </c>
      <c r="AA64" s="7" t="n">
        <f aca="false">'[3]Long Term Deals'!$Z63</f>
        <v>-34895.0629697055</v>
      </c>
      <c r="AB64" s="70" t="n">
        <f aca="false">-Z64+AA64+Y64+W64-X64</f>
        <v>1159504.99593905</v>
      </c>
      <c r="AC64" s="70" t="n">
        <f aca="false">AB64-Y64</f>
        <v>396937.852900028</v>
      </c>
      <c r="AD64" s="70" t="n">
        <f aca="false">AC64+Z64-AA64+X64</f>
        <v>438462.724935729</v>
      </c>
      <c r="AE64" s="13" t="n">
        <f aca="false">(W64-Z64+AA64)/(B64+C64+D64)/'Prices&amp;Fuel'!H64</f>
        <v>0.0993357922642416</v>
      </c>
      <c r="AF64" s="1" t="n">
        <v>132000</v>
      </c>
      <c r="AG64" s="7" t="n">
        <f aca="false">((((I64*'Prices&amp;Fuel'!B64+'Prices&amp;Fuel'!C64*FPL!J64+FPL!K64*'Prices&amp;Fuel'!D64))+(L64*'Prices&amp;Fuel'!B64+'Prices&amp;Fuel'!C64*FPL!M64))*'Prices&amp;Fuel'!H64)+(I64+J64+K64)*'Prices&amp;Fuel'!H64*FPL!T64+Q64/2</f>
        <v>15555319.4920309</v>
      </c>
      <c r="AH64" s="7" t="n">
        <f aca="false">(N64*'Prices&amp;Fuel'!B64+'Prices&amp;Fuel'!C64*O64+P64*'Prices&amp;Fuel'!D64)*'Prices&amp;Fuel'!H64+(N64+O64+P64)*'Prices&amp;Fuel'!H64*FPL!T64+Q64/2</f>
        <v>6198073.82416452</v>
      </c>
      <c r="AI64" s="7" t="n">
        <f aca="false">R64*'Prices&amp;Fuel'!H64*'Prices&amp;Fuel'!Q64</f>
        <v>0</v>
      </c>
      <c r="AJ64" s="55" t="n">
        <f aca="false">SUM(AG64:AI64)-'Long Term Deals'!AZ64</f>
        <v>0</v>
      </c>
    </row>
    <row r="65" customFormat="false" ht="11.25" hidden="false" customHeight="false" outlineLevel="0" collapsed="false">
      <c r="A65" s="6" t="n">
        <f aca="false">+A64+365/12</f>
        <v>37574</v>
      </c>
      <c r="B65" s="7" t="n">
        <f aca="false">'Long Term Deals'!AF65</f>
        <v>58611.8251928021</v>
      </c>
      <c r="C65" s="7" t="n">
        <f aca="false">'Long Term Deals'!AG65</f>
        <v>0</v>
      </c>
      <c r="D65" s="7" t="n">
        <f aca="false">'Long Term Deals'!AH65</f>
        <v>77120.822622108</v>
      </c>
      <c r="E65" s="7" t="n">
        <f aca="false">'Long Term Deals'!AI65</f>
        <v>0</v>
      </c>
      <c r="F65" s="7" t="n">
        <f aca="false">'Long Term Deals'!AJ65</f>
        <v>0</v>
      </c>
      <c r="G65" s="7" t="n">
        <f aca="false">'Long Term Deals'!AK65</f>
        <v>0</v>
      </c>
      <c r="H65" s="7" t="n">
        <f aca="false">'Long Term Deals'!AL65</f>
        <v>0</v>
      </c>
      <c r="I65" s="7" t="n">
        <f aca="false">'Long Term Deals'!AM65</f>
        <v>0</v>
      </c>
      <c r="J65" s="7" t="n">
        <f aca="false">'Long Term Deals'!AN65</f>
        <v>0</v>
      </c>
      <c r="K65" s="7" t="n">
        <f aca="false">'Long Term Deals'!AO65</f>
        <v>38560</v>
      </c>
      <c r="L65" s="7" t="n">
        <f aca="false">'Long Term Deals'!AP65</f>
        <v>58611.8251928021</v>
      </c>
      <c r="M65" s="7" t="n">
        <f aca="false">'Long Term Deals'!AQ65</f>
        <v>0</v>
      </c>
      <c r="N65" s="7" t="n">
        <f aca="false">'Long Term Deals'!AR65</f>
        <v>0</v>
      </c>
      <c r="O65" s="7" t="n">
        <f aca="false">'Long Term Deals'!AS65</f>
        <v>0</v>
      </c>
      <c r="P65" s="7" t="n">
        <f aca="false">'Long Term Deals'!AT65</f>
        <v>38560.822622108</v>
      </c>
      <c r="Q65" s="7" t="n">
        <f aca="false">'Long Term Deals'!AU65</f>
        <v>0</v>
      </c>
      <c r="R65" s="7" t="n">
        <f aca="false">'Long Term Deals'!AV65</f>
        <v>0</v>
      </c>
      <c r="S65" s="68" t="n">
        <f aca="false">'Long Term Deals'!AW65</f>
        <v>0.09</v>
      </c>
      <c r="T65" s="68" t="n">
        <f aca="false">'Long Term Deals'!AX65</f>
        <v>0.025</v>
      </c>
      <c r="U65" s="7" t="n">
        <f aca="false">'Long Term Deals'!AY65</f>
        <v>14431465.2956298</v>
      </c>
      <c r="V65" s="7" t="n">
        <f aca="false">'Long Term Deals'!AZ65</f>
        <v>14007146.529563</v>
      </c>
      <c r="W65" s="5" t="n">
        <f aca="false">U65-V65</f>
        <v>424318.766066838</v>
      </c>
      <c r="X65" s="5" t="n">
        <f aca="false">'Long Term Deals'!CA65</f>
        <v>20359.8971722365</v>
      </c>
      <c r="Y65" s="71" t="n">
        <f aca="false">[4]Sheet1!$AL106</f>
        <v>737968.202940993</v>
      </c>
      <c r="Z65" s="7" t="n">
        <f aca="false">[2]Sheet1!$O78</f>
        <v>-13943.9529148211</v>
      </c>
      <c r="AA65" s="7" t="n">
        <f aca="false">'[3]Long Term Deals'!$Z64</f>
        <v>-33769.4157771343</v>
      </c>
      <c r="AB65" s="70" t="n">
        <f aca="false">-Z65+AA65+Y65+W65-X65</f>
        <v>1122101.60897328</v>
      </c>
      <c r="AC65" s="70" t="n">
        <f aca="false">AB65-Y65</f>
        <v>384133.406032288</v>
      </c>
      <c r="AD65" s="70" t="n">
        <f aca="false">AC65+Z65-AA65+X65</f>
        <v>424318.766066838</v>
      </c>
      <c r="AE65" s="13" t="n">
        <f aca="false">(W65-Z65+AA65)/(B65+C65+D65)/'Prices&amp;Fuel'!H65</f>
        <v>0.0993357922642425</v>
      </c>
      <c r="AF65" s="1" t="n">
        <v>132000</v>
      </c>
      <c r="AG65" s="7" t="n">
        <f aca="false">((((I65*'Prices&amp;Fuel'!B65+'Prices&amp;Fuel'!C65*FPL!J65+FPL!K65*'Prices&amp;Fuel'!D65))+(L65*'Prices&amp;Fuel'!B65+'Prices&amp;Fuel'!C65*FPL!M65))*'Prices&amp;Fuel'!H65)+(I65+J65+K65)*'Prices&amp;Fuel'!H65*FPL!T65+Q65/2</f>
        <v>10010317.2647815</v>
      </c>
      <c r="AH65" s="7" t="n">
        <f aca="false">(N65*'Prices&amp;Fuel'!B65+'Prices&amp;Fuel'!C65*O65+P65*'Prices&amp;Fuel'!D65)*'Prices&amp;Fuel'!H65+(N65+O65+P65)*'Prices&amp;Fuel'!H65*FPL!T65+Q65/2</f>
        <v>3996829.26478149</v>
      </c>
      <c r="AI65" s="7" t="n">
        <f aca="false">R65*'Prices&amp;Fuel'!H65*'Prices&amp;Fuel'!Q65</f>
        <v>0</v>
      </c>
      <c r="AJ65" s="55" t="n">
        <f aca="false">SUM(AG65:AI65)-'Long Term Deals'!AZ65</f>
        <v>0</v>
      </c>
    </row>
    <row r="66" customFormat="false" ht="11.25" hidden="false" customHeight="false" outlineLevel="0" collapsed="false">
      <c r="A66" s="6" t="n">
        <f aca="false">+A65+365/12</f>
        <v>37604.4166666667</v>
      </c>
      <c r="B66" s="7" t="n">
        <f aca="false">'Long Term Deals'!AF66</f>
        <v>58611.8251928021</v>
      </c>
      <c r="C66" s="7" t="n">
        <f aca="false">'Long Term Deals'!AG66</f>
        <v>0</v>
      </c>
      <c r="D66" s="7" t="n">
        <f aca="false">'Long Term Deals'!AH66</f>
        <v>77120.822622108</v>
      </c>
      <c r="E66" s="7" t="n">
        <f aca="false">'Long Term Deals'!AI66</f>
        <v>0</v>
      </c>
      <c r="F66" s="7" t="n">
        <f aca="false">'Long Term Deals'!AJ66</f>
        <v>0</v>
      </c>
      <c r="G66" s="7" t="n">
        <f aca="false">'Long Term Deals'!AK66</f>
        <v>0</v>
      </c>
      <c r="H66" s="7" t="n">
        <f aca="false">'Long Term Deals'!AL66</f>
        <v>0</v>
      </c>
      <c r="I66" s="7" t="n">
        <f aca="false">'Long Term Deals'!AM66</f>
        <v>0</v>
      </c>
      <c r="J66" s="7" t="n">
        <f aca="false">'Long Term Deals'!AN66</f>
        <v>0</v>
      </c>
      <c r="K66" s="7" t="n">
        <f aca="false">'Long Term Deals'!AO66</f>
        <v>38560</v>
      </c>
      <c r="L66" s="7" t="n">
        <f aca="false">'Long Term Deals'!AP66</f>
        <v>58611.8251928021</v>
      </c>
      <c r="M66" s="7" t="n">
        <f aca="false">'Long Term Deals'!AQ66</f>
        <v>0</v>
      </c>
      <c r="N66" s="7" t="n">
        <f aca="false">'Long Term Deals'!AR66</f>
        <v>0</v>
      </c>
      <c r="O66" s="7" t="n">
        <f aca="false">'Long Term Deals'!AS66</f>
        <v>0</v>
      </c>
      <c r="P66" s="7" t="n">
        <f aca="false">'Long Term Deals'!AT66</f>
        <v>38560.822622108</v>
      </c>
      <c r="Q66" s="7" t="n">
        <f aca="false">'Long Term Deals'!AU66</f>
        <v>0</v>
      </c>
      <c r="R66" s="7" t="n">
        <f aca="false">'Long Term Deals'!AV66</f>
        <v>0</v>
      </c>
      <c r="S66" s="68" t="n">
        <f aca="false">'Long Term Deals'!AW66</f>
        <v>0.09</v>
      </c>
      <c r="T66" s="68" t="n">
        <f aca="false">'Long Term Deals'!AX66</f>
        <v>0.025</v>
      </c>
      <c r="U66" s="7" t="n">
        <f aca="false">'Long Term Deals'!AY66</f>
        <v>11209727.5064267</v>
      </c>
      <c r="V66" s="7" t="n">
        <f aca="false">'Long Term Deals'!AZ66</f>
        <v>10771264.781491</v>
      </c>
      <c r="W66" s="5" t="n">
        <f aca="false">U66-V66</f>
        <v>438462.724935733</v>
      </c>
      <c r="X66" s="5" t="n">
        <f aca="false">'Long Term Deals'!CA66</f>
        <v>21038.5604113111</v>
      </c>
      <c r="Y66" s="71" t="n">
        <f aca="false">[4]Sheet1!$AL107</f>
        <v>762567.143039026</v>
      </c>
      <c r="Z66" s="7" t="n">
        <f aca="false">[2]Sheet1!$O79</f>
        <v>-14408.7513453151</v>
      </c>
      <c r="AA66" s="7" t="n">
        <f aca="false">'[3]Long Term Deals'!$Z65</f>
        <v>-34895.0629697055</v>
      </c>
      <c r="AB66" s="70" t="n">
        <f aca="false">-Z66+AA66+Y66+W66-X66</f>
        <v>1159504.99593906</v>
      </c>
      <c r="AC66" s="70" t="n">
        <f aca="false">AB66-Y66</f>
        <v>396937.852900031</v>
      </c>
      <c r="AD66" s="70" t="n">
        <f aca="false">AC66+Z66-AA66+X66</f>
        <v>438462.724935733</v>
      </c>
      <c r="AE66" s="13" t="n">
        <f aca="false">(W66-Z66+AA66)/(B66+C66+D66)/'Prices&amp;Fuel'!H66</f>
        <v>0.0993357922642425</v>
      </c>
      <c r="AF66" s="1" t="n">
        <v>132000</v>
      </c>
      <c r="AG66" s="7" t="n">
        <f aca="false">((((I66*'Prices&amp;Fuel'!B66+'Prices&amp;Fuel'!C66*FPL!J66+FPL!K66*'Prices&amp;Fuel'!D66))+(L66*'Prices&amp;Fuel'!B66+'Prices&amp;Fuel'!C66*FPL!M66))*'Prices&amp;Fuel'!H66)+(I66+J66+K66)*'Prices&amp;Fuel'!H66*FPL!T66+Q66/2</f>
        <v>7693147.11568124</v>
      </c>
      <c r="AH66" s="7" t="n">
        <f aca="false">(N66*'Prices&amp;Fuel'!B66+'Prices&amp;Fuel'!C66*O66+P66*'Prices&amp;Fuel'!D66)*'Prices&amp;Fuel'!H66+(N66+O66+P66)*'Prices&amp;Fuel'!H66*FPL!T66+Q66/2</f>
        <v>3078117.66580977</v>
      </c>
      <c r="AI66" s="7" t="n">
        <f aca="false">R66*'Prices&amp;Fuel'!H66*'Prices&amp;Fuel'!Q66</f>
        <v>0</v>
      </c>
      <c r="AJ66" s="55" t="n">
        <f aca="false">SUM(AG66:AI66)-'Long Term Deals'!AZ66</f>
        <v>0</v>
      </c>
    </row>
    <row r="67" customFormat="false" ht="11.25" hidden="false" customHeight="false" outlineLevel="0" collapsed="false">
      <c r="A67" s="6" t="n">
        <f aca="false">+A66+365/12</f>
        <v>37634.8333333333</v>
      </c>
      <c r="B67" s="7" t="n">
        <f aca="false">'Long Term Deals'!AF67</f>
        <v>58611.8251928021</v>
      </c>
      <c r="C67" s="7" t="n">
        <f aca="false">'Long Term Deals'!AG67</f>
        <v>0</v>
      </c>
      <c r="D67" s="7" t="n">
        <f aca="false">'Long Term Deals'!AH67</f>
        <v>77120.822622108</v>
      </c>
      <c r="E67" s="7" t="n">
        <f aca="false">'Long Term Deals'!AI67</f>
        <v>0</v>
      </c>
      <c r="F67" s="7" t="n">
        <f aca="false">'Long Term Deals'!AJ67</f>
        <v>0</v>
      </c>
      <c r="G67" s="7" t="n">
        <f aca="false">'Long Term Deals'!AK67</f>
        <v>0</v>
      </c>
      <c r="H67" s="7" t="n">
        <f aca="false">'Long Term Deals'!AL67</f>
        <v>0</v>
      </c>
      <c r="I67" s="7" t="n">
        <f aca="false">'Long Term Deals'!AM67</f>
        <v>0</v>
      </c>
      <c r="J67" s="7" t="n">
        <f aca="false">'Long Term Deals'!AN67</f>
        <v>0</v>
      </c>
      <c r="K67" s="7" t="n">
        <f aca="false">'Long Term Deals'!AO67</f>
        <v>38560</v>
      </c>
      <c r="L67" s="7" t="n">
        <f aca="false">'Long Term Deals'!AP67</f>
        <v>58611.8251928021</v>
      </c>
      <c r="M67" s="7" t="n">
        <f aca="false">'Long Term Deals'!AQ67</f>
        <v>0</v>
      </c>
      <c r="N67" s="7" t="n">
        <f aca="false">'Long Term Deals'!AR67</f>
        <v>0</v>
      </c>
      <c r="O67" s="7" t="n">
        <f aca="false">'Long Term Deals'!AS67</f>
        <v>0</v>
      </c>
      <c r="P67" s="7" t="n">
        <f aca="false">'Long Term Deals'!AT67</f>
        <v>38560.822622108</v>
      </c>
      <c r="Q67" s="7" t="n">
        <f aca="false">'Long Term Deals'!AU67</f>
        <v>0</v>
      </c>
      <c r="R67" s="7" t="n">
        <f aca="false">'Long Term Deals'!AV67</f>
        <v>0</v>
      </c>
      <c r="S67" s="68" t="n">
        <f aca="false">'Long Term Deals'!AW67</f>
        <v>0.08</v>
      </c>
      <c r="T67" s="68" t="n">
        <f aca="false">'Long Term Deals'!AX67</f>
        <v>0.025</v>
      </c>
      <c r="U67" s="7" t="n">
        <f aca="false">'Long Term Deals'!AY67</f>
        <v>9874620.46272494</v>
      </c>
      <c r="V67" s="7" t="n">
        <f aca="false">'Long Term Deals'!AZ67</f>
        <v>9478234.85861183</v>
      </c>
      <c r="W67" s="5" t="n">
        <f aca="false">U67-V67</f>
        <v>396385.604113109</v>
      </c>
      <c r="X67" s="5" t="n">
        <f aca="false">'Long Term Deals'!CA67</f>
        <v>21038.5604113111</v>
      </c>
      <c r="Y67" s="71" t="n">
        <f aca="false">[4]Sheet1!$AL108</f>
        <v>762567.143039026</v>
      </c>
      <c r="Z67" s="7" t="n">
        <f aca="false">[2]Sheet1!$O81</f>
        <v>-56616.0747078731</v>
      </c>
      <c r="AA67" s="7" t="n">
        <f aca="false">'[3]Long Term Deals'!$Z66</f>
        <v>-34895.0629697055</v>
      </c>
      <c r="AB67" s="70" t="n">
        <f aca="false">-Z67+AA67+Y67+W67-X67</f>
        <v>1159635.19847899</v>
      </c>
      <c r="AC67" s="70" t="n">
        <f aca="false">AB67-Y67</f>
        <v>397068.055439966</v>
      </c>
      <c r="AD67" s="70" t="n">
        <f aca="false">AC67+Z67-AA67+X67</f>
        <v>396385.604113109</v>
      </c>
      <c r="AE67" s="13" t="n">
        <f aca="false">(W67-Z67+AA67)/(B67+C67+D67)/'Prices&amp;Fuel'!H67</f>
        <v>0.0993667360496986</v>
      </c>
      <c r="AF67" s="1" t="n">
        <v>132000</v>
      </c>
      <c r="AG67" s="7" t="n">
        <f aca="false">((((I67*'Prices&amp;Fuel'!B67+'Prices&amp;Fuel'!C67*FPL!J67+FPL!K67*'Prices&amp;Fuel'!D67))+(L67*'Prices&amp;Fuel'!B67+'Prices&amp;Fuel'!C67*FPL!M67))*'Prices&amp;Fuel'!H67)+(I67+J67+K67)*'Prices&amp;Fuel'!H67*FPL!T67+Q67/2</f>
        <v>6767459.15734705</v>
      </c>
      <c r="AH67" s="7" t="n">
        <f aca="false">(N67*'Prices&amp;Fuel'!B67+'Prices&amp;Fuel'!C67*O67+P67*'Prices&amp;Fuel'!D67)*'Prices&amp;Fuel'!H67+(N67+O67+P67)*'Prices&amp;Fuel'!H67*FPL!T67+Q67/2</f>
        <v>2710775.70126478</v>
      </c>
      <c r="AI67" s="7" t="n">
        <f aca="false">R67*'Prices&amp;Fuel'!H67*'Prices&amp;Fuel'!Q67</f>
        <v>0</v>
      </c>
      <c r="AJ67" s="55" t="n">
        <f aca="false">SUM(AG67:AI67)-'Long Term Deals'!AZ67</f>
        <v>0</v>
      </c>
    </row>
    <row r="68" customFormat="false" ht="11.25" hidden="false" customHeight="false" outlineLevel="0" collapsed="false">
      <c r="A68" s="6" t="n">
        <f aca="false">+A67+365/12</f>
        <v>37665.25</v>
      </c>
      <c r="B68" s="7" t="n">
        <f aca="false">'Long Term Deals'!AF68</f>
        <v>58611.8251928021</v>
      </c>
      <c r="C68" s="7" t="n">
        <f aca="false">'Long Term Deals'!AG68</f>
        <v>0</v>
      </c>
      <c r="D68" s="7" t="n">
        <f aca="false">'Long Term Deals'!AH68</f>
        <v>77120.822622108</v>
      </c>
      <c r="E68" s="7" t="n">
        <f aca="false">'Long Term Deals'!AI68</f>
        <v>0</v>
      </c>
      <c r="F68" s="7" t="n">
        <f aca="false">'Long Term Deals'!AJ68</f>
        <v>0</v>
      </c>
      <c r="G68" s="7" t="n">
        <f aca="false">'Long Term Deals'!AK68</f>
        <v>0</v>
      </c>
      <c r="H68" s="7" t="n">
        <f aca="false">'Long Term Deals'!AL68</f>
        <v>0</v>
      </c>
      <c r="I68" s="7" t="n">
        <f aca="false">'Long Term Deals'!AM68</f>
        <v>0</v>
      </c>
      <c r="J68" s="7" t="n">
        <f aca="false">'Long Term Deals'!AN68</f>
        <v>0</v>
      </c>
      <c r="K68" s="7" t="n">
        <f aca="false">'Long Term Deals'!AO68</f>
        <v>38560</v>
      </c>
      <c r="L68" s="7" t="n">
        <f aca="false">'Long Term Deals'!AP68</f>
        <v>58611.8251928021</v>
      </c>
      <c r="M68" s="7" t="n">
        <f aca="false">'Long Term Deals'!AQ68</f>
        <v>0</v>
      </c>
      <c r="N68" s="7" t="n">
        <f aca="false">'Long Term Deals'!AR68</f>
        <v>0</v>
      </c>
      <c r="O68" s="7" t="n">
        <f aca="false">'Long Term Deals'!AS68</f>
        <v>0</v>
      </c>
      <c r="P68" s="7" t="n">
        <f aca="false">'Long Term Deals'!AT68</f>
        <v>38560.822622108</v>
      </c>
      <c r="Q68" s="7" t="n">
        <f aca="false">'Long Term Deals'!AU68</f>
        <v>0</v>
      </c>
      <c r="R68" s="7" t="n">
        <f aca="false">'Long Term Deals'!AV68</f>
        <v>0</v>
      </c>
      <c r="S68" s="68" t="n">
        <f aca="false">'Long Term Deals'!AW68</f>
        <v>0.08</v>
      </c>
      <c r="T68" s="68" t="n">
        <f aca="false">'Long Term Deals'!AX68</f>
        <v>0.025</v>
      </c>
      <c r="U68" s="7" t="n">
        <f aca="false">'Long Term Deals'!AY68</f>
        <v>9955412.23650386</v>
      </c>
      <c r="V68" s="7" t="n">
        <f aca="false">'Long Term Deals'!AZ68</f>
        <v>9597386.52956298</v>
      </c>
      <c r="W68" s="5" t="n">
        <f aca="false">U68-V68</f>
        <v>358025.706940874</v>
      </c>
      <c r="X68" s="5" t="n">
        <f aca="false">'Long Term Deals'!CA68</f>
        <v>19002.5706940874</v>
      </c>
      <c r="Y68" s="71" t="n">
        <f aca="false">[4]Sheet1!$AL109</f>
        <v>688770.322744927</v>
      </c>
      <c r="Z68" s="7" t="n">
        <f aca="false">[2]Sheet1!$O82</f>
        <v>-51137.0997361434</v>
      </c>
      <c r="AA68" s="7" t="n">
        <f aca="false">'[3]Long Term Deals'!$Z67</f>
        <v>-31518.1213919921</v>
      </c>
      <c r="AB68" s="70" t="n">
        <f aca="false">-Z68+AA68+Y68+W68-X68</f>
        <v>1047412.43733587</v>
      </c>
      <c r="AC68" s="70" t="n">
        <f aca="false">AB68-Y68</f>
        <v>358642.114590938</v>
      </c>
      <c r="AD68" s="70" t="n">
        <f aca="false">AC68+Z68-AA68+X68</f>
        <v>358025.706940874</v>
      </c>
      <c r="AE68" s="13" t="n">
        <f aca="false">(W68-Z68+AA68)/(B68+C68+D68)/'Prices&amp;Fuel'!H68</f>
        <v>0.099366736049699</v>
      </c>
      <c r="AF68" s="1" t="n">
        <v>132000</v>
      </c>
      <c r="AG68" s="7" t="n">
        <f aca="false">((((I68*'Prices&amp;Fuel'!B68+'Prices&amp;Fuel'!C68*FPL!J68+FPL!K68*'Prices&amp;Fuel'!D68))+(L68*'Prices&amp;Fuel'!B68+'Prices&amp;Fuel'!C68*FPL!M68))*'Prices&amp;Fuel'!H68)+(I68+J68+K68)*'Prices&amp;Fuel'!H68*FPL!T68+Q68/2</f>
        <v>6854508.9434653</v>
      </c>
      <c r="AH68" s="7" t="n">
        <f aca="false">(N68*'Prices&amp;Fuel'!B68+'Prices&amp;Fuel'!C68*O68+P68*'Prices&amp;Fuel'!D68)*'Prices&amp;Fuel'!H68+(N68+O68+P68)*'Prices&amp;Fuel'!H68*FPL!T68+Q68/2</f>
        <v>2742877.58609769</v>
      </c>
      <c r="AI68" s="7" t="n">
        <f aca="false">R68*'Prices&amp;Fuel'!H68*'Prices&amp;Fuel'!Q68</f>
        <v>0</v>
      </c>
      <c r="AJ68" s="55" t="n">
        <f aca="false">SUM(AG68:AI68)-'Long Term Deals'!AZ68</f>
        <v>0</v>
      </c>
    </row>
    <row r="69" customFormat="false" ht="11.25" hidden="false" customHeight="false" outlineLevel="0" collapsed="false">
      <c r="A69" s="6" t="n">
        <f aca="false">+A68+365/12</f>
        <v>37695.6666666667</v>
      </c>
      <c r="B69" s="7" t="n">
        <f aca="false">'Long Term Deals'!AF69</f>
        <v>58611.8251928021</v>
      </c>
      <c r="C69" s="7" t="n">
        <f aca="false">'Long Term Deals'!AG69</f>
        <v>0</v>
      </c>
      <c r="D69" s="7" t="n">
        <f aca="false">'Long Term Deals'!AH69</f>
        <v>77120.822622108</v>
      </c>
      <c r="E69" s="7" t="n">
        <f aca="false">'Long Term Deals'!AI69</f>
        <v>0</v>
      </c>
      <c r="F69" s="7" t="n">
        <f aca="false">'Long Term Deals'!AJ69</f>
        <v>0</v>
      </c>
      <c r="G69" s="7" t="n">
        <f aca="false">'Long Term Deals'!AK69</f>
        <v>0</v>
      </c>
      <c r="H69" s="7" t="n">
        <f aca="false">'Long Term Deals'!AL69</f>
        <v>0</v>
      </c>
      <c r="I69" s="7" t="n">
        <f aca="false">'Long Term Deals'!AM69</f>
        <v>0</v>
      </c>
      <c r="J69" s="7" t="n">
        <f aca="false">'Long Term Deals'!AN69</f>
        <v>0</v>
      </c>
      <c r="K69" s="7" t="n">
        <f aca="false">'Long Term Deals'!AO69</f>
        <v>38560</v>
      </c>
      <c r="L69" s="7" t="n">
        <f aca="false">'Long Term Deals'!AP69</f>
        <v>58611.8251928021</v>
      </c>
      <c r="M69" s="7" t="n">
        <f aca="false">'Long Term Deals'!AQ69</f>
        <v>0</v>
      </c>
      <c r="N69" s="7" t="n">
        <f aca="false">'Long Term Deals'!AR69</f>
        <v>0</v>
      </c>
      <c r="O69" s="7" t="n">
        <f aca="false">'Long Term Deals'!AS69</f>
        <v>0</v>
      </c>
      <c r="P69" s="7" t="n">
        <f aca="false">'Long Term Deals'!AT69</f>
        <v>38560.822622108</v>
      </c>
      <c r="Q69" s="7" t="n">
        <f aca="false">'Long Term Deals'!AU69</f>
        <v>0</v>
      </c>
      <c r="R69" s="7" t="n">
        <f aca="false">'Long Term Deals'!AV69</f>
        <v>0</v>
      </c>
      <c r="S69" s="68" t="n">
        <f aca="false">'Long Term Deals'!AW69</f>
        <v>0.08</v>
      </c>
      <c r="T69" s="68" t="n">
        <f aca="false">'Long Term Deals'!AX69</f>
        <v>0.025</v>
      </c>
      <c r="U69" s="7" t="n">
        <f aca="false">'Long Term Deals'!AY69</f>
        <v>11022063.5475578</v>
      </c>
      <c r="V69" s="7" t="n">
        <f aca="false">'Long Term Deals'!AZ69</f>
        <v>10625677.9434447</v>
      </c>
      <c r="W69" s="5" t="n">
        <f aca="false">U69-V69</f>
        <v>396385.604113109</v>
      </c>
      <c r="X69" s="5" t="n">
        <f aca="false">'Long Term Deals'!CA69</f>
        <v>21038.5604113111</v>
      </c>
      <c r="Y69" s="71" t="n">
        <f aca="false">[4]Sheet1!$AL110</f>
        <v>762567.143039026</v>
      </c>
      <c r="Z69" s="7" t="n">
        <f aca="false">[2]Sheet1!$O83</f>
        <v>-56616.0747078731</v>
      </c>
      <c r="AA69" s="7" t="n">
        <f aca="false">'[3]Long Term Deals'!$Z68</f>
        <v>-34895.0629697055</v>
      </c>
      <c r="AB69" s="70" t="n">
        <f aca="false">-Z69+AA69+Y69+W69-X69</f>
        <v>1159635.19847899</v>
      </c>
      <c r="AC69" s="70" t="n">
        <f aca="false">AB69-Y69</f>
        <v>397068.055439966</v>
      </c>
      <c r="AD69" s="70" t="n">
        <f aca="false">AC69+Z69-AA69+X69</f>
        <v>396385.604113109</v>
      </c>
      <c r="AE69" s="13" t="n">
        <f aca="false">(W69-Z69+AA69)/(B69+C69+D69)/'Prices&amp;Fuel'!H69</f>
        <v>0.0993667360496986</v>
      </c>
      <c r="AF69" s="1" t="n">
        <v>132000</v>
      </c>
      <c r="AG69" s="7" t="n">
        <f aca="false">((((I69*'Prices&amp;Fuel'!B69+'Prices&amp;Fuel'!C69*FPL!J69+FPL!K69*'Prices&amp;Fuel'!D69))+(L69*'Prices&amp;Fuel'!B69+'Prices&amp;Fuel'!C69*FPL!M69))*'Prices&amp;Fuel'!H69)+(I69+J69+K69)*'Prices&amp;Fuel'!H69*FPL!T69+Q69/2</f>
        <v>7588920.61597944</v>
      </c>
      <c r="AH69" s="7" t="n">
        <f aca="false">(N69*'Prices&amp;Fuel'!B69+'Prices&amp;Fuel'!C69*O69+P69*'Prices&amp;Fuel'!D69)*'Prices&amp;Fuel'!H69+(N69+O69+P69)*'Prices&amp;Fuel'!H69*FPL!T69+Q69/2</f>
        <v>3036757.3274653</v>
      </c>
      <c r="AI69" s="7" t="n">
        <f aca="false">R69*'Prices&amp;Fuel'!H69*'Prices&amp;Fuel'!Q69</f>
        <v>0</v>
      </c>
      <c r="AJ69" s="55" t="n">
        <f aca="false">SUM(AG69:AI69)-'Long Term Deals'!AZ69</f>
        <v>0</v>
      </c>
    </row>
    <row r="70" customFormat="false" ht="11.25" hidden="false" customHeight="false" outlineLevel="0" collapsed="false">
      <c r="A70" s="6" t="n">
        <f aca="false">+A69+365/12</f>
        <v>37726.0833333333</v>
      </c>
      <c r="B70" s="7" t="n">
        <f aca="false">'Long Term Deals'!AF70</f>
        <v>58611.8251928021</v>
      </c>
      <c r="C70" s="7" t="n">
        <f aca="false">'Long Term Deals'!AG70</f>
        <v>0</v>
      </c>
      <c r="D70" s="7" t="n">
        <f aca="false">'Long Term Deals'!AH70</f>
        <v>77120.822622108</v>
      </c>
      <c r="E70" s="7" t="n">
        <f aca="false">'Long Term Deals'!AI70</f>
        <v>0</v>
      </c>
      <c r="F70" s="7" t="n">
        <f aca="false">'Long Term Deals'!AJ70</f>
        <v>0</v>
      </c>
      <c r="G70" s="7" t="n">
        <f aca="false">'Long Term Deals'!AK70</f>
        <v>0</v>
      </c>
      <c r="H70" s="7" t="n">
        <f aca="false">'Long Term Deals'!AL70</f>
        <v>0</v>
      </c>
      <c r="I70" s="7" t="n">
        <f aca="false">'Long Term Deals'!AM70</f>
        <v>0</v>
      </c>
      <c r="J70" s="7" t="n">
        <f aca="false">'Long Term Deals'!AN70</f>
        <v>0</v>
      </c>
      <c r="K70" s="7" t="n">
        <f aca="false">'Long Term Deals'!AO70</f>
        <v>38560</v>
      </c>
      <c r="L70" s="7" t="n">
        <f aca="false">'Long Term Deals'!AP70</f>
        <v>58611.8251928021</v>
      </c>
      <c r="M70" s="7" t="n">
        <f aca="false">'Long Term Deals'!AQ70</f>
        <v>0</v>
      </c>
      <c r="N70" s="7" t="n">
        <f aca="false">'Long Term Deals'!AR70</f>
        <v>0</v>
      </c>
      <c r="O70" s="7" t="n">
        <f aca="false">'Long Term Deals'!AS70</f>
        <v>0</v>
      </c>
      <c r="P70" s="7" t="n">
        <f aca="false">'Long Term Deals'!AT70</f>
        <v>38560.822622108</v>
      </c>
      <c r="Q70" s="7" t="n">
        <f aca="false">'Long Term Deals'!AU70</f>
        <v>0</v>
      </c>
      <c r="R70" s="7" t="n">
        <f aca="false">'Long Term Deals'!AV70</f>
        <v>0</v>
      </c>
      <c r="S70" s="68" t="n">
        <f aca="false">'Long Term Deals'!AW70</f>
        <v>0.08</v>
      </c>
      <c r="T70" s="68" t="n">
        <f aca="false">'Long Term Deals'!AX70</f>
        <v>0.025</v>
      </c>
      <c r="U70" s="7" t="n">
        <f aca="false">'Long Term Deals'!AY70</f>
        <v>11776941.9023136</v>
      </c>
      <c r="V70" s="7" t="n">
        <f aca="false">'Long Term Deals'!AZ70</f>
        <v>11393342.9305913</v>
      </c>
      <c r="W70" s="5" t="n">
        <f aca="false">U70-V70</f>
        <v>383598.971722364</v>
      </c>
      <c r="X70" s="5" t="n">
        <f aca="false">'Long Term Deals'!CA70</f>
        <v>20359.8971722365</v>
      </c>
      <c r="Y70" s="71" t="n">
        <f aca="false">[4]Sheet1!$AL111</f>
        <v>737968.202940993</v>
      </c>
      <c r="Z70" s="7" t="n">
        <f aca="false">[2]Sheet1!$O84</f>
        <v>-54789.7497172965</v>
      </c>
      <c r="AA70" s="7" t="n">
        <f aca="false">'[3]Long Term Deals'!$Z69</f>
        <v>-33769.4157771343</v>
      </c>
      <c r="AB70" s="70" t="n">
        <f aca="false">-Z70+AA70+Y70+W70-X70</f>
        <v>1122227.61143128</v>
      </c>
      <c r="AC70" s="70" t="n">
        <f aca="false">AB70-Y70</f>
        <v>384259.40849029</v>
      </c>
      <c r="AD70" s="70" t="n">
        <f aca="false">AC70+Z70-AA70+X70</f>
        <v>383598.971722364</v>
      </c>
      <c r="AE70" s="13" t="n">
        <f aca="false">(W70-Z70+AA70)/(B70+C70+D70)/'Prices&amp;Fuel'!H70</f>
        <v>0.0993667360496988</v>
      </c>
      <c r="AF70" s="1" t="n">
        <v>132000</v>
      </c>
      <c r="AG70" s="7" t="n">
        <f aca="false">((((I70*'Prices&amp;Fuel'!B70+'Prices&amp;Fuel'!C70*FPL!J70+FPL!K70*'Prices&amp;Fuel'!D70))+(L70*'Prices&amp;Fuel'!B70+'Prices&amp;Fuel'!C70*FPL!M70))*'Prices&amp;Fuel'!H70)+(I70+J70+K70)*'Prices&amp;Fuel'!H70*FPL!T70+Q70/2</f>
        <v>8139079.4270437</v>
      </c>
      <c r="AH70" s="7" t="n">
        <f aca="false">(N70*'Prices&amp;Fuel'!B70+'Prices&amp;Fuel'!C70*O70+P70*'Prices&amp;Fuel'!D70)*'Prices&amp;Fuel'!H70+(N70+O70+P70)*'Prices&amp;Fuel'!H70*FPL!T70+Q70/2</f>
        <v>3254263.50354756</v>
      </c>
      <c r="AI70" s="7" t="n">
        <f aca="false">R70*'Prices&amp;Fuel'!H70*'Prices&amp;Fuel'!Q70</f>
        <v>0</v>
      </c>
      <c r="AJ70" s="55" t="n">
        <f aca="false">SUM(AG70:AI70)-'Long Term Deals'!AZ70</f>
        <v>0</v>
      </c>
    </row>
    <row r="71" customFormat="false" ht="11.25" hidden="false" customHeight="false" outlineLevel="0" collapsed="false">
      <c r="A71" s="6" t="n">
        <f aca="false">+A70+365/12</f>
        <v>37756.5</v>
      </c>
      <c r="B71" s="7" t="n">
        <f aca="false">'Long Term Deals'!AF71</f>
        <v>155269.922879177</v>
      </c>
      <c r="C71" s="7" t="n">
        <f aca="false">'Long Term Deals'!AG71</f>
        <v>0</v>
      </c>
      <c r="D71" s="7" t="n">
        <f aca="false">'Long Term Deals'!AH71</f>
        <v>77120.822622108</v>
      </c>
      <c r="E71" s="7" t="n">
        <f aca="false">'Long Term Deals'!AI71</f>
        <v>0</v>
      </c>
      <c r="F71" s="7" t="n">
        <f aca="false">'Long Term Deals'!AJ71</f>
        <v>0</v>
      </c>
      <c r="G71" s="7" t="n">
        <f aca="false">'Long Term Deals'!AK71</f>
        <v>0</v>
      </c>
      <c r="H71" s="7" t="n">
        <f aca="false">'Long Term Deals'!AL71</f>
        <v>0</v>
      </c>
      <c r="I71" s="7" t="n">
        <f aca="false">'Long Term Deals'!AM71</f>
        <v>37635</v>
      </c>
      <c r="J71" s="7" t="n">
        <f aca="false">'Long Term Deals'!AN71</f>
        <v>0</v>
      </c>
      <c r="K71" s="7" t="n">
        <f aca="false">'Long Term Deals'!AO71</f>
        <v>38560</v>
      </c>
      <c r="L71" s="7" t="n">
        <f aca="false">'Long Term Deals'!AP71</f>
        <v>80000</v>
      </c>
      <c r="M71" s="7" t="n">
        <f aca="false">'Long Term Deals'!AQ71</f>
        <v>0</v>
      </c>
      <c r="N71" s="7" t="n">
        <f aca="false">'Long Term Deals'!AR71</f>
        <v>37634.9228791774</v>
      </c>
      <c r="O71" s="7" t="n">
        <f aca="false">'Long Term Deals'!AS71</f>
        <v>0</v>
      </c>
      <c r="P71" s="7" t="n">
        <f aca="false">'Long Term Deals'!AT71</f>
        <v>38560.822622108</v>
      </c>
      <c r="Q71" s="7" t="n">
        <f aca="false">'Long Term Deals'!AU71</f>
        <v>0</v>
      </c>
      <c r="R71" s="7" t="n">
        <f aca="false">'Long Term Deals'!AV71</f>
        <v>0</v>
      </c>
      <c r="S71" s="68" t="n">
        <f aca="false">'Long Term Deals'!AW71</f>
        <v>0.08</v>
      </c>
      <c r="T71" s="68" t="n">
        <f aca="false">'Long Term Deals'!AX71</f>
        <v>0.025</v>
      </c>
      <c r="U71" s="7" t="n">
        <f aca="false">'Long Term Deals'!AY71</f>
        <v>22115989.7172237</v>
      </c>
      <c r="V71" s="7" t="n">
        <f aca="false">'Long Term Deals'!AZ71</f>
        <v>21538226.2210797</v>
      </c>
      <c r="W71" s="5" t="n">
        <f aca="false">U71-V71</f>
        <v>577763.49614396</v>
      </c>
      <c r="X71" s="5" t="n">
        <f aca="false">'Long Term Deals'!CA71</f>
        <v>36020.5655526992</v>
      </c>
      <c r="Y71" s="71" t="n">
        <f aca="false">[4]Sheet1!$AL112</f>
        <v>762567.143039026</v>
      </c>
      <c r="Z71" s="7" t="n">
        <f aca="false">[2]Sheet1!$O85</f>
        <v>-96933.5824543888</v>
      </c>
      <c r="AA71" s="7" t="n">
        <f aca="false">'[3]Long Term Deals'!$Z70</f>
        <v>-43972.9018835931</v>
      </c>
      <c r="AB71" s="70" t="n">
        <f aca="false">-Z71+AA71+Y71+W71-X71</f>
        <v>1357270.75420108</v>
      </c>
      <c r="AC71" s="70" t="n">
        <f aca="false">AB71-Y71</f>
        <v>594703.611162056</v>
      </c>
      <c r="AD71" s="70" t="n">
        <f aca="false">AC71+Z71-AA71+X71</f>
        <v>577763.49614396</v>
      </c>
      <c r="AE71" s="13" t="n">
        <f aca="false">(W71-Z71+AA71)/(B71+C71+D71)/'Prices&amp;Fuel'!H71</f>
        <v>0.0875505654945903</v>
      </c>
      <c r="AF71" s="1" t="n">
        <v>226000</v>
      </c>
      <c r="AG71" s="7" t="n">
        <f aca="false">((((I71*'Prices&amp;Fuel'!B71+'Prices&amp;Fuel'!C71*FPL!J71+FPL!K71*'Prices&amp;Fuel'!D71))+(L71*'Prices&amp;Fuel'!B71+'Prices&amp;Fuel'!C71*FPL!M71))*'Prices&amp;Fuel'!H71)+(I71+J71+K71)*'Prices&amp;Fuel'!H71*FPL!T71+Q71/2</f>
        <v>14451878.375</v>
      </c>
      <c r="AH71" s="7" t="n">
        <f aca="false">(N71*'Prices&amp;Fuel'!B71+'Prices&amp;Fuel'!C71*O71+P71*'Prices&amp;Fuel'!D71)*'Prices&amp;Fuel'!H71+(N71+O71+P71)*'Prices&amp;Fuel'!H71*FPL!T71+Q71/2</f>
        <v>7086347.84607969</v>
      </c>
      <c r="AI71" s="7" t="n">
        <f aca="false">R71*'Prices&amp;Fuel'!H71*'Prices&amp;Fuel'!Q71</f>
        <v>0</v>
      </c>
      <c r="AJ71" s="55" t="n">
        <f aca="false">SUM(AG71:AI71)-'Long Term Deals'!AZ71</f>
        <v>0</v>
      </c>
    </row>
    <row r="72" customFormat="false" ht="11.25" hidden="false" customHeight="false" outlineLevel="0" collapsed="false">
      <c r="A72" s="6" t="n">
        <f aca="false">+A71+365/12</f>
        <v>37786.9166666667</v>
      </c>
      <c r="B72" s="7" t="n">
        <f aca="false">'Long Term Deals'!AF72</f>
        <v>155269.922879177</v>
      </c>
      <c r="C72" s="7" t="n">
        <f aca="false">'Long Term Deals'!AG72</f>
        <v>0</v>
      </c>
      <c r="D72" s="7" t="n">
        <f aca="false">'Long Term Deals'!AH72</f>
        <v>77120.822622108</v>
      </c>
      <c r="E72" s="7" t="n">
        <f aca="false">'Long Term Deals'!AI72</f>
        <v>0</v>
      </c>
      <c r="F72" s="7" t="n">
        <f aca="false">'Long Term Deals'!AJ72</f>
        <v>0</v>
      </c>
      <c r="G72" s="7" t="n">
        <f aca="false">'Long Term Deals'!AK72</f>
        <v>0</v>
      </c>
      <c r="H72" s="7" t="n">
        <f aca="false">'Long Term Deals'!AL72</f>
        <v>0</v>
      </c>
      <c r="I72" s="7" t="n">
        <f aca="false">'Long Term Deals'!AM72</f>
        <v>37635</v>
      </c>
      <c r="J72" s="7" t="n">
        <f aca="false">'Long Term Deals'!AN72</f>
        <v>0</v>
      </c>
      <c r="K72" s="7" t="n">
        <f aca="false">'Long Term Deals'!AO72</f>
        <v>38560</v>
      </c>
      <c r="L72" s="7" t="n">
        <f aca="false">'Long Term Deals'!AP72</f>
        <v>80000</v>
      </c>
      <c r="M72" s="7" t="n">
        <f aca="false">'Long Term Deals'!AQ72</f>
        <v>0</v>
      </c>
      <c r="N72" s="7" t="n">
        <f aca="false">'Long Term Deals'!AR72</f>
        <v>37634.9228791774</v>
      </c>
      <c r="O72" s="7" t="n">
        <f aca="false">'Long Term Deals'!AS72</f>
        <v>0</v>
      </c>
      <c r="P72" s="7" t="n">
        <f aca="false">'Long Term Deals'!AT72</f>
        <v>38560.822622108</v>
      </c>
      <c r="Q72" s="7" t="n">
        <f aca="false">'Long Term Deals'!AU72</f>
        <v>0</v>
      </c>
      <c r="R72" s="7" t="n">
        <f aca="false">'Long Term Deals'!AV72</f>
        <v>0</v>
      </c>
      <c r="S72" s="68" t="n">
        <f aca="false">'Long Term Deals'!AW72</f>
        <v>0.08</v>
      </c>
      <c r="T72" s="68" t="n">
        <f aca="false">'Long Term Deals'!AX72</f>
        <v>0.025</v>
      </c>
      <c r="U72" s="7" t="n">
        <f aca="false">'Long Term Deals'!AY72</f>
        <v>30626856.5552699</v>
      </c>
      <c r="V72" s="7" t="n">
        <f aca="false">'Long Term Deals'!AZ72</f>
        <v>30067730.5912596</v>
      </c>
      <c r="W72" s="5" t="n">
        <f aca="false">U72-V72</f>
        <v>559125.964010283</v>
      </c>
      <c r="X72" s="5" t="n">
        <f aca="false">'Long Term Deals'!CA72</f>
        <v>34858.6118251928</v>
      </c>
      <c r="Y72" s="71" t="n">
        <f aca="false">[4]Sheet1!$AL113</f>
        <v>737968.202940993</v>
      </c>
      <c r="Z72" s="7" t="n">
        <f aca="false">[2]Sheet1!$O86</f>
        <v>-93806.6926977956</v>
      </c>
      <c r="AA72" s="7" t="n">
        <f aca="false">'[3]Long Term Deals'!$Z71</f>
        <v>-42554.4211776707</v>
      </c>
      <c r="AB72" s="70" t="n">
        <f aca="false">-Z72+AA72+Y72+W72-X72</f>
        <v>1313487.82664621</v>
      </c>
      <c r="AC72" s="70" t="n">
        <f aca="false">AB72-Y72</f>
        <v>575519.623705216</v>
      </c>
      <c r="AD72" s="70" t="n">
        <f aca="false">AC72+Z72-AA72+X72</f>
        <v>559125.964010284</v>
      </c>
      <c r="AE72" s="13" t="n">
        <f aca="false">(W72-Z72+AA72)/(B72+C72+D72)/'Prices&amp;Fuel'!H72</f>
        <v>0.0875505654945903</v>
      </c>
      <c r="AF72" s="1" t="n">
        <v>226000</v>
      </c>
      <c r="AG72" s="7" t="n">
        <f aca="false">((((I72*'Prices&amp;Fuel'!B72+'Prices&amp;Fuel'!C72*FPL!J72+FPL!K72*'Prices&amp;Fuel'!D72))+(L72*'Prices&amp;Fuel'!B72+'Prices&amp;Fuel'!C72*FPL!M72))*'Prices&amp;Fuel'!H72)+(I72+J72+K72)*'Prices&amp;Fuel'!H72*FPL!T72+Q72/2</f>
        <v>20185536.885</v>
      </c>
      <c r="AH72" s="7" t="n">
        <f aca="false">(N72*'Prices&amp;Fuel'!B72+'Prices&amp;Fuel'!C72*O72+P72*'Prices&amp;Fuel'!D72)*'Prices&amp;Fuel'!H72+(N72+O72+P72)*'Prices&amp;Fuel'!H72*FPL!T72+Q72/2</f>
        <v>9882193.70625964</v>
      </c>
      <c r="AI72" s="7" t="n">
        <f aca="false">R72*'Prices&amp;Fuel'!H72*'Prices&amp;Fuel'!Q72</f>
        <v>0</v>
      </c>
      <c r="AJ72" s="55" t="n">
        <f aca="false">SUM(AG72:AI72)-'Long Term Deals'!AZ72</f>
        <v>0</v>
      </c>
    </row>
    <row r="73" customFormat="false" ht="11.25" hidden="false" customHeight="false" outlineLevel="0" collapsed="false">
      <c r="A73" s="6" t="n">
        <f aca="false">+A72+365/12</f>
        <v>37817.3333333333</v>
      </c>
      <c r="B73" s="7" t="n">
        <f aca="false">'Long Term Deals'!AF73</f>
        <v>155269.922879177</v>
      </c>
      <c r="C73" s="7" t="n">
        <f aca="false">'Long Term Deals'!AG73</f>
        <v>0</v>
      </c>
      <c r="D73" s="7" t="n">
        <f aca="false">'Long Term Deals'!AH73</f>
        <v>77120.822622108</v>
      </c>
      <c r="E73" s="7" t="n">
        <f aca="false">'Long Term Deals'!AI73</f>
        <v>0</v>
      </c>
      <c r="F73" s="7" t="n">
        <f aca="false">'Long Term Deals'!AJ73</f>
        <v>0</v>
      </c>
      <c r="G73" s="7" t="n">
        <f aca="false">'Long Term Deals'!AK73</f>
        <v>0</v>
      </c>
      <c r="H73" s="7" t="n">
        <f aca="false">'Long Term Deals'!AL73</f>
        <v>0</v>
      </c>
      <c r="I73" s="7" t="n">
        <f aca="false">'Long Term Deals'!AM73</f>
        <v>37635</v>
      </c>
      <c r="J73" s="7" t="n">
        <f aca="false">'Long Term Deals'!AN73</f>
        <v>0</v>
      </c>
      <c r="K73" s="7" t="n">
        <f aca="false">'Long Term Deals'!AO73</f>
        <v>38560</v>
      </c>
      <c r="L73" s="7" t="n">
        <f aca="false">'Long Term Deals'!AP73</f>
        <v>80000</v>
      </c>
      <c r="M73" s="7" t="n">
        <f aca="false">'Long Term Deals'!AQ73</f>
        <v>0</v>
      </c>
      <c r="N73" s="7" t="n">
        <f aca="false">'Long Term Deals'!AR73</f>
        <v>37634.9228791774</v>
      </c>
      <c r="O73" s="7" t="n">
        <f aca="false">'Long Term Deals'!AS73</f>
        <v>0</v>
      </c>
      <c r="P73" s="7" t="n">
        <f aca="false">'Long Term Deals'!AT73</f>
        <v>38560.822622108</v>
      </c>
      <c r="Q73" s="7" t="n">
        <f aca="false">'Long Term Deals'!AU73</f>
        <v>0</v>
      </c>
      <c r="R73" s="7" t="n">
        <f aca="false">'Long Term Deals'!AV73</f>
        <v>0</v>
      </c>
      <c r="S73" s="68" t="n">
        <f aca="false">'Long Term Deals'!AW73</f>
        <v>0.08</v>
      </c>
      <c r="T73" s="68" t="n">
        <f aca="false">'Long Term Deals'!AX73</f>
        <v>0.025</v>
      </c>
      <c r="U73" s="7" t="n">
        <f aca="false">'Long Term Deals'!AY73</f>
        <v>31574990.2313625</v>
      </c>
      <c r="V73" s="7" t="n">
        <f aca="false">'Long Term Deals'!AZ73</f>
        <v>30997226.7352185</v>
      </c>
      <c r="W73" s="5" t="n">
        <f aca="false">U73-V73</f>
        <v>577763.49614396</v>
      </c>
      <c r="X73" s="5" t="n">
        <f aca="false">'Long Term Deals'!CA73</f>
        <v>36020.5655526992</v>
      </c>
      <c r="Y73" s="71" t="n">
        <f aca="false">[4]Sheet1!$AL114</f>
        <v>762567.143039026</v>
      </c>
      <c r="Z73" s="7" t="n">
        <f aca="false">[2]Sheet1!$O87</f>
        <v>-96933.5824543888</v>
      </c>
      <c r="AA73" s="7" t="n">
        <f aca="false">'[3]Long Term Deals'!$Z72</f>
        <v>-43972.9018835931</v>
      </c>
      <c r="AB73" s="70" t="n">
        <f aca="false">-Z73+AA73+Y73+W73-X73</f>
        <v>1357270.75420108</v>
      </c>
      <c r="AC73" s="70" t="n">
        <f aca="false">AB73-Y73</f>
        <v>594703.611162056</v>
      </c>
      <c r="AD73" s="70" t="n">
        <f aca="false">AC73+Z73-AA73+X73</f>
        <v>577763.49614396</v>
      </c>
      <c r="AE73" s="13" t="n">
        <f aca="false">(W73-Z73+AA73)/(B73+C73+D73)/'Prices&amp;Fuel'!H73</f>
        <v>0.0875505654945903</v>
      </c>
      <c r="AF73" s="1" t="n">
        <v>226000</v>
      </c>
      <c r="AG73" s="7" t="n">
        <f aca="false">((((I73*'Prices&amp;Fuel'!B73+'Prices&amp;Fuel'!C73*FPL!J73+FPL!K73*'Prices&amp;Fuel'!D73))+(L73*'Prices&amp;Fuel'!B73+'Prices&amp;Fuel'!C73*FPL!M73))*'Prices&amp;Fuel'!H73)+(I73+J73+K73)*'Prices&amp;Fuel'!H73*FPL!T73+Q73/2</f>
        <v>20809483.46</v>
      </c>
      <c r="AH73" s="7" t="n">
        <f aca="false">(N73*'Prices&amp;Fuel'!B73+'Prices&amp;Fuel'!C73*O73+P73*'Prices&amp;Fuel'!D73)*'Prices&amp;Fuel'!H73+(N73+O73+P73)*'Prices&amp;Fuel'!H73*FPL!T73+Q73/2</f>
        <v>10187743.2752185</v>
      </c>
      <c r="AI73" s="7" t="n">
        <f aca="false">R73*'Prices&amp;Fuel'!H73*'Prices&amp;Fuel'!Q73</f>
        <v>0</v>
      </c>
      <c r="AJ73" s="55" t="n">
        <f aca="false">SUM(AG73:AI73)-'Long Term Deals'!AZ73</f>
        <v>0</v>
      </c>
    </row>
    <row r="74" customFormat="false" ht="11.25" hidden="false" customHeight="false" outlineLevel="0" collapsed="false">
      <c r="A74" s="6" t="n">
        <f aca="false">+A73+365/12</f>
        <v>37847.75</v>
      </c>
      <c r="B74" s="7" t="n">
        <f aca="false">'Long Term Deals'!AF74</f>
        <v>155269.922879177</v>
      </c>
      <c r="C74" s="7" t="n">
        <f aca="false">'Long Term Deals'!AG74</f>
        <v>0</v>
      </c>
      <c r="D74" s="7" t="n">
        <f aca="false">'Long Term Deals'!AH74</f>
        <v>77120.822622108</v>
      </c>
      <c r="E74" s="7" t="n">
        <f aca="false">'Long Term Deals'!AI74</f>
        <v>0</v>
      </c>
      <c r="F74" s="7" t="n">
        <f aca="false">'Long Term Deals'!AJ74</f>
        <v>0</v>
      </c>
      <c r="G74" s="7" t="n">
        <f aca="false">'Long Term Deals'!AK74</f>
        <v>0</v>
      </c>
      <c r="H74" s="7" t="n">
        <f aca="false">'Long Term Deals'!AL74</f>
        <v>0</v>
      </c>
      <c r="I74" s="7" t="n">
        <f aca="false">'Long Term Deals'!AM74</f>
        <v>37635</v>
      </c>
      <c r="J74" s="7" t="n">
        <f aca="false">'Long Term Deals'!AN74</f>
        <v>0</v>
      </c>
      <c r="K74" s="7" t="n">
        <f aca="false">'Long Term Deals'!AO74</f>
        <v>38560</v>
      </c>
      <c r="L74" s="7" t="n">
        <f aca="false">'Long Term Deals'!AP74</f>
        <v>80000</v>
      </c>
      <c r="M74" s="7" t="n">
        <f aca="false">'Long Term Deals'!AQ74</f>
        <v>0</v>
      </c>
      <c r="N74" s="7" t="n">
        <f aca="false">'Long Term Deals'!AR74</f>
        <v>37634.9228791774</v>
      </c>
      <c r="O74" s="7" t="n">
        <f aca="false">'Long Term Deals'!AS74</f>
        <v>0</v>
      </c>
      <c r="P74" s="7" t="n">
        <f aca="false">'Long Term Deals'!AT74</f>
        <v>38560.822622108</v>
      </c>
      <c r="Q74" s="7" t="n">
        <f aca="false">'Long Term Deals'!AU74</f>
        <v>0</v>
      </c>
      <c r="R74" s="7" t="n">
        <f aca="false">'Long Term Deals'!AV74</f>
        <v>0</v>
      </c>
      <c r="S74" s="68" t="n">
        <f aca="false">'Long Term Deals'!AW74</f>
        <v>0.08</v>
      </c>
      <c r="T74" s="68" t="n">
        <f aca="false">'Long Term Deals'!AX74</f>
        <v>0.025</v>
      </c>
      <c r="U74" s="7" t="n">
        <f aca="false">'Long Term Deals'!AY74</f>
        <v>27645866.940874</v>
      </c>
      <c r="V74" s="7" t="n">
        <f aca="false">'Long Term Deals'!AZ74</f>
        <v>27068103.4447301</v>
      </c>
      <c r="W74" s="5" t="n">
        <f aca="false">U74-V74</f>
        <v>577763.49614396</v>
      </c>
      <c r="X74" s="5" t="n">
        <f aca="false">'Long Term Deals'!CA74</f>
        <v>36020.5655526992</v>
      </c>
      <c r="Y74" s="71" t="n">
        <f aca="false">[4]Sheet1!$AL115</f>
        <v>762567.143039026</v>
      </c>
      <c r="Z74" s="7" t="n">
        <f aca="false">[2]Sheet1!$O88</f>
        <v>-96933.5824543888</v>
      </c>
      <c r="AA74" s="7" t="n">
        <f aca="false">'[3]Long Term Deals'!$Z73</f>
        <v>-43972.9018835931</v>
      </c>
      <c r="AB74" s="70" t="n">
        <f aca="false">-Z74+AA74+Y74+W74-X74</f>
        <v>1357270.75420108</v>
      </c>
      <c r="AC74" s="70" t="n">
        <f aca="false">AB74-Y74</f>
        <v>594703.611162056</v>
      </c>
      <c r="AD74" s="70" t="n">
        <f aca="false">AC74+Z74-AA74+X74</f>
        <v>577763.49614396</v>
      </c>
      <c r="AE74" s="13" t="n">
        <f aca="false">(W74-Z74+AA74)/(B74+C74+D74)/'Prices&amp;Fuel'!H74</f>
        <v>0.0875505654945903</v>
      </c>
      <c r="AF74" s="1" t="n">
        <v>226000</v>
      </c>
      <c r="AG74" s="7" t="n">
        <f aca="false">((((I74*'Prices&amp;Fuel'!B74+'Prices&amp;Fuel'!C74*FPL!J74+FPL!K74*'Prices&amp;Fuel'!D74))+(L74*'Prices&amp;Fuel'!B74+'Prices&amp;Fuel'!C74*FPL!M74))*'Prices&amp;Fuel'!H74)+(I74+J74+K74)*'Prices&amp;Fuel'!H74*FPL!T74+Q74/2</f>
        <v>18168632.117</v>
      </c>
      <c r="AH74" s="7" t="n">
        <f aca="false">(N74*'Prices&amp;Fuel'!B74+'Prices&amp;Fuel'!C74*O74+P74*'Prices&amp;Fuel'!D74)*'Prices&amp;Fuel'!H74+(N74+O74+P74)*'Prices&amp;Fuel'!H74*FPL!T74+Q74/2</f>
        <v>8899471.32773008</v>
      </c>
      <c r="AI74" s="7" t="n">
        <f aca="false">R74*'Prices&amp;Fuel'!H74*'Prices&amp;Fuel'!Q74</f>
        <v>0</v>
      </c>
      <c r="AJ74" s="55" t="n">
        <f aca="false">SUM(AG74:AI74)-'Long Term Deals'!AZ74</f>
        <v>0</v>
      </c>
    </row>
    <row r="75" customFormat="false" ht="11.25" hidden="false" customHeight="false" outlineLevel="0" collapsed="false">
      <c r="A75" s="6" t="n">
        <f aca="false">+A74+365/12</f>
        <v>37878.1666666667</v>
      </c>
      <c r="B75" s="7" t="n">
        <f aca="false">'Long Term Deals'!AF75</f>
        <v>155269.922879177</v>
      </c>
      <c r="C75" s="7" t="n">
        <f aca="false">'Long Term Deals'!AG75</f>
        <v>0</v>
      </c>
      <c r="D75" s="7" t="n">
        <f aca="false">'Long Term Deals'!AH75</f>
        <v>77120.822622108</v>
      </c>
      <c r="E75" s="7" t="n">
        <f aca="false">'Long Term Deals'!AI75</f>
        <v>0</v>
      </c>
      <c r="F75" s="7" t="n">
        <f aca="false">'Long Term Deals'!AJ75</f>
        <v>0</v>
      </c>
      <c r="G75" s="7" t="n">
        <f aca="false">'Long Term Deals'!AK75</f>
        <v>0</v>
      </c>
      <c r="H75" s="7" t="n">
        <f aca="false">'Long Term Deals'!AL75</f>
        <v>0</v>
      </c>
      <c r="I75" s="7" t="n">
        <f aca="false">'Long Term Deals'!AM75</f>
        <v>37635</v>
      </c>
      <c r="J75" s="7" t="n">
        <f aca="false">'Long Term Deals'!AN75</f>
        <v>0</v>
      </c>
      <c r="K75" s="7" t="n">
        <f aca="false">'Long Term Deals'!AO75</f>
        <v>38560</v>
      </c>
      <c r="L75" s="7" t="n">
        <f aca="false">'Long Term Deals'!AP75</f>
        <v>80000</v>
      </c>
      <c r="M75" s="7" t="n">
        <f aca="false">'Long Term Deals'!AQ75</f>
        <v>0</v>
      </c>
      <c r="N75" s="7" t="n">
        <f aca="false">'Long Term Deals'!AR75</f>
        <v>37634.9228791774</v>
      </c>
      <c r="O75" s="7" t="n">
        <f aca="false">'Long Term Deals'!AS75</f>
        <v>0</v>
      </c>
      <c r="P75" s="7" t="n">
        <f aca="false">'Long Term Deals'!AT75</f>
        <v>38560.822622108</v>
      </c>
      <c r="Q75" s="7" t="n">
        <f aca="false">'Long Term Deals'!AU75</f>
        <v>0</v>
      </c>
      <c r="R75" s="7" t="n">
        <f aca="false">'Long Term Deals'!AV75</f>
        <v>0</v>
      </c>
      <c r="S75" s="68" t="n">
        <f aca="false">'Long Term Deals'!AW75</f>
        <v>0.08</v>
      </c>
      <c r="T75" s="68" t="n">
        <f aca="false">'Long Term Deals'!AX75</f>
        <v>0.025</v>
      </c>
      <c r="U75" s="7" t="n">
        <f aca="false">'Long Term Deals'!AY75</f>
        <v>32175973.2647815</v>
      </c>
      <c r="V75" s="7" t="n">
        <f aca="false">'Long Term Deals'!AZ75</f>
        <v>31616847.3007712</v>
      </c>
      <c r="W75" s="5" t="n">
        <f aca="false">U75-V75</f>
        <v>559125.96401028</v>
      </c>
      <c r="X75" s="5" t="n">
        <f aca="false">'Long Term Deals'!CA75</f>
        <v>34858.6118251928</v>
      </c>
      <c r="Y75" s="71" t="n">
        <f aca="false">[4]Sheet1!$AL116</f>
        <v>737968.202940993</v>
      </c>
      <c r="Z75" s="7" t="n">
        <f aca="false">[2]Sheet1!$O89</f>
        <v>-93806.6926977956</v>
      </c>
      <c r="AA75" s="7" t="n">
        <f aca="false">'[3]Long Term Deals'!$Z74</f>
        <v>-42554.4211776707</v>
      </c>
      <c r="AB75" s="70" t="n">
        <f aca="false">-Z75+AA75+Y75+W75-X75</f>
        <v>1313487.82664621</v>
      </c>
      <c r="AC75" s="70" t="n">
        <f aca="false">AB75-Y75</f>
        <v>575519.623705212</v>
      </c>
      <c r="AD75" s="70" t="n">
        <f aca="false">AC75+Z75-AA75+X75</f>
        <v>559125.96401028</v>
      </c>
      <c r="AE75" s="13" t="n">
        <f aca="false">(W75-Z75+AA75)/(B75+C75+D75)/'Prices&amp;Fuel'!H75</f>
        <v>0.0875505654945897</v>
      </c>
      <c r="AF75" s="1" t="n">
        <v>226000</v>
      </c>
      <c r="AG75" s="7" t="n">
        <f aca="false">((((I75*'Prices&amp;Fuel'!B75+'Prices&amp;Fuel'!C75*FPL!J75+FPL!K75*'Prices&amp;Fuel'!D75))+(L75*'Prices&amp;Fuel'!B75+'Prices&amp;Fuel'!C75*FPL!M75))*'Prices&amp;Fuel'!H75)+(I75+J75+K75)*'Prices&amp;Fuel'!H75*FPL!T75+Q75/2</f>
        <v>21226732.755</v>
      </c>
      <c r="AH75" s="7" t="n">
        <f aca="false">(N75*'Prices&amp;Fuel'!B75+'Prices&amp;Fuel'!C75*O75+P75*'Prices&amp;Fuel'!D75)*'Prices&amp;Fuel'!H75+(N75+O75+P75)*'Prices&amp;Fuel'!H75*FPL!T75+Q75/2</f>
        <v>10390114.5457712</v>
      </c>
      <c r="AI75" s="7" t="n">
        <f aca="false">R75*'Prices&amp;Fuel'!H75*'Prices&amp;Fuel'!Q75</f>
        <v>0</v>
      </c>
      <c r="AJ75" s="55" t="n">
        <f aca="false">SUM(AG75:AI75)-'Long Term Deals'!AZ75</f>
        <v>0</v>
      </c>
    </row>
    <row r="76" customFormat="false" ht="11.25" hidden="false" customHeight="false" outlineLevel="0" collapsed="false">
      <c r="A76" s="6" t="n">
        <f aca="false">+A75+365/12</f>
        <v>37908.5833333333</v>
      </c>
      <c r="B76" s="7" t="n">
        <f aca="false">'Long Term Deals'!AF76</f>
        <v>58611.8251928021</v>
      </c>
      <c r="C76" s="7" t="n">
        <f aca="false">'Long Term Deals'!AG76</f>
        <v>0</v>
      </c>
      <c r="D76" s="7" t="n">
        <f aca="false">'Long Term Deals'!AH76</f>
        <v>77120.822622108</v>
      </c>
      <c r="E76" s="7" t="n">
        <f aca="false">'Long Term Deals'!AI76</f>
        <v>0</v>
      </c>
      <c r="F76" s="7" t="n">
        <f aca="false">'Long Term Deals'!AJ76</f>
        <v>0</v>
      </c>
      <c r="G76" s="7" t="n">
        <f aca="false">'Long Term Deals'!AK76</f>
        <v>0</v>
      </c>
      <c r="H76" s="7" t="n">
        <f aca="false">'Long Term Deals'!AL76</f>
        <v>0</v>
      </c>
      <c r="I76" s="7" t="n">
        <f aca="false">'Long Term Deals'!AM76</f>
        <v>0</v>
      </c>
      <c r="J76" s="7" t="n">
        <f aca="false">'Long Term Deals'!AN76</f>
        <v>0</v>
      </c>
      <c r="K76" s="7" t="n">
        <f aca="false">'Long Term Deals'!AO76</f>
        <v>38560</v>
      </c>
      <c r="L76" s="7" t="n">
        <f aca="false">'Long Term Deals'!AP76</f>
        <v>58611.8251928021</v>
      </c>
      <c r="M76" s="7" t="n">
        <f aca="false">'Long Term Deals'!AQ76</f>
        <v>0</v>
      </c>
      <c r="N76" s="7" t="n">
        <f aca="false">'Long Term Deals'!AR76</f>
        <v>0</v>
      </c>
      <c r="O76" s="7" t="n">
        <f aca="false">'Long Term Deals'!AS76</f>
        <v>0</v>
      </c>
      <c r="P76" s="7" t="n">
        <f aca="false">'Long Term Deals'!AT76</f>
        <v>38560.822622108</v>
      </c>
      <c r="Q76" s="7" t="n">
        <f aca="false">'Long Term Deals'!AU76</f>
        <v>0</v>
      </c>
      <c r="R76" s="7" t="n">
        <f aca="false">'Long Term Deals'!AV76</f>
        <v>0</v>
      </c>
      <c r="S76" s="68" t="n">
        <f aca="false">'Long Term Deals'!AW76</f>
        <v>0.08</v>
      </c>
      <c r="T76" s="68" t="n">
        <f aca="false">'Long Term Deals'!AX76</f>
        <v>0.025</v>
      </c>
      <c r="U76" s="7" t="n">
        <f aca="false">'Long Term Deals'!AY76</f>
        <v>22369000.7197943</v>
      </c>
      <c r="V76" s="7" t="n">
        <f aca="false">'Long Term Deals'!AZ76</f>
        <v>21972615.1156812</v>
      </c>
      <c r="W76" s="5" t="n">
        <f aca="false">U76-V76</f>
        <v>396385.604113109</v>
      </c>
      <c r="X76" s="5" t="n">
        <f aca="false">'Long Term Deals'!CA76</f>
        <v>21038.5604113111</v>
      </c>
      <c r="Y76" s="71" t="n">
        <f aca="false">[4]Sheet1!$AL117</f>
        <v>762567.143039026</v>
      </c>
      <c r="Z76" s="7" t="n">
        <f aca="false">[2]Sheet1!$O90</f>
        <v>-56616.0747078731</v>
      </c>
      <c r="AA76" s="7" t="n">
        <f aca="false">'[3]Long Term Deals'!$Z75</f>
        <v>-34895.0629697055</v>
      </c>
      <c r="AB76" s="70" t="n">
        <f aca="false">-Z76+AA76+Y76+W76-X76</f>
        <v>1159635.19847899</v>
      </c>
      <c r="AC76" s="70" t="n">
        <f aca="false">AB76-Y76</f>
        <v>397068.055439966</v>
      </c>
      <c r="AD76" s="70" t="n">
        <f aca="false">AC76+Z76-AA76+X76</f>
        <v>396385.604113109</v>
      </c>
      <c r="AE76" s="13" t="n">
        <f aca="false">(W76-Z76+AA76)/(B76+C76+D76)/'Prices&amp;Fuel'!H76</f>
        <v>0.0993667360496986</v>
      </c>
      <c r="AF76" s="1" t="n">
        <v>132000</v>
      </c>
      <c r="AG76" s="7" t="n">
        <f aca="false">((((I76*'Prices&amp;Fuel'!B76+'Prices&amp;Fuel'!C76*FPL!J76+FPL!K76*'Prices&amp;Fuel'!D76))+(L76*'Prices&amp;Fuel'!B76+'Prices&amp;Fuel'!C76*FPL!M76))*'Prices&amp;Fuel'!H76)+(I76+J76+K76)*'Prices&amp;Fuel'!H76*FPL!T76+Q76/2</f>
        <v>15712261.7068997</v>
      </c>
      <c r="AH76" s="7" t="n">
        <f aca="false">(N76*'Prices&amp;Fuel'!B76+'Prices&amp;Fuel'!C76*O76+P76*'Prices&amp;Fuel'!D76)*'Prices&amp;Fuel'!H76+(N76+O76+P76)*'Prices&amp;Fuel'!H76*FPL!T76+Q76/2</f>
        <v>6260353.40878149</v>
      </c>
      <c r="AI76" s="7" t="n">
        <f aca="false">R76*'Prices&amp;Fuel'!H76*'Prices&amp;Fuel'!Q76</f>
        <v>0</v>
      </c>
      <c r="AJ76" s="55" t="n">
        <f aca="false">SUM(AG76:AI76)-'Long Term Deals'!AZ76</f>
        <v>0</v>
      </c>
    </row>
    <row r="77" customFormat="false" ht="11.25" hidden="false" customHeight="false" outlineLevel="0" collapsed="false">
      <c r="A77" s="6" t="n">
        <f aca="false">+A76+365/12</f>
        <v>37939</v>
      </c>
      <c r="B77" s="7" t="n">
        <f aca="false">'Long Term Deals'!AF77</f>
        <v>58611.8251928021</v>
      </c>
      <c r="C77" s="7" t="n">
        <f aca="false">'Long Term Deals'!AG77</f>
        <v>0</v>
      </c>
      <c r="D77" s="7" t="n">
        <f aca="false">'Long Term Deals'!AH77</f>
        <v>77120.822622108</v>
      </c>
      <c r="E77" s="7" t="n">
        <f aca="false">'Long Term Deals'!AI77</f>
        <v>0</v>
      </c>
      <c r="F77" s="7" t="n">
        <f aca="false">'Long Term Deals'!AJ77</f>
        <v>0</v>
      </c>
      <c r="G77" s="7" t="n">
        <f aca="false">'Long Term Deals'!AK77</f>
        <v>0</v>
      </c>
      <c r="H77" s="7" t="n">
        <f aca="false">'Long Term Deals'!AL77</f>
        <v>0</v>
      </c>
      <c r="I77" s="7" t="n">
        <f aca="false">'Long Term Deals'!AM77</f>
        <v>0</v>
      </c>
      <c r="J77" s="7" t="n">
        <f aca="false">'Long Term Deals'!AN77</f>
        <v>0</v>
      </c>
      <c r="K77" s="7" t="n">
        <f aca="false">'Long Term Deals'!AO77</f>
        <v>38560</v>
      </c>
      <c r="L77" s="7" t="n">
        <f aca="false">'Long Term Deals'!AP77</f>
        <v>58611.8251928021</v>
      </c>
      <c r="M77" s="7" t="n">
        <f aca="false">'Long Term Deals'!AQ77</f>
        <v>0</v>
      </c>
      <c r="N77" s="7" t="n">
        <f aca="false">'Long Term Deals'!AR77</f>
        <v>0</v>
      </c>
      <c r="O77" s="7" t="n">
        <f aca="false">'Long Term Deals'!AS77</f>
        <v>0</v>
      </c>
      <c r="P77" s="7" t="n">
        <f aca="false">'Long Term Deals'!AT77</f>
        <v>38560.822622108</v>
      </c>
      <c r="Q77" s="7" t="n">
        <f aca="false">'Long Term Deals'!AU77</f>
        <v>0</v>
      </c>
      <c r="R77" s="7" t="n">
        <f aca="false">'Long Term Deals'!AV77</f>
        <v>0</v>
      </c>
      <c r="S77" s="68" t="n">
        <f aca="false">'Long Term Deals'!AW77</f>
        <v>0.08</v>
      </c>
      <c r="T77" s="68" t="n">
        <f aca="false">'Long Term Deals'!AX77</f>
        <v>0.025</v>
      </c>
      <c r="U77" s="7" t="n">
        <f aca="false">'Long Term Deals'!AY77</f>
        <v>14532450.3856041</v>
      </c>
      <c r="V77" s="7" t="n">
        <f aca="false">'Long Term Deals'!AZ77</f>
        <v>14148851.4138818</v>
      </c>
      <c r="W77" s="5" t="n">
        <f aca="false">U77-V77</f>
        <v>383598.971722364</v>
      </c>
      <c r="X77" s="5" t="n">
        <f aca="false">'Long Term Deals'!CA77</f>
        <v>20359.8971722365</v>
      </c>
      <c r="Y77" s="71" t="n">
        <f aca="false">[4]Sheet1!$AL118</f>
        <v>737968.202940993</v>
      </c>
      <c r="Z77" s="7" t="n">
        <f aca="false">[2]Sheet1!$O91</f>
        <v>-54789.7497172965</v>
      </c>
      <c r="AA77" s="7" t="n">
        <f aca="false">'[3]Long Term Deals'!$Z76</f>
        <v>-33769.4157771343</v>
      </c>
      <c r="AB77" s="70" t="n">
        <f aca="false">-Z77+AA77+Y77+W77-X77</f>
        <v>1122227.61143128</v>
      </c>
      <c r="AC77" s="70" t="n">
        <f aca="false">AB77-Y77</f>
        <v>384259.40849029</v>
      </c>
      <c r="AD77" s="70" t="n">
        <f aca="false">AC77+Z77-AA77+X77</f>
        <v>383598.971722364</v>
      </c>
      <c r="AE77" s="13" t="n">
        <f aca="false">(W77-Z77+AA77)/(B77+C77+D77)/'Prices&amp;Fuel'!H77</f>
        <v>0.0993667360496988</v>
      </c>
      <c r="AF77" s="1" t="n">
        <v>132000</v>
      </c>
      <c r="AG77" s="7" t="n">
        <f aca="false">((((I77*'Prices&amp;Fuel'!B77+'Prices&amp;Fuel'!C77*FPL!J77+FPL!K77*'Prices&amp;Fuel'!D77))+(L77*'Prices&amp;Fuel'!B77+'Prices&amp;Fuel'!C77*FPL!M77))*'Prices&amp;Fuel'!H77)+(I77+J77+K77)*'Prices&amp;Fuel'!H77*FPL!T77+Q77/2</f>
        <v>10111764.6502828</v>
      </c>
      <c r="AH77" s="7" t="n">
        <f aca="false">(N77*'Prices&amp;Fuel'!B77+'Prices&amp;Fuel'!C77*O77+P77*'Prices&amp;Fuel'!D77)*'Prices&amp;Fuel'!H77+(N77+O77+P77)*'Prices&amp;Fuel'!H77*FPL!T77+Q77/2</f>
        <v>4037086.76359897</v>
      </c>
      <c r="AI77" s="7" t="n">
        <f aca="false">R77*'Prices&amp;Fuel'!H77*'Prices&amp;Fuel'!Q77</f>
        <v>0</v>
      </c>
      <c r="AJ77" s="55" t="n">
        <f aca="false">SUM(AG77:AI77)-'Long Term Deals'!AZ77</f>
        <v>0</v>
      </c>
    </row>
    <row r="78" customFormat="false" ht="11.25" hidden="false" customHeight="false" outlineLevel="0" collapsed="false">
      <c r="A78" s="6" t="n">
        <f aca="false">+A77+365/12</f>
        <v>37969.4166666667</v>
      </c>
      <c r="B78" s="7" t="n">
        <f aca="false">'Long Term Deals'!AF78</f>
        <v>58611.8251928021</v>
      </c>
      <c r="C78" s="7" t="n">
        <f aca="false">'Long Term Deals'!AG78</f>
        <v>0</v>
      </c>
      <c r="D78" s="7" t="n">
        <f aca="false">'Long Term Deals'!AH78</f>
        <v>77120.822622108</v>
      </c>
      <c r="E78" s="7" t="n">
        <f aca="false">'Long Term Deals'!AI78</f>
        <v>0</v>
      </c>
      <c r="F78" s="7" t="n">
        <f aca="false">'Long Term Deals'!AJ78</f>
        <v>0</v>
      </c>
      <c r="G78" s="7" t="n">
        <f aca="false">'Long Term Deals'!AK78</f>
        <v>0</v>
      </c>
      <c r="H78" s="7" t="n">
        <f aca="false">'Long Term Deals'!AL78</f>
        <v>0</v>
      </c>
      <c r="I78" s="7" t="n">
        <f aca="false">'Long Term Deals'!AM78</f>
        <v>0</v>
      </c>
      <c r="J78" s="7" t="n">
        <f aca="false">'Long Term Deals'!AN78</f>
        <v>0</v>
      </c>
      <c r="K78" s="7" t="n">
        <f aca="false">'Long Term Deals'!AO78</f>
        <v>38560</v>
      </c>
      <c r="L78" s="7" t="n">
        <f aca="false">'Long Term Deals'!AP78</f>
        <v>58611.8251928021</v>
      </c>
      <c r="M78" s="7" t="n">
        <f aca="false">'Long Term Deals'!AQ78</f>
        <v>0</v>
      </c>
      <c r="N78" s="7" t="n">
        <f aca="false">'Long Term Deals'!AR78</f>
        <v>0</v>
      </c>
      <c r="O78" s="7" t="n">
        <f aca="false">'Long Term Deals'!AS78</f>
        <v>0</v>
      </c>
      <c r="P78" s="7" t="n">
        <f aca="false">'Long Term Deals'!AT78</f>
        <v>38560.822622108</v>
      </c>
      <c r="Q78" s="7" t="n">
        <f aca="false">'Long Term Deals'!AU78</f>
        <v>0</v>
      </c>
      <c r="R78" s="7" t="n">
        <f aca="false">'Long Term Deals'!AV78</f>
        <v>0</v>
      </c>
      <c r="S78" s="68" t="n">
        <f aca="false">'Long Term Deals'!AW78</f>
        <v>0.08</v>
      </c>
      <c r="T78" s="68" t="n">
        <f aca="false">'Long Term Deals'!AX78</f>
        <v>0.025</v>
      </c>
      <c r="U78" s="7" t="n">
        <f aca="false">'Long Term Deals'!AY78</f>
        <v>11277050.8997429</v>
      </c>
      <c r="V78" s="7" t="n">
        <f aca="false">'Long Term Deals'!AZ78</f>
        <v>10880665.2956298</v>
      </c>
      <c r="W78" s="5" t="n">
        <f aca="false">U78-V78</f>
        <v>396385.604113111</v>
      </c>
      <c r="X78" s="5" t="n">
        <f aca="false">'Long Term Deals'!CA78</f>
        <v>21038.5604113111</v>
      </c>
      <c r="Y78" s="71" t="n">
        <f aca="false">[4]Sheet1!$AL119</f>
        <v>762567.143039026</v>
      </c>
      <c r="Z78" s="7" t="n">
        <f aca="false">[2]Sheet1!$O92</f>
        <v>-56616.0747078731</v>
      </c>
      <c r="AA78" s="7" t="n">
        <f aca="false">'[3]Long Term Deals'!$Z77</f>
        <v>-34895.0629697055</v>
      </c>
      <c r="AB78" s="70" t="n">
        <f aca="false">-Z78+AA78+Y78+W78-X78</f>
        <v>1159635.19847899</v>
      </c>
      <c r="AC78" s="70" t="n">
        <f aca="false">AB78-Y78</f>
        <v>397068.055439968</v>
      </c>
      <c r="AD78" s="70" t="n">
        <f aca="false">AC78+Z78-AA78+X78</f>
        <v>396385.604113111</v>
      </c>
      <c r="AE78" s="13" t="n">
        <f aca="false">(W78-Z78+AA78)/(B78+C78+D78)/'Prices&amp;Fuel'!H78</f>
        <v>0.0993667360496991</v>
      </c>
      <c r="AF78" s="1" t="n">
        <v>132000</v>
      </c>
      <c r="AG78" s="7" t="n">
        <f aca="false">((((I78*'Prices&amp;Fuel'!B78+'Prices&amp;Fuel'!C78*FPL!J78+FPL!K78*'Prices&amp;Fuel'!D78))+(L78*'Prices&amp;Fuel'!B78+'Prices&amp;Fuel'!C78*FPL!M78))*'Prices&amp;Fuel'!H78)+(I78+J78+K78)*'Prices&amp;Fuel'!H78*FPL!T78+Q78/2</f>
        <v>7771467.60678664</v>
      </c>
      <c r="AH78" s="7" t="n">
        <f aca="false">(N78*'Prices&amp;Fuel'!B78+'Prices&amp;Fuel'!C78*O78+P78*'Prices&amp;Fuel'!D78)*'Prices&amp;Fuel'!H78+(N78+O78+P78)*'Prices&amp;Fuel'!H78*FPL!T78+Q78/2</f>
        <v>3109197.68884319</v>
      </c>
      <c r="AI78" s="7" t="n">
        <f aca="false">R78*'Prices&amp;Fuel'!H78*'Prices&amp;Fuel'!Q78</f>
        <v>0</v>
      </c>
      <c r="AJ78" s="55" t="n">
        <f aca="false">SUM(AG78:AI78)-'Long Term Deals'!AZ78</f>
        <v>0</v>
      </c>
    </row>
    <row r="79" customFormat="false" ht="11.25" hidden="false" customHeight="false" outlineLevel="0" collapsed="false">
      <c r="A79" s="6" t="n">
        <f aca="false">+A78+365/12</f>
        <v>37999.8333333333</v>
      </c>
      <c r="B79" s="7" t="n">
        <f aca="false">'Long Term Deals'!AF79</f>
        <v>58611.8251928021</v>
      </c>
      <c r="C79" s="7" t="n">
        <f aca="false">'Long Term Deals'!AG79</f>
        <v>0</v>
      </c>
      <c r="D79" s="7" t="n">
        <f aca="false">'Long Term Deals'!AH79</f>
        <v>77120.822622108</v>
      </c>
      <c r="E79" s="7" t="n">
        <f aca="false">'Long Term Deals'!AI79</f>
        <v>0</v>
      </c>
      <c r="F79" s="7" t="n">
        <f aca="false">'Long Term Deals'!AJ79</f>
        <v>0</v>
      </c>
      <c r="G79" s="7" t="n">
        <f aca="false">'Long Term Deals'!AK79</f>
        <v>0</v>
      </c>
      <c r="H79" s="7" t="n">
        <f aca="false">'Long Term Deals'!AL79</f>
        <v>0</v>
      </c>
      <c r="I79" s="7" t="n">
        <f aca="false">'Long Term Deals'!AM79</f>
        <v>0</v>
      </c>
      <c r="J79" s="7" t="n">
        <f aca="false">'Long Term Deals'!AN79</f>
        <v>0</v>
      </c>
      <c r="K79" s="7" t="n">
        <f aca="false">'Long Term Deals'!AO79</f>
        <v>38560</v>
      </c>
      <c r="L79" s="7" t="n">
        <f aca="false">'Long Term Deals'!AP79</f>
        <v>58611.8251928021</v>
      </c>
      <c r="M79" s="7" t="n">
        <f aca="false">'Long Term Deals'!AQ79</f>
        <v>0</v>
      </c>
      <c r="N79" s="7" t="n">
        <f aca="false">'Long Term Deals'!AR79</f>
        <v>0</v>
      </c>
      <c r="O79" s="7" t="n">
        <f aca="false">'Long Term Deals'!AS79</f>
        <v>0</v>
      </c>
      <c r="P79" s="7" t="n">
        <f aca="false">'Long Term Deals'!AT79</f>
        <v>38560.822622108</v>
      </c>
      <c r="Q79" s="7" t="n">
        <f aca="false">'Long Term Deals'!AU79</f>
        <v>0</v>
      </c>
      <c r="R79" s="7" t="n">
        <f aca="false">'Long Term Deals'!AV79</f>
        <v>0</v>
      </c>
      <c r="S79" s="68" t="n">
        <f aca="false">'Long Term Deals'!AW79</f>
        <v>0.07</v>
      </c>
      <c r="T79" s="68" t="n">
        <f aca="false">'Long Term Deals'!AX79</f>
        <v>0.025</v>
      </c>
      <c r="U79" s="7" t="n">
        <f aca="false">'Long Term Deals'!AY79</f>
        <v>9929013.55681234</v>
      </c>
      <c r="V79" s="7" t="n">
        <f aca="false">'Long Term Deals'!AZ79</f>
        <v>9574705.07352185</v>
      </c>
      <c r="W79" s="5" t="n">
        <f aca="false">U79-V79</f>
        <v>354308.483290488</v>
      </c>
      <c r="X79" s="5" t="n">
        <f aca="false">'Long Term Deals'!CA79</f>
        <v>21038.5604113111</v>
      </c>
      <c r="Y79" s="71" t="n">
        <f aca="false">[4]Sheet1!$AL120</f>
        <v>762567.143039026</v>
      </c>
      <c r="Z79" s="7" t="n">
        <f aca="false">[2]Sheet1!$O94</f>
        <v>-98823.3980704311</v>
      </c>
      <c r="AA79" s="7" t="n">
        <f aca="false">'[3]Long Term Deals'!$Z78</f>
        <v>-34895.0629697055</v>
      </c>
      <c r="AB79" s="70" t="n">
        <f aca="false">-Z79+AA79+Y79+W79-X79</f>
        <v>1159765.40101893</v>
      </c>
      <c r="AC79" s="70" t="n">
        <f aca="false">AB79-Y79</f>
        <v>397198.257979903</v>
      </c>
      <c r="AD79" s="70" t="n">
        <f aca="false">AC79+Z79-AA79+X79</f>
        <v>354308.483290488</v>
      </c>
      <c r="AE79" s="13" t="n">
        <f aca="false">(W79-Z79+AA79)/(B79+C79+D79)/'Prices&amp;Fuel'!H79</f>
        <v>0.0993976798351552</v>
      </c>
      <c r="AF79" s="1" t="n">
        <v>132000</v>
      </c>
      <c r="AG79" s="7" t="n">
        <f aca="false">((((I79*'Prices&amp;Fuel'!B79+'Prices&amp;Fuel'!C79*FPL!J79+FPL!K79*'Prices&amp;Fuel'!D79))+(L79*'Prices&amp;Fuel'!B79+'Prices&amp;Fuel'!C79*FPL!M79))*'Prices&amp;Fuel'!H79)+(I79+J79+K79)*'Prices&amp;Fuel'!H79*FPL!T79+Q79/2</f>
        <v>6836522.7688691</v>
      </c>
      <c r="AH79" s="7" t="n">
        <f aca="false">(N79*'Prices&amp;Fuel'!B79+'Prices&amp;Fuel'!C79*O79+P79*'Prices&amp;Fuel'!D79)*'Prices&amp;Fuel'!H79+(N79+O79+P79)*'Prices&amp;Fuel'!H79*FPL!T79+Q79/2</f>
        <v>2738182.30465275</v>
      </c>
      <c r="AI79" s="7" t="n">
        <f aca="false">R79*'Prices&amp;Fuel'!H79*'Prices&amp;Fuel'!Q79</f>
        <v>0</v>
      </c>
      <c r="AJ79" s="55" t="n">
        <f aca="false">SUM(AG79:AI79)-'Long Term Deals'!AZ79</f>
        <v>0</v>
      </c>
    </row>
    <row r="80" customFormat="false" ht="11.25" hidden="false" customHeight="false" outlineLevel="0" collapsed="false">
      <c r="A80" s="6" t="n">
        <f aca="false">+A79+365/12</f>
        <v>38030.25</v>
      </c>
      <c r="B80" s="7" t="n">
        <f aca="false">'Long Term Deals'!AF80</f>
        <v>58611.8251928021</v>
      </c>
      <c r="C80" s="7" t="n">
        <f aca="false">'Long Term Deals'!AG80</f>
        <v>0</v>
      </c>
      <c r="D80" s="7" t="n">
        <f aca="false">'Long Term Deals'!AH80</f>
        <v>77120.822622108</v>
      </c>
      <c r="E80" s="7" t="n">
        <f aca="false">'Long Term Deals'!AI80</f>
        <v>0</v>
      </c>
      <c r="F80" s="7" t="n">
        <f aca="false">'Long Term Deals'!AJ80</f>
        <v>0</v>
      </c>
      <c r="G80" s="7" t="n">
        <f aca="false">'Long Term Deals'!AK80</f>
        <v>0</v>
      </c>
      <c r="H80" s="7" t="n">
        <f aca="false">'Long Term Deals'!AL80</f>
        <v>0</v>
      </c>
      <c r="I80" s="7" t="n">
        <f aca="false">'Long Term Deals'!AM80</f>
        <v>0</v>
      </c>
      <c r="J80" s="7" t="n">
        <f aca="false">'Long Term Deals'!AN80</f>
        <v>0</v>
      </c>
      <c r="K80" s="7" t="n">
        <f aca="false">'Long Term Deals'!AO80</f>
        <v>38560</v>
      </c>
      <c r="L80" s="7" t="n">
        <f aca="false">'Long Term Deals'!AP80</f>
        <v>58611.8251928021</v>
      </c>
      <c r="M80" s="7" t="n">
        <f aca="false">'Long Term Deals'!AQ80</f>
        <v>0</v>
      </c>
      <c r="N80" s="7" t="n">
        <f aca="false">'Long Term Deals'!AR80</f>
        <v>0</v>
      </c>
      <c r="O80" s="7" t="n">
        <f aca="false">'Long Term Deals'!AS80</f>
        <v>0</v>
      </c>
      <c r="P80" s="7" t="n">
        <f aca="false">'Long Term Deals'!AT80</f>
        <v>38560.822622108</v>
      </c>
      <c r="Q80" s="7" t="n">
        <f aca="false">'Long Term Deals'!AU80</f>
        <v>0</v>
      </c>
      <c r="R80" s="7" t="n">
        <f aca="false">'Long Term Deals'!AV80</f>
        <v>0</v>
      </c>
      <c r="S80" s="68" t="n">
        <f aca="false">'Long Term Deals'!AW80</f>
        <v>0.07</v>
      </c>
      <c r="T80" s="68" t="n">
        <f aca="false">'Long Term Deals'!AX80</f>
        <v>0.025</v>
      </c>
      <c r="U80" s="7" t="n">
        <f aca="false">'Long Term Deals'!AY80</f>
        <v>10372580.6807198</v>
      </c>
      <c r="V80" s="7" t="n">
        <f aca="false">'Long Term Deals'!AZ80</f>
        <v>10041130.8092545</v>
      </c>
      <c r="W80" s="5" t="n">
        <f aca="false">U80-V80</f>
        <v>331449.871465294</v>
      </c>
      <c r="X80" s="5" t="n">
        <f aca="false">'Long Term Deals'!CA80</f>
        <v>19681.233933162</v>
      </c>
      <c r="Y80" s="71" t="n">
        <f aca="false">[4]Sheet1!$AL121</f>
        <v>713369.26284296</v>
      </c>
      <c r="Z80" s="7" t="n">
        <f aca="false">[2]Sheet1!$O95</f>
        <v>-92447.6949691129</v>
      </c>
      <c r="AA80" s="7" t="n">
        <f aca="false">'[3]Long Term Deals'!$Z79</f>
        <v>-32643.7685845632</v>
      </c>
      <c r="AB80" s="70" t="n">
        <f aca="false">-Z80+AA80+Y80+W80-X80</f>
        <v>1084941.82675964</v>
      </c>
      <c r="AC80" s="70" t="n">
        <f aca="false">AB80-Y80</f>
        <v>371572.563916681</v>
      </c>
      <c r="AD80" s="70" t="n">
        <f aca="false">AC80+Z80-AA80+X80</f>
        <v>331449.871465294</v>
      </c>
      <c r="AE80" s="13" t="n">
        <f aca="false">(W80-Z80+AA80)/(B80+C80+D80)/'Prices&amp;Fuel'!H80</f>
        <v>0.0993976798351548</v>
      </c>
      <c r="AF80" s="1" t="n">
        <v>132000</v>
      </c>
      <c r="AG80" s="7" t="n">
        <f aca="false">((((I80*'Prices&amp;Fuel'!B80+'Prices&amp;Fuel'!C80*FPL!J80+FPL!K80*'Prices&amp;Fuel'!D80))+(L80*'Prices&amp;Fuel'!B80+'Prices&amp;Fuel'!C80*FPL!M80))*'Prices&amp;Fuel'!H80)+(I80+J80+K80)*'Prices&amp;Fuel'!H80*FPL!T80+Q80/2</f>
        <v>7171605.36840473</v>
      </c>
      <c r="AH80" s="7" t="n">
        <f aca="false">(N80*'Prices&amp;Fuel'!B80+'Prices&amp;Fuel'!C80*O80+P80*'Prices&amp;Fuel'!D80)*'Prices&amp;Fuel'!H80+(N80+O80+P80)*'Prices&amp;Fuel'!H80*FPL!T80+Q80/2</f>
        <v>2869525.44084977</v>
      </c>
      <c r="AI80" s="7" t="n">
        <f aca="false">R80*'Prices&amp;Fuel'!H80*'Prices&amp;Fuel'!Q80</f>
        <v>0</v>
      </c>
      <c r="AJ80" s="55" t="n">
        <f aca="false">SUM(AG80:AI80)-'Long Term Deals'!AZ80</f>
        <v>0</v>
      </c>
    </row>
    <row r="81" customFormat="false" ht="11.25" hidden="false" customHeight="false" outlineLevel="0" collapsed="false">
      <c r="A81" s="6" t="n">
        <f aca="false">+A80+365/12</f>
        <v>38060.6666666667</v>
      </c>
      <c r="B81" s="7" t="n">
        <f aca="false">'Long Term Deals'!AF81</f>
        <v>58611.8251928021</v>
      </c>
      <c r="C81" s="7" t="n">
        <f aca="false">'Long Term Deals'!AG81</f>
        <v>0</v>
      </c>
      <c r="D81" s="7" t="n">
        <f aca="false">'Long Term Deals'!AH81</f>
        <v>77120.822622108</v>
      </c>
      <c r="E81" s="7" t="n">
        <f aca="false">'Long Term Deals'!AI81</f>
        <v>0</v>
      </c>
      <c r="F81" s="7" t="n">
        <f aca="false">'Long Term Deals'!AJ81</f>
        <v>0</v>
      </c>
      <c r="G81" s="7" t="n">
        <f aca="false">'Long Term Deals'!AK81</f>
        <v>0</v>
      </c>
      <c r="H81" s="7" t="n">
        <f aca="false">'Long Term Deals'!AL81</f>
        <v>0</v>
      </c>
      <c r="I81" s="7" t="n">
        <f aca="false">'Long Term Deals'!AM81</f>
        <v>0</v>
      </c>
      <c r="J81" s="7" t="n">
        <f aca="false">'Long Term Deals'!AN81</f>
        <v>0</v>
      </c>
      <c r="K81" s="7" t="n">
        <f aca="false">'Long Term Deals'!AO81</f>
        <v>38560</v>
      </c>
      <c r="L81" s="7" t="n">
        <f aca="false">'Long Term Deals'!AP81</f>
        <v>58611.8251928021</v>
      </c>
      <c r="M81" s="7" t="n">
        <f aca="false">'Long Term Deals'!AQ81</f>
        <v>0</v>
      </c>
      <c r="N81" s="7" t="n">
        <f aca="false">'Long Term Deals'!AR81</f>
        <v>0</v>
      </c>
      <c r="O81" s="7" t="n">
        <f aca="false">'Long Term Deals'!AS81</f>
        <v>0</v>
      </c>
      <c r="P81" s="7" t="n">
        <f aca="false">'Long Term Deals'!AT81</f>
        <v>38560.822622108</v>
      </c>
      <c r="Q81" s="7" t="n">
        <f aca="false">'Long Term Deals'!AU81</f>
        <v>0</v>
      </c>
      <c r="R81" s="7" t="n">
        <f aca="false">'Long Term Deals'!AV81</f>
        <v>0</v>
      </c>
      <c r="S81" s="68" t="n">
        <f aca="false">'Long Term Deals'!AW81</f>
        <v>0.07</v>
      </c>
      <c r="T81" s="68" t="n">
        <f aca="false">'Long Term Deals'!AX81</f>
        <v>0.025</v>
      </c>
      <c r="U81" s="7" t="n">
        <f aca="false">'Long Term Deals'!AY81</f>
        <v>11087931.0724936</v>
      </c>
      <c r="V81" s="7" t="n">
        <f aca="false">'Long Term Deals'!AZ81</f>
        <v>10733622.5892031</v>
      </c>
      <c r="W81" s="5" t="n">
        <f aca="false">U81-V81</f>
        <v>354308.483290486</v>
      </c>
      <c r="X81" s="5" t="n">
        <f aca="false">'Long Term Deals'!CA81</f>
        <v>21038.5604113111</v>
      </c>
      <c r="Y81" s="71" t="n">
        <f aca="false">[4]Sheet1!$AL122</f>
        <v>762567.143039026</v>
      </c>
      <c r="Z81" s="7" t="n">
        <f aca="false">[2]Sheet1!$O96</f>
        <v>-98823.3980704311</v>
      </c>
      <c r="AA81" s="7" t="n">
        <f aca="false">'[3]Long Term Deals'!$Z80</f>
        <v>-34895.0629697055</v>
      </c>
      <c r="AB81" s="70" t="n">
        <f aca="false">-Z81+AA81+Y81+W81-X81</f>
        <v>1159765.40101893</v>
      </c>
      <c r="AC81" s="70" t="n">
        <f aca="false">AB81-Y81</f>
        <v>397198.257979901</v>
      </c>
      <c r="AD81" s="70" t="n">
        <f aca="false">AC81+Z81-AA81+X81</f>
        <v>354308.483290486</v>
      </c>
      <c r="AE81" s="13" t="n">
        <f aca="false">(W81-Z81+AA81)/(B81+C81+D81)/'Prices&amp;Fuel'!H81</f>
        <v>0.0993976798351548</v>
      </c>
      <c r="AF81" s="1" t="n">
        <v>132000</v>
      </c>
      <c r="AG81" s="7" t="n">
        <f aca="false">((((I81*'Prices&amp;Fuel'!B81+'Prices&amp;Fuel'!C81*FPL!J81+FPL!K81*'Prices&amp;Fuel'!D81))+(L81*'Prices&amp;Fuel'!B81+'Prices&amp;Fuel'!C81*FPL!M81))*'Prices&amp;Fuel'!H81)+(I81+J81+K81)*'Prices&amp;Fuel'!H81*FPL!T81+Q81/2</f>
        <v>7666198.84208782</v>
      </c>
      <c r="AH81" s="7" t="n">
        <f aca="false">(N81*'Prices&amp;Fuel'!B81+'Prices&amp;Fuel'!C81*O81+P81*'Prices&amp;Fuel'!D81)*'Prices&amp;Fuel'!H81+(N81+O81+P81)*'Prices&amp;Fuel'!H81*FPL!T81+Q81/2</f>
        <v>3067423.74711527</v>
      </c>
      <c r="AI81" s="7" t="n">
        <f aca="false">R81*'Prices&amp;Fuel'!H81*'Prices&amp;Fuel'!Q81</f>
        <v>0</v>
      </c>
      <c r="AJ81" s="55" t="n">
        <f aca="false">SUM(AG81:AI81)-'Long Term Deals'!AZ81</f>
        <v>0</v>
      </c>
    </row>
    <row r="82" customFormat="false" ht="11.25" hidden="false" customHeight="false" outlineLevel="0" collapsed="false">
      <c r="A82" s="6" t="n">
        <f aca="false">+A81+365/12</f>
        <v>38091.0833333333</v>
      </c>
      <c r="B82" s="7" t="n">
        <f aca="false">'Long Term Deals'!AF82</f>
        <v>58611.8251928021</v>
      </c>
      <c r="C82" s="7" t="n">
        <f aca="false">'Long Term Deals'!AG82</f>
        <v>0</v>
      </c>
      <c r="D82" s="7" t="n">
        <f aca="false">'Long Term Deals'!AH82</f>
        <v>77120.822622108</v>
      </c>
      <c r="E82" s="7" t="n">
        <f aca="false">'Long Term Deals'!AI82</f>
        <v>0</v>
      </c>
      <c r="F82" s="7" t="n">
        <f aca="false">'Long Term Deals'!AJ82</f>
        <v>0</v>
      </c>
      <c r="G82" s="7" t="n">
        <f aca="false">'Long Term Deals'!AK82</f>
        <v>0</v>
      </c>
      <c r="H82" s="7" t="n">
        <f aca="false">'Long Term Deals'!AL82</f>
        <v>0</v>
      </c>
      <c r="I82" s="7" t="n">
        <f aca="false">'Long Term Deals'!AM82</f>
        <v>0</v>
      </c>
      <c r="J82" s="7" t="n">
        <f aca="false">'Long Term Deals'!AN82</f>
        <v>0</v>
      </c>
      <c r="K82" s="7" t="n">
        <f aca="false">'Long Term Deals'!AO82</f>
        <v>38560</v>
      </c>
      <c r="L82" s="7" t="n">
        <f aca="false">'Long Term Deals'!AP82</f>
        <v>58611.8251928021</v>
      </c>
      <c r="M82" s="7" t="n">
        <f aca="false">'Long Term Deals'!AQ82</f>
        <v>0</v>
      </c>
      <c r="N82" s="7" t="n">
        <f aca="false">'Long Term Deals'!AR82</f>
        <v>0</v>
      </c>
      <c r="O82" s="7" t="n">
        <f aca="false">'Long Term Deals'!AS82</f>
        <v>0</v>
      </c>
      <c r="P82" s="7" t="n">
        <f aca="false">'Long Term Deals'!AT82</f>
        <v>38560.822622108</v>
      </c>
      <c r="Q82" s="7" t="n">
        <f aca="false">'Long Term Deals'!AU82</f>
        <v>0</v>
      </c>
      <c r="R82" s="7" t="n">
        <f aca="false">'Long Term Deals'!AV82</f>
        <v>0</v>
      </c>
      <c r="S82" s="68" t="n">
        <f aca="false">'Long Term Deals'!AW82</f>
        <v>0.07</v>
      </c>
      <c r="T82" s="68" t="n">
        <f aca="false">'Long Term Deals'!AX82</f>
        <v>0.025</v>
      </c>
      <c r="U82" s="7" t="n">
        <f aca="false">'Long Term Deals'!AY82</f>
        <v>11851788.9562982</v>
      </c>
      <c r="V82" s="7" t="n">
        <f aca="false">'Long Term Deals'!AZ82</f>
        <v>11508909.7789203</v>
      </c>
      <c r="W82" s="5" t="n">
        <f aca="false">U82-V82</f>
        <v>342879.177377891</v>
      </c>
      <c r="X82" s="5" t="n">
        <f aca="false">'Long Term Deals'!CA82</f>
        <v>20359.8971722365</v>
      </c>
      <c r="Y82" s="71" t="n">
        <f aca="false">[4]Sheet1!$AL123</f>
        <v>737968.202940993</v>
      </c>
      <c r="Z82" s="7" t="n">
        <f aca="false">[2]Sheet1!$O97</f>
        <v>-95635.546519772</v>
      </c>
      <c r="AA82" s="7" t="n">
        <f aca="false">'[3]Long Term Deals'!$Z81</f>
        <v>-33769.4157771343</v>
      </c>
      <c r="AB82" s="70" t="n">
        <f aca="false">-Z82+AA82+Y82+W82-X82</f>
        <v>1122353.61388929</v>
      </c>
      <c r="AC82" s="70" t="n">
        <f aca="false">AB82-Y82</f>
        <v>384385.410948292</v>
      </c>
      <c r="AD82" s="70" t="n">
        <f aca="false">AC82+Z82-AA82+X82</f>
        <v>342879.177377891</v>
      </c>
      <c r="AE82" s="13" t="n">
        <f aca="false">(W82-Z82+AA82)/(B82+C82+D82)/'Prices&amp;Fuel'!H82</f>
        <v>0.099397679835155</v>
      </c>
      <c r="AF82" s="1" t="n">
        <v>132000</v>
      </c>
      <c r="AG82" s="7" t="n">
        <f aca="false">((((I82*'Prices&amp;Fuel'!B82+'Prices&amp;Fuel'!C82*FPL!J82+FPL!K82*'Prices&amp;Fuel'!D82))+(L82*'Prices&amp;Fuel'!B82+'Prices&amp;Fuel'!C82*FPL!M82))*'Prices&amp;Fuel'!H82)+(I82+J82+K82)*'Prices&amp;Fuel'!H82*FPL!T82+Q82/2</f>
        <v>8221814.43416761</v>
      </c>
      <c r="AH82" s="7" t="n">
        <f aca="false">(N82*'Prices&amp;Fuel'!B82+'Prices&amp;Fuel'!C82*O82+P82*'Prices&amp;Fuel'!D82)*'Prices&amp;Fuel'!H82+(N82+O82+P82)*'Prices&amp;Fuel'!H82*FPL!T82+Q82/2</f>
        <v>3287095.3447527</v>
      </c>
      <c r="AI82" s="7" t="n">
        <f aca="false">R82*'Prices&amp;Fuel'!H82*'Prices&amp;Fuel'!Q82</f>
        <v>0</v>
      </c>
      <c r="AJ82" s="55" t="n">
        <f aca="false">SUM(AG82:AI82)-'Long Term Deals'!AZ82</f>
        <v>0</v>
      </c>
    </row>
    <row r="83" customFormat="false" ht="11.25" hidden="false" customHeight="false" outlineLevel="0" collapsed="false">
      <c r="A83" s="6" t="n">
        <f aca="false">+A82+365/12</f>
        <v>38121.5</v>
      </c>
      <c r="B83" s="7" t="n">
        <f aca="false">'Long Term Deals'!AF83</f>
        <v>155269.922879177</v>
      </c>
      <c r="C83" s="7" t="n">
        <f aca="false">'Long Term Deals'!AG83</f>
        <v>0</v>
      </c>
      <c r="D83" s="7" t="n">
        <f aca="false">'Long Term Deals'!AH83</f>
        <v>77120.822622108</v>
      </c>
      <c r="E83" s="7" t="n">
        <f aca="false">'Long Term Deals'!AI83</f>
        <v>0</v>
      </c>
      <c r="F83" s="7" t="n">
        <f aca="false">'Long Term Deals'!AJ83</f>
        <v>0</v>
      </c>
      <c r="G83" s="7" t="n">
        <f aca="false">'Long Term Deals'!AK83</f>
        <v>0</v>
      </c>
      <c r="H83" s="7" t="n">
        <f aca="false">'Long Term Deals'!AL83</f>
        <v>0</v>
      </c>
      <c r="I83" s="7" t="n">
        <f aca="false">'Long Term Deals'!AM83</f>
        <v>37635</v>
      </c>
      <c r="J83" s="7" t="n">
        <f aca="false">'Long Term Deals'!AN83</f>
        <v>0</v>
      </c>
      <c r="K83" s="7" t="n">
        <f aca="false">'Long Term Deals'!AO83</f>
        <v>38560</v>
      </c>
      <c r="L83" s="7" t="n">
        <f aca="false">'Long Term Deals'!AP83</f>
        <v>80000</v>
      </c>
      <c r="M83" s="7" t="n">
        <f aca="false">'Long Term Deals'!AQ83</f>
        <v>0</v>
      </c>
      <c r="N83" s="7" t="n">
        <f aca="false">'Long Term Deals'!AR83</f>
        <v>37634.9228791774</v>
      </c>
      <c r="O83" s="7" t="n">
        <f aca="false">'Long Term Deals'!AS83</f>
        <v>0</v>
      </c>
      <c r="P83" s="7" t="n">
        <f aca="false">'Long Term Deals'!AT83</f>
        <v>38560.822622108</v>
      </c>
      <c r="Q83" s="7" t="n">
        <f aca="false">'Long Term Deals'!AU83</f>
        <v>0</v>
      </c>
      <c r="R83" s="7" t="n">
        <f aca="false">'Long Term Deals'!AV83</f>
        <v>0</v>
      </c>
      <c r="S83" s="68" t="n">
        <f aca="false">'Long Term Deals'!AW83</f>
        <v>0.07</v>
      </c>
      <c r="T83" s="68" t="n">
        <f aca="false">'Long Term Deals'!AX83</f>
        <v>0.025</v>
      </c>
      <c r="U83" s="7" t="n">
        <f aca="false">'Long Term Deals'!AY83</f>
        <v>22262233.2133676</v>
      </c>
      <c r="V83" s="7" t="n">
        <f aca="false">'Long Term Deals'!AZ83</f>
        <v>21756510.8483291</v>
      </c>
      <c r="W83" s="5" t="n">
        <f aca="false">U83-V83</f>
        <v>505722.365038555</v>
      </c>
      <c r="X83" s="5" t="n">
        <f aca="false">'Long Term Deals'!CA83</f>
        <v>36020.5655526992</v>
      </c>
      <c r="Y83" s="71" t="n">
        <f aca="false">[4]Sheet1!$AL124</f>
        <v>762567.143039026</v>
      </c>
      <c r="Z83" s="7" t="n">
        <f aca="false">[2]Sheet1!$O98</f>
        <v>-169197.636090284</v>
      </c>
      <c r="AA83" s="7" t="n">
        <f aca="false">'[3]Long Term Deals'!$Z82</f>
        <v>-43972.9018835931</v>
      </c>
      <c r="AB83" s="70" t="n">
        <f aca="false">-Z83+AA83+Y83+W83-X83</f>
        <v>1357493.67673157</v>
      </c>
      <c r="AC83" s="70" t="n">
        <f aca="false">AB83-Y83</f>
        <v>594926.533692546</v>
      </c>
      <c r="AD83" s="70" t="n">
        <f aca="false">AC83+Z83-AA83+X83</f>
        <v>505722.365038555</v>
      </c>
      <c r="AE83" s="13" t="n">
        <f aca="false">(W83-Z83+AA83)/(B83+C83+D83)/'Prices&amp;Fuel'!H83</f>
        <v>0.0875815092800459</v>
      </c>
      <c r="AF83" s="1" t="n">
        <v>226000</v>
      </c>
      <c r="AG83" s="7" t="n">
        <f aca="false">((((I83*'Prices&amp;Fuel'!B83+'Prices&amp;Fuel'!C83*FPL!J83+FPL!K83*'Prices&amp;Fuel'!D83))+(L83*'Prices&amp;Fuel'!B83+'Prices&amp;Fuel'!C83*FPL!M83))*'Prices&amp;Fuel'!H83)+(I83+J83+K83)*'Prices&amp;Fuel'!H83*FPL!T83+Q83/2</f>
        <v>14598592.3385</v>
      </c>
      <c r="AH83" s="7" t="n">
        <f aca="false">(N83*'Prices&amp;Fuel'!B83+'Prices&amp;Fuel'!C83*O83+P83*'Prices&amp;Fuel'!D83)*'Prices&amp;Fuel'!H83+(N83+O83+P83)*'Prices&amp;Fuel'!H83*FPL!T83+Q83/2</f>
        <v>7157918.50982905</v>
      </c>
      <c r="AI83" s="7" t="n">
        <f aca="false">R83*'Prices&amp;Fuel'!H83*'Prices&amp;Fuel'!Q83</f>
        <v>0</v>
      </c>
      <c r="AJ83" s="55" t="n">
        <f aca="false">SUM(AG83:AI83)-'Long Term Deals'!AZ83</f>
        <v>0</v>
      </c>
    </row>
    <row r="84" customFormat="false" ht="11.25" hidden="false" customHeight="false" outlineLevel="0" collapsed="false">
      <c r="A84" s="6" t="n">
        <f aca="false">+A83+365/12</f>
        <v>38151.9166666667</v>
      </c>
      <c r="B84" s="7" t="n">
        <f aca="false">'Long Term Deals'!AF84</f>
        <v>155269.922879177</v>
      </c>
      <c r="C84" s="7" t="n">
        <f aca="false">'Long Term Deals'!AG84</f>
        <v>0</v>
      </c>
      <c r="D84" s="7" t="n">
        <f aca="false">'Long Term Deals'!AH84</f>
        <v>77120.822622108</v>
      </c>
      <c r="E84" s="7" t="n">
        <f aca="false">'Long Term Deals'!AI84</f>
        <v>0</v>
      </c>
      <c r="F84" s="7" t="n">
        <f aca="false">'Long Term Deals'!AJ84</f>
        <v>0</v>
      </c>
      <c r="G84" s="7" t="n">
        <f aca="false">'Long Term Deals'!AK84</f>
        <v>0</v>
      </c>
      <c r="H84" s="7" t="n">
        <f aca="false">'Long Term Deals'!AL84</f>
        <v>0</v>
      </c>
      <c r="I84" s="7" t="n">
        <f aca="false">'Long Term Deals'!AM84</f>
        <v>37635</v>
      </c>
      <c r="J84" s="7" t="n">
        <f aca="false">'Long Term Deals'!AN84</f>
        <v>0</v>
      </c>
      <c r="K84" s="7" t="n">
        <f aca="false">'Long Term Deals'!AO84</f>
        <v>38560</v>
      </c>
      <c r="L84" s="7" t="n">
        <f aca="false">'Long Term Deals'!AP84</f>
        <v>80000</v>
      </c>
      <c r="M84" s="7" t="n">
        <f aca="false">'Long Term Deals'!AQ84</f>
        <v>0</v>
      </c>
      <c r="N84" s="7" t="n">
        <f aca="false">'Long Term Deals'!AR84</f>
        <v>37634.9228791774</v>
      </c>
      <c r="O84" s="7" t="n">
        <f aca="false">'Long Term Deals'!AS84</f>
        <v>0</v>
      </c>
      <c r="P84" s="7" t="n">
        <f aca="false">'Long Term Deals'!AT84</f>
        <v>38560.822622108</v>
      </c>
      <c r="Q84" s="7" t="n">
        <f aca="false">'Long Term Deals'!AU84</f>
        <v>0</v>
      </c>
      <c r="R84" s="7" t="n">
        <f aca="false">'Long Term Deals'!AV84</f>
        <v>0</v>
      </c>
      <c r="S84" s="68" t="n">
        <f aca="false">'Long Term Deals'!AW84</f>
        <v>0.07</v>
      </c>
      <c r="T84" s="68" t="n">
        <f aca="false">'Long Term Deals'!AX84</f>
        <v>0.025</v>
      </c>
      <c r="U84" s="7" t="n">
        <f aca="false">'Long Term Deals'!AY84</f>
        <v>30860625.377892</v>
      </c>
      <c r="V84" s="7" t="n">
        <f aca="false">'Long Term Deals'!AZ84</f>
        <v>30371216.6375321</v>
      </c>
      <c r="W84" s="5" t="n">
        <f aca="false">U84-V84</f>
        <v>489408.740359895</v>
      </c>
      <c r="X84" s="5" t="n">
        <f aca="false">'Long Term Deals'!CA84</f>
        <v>34858.6118251928</v>
      </c>
      <c r="Y84" s="71" t="n">
        <f aca="false">[4]Sheet1!$AL125</f>
        <v>737968.202940993</v>
      </c>
      <c r="Z84" s="7" t="n">
        <f aca="false">[2]Sheet1!$O99</f>
        <v>-163739.647829307</v>
      </c>
      <c r="AA84" s="7" t="n">
        <f aca="false">'[3]Long Term Deals'!$Z83</f>
        <v>-42554.4211776707</v>
      </c>
      <c r="AB84" s="70" t="n">
        <f aca="false">-Z84+AA84+Y84+W84-X84</f>
        <v>1313703.55812733</v>
      </c>
      <c r="AC84" s="70" t="n">
        <f aca="false">AB84-Y84</f>
        <v>575735.355186338</v>
      </c>
      <c r="AD84" s="70" t="n">
        <f aca="false">AC84+Z84-AA84+X84</f>
        <v>489408.740359895</v>
      </c>
      <c r="AE84" s="13" t="n">
        <f aca="false">(W84-Z84+AA84)/(B84+C84+D84)/'Prices&amp;Fuel'!H84</f>
        <v>0.0875815092800463</v>
      </c>
      <c r="AF84" s="1" t="n">
        <v>226000</v>
      </c>
      <c r="AG84" s="7" t="n">
        <f aca="false">((((I84*'Prices&amp;Fuel'!B84+'Prices&amp;Fuel'!C84*FPL!J84+FPL!K84*'Prices&amp;Fuel'!D84))+(L84*'Prices&amp;Fuel'!B84+'Prices&amp;Fuel'!C84*FPL!M84))*'Prices&amp;Fuel'!H84)+(I84+J84+K84)*'Prices&amp;Fuel'!H84*FPL!T84+Q84/2</f>
        <v>20389516.62135</v>
      </c>
      <c r="AH84" s="7" t="n">
        <f aca="false">(N84*'Prices&amp;Fuel'!B84+'Prices&amp;Fuel'!C84*O84+P84*'Prices&amp;Fuel'!D84)*'Prices&amp;Fuel'!H84+(N84+O84+P84)*'Prices&amp;Fuel'!H84*FPL!T84+Q84/2</f>
        <v>9981700.01618213</v>
      </c>
      <c r="AI84" s="7" t="n">
        <f aca="false">R84*'Prices&amp;Fuel'!H84*'Prices&amp;Fuel'!Q84</f>
        <v>0</v>
      </c>
      <c r="AJ84" s="55" t="n">
        <f aca="false">SUM(AG84:AI84)-'Long Term Deals'!AZ84</f>
        <v>0</v>
      </c>
    </row>
    <row r="85" customFormat="false" ht="11.25" hidden="false" customHeight="false" outlineLevel="0" collapsed="false">
      <c r="A85" s="6" t="n">
        <f aca="false">+A84+365/12</f>
        <v>38182.3333333333</v>
      </c>
      <c r="B85" s="7" t="n">
        <f aca="false">'Long Term Deals'!AF85</f>
        <v>155269.922879177</v>
      </c>
      <c r="C85" s="7" t="n">
        <f aca="false">'Long Term Deals'!AG85</f>
        <v>0</v>
      </c>
      <c r="D85" s="7" t="n">
        <f aca="false">'Long Term Deals'!AH85</f>
        <v>77120.822622108</v>
      </c>
      <c r="E85" s="7" t="n">
        <f aca="false">'Long Term Deals'!AI85</f>
        <v>0</v>
      </c>
      <c r="F85" s="7" t="n">
        <f aca="false">'Long Term Deals'!AJ85</f>
        <v>0</v>
      </c>
      <c r="G85" s="7" t="n">
        <f aca="false">'Long Term Deals'!AK85</f>
        <v>0</v>
      </c>
      <c r="H85" s="7" t="n">
        <f aca="false">'Long Term Deals'!AL85</f>
        <v>0</v>
      </c>
      <c r="I85" s="7" t="n">
        <f aca="false">'Long Term Deals'!AM85</f>
        <v>37635</v>
      </c>
      <c r="J85" s="7" t="n">
        <f aca="false">'Long Term Deals'!AN85</f>
        <v>0</v>
      </c>
      <c r="K85" s="7" t="n">
        <f aca="false">'Long Term Deals'!AO85</f>
        <v>38560</v>
      </c>
      <c r="L85" s="7" t="n">
        <f aca="false">'Long Term Deals'!AP85</f>
        <v>80000</v>
      </c>
      <c r="M85" s="7" t="n">
        <f aca="false">'Long Term Deals'!AQ85</f>
        <v>0</v>
      </c>
      <c r="N85" s="7" t="n">
        <f aca="false">'Long Term Deals'!AR85</f>
        <v>37634.9228791774</v>
      </c>
      <c r="O85" s="7" t="n">
        <f aca="false">'Long Term Deals'!AS85</f>
        <v>0</v>
      </c>
      <c r="P85" s="7" t="n">
        <f aca="false">'Long Term Deals'!AT85</f>
        <v>38560.822622108</v>
      </c>
      <c r="Q85" s="7" t="n">
        <f aca="false">'Long Term Deals'!AU85</f>
        <v>0</v>
      </c>
      <c r="R85" s="7" t="n">
        <f aca="false">'Long Term Deals'!AV85</f>
        <v>0</v>
      </c>
      <c r="S85" s="68" t="n">
        <f aca="false">'Long Term Deals'!AW85</f>
        <v>0.07</v>
      </c>
      <c r="T85" s="68" t="n">
        <f aca="false">'Long Term Deals'!AX85</f>
        <v>0.025</v>
      </c>
      <c r="U85" s="7" t="n">
        <f aca="false">'Long Term Deals'!AY85</f>
        <v>31815823.7326478</v>
      </c>
      <c r="V85" s="7" t="n">
        <f aca="false">'Long Term Deals'!AZ85</f>
        <v>31310101.3676093</v>
      </c>
      <c r="W85" s="5" t="n">
        <f aca="false">U85-V85</f>
        <v>505722.365038559</v>
      </c>
      <c r="X85" s="5" t="n">
        <f aca="false">'Long Term Deals'!CA85</f>
        <v>36020.5655526992</v>
      </c>
      <c r="Y85" s="71" t="n">
        <f aca="false">[4]Sheet1!$AL126</f>
        <v>762567.143039026</v>
      </c>
      <c r="Z85" s="7" t="n">
        <f aca="false">[2]Sheet1!$O100</f>
        <v>-169197.636090284</v>
      </c>
      <c r="AA85" s="7" t="n">
        <f aca="false">'[3]Long Term Deals'!$Z84</f>
        <v>-43972.9018835931</v>
      </c>
      <c r="AB85" s="70" t="n">
        <f aca="false">-Z85+AA85+Y85+W85-X85</f>
        <v>1357493.67673158</v>
      </c>
      <c r="AC85" s="70" t="n">
        <f aca="false">AB85-Y85</f>
        <v>594926.53369255</v>
      </c>
      <c r="AD85" s="70" t="n">
        <f aca="false">AC85+Z85-AA85+X85</f>
        <v>505722.365038559</v>
      </c>
      <c r="AE85" s="13" t="n">
        <f aca="false">(W85-Z85+AA85)/(B85+C85+D85)/'Prices&amp;Fuel'!H85</f>
        <v>0.0875815092800464</v>
      </c>
      <c r="AF85" s="1" t="n">
        <v>226000</v>
      </c>
      <c r="AG85" s="7" t="n">
        <f aca="false">((((I85*'Prices&amp;Fuel'!B85+'Prices&amp;Fuel'!C85*FPL!J85+FPL!K85*'Prices&amp;Fuel'!D85))+(L85*'Prices&amp;Fuel'!B85+'Prices&amp;Fuel'!C85*FPL!M85))*'Prices&amp;Fuel'!H85)+(I85+J85+K85)*'Prices&amp;Fuel'!H85*FPL!T85+Q85/2</f>
        <v>21019773.47435</v>
      </c>
      <c r="AH85" s="7" t="n">
        <f aca="false">(N85*'Prices&amp;Fuel'!B85+'Prices&amp;Fuel'!C85*O85+P85*'Prices&amp;Fuel'!D85)*'Prices&amp;Fuel'!H85+(N85+O85+P85)*'Prices&amp;Fuel'!H85*FPL!T85+Q85/2</f>
        <v>10290327.8932593</v>
      </c>
      <c r="AI85" s="7" t="n">
        <f aca="false">R85*'Prices&amp;Fuel'!H85*'Prices&amp;Fuel'!Q85</f>
        <v>0</v>
      </c>
      <c r="AJ85" s="55" t="n">
        <f aca="false">SUM(AG85:AI85)-'Long Term Deals'!AZ85</f>
        <v>0</v>
      </c>
    </row>
    <row r="86" customFormat="false" ht="11.25" hidden="false" customHeight="false" outlineLevel="0" collapsed="false">
      <c r="A86" s="6" t="n">
        <f aca="false">+A85+365/12</f>
        <v>38212.75</v>
      </c>
      <c r="B86" s="7" t="n">
        <f aca="false">'Long Term Deals'!AF86</f>
        <v>155269.922879177</v>
      </c>
      <c r="C86" s="7" t="n">
        <f aca="false">'Long Term Deals'!AG86</f>
        <v>0</v>
      </c>
      <c r="D86" s="7" t="n">
        <f aca="false">'Long Term Deals'!AH86</f>
        <v>77120.822622108</v>
      </c>
      <c r="E86" s="7" t="n">
        <f aca="false">'Long Term Deals'!AI86</f>
        <v>0</v>
      </c>
      <c r="F86" s="7" t="n">
        <f aca="false">'Long Term Deals'!AJ86</f>
        <v>0</v>
      </c>
      <c r="G86" s="7" t="n">
        <f aca="false">'Long Term Deals'!AK86</f>
        <v>0</v>
      </c>
      <c r="H86" s="7" t="n">
        <f aca="false">'Long Term Deals'!AL86</f>
        <v>0</v>
      </c>
      <c r="I86" s="7" t="n">
        <f aca="false">'Long Term Deals'!AM86</f>
        <v>37635</v>
      </c>
      <c r="J86" s="7" t="n">
        <f aca="false">'Long Term Deals'!AN86</f>
        <v>0</v>
      </c>
      <c r="K86" s="7" t="n">
        <f aca="false">'Long Term Deals'!AO86</f>
        <v>38560</v>
      </c>
      <c r="L86" s="7" t="n">
        <f aca="false">'Long Term Deals'!AP86</f>
        <v>80000</v>
      </c>
      <c r="M86" s="7" t="n">
        <f aca="false">'Long Term Deals'!AQ86</f>
        <v>0</v>
      </c>
      <c r="N86" s="7" t="n">
        <f aca="false">'Long Term Deals'!AR86</f>
        <v>37634.9228791774</v>
      </c>
      <c r="O86" s="7" t="n">
        <f aca="false">'Long Term Deals'!AS86</f>
        <v>0</v>
      </c>
      <c r="P86" s="7" t="n">
        <f aca="false">'Long Term Deals'!AT86</f>
        <v>38560.822622108</v>
      </c>
      <c r="Q86" s="7" t="n">
        <f aca="false">'Long Term Deals'!AU86</f>
        <v>0</v>
      </c>
      <c r="R86" s="7" t="n">
        <f aca="false">'Long Term Deals'!AV86</f>
        <v>0</v>
      </c>
      <c r="S86" s="68" t="n">
        <f aca="false">'Long Term Deals'!AW86</f>
        <v>0.07</v>
      </c>
      <c r="T86" s="68" t="n">
        <f aca="false">'Long Term Deals'!AX86</f>
        <v>0.025</v>
      </c>
      <c r="U86" s="7" t="n">
        <f aca="false">'Long Term Deals'!AY86</f>
        <v>27847409.2092545</v>
      </c>
      <c r="V86" s="7" t="n">
        <f aca="false">'Long Term Deals'!AZ86</f>
        <v>27341686.8442159</v>
      </c>
      <c r="W86" s="5" t="n">
        <f aca="false">U86-V86</f>
        <v>505722.365038563</v>
      </c>
      <c r="X86" s="5" t="n">
        <f aca="false">'Long Term Deals'!CA86</f>
        <v>36020.5655526992</v>
      </c>
      <c r="Y86" s="71" t="n">
        <f aca="false">[4]Sheet1!$AL127</f>
        <v>762567.143039026</v>
      </c>
      <c r="Z86" s="7" t="n">
        <f aca="false">[2]Sheet1!$O101</f>
        <v>-169197.636090284</v>
      </c>
      <c r="AA86" s="7" t="n">
        <f aca="false">'[3]Long Term Deals'!$Z85</f>
        <v>-43972.9018835931</v>
      </c>
      <c r="AB86" s="70" t="n">
        <f aca="false">-Z86+AA86+Y86+W86-X86</f>
        <v>1357493.67673158</v>
      </c>
      <c r="AC86" s="70" t="n">
        <f aca="false">AB86-Y86</f>
        <v>594926.533692554</v>
      </c>
      <c r="AD86" s="70" t="n">
        <f aca="false">AC86+Z86-AA86+X86</f>
        <v>505722.365038563</v>
      </c>
      <c r="AE86" s="13" t="n">
        <f aca="false">(W86-Z86+AA86)/(B86+C86+D86)/'Prices&amp;Fuel'!H86</f>
        <v>0.0875815092800469</v>
      </c>
      <c r="AF86" s="1" t="n">
        <v>226000</v>
      </c>
      <c r="AG86" s="7" t="n">
        <f aca="false">((((I86*'Prices&amp;Fuel'!B86+'Prices&amp;Fuel'!C86*FPL!J86+FPL!K86*'Prices&amp;Fuel'!D86))+(L86*'Prices&amp;Fuel'!B86+'Prices&amp;Fuel'!C86*FPL!M86))*'Prices&amp;Fuel'!H86)+(I86+J86+K86)*'Prices&amp;Fuel'!H86*FPL!T86+Q86/2</f>
        <v>18352513.61792</v>
      </c>
      <c r="AH86" s="7" t="n">
        <f aca="false">(N86*'Prices&amp;Fuel'!B86+'Prices&amp;Fuel'!C86*O86+P86*'Prices&amp;Fuel'!D86)*'Prices&amp;Fuel'!H86+(N86+O86+P86)*'Prices&amp;Fuel'!H86*FPL!T86+Q86/2</f>
        <v>8989173.22629594</v>
      </c>
      <c r="AI86" s="7" t="n">
        <f aca="false">R86*'Prices&amp;Fuel'!H86*'Prices&amp;Fuel'!Q86</f>
        <v>0</v>
      </c>
      <c r="AJ86" s="55" t="n">
        <f aca="false">SUM(AG86:AI86)-'Long Term Deals'!AZ86</f>
        <v>0</v>
      </c>
    </row>
    <row r="87" customFormat="false" ht="11.25" hidden="false" customHeight="false" outlineLevel="0" collapsed="false">
      <c r="A87" s="6" t="n">
        <f aca="false">+A86+365/12</f>
        <v>38243.1666666667</v>
      </c>
      <c r="B87" s="7" t="n">
        <f aca="false">'Long Term Deals'!AF87</f>
        <v>155269.922879177</v>
      </c>
      <c r="C87" s="7" t="n">
        <f aca="false">'Long Term Deals'!AG87</f>
        <v>0</v>
      </c>
      <c r="D87" s="7" t="n">
        <f aca="false">'Long Term Deals'!AH87</f>
        <v>77120.822622108</v>
      </c>
      <c r="E87" s="7" t="n">
        <f aca="false">'Long Term Deals'!AI87</f>
        <v>0</v>
      </c>
      <c r="F87" s="7" t="n">
        <f aca="false">'Long Term Deals'!AJ87</f>
        <v>0</v>
      </c>
      <c r="G87" s="7" t="n">
        <f aca="false">'Long Term Deals'!AK87</f>
        <v>0</v>
      </c>
      <c r="H87" s="7" t="n">
        <f aca="false">'Long Term Deals'!AL87</f>
        <v>0</v>
      </c>
      <c r="I87" s="7" t="n">
        <f aca="false">'Long Term Deals'!AM87</f>
        <v>37635</v>
      </c>
      <c r="J87" s="7" t="n">
        <f aca="false">'Long Term Deals'!AN87</f>
        <v>0</v>
      </c>
      <c r="K87" s="7" t="n">
        <f aca="false">'Long Term Deals'!AO87</f>
        <v>38560</v>
      </c>
      <c r="L87" s="7" t="n">
        <f aca="false">'Long Term Deals'!AP87</f>
        <v>80000</v>
      </c>
      <c r="M87" s="7" t="n">
        <f aca="false">'Long Term Deals'!AQ87</f>
        <v>0</v>
      </c>
      <c r="N87" s="7" t="n">
        <f aca="false">'Long Term Deals'!AR87</f>
        <v>37634.9228791774</v>
      </c>
      <c r="O87" s="7" t="n">
        <f aca="false">'Long Term Deals'!AS87</f>
        <v>0</v>
      </c>
      <c r="P87" s="7" t="n">
        <f aca="false">'Long Term Deals'!AT87</f>
        <v>38560.822622108</v>
      </c>
      <c r="Q87" s="7" t="n">
        <f aca="false">'Long Term Deals'!AU87</f>
        <v>0</v>
      </c>
      <c r="R87" s="7" t="n">
        <f aca="false">'Long Term Deals'!AV87</f>
        <v>0</v>
      </c>
      <c r="S87" s="68" t="n">
        <f aca="false">'Long Term Deals'!AW87</f>
        <v>0.07</v>
      </c>
      <c r="T87" s="68" t="n">
        <f aca="false">'Long Term Deals'!AX87</f>
        <v>0.025</v>
      </c>
      <c r="U87" s="7" t="n">
        <f aca="false">'Long Term Deals'!AY87</f>
        <v>32425233.2544987</v>
      </c>
      <c r="V87" s="7" t="n">
        <f aca="false">'Long Term Deals'!AZ87</f>
        <v>31935824.5141388</v>
      </c>
      <c r="W87" s="5" t="n">
        <f aca="false">U87-V87</f>
        <v>489408.740359895</v>
      </c>
      <c r="X87" s="5" t="n">
        <f aca="false">'Long Term Deals'!CA87</f>
        <v>34858.6118251928</v>
      </c>
      <c r="Y87" s="71" t="n">
        <f aca="false">[4]Sheet1!$AL128</f>
        <v>737968.202940993</v>
      </c>
      <c r="Z87" s="7" t="n">
        <f aca="false">[2]Sheet1!$O102</f>
        <v>-163739.647829307</v>
      </c>
      <c r="AA87" s="7" t="n">
        <f aca="false">'[3]Long Term Deals'!$Z86</f>
        <v>-42554.4211776707</v>
      </c>
      <c r="AB87" s="70" t="n">
        <f aca="false">-Z87+AA87+Y87+W87-X87</f>
        <v>1313703.55812733</v>
      </c>
      <c r="AC87" s="70" t="n">
        <f aca="false">AB87-Y87</f>
        <v>575735.355186338</v>
      </c>
      <c r="AD87" s="70" t="n">
        <f aca="false">AC87+Z87-AA87+X87</f>
        <v>489408.740359895</v>
      </c>
      <c r="AE87" s="13" t="n">
        <f aca="false">(W87-Z87+AA87)/(B87+C87+D87)/'Prices&amp;Fuel'!H87</f>
        <v>0.0875815092800463</v>
      </c>
      <c r="AF87" s="1" t="n">
        <v>226000</v>
      </c>
      <c r="AG87" s="7" t="n">
        <f aca="false">((((I87*'Prices&amp;Fuel'!B87+'Prices&amp;Fuel'!C87*FPL!J87+FPL!K87*'Prices&amp;Fuel'!D87))+(L87*'Prices&amp;Fuel'!B87+'Prices&amp;Fuel'!C87*FPL!M87))*'Prices&amp;Fuel'!H87)+(I87+J87+K87)*'Prices&amp;Fuel'!H87*FPL!T87+Q87/2</f>
        <v>21441124.45005</v>
      </c>
      <c r="AH87" s="7" t="n">
        <f aca="false">(N87*'Prices&amp;Fuel'!B87+'Prices&amp;Fuel'!C87*O87+P87*'Prices&amp;Fuel'!D87)*'Prices&amp;Fuel'!H87+(N87+O87+P87)*'Prices&amp;Fuel'!H87*FPL!T87+Q87/2</f>
        <v>10494700.0640888</v>
      </c>
      <c r="AI87" s="7" t="n">
        <f aca="false">R87*'Prices&amp;Fuel'!H87*'Prices&amp;Fuel'!Q87</f>
        <v>0</v>
      </c>
      <c r="AJ87" s="55" t="n">
        <f aca="false">SUM(AG87:AI87)-'Long Term Deals'!AZ87</f>
        <v>0</v>
      </c>
    </row>
    <row r="88" customFormat="false" ht="11.25" hidden="false" customHeight="false" outlineLevel="0" collapsed="false">
      <c r="A88" s="6" t="n">
        <f aca="false">+A87+365/12</f>
        <v>38273.5833333333</v>
      </c>
      <c r="B88" s="7" t="n">
        <f aca="false">'Long Term Deals'!AF88</f>
        <v>58611.8251928021</v>
      </c>
      <c r="C88" s="7" t="n">
        <f aca="false">'Long Term Deals'!AG88</f>
        <v>0</v>
      </c>
      <c r="D88" s="7" t="n">
        <f aca="false">'Long Term Deals'!AH88</f>
        <v>77120.822622108</v>
      </c>
      <c r="E88" s="7" t="n">
        <f aca="false">'Long Term Deals'!AI88</f>
        <v>0</v>
      </c>
      <c r="F88" s="7" t="n">
        <f aca="false">'Long Term Deals'!AJ88</f>
        <v>0</v>
      </c>
      <c r="G88" s="7" t="n">
        <f aca="false">'Long Term Deals'!AK88</f>
        <v>0</v>
      </c>
      <c r="H88" s="7" t="n">
        <f aca="false">'Long Term Deals'!AL88</f>
        <v>0</v>
      </c>
      <c r="I88" s="7" t="n">
        <f aca="false">'Long Term Deals'!AM88</f>
        <v>0</v>
      </c>
      <c r="J88" s="7" t="n">
        <f aca="false">'Long Term Deals'!AN88</f>
        <v>0</v>
      </c>
      <c r="K88" s="7" t="n">
        <f aca="false">'Long Term Deals'!AO88</f>
        <v>38560</v>
      </c>
      <c r="L88" s="7" t="n">
        <f aca="false">'Long Term Deals'!AP88</f>
        <v>58611.8251928021</v>
      </c>
      <c r="M88" s="7" t="n">
        <f aca="false">'Long Term Deals'!AQ88</f>
        <v>0</v>
      </c>
      <c r="N88" s="7" t="n">
        <f aca="false">'Long Term Deals'!AR88</f>
        <v>0</v>
      </c>
      <c r="O88" s="7" t="n">
        <f aca="false">'Long Term Deals'!AS88</f>
        <v>0</v>
      </c>
      <c r="P88" s="7" t="n">
        <f aca="false">'Long Term Deals'!AT88</f>
        <v>38560.822622108</v>
      </c>
      <c r="Q88" s="7" t="n">
        <f aca="false">'Long Term Deals'!AU88</f>
        <v>0</v>
      </c>
      <c r="R88" s="7" t="n">
        <f aca="false">'Long Term Deals'!AV88</f>
        <v>0</v>
      </c>
      <c r="S88" s="68" t="n">
        <f aca="false">'Long Term Deals'!AW88</f>
        <v>0.07</v>
      </c>
      <c r="T88" s="68" t="n">
        <f aca="false">'Long Term Deals'!AX88</f>
        <v>0.025</v>
      </c>
      <c r="U88" s="7" t="n">
        <f aca="false">'Long Term Deals'!AY88</f>
        <v>22548337.6164524</v>
      </c>
      <c r="V88" s="7" t="n">
        <f aca="false">'Long Term Deals'!AZ88</f>
        <v>22194029.133162</v>
      </c>
      <c r="W88" s="5" t="n">
        <f aca="false">U88-V88</f>
        <v>354308.48329049</v>
      </c>
      <c r="X88" s="5" t="n">
        <f aca="false">'Long Term Deals'!CA88</f>
        <v>21038.5604113111</v>
      </c>
      <c r="Y88" s="71" t="n">
        <f aca="false">[4]Sheet1!$AL129</f>
        <v>762567.143039026</v>
      </c>
      <c r="Z88" s="7" t="n">
        <f aca="false">[2]Sheet1!$O103</f>
        <v>-98823.3980704311</v>
      </c>
      <c r="AA88" s="7" t="n">
        <f aca="false">'[3]Long Term Deals'!$Z87</f>
        <v>-34895.0629697055</v>
      </c>
      <c r="AB88" s="70" t="n">
        <f aca="false">-Z88+AA88+Y88+W88-X88</f>
        <v>1159765.40101893</v>
      </c>
      <c r="AC88" s="70" t="n">
        <f aca="false">AB88-Y88</f>
        <v>397198.257979904</v>
      </c>
      <c r="AD88" s="70" t="n">
        <f aca="false">AC88+Z88-AA88+X88</f>
        <v>354308.48329049</v>
      </c>
      <c r="AE88" s="13" t="n">
        <f aca="false">(W88-Z88+AA88)/(B88+C88+D88)/'Prices&amp;Fuel'!H88</f>
        <v>0.0993976798351556</v>
      </c>
      <c r="AF88" s="1" t="n">
        <v>132000</v>
      </c>
      <c r="AG88" s="7" t="n">
        <f aca="false">((((I88*'Prices&amp;Fuel'!B88+'Prices&amp;Fuel'!C88*FPL!J88+FPL!K88*'Prices&amp;Fuel'!D88))+(L88*'Prices&amp;Fuel'!B88+'Prices&amp;Fuel'!C88*FPL!M88))*'Prices&amp;Fuel'!H88)+(I88+J88+K88)*'Prices&amp;Fuel'!H88*FPL!T88+Q88/2</f>
        <v>15870773.3439173</v>
      </c>
      <c r="AH88" s="7" t="n">
        <f aca="false">(N88*'Prices&amp;Fuel'!B88+'Prices&amp;Fuel'!C88*O88+P88*'Prices&amp;Fuel'!D88)*'Prices&amp;Fuel'!H88+(N88+O88+P88)*'Prices&amp;Fuel'!H88*FPL!T88+Q88/2</f>
        <v>6323255.78924463</v>
      </c>
      <c r="AI88" s="7" t="n">
        <f aca="false">R88*'Prices&amp;Fuel'!H88*'Prices&amp;Fuel'!Q88</f>
        <v>0</v>
      </c>
      <c r="AJ88" s="55" t="n">
        <f aca="false">SUM(AG88:AI88)-'Long Term Deals'!AZ88</f>
        <v>0</v>
      </c>
    </row>
    <row r="89" customFormat="false" ht="11.25" hidden="false" customHeight="false" outlineLevel="0" collapsed="false">
      <c r="A89" s="6" t="n">
        <f aca="false">+A88+365/12</f>
        <v>38304</v>
      </c>
      <c r="B89" s="7" t="n">
        <f aca="false">'Long Term Deals'!AF89</f>
        <v>58611.8251928021</v>
      </c>
      <c r="C89" s="7" t="n">
        <f aca="false">'Long Term Deals'!AG89</f>
        <v>0</v>
      </c>
      <c r="D89" s="7" t="n">
        <f aca="false">'Long Term Deals'!AH89</f>
        <v>77120.822622108</v>
      </c>
      <c r="E89" s="7" t="n">
        <f aca="false">'Long Term Deals'!AI89</f>
        <v>0</v>
      </c>
      <c r="F89" s="7" t="n">
        <f aca="false">'Long Term Deals'!AJ89</f>
        <v>0</v>
      </c>
      <c r="G89" s="7" t="n">
        <f aca="false">'Long Term Deals'!AK89</f>
        <v>0</v>
      </c>
      <c r="H89" s="7" t="n">
        <f aca="false">'Long Term Deals'!AL89</f>
        <v>0</v>
      </c>
      <c r="I89" s="7" t="n">
        <f aca="false">'Long Term Deals'!AM89</f>
        <v>0</v>
      </c>
      <c r="J89" s="7" t="n">
        <f aca="false">'Long Term Deals'!AN89</f>
        <v>0</v>
      </c>
      <c r="K89" s="7" t="n">
        <f aca="false">'Long Term Deals'!AO89</f>
        <v>38560</v>
      </c>
      <c r="L89" s="7" t="n">
        <f aca="false">'Long Term Deals'!AP89</f>
        <v>58611.8251928021</v>
      </c>
      <c r="M89" s="7" t="n">
        <f aca="false">'Long Term Deals'!AQ89</f>
        <v>0</v>
      </c>
      <c r="N89" s="7" t="n">
        <f aca="false">'Long Term Deals'!AR89</f>
        <v>0</v>
      </c>
      <c r="O89" s="7" t="n">
        <f aca="false">'Long Term Deals'!AS89</f>
        <v>0</v>
      </c>
      <c r="P89" s="7" t="n">
        <f aca="false">'Long Term Deals'!AT89</f>
        <v>38560.822622108</v>
      </c>
      <c r="Q89" s="7" t="n">
        <f aca="false">'Long Term Deals'!AU89</f>
        <v>0</v>
      </c>
      <c r="R89" s="7" t="n">
        <f aca="false">'Long Term Deals'!AV89</f>
        <v>0</v>
      </c>
      <c r="S89" s="68" t="n">
        <f aca="false">'Long Term Deals'!AW89</f>
        <v>0.07</v>
      </c>
      <c r="T89" s="68" t="n">
        <f aca="false">'Long Term Deals'!AX89</f>
        <v>0.025</v>
      </c>
      <c r="U89" s="7" t="n">
        <f aca="false">'Long Term Deals'!AY89</f>
        <v>14634852.5244216</v>
      </c>
      <c r="V89" s="7" t="n">
        <f aca="false">'Long Term Deals'!AZ89</f>
        <v>14291973.3470437</v>
      </c>
      <c r="W89" s="5" t="n">
        <f aca="false">U89-V89</f>
        <v>342879.177377893</v>
      </c>
      <c r="X89" s="5" t="n">
        <f aca="false">'Long Term Deals'!CA89</f>
        <v>20359.8971722365</v>
      </c>
      <c r="Y89" s="71" t="n">
        <f aca="false">[4]Sheet1!$AL130</f>
        <v>737968.202940993</v>
      </c>
      <c r="Z89" s="7" t="n">
        <f aca="false">[2]Sheet1!$O104</f>
        <v>-95635.546519772</v>
      </c>
      <c r="AA89" s="7" t="n">
        <f aca="false">'[3]Long Term Deals'!$Z88</f>
        <v>-33769.4157771343</v>
      </c>
      <c r="AB89" s="70" t="n">
        <f aca="false">-Z89+AA89+Y89+W89-X89</f>
        <v>1122353.61388929</v>
      </c>
      <c r="AC89" s="70" t="n">
        <f aca="false">AB89-Y89</f>
        <v>384385.410948294</v>
      </c>
      <c r="AD89" s="70" t="n">
        <f aca="false">AC89+Z89-AA89+X89</f>
        <v>342879.177377893</v>
      </c>
      <c r="AE89" s="13" t="n">
        <f aca="false">(W89-Z89+AA89)/(B89+C89+D89)/'Prices&amp;Fuel'!H89</f>
        <v>0.0993976798351555</v>
      </c>
      <c r="AF89" s="1" t="n">
        <v>132000</v>
      </c>
      <c r="AG89" s="7" t="n">
        <f aca="false">((((I89*'Prices&amp;Fuel'!B89+'Prices&amp;Fuel'!C89*FPL!J89+FPL!K89*'Prices&amp;Fuel'!D89))+(L89*'Prices&amp;Fuel'!B89+'Prices&amp;Fuel'!C89*FPL!M89))*'Prices&amp;Fuel'!H89)+(I89+J89+K89)*'Prices&amp;Fuel'!H89*FPL!T89+Q89/2</f>
        <v>10214226.5096391</v>
      </c>
      <c r="AH89" s="7" t="n">
        <f aca="false">(N89*'Prices&amp;Fuel'!B89+'Prices&amp;Fuel'!C89*O89+P89*'Prices&amp;Fuel'!D89)*'Prices&amp;Fuel'!H89+(N89+O89+P89)*'Prices&amp;Fuel'!H89*FPL!T89+Q89/2</f>
        <v>4077746.83740463</v>
      </c>
      <c r="AI89" s="7" t="n">
        <f aca="false">R89*'Prices&amp;Fuel'!H89*'Prices&amp;Fuel'!Q89</f>
        <v>0</v>
      </c>
      <c r="AJ89" s="55" t="n">
        <f aca="false">SUM(AG89:AI89)-'Long Term Deals'!AZ89</f>
        <v>0</v>
      </c>
    </row>
    <row r="90" customFormat="false" ht="11.25" hidden="false" customHeight="false" outlineLevel="0" collapsed="false">
      <c r="A90" s="6" t="n">
        <f aca="false">+A89+365/12</f>
        <v>38334.4166666667</v>
      </c>
      <c r="B90" s="7" t="n">
        <f aca="false">'Long Term Deals'!AF90</f>
        <v>58611.8251928021</v>
      </c>
      <c r="C90" s="7" t="n">
        <f aca="false">'Long Term Deals'!AG90</f>
        <v>0</v>
      </c>
      <c r="D90" s="7" t="n">
        <f aca="false">'Long Term Deals'!AH90</f>
        <v>77120.822622108</v>
      </c>
      <c r="E90" s="7" t="n">
        <f aca="false">'Long Term Deals'!AI90</f>
        <v>0</v>
      </c>
      <c r="F90" s="7" t="n">
        <f aca="false">'Long Term Deals'!AJ90</f>
        <v>0</v>
      </c>
      <c r="G90" s="7" t="n">
        <f aca="false">'Long Term Deals'!AK90</f>
        <v>0</v>
      </c>
      <c r="H90" s="7" t="n">
        <f aca="false">'Long Term Deals'!AL90</f>
        <v>0</v>
      </c>
      <c r="I90" s="7" t="n">
        <f aca="false">'Long Term Deals'!AM90</f>
        <v>0</v>
      </c>
      <c r="J90" s="7" t="n">
        <f aca="false">'Long Term Deals'!AN90</f>
        <v>0</v>
      </c>
      <c r="K90" s="7" t="n">
        <f aca="false">'Long Term Deals'!AO90</f>
        <v>38560</v>
      </c>
      <c r="L90" s="7" t="n">
        <f aca="false">'Long Term Deals'!AP90</f>
        <v>58611.8251928021</v>
      </c>
      <c r="M90" s="7" t="n">
        <f aca="false">'Long Term Deals'!AQ90</f>
        <v>0</v>
      </c>
      <c r="N90" s="7" t="n">
        <f aca="false">'Long Term Deals'!AR90</f>
        <v>0</v>
      </c>
      <c r="O90" s="7" t="n">
        <f aca="false">'Long Term Deals'!AS90</f>
        <v>0</v>
      </c>
      <c r="P90" s="7" t="n">
        <f aca="false">'Long Term Deals'!AT90</f>
        <v>38560.822622108</v>
      </c>
      <c r="Q90" s="7" t="n">
        <f aca="false">'Long Term Deals'!AU90</f>
        <v>0</v>
      </c>
      <c r="R90" s="7" t="n">
        <f aca="false">'Long Term Deals'!AV90</f>
        <v>0</v>
      </c>
      <c r="S90" s="68" t="n">
        <f aca="false">'Long Term Deals'!AW90</f>
        <v>0.07</v>
      </c>
      <c r="T90" s="68" t="n">
        <f aca="false">'Long Term Deals'!AX90</f>
        <v>0.025</v>
      </c>
      <c r="U90" s="7" t="n">
        <f aca="false">'Long Term Deals'!AY90</f>
        <v>11345468.2982005</v>
      </c>
      <c r="V90" s="7" t="n">
        <f aca="false">'Long Term Deals'!AZ90</f>
        <v>10991159.81491</v>
      </c>
      <c r="W90" s="5" t="n">
        <f aca="false">U90-V90</f>
        <v>354308.483290488</v>
      </c>
      <c r="X90" s="5" t="n">
        <f aca="false">'Long Term Deals'!CA90</f>
        <v>21038.5604113111</v>
      </c>
      <c r="Y90" s="71" t="n">
        <f aca="false">[4]Sheet1!$AL131</f>
        <v>762567.143039026</v>
      </c>
      <c r="Z90" s="7" t="n">
        <f aca="false">[2]Sheet1!$O105</f>
        <v>-98823.3980704311</v>
      </c>
      <c r="AA90" s="7" t="n">
        <f aca="false">'[3]Long Term Deals'!$Z89</f>
        <v>-34895.0629697055</v>
      </c>
      <c r="AB90" s="70" t="n">
        <f aca="false">-Z90+AA90+Y90+W90-X90</f>
        <v>1159765.40101893</v>
      </c>
      <c r="AC90" s="70" t="n">
        <f aca="false">AB90-Y90</f>
        <v>397198.257979903</v>
      </c>
      <c r="AD90" s="70" t="n">
        <f aca="false">AC90+Z90-AA90+X90</f>
        <v>354308.483290488</v>
      </c>
      <c r="AE90" s="13" t="n">
        <f aca="false">(W90-Z90+AA90)/(B90+C90+D90)/'Prices&amp;Fuel'!H90</f>
        <v>0.0993976798351552</v>
      </c>
      <c r="AF90" s="1" t="n">
        <v>132000</v>
      </c>
      <c r="AG90" s="7" t="n">
        <f aca="false">((((I90*'Prices&amp;Fuel'!B90+'Prices&amp;Fuel'!C90*FPL!J90+FPL!K90*'Prices&amp;Fuel'!D90))+(L90*'Prices&amp;Fuel'!B90+'Prices&amp;Fuel'!C90*FPL!M90))*'Prices&amp;Fuel'!H90)+(I90+J90+K90)*'Prices&amp;Fuel'!H90*FPL!T90+Q90/2</f>
        <v>7850571.30280309</v>
      </c>
      <c r="AH90" s="7" t="n">
        <f aca="false">(N90*'Prices&amp;Fuel'!B90+'Prices&amp;Fuel'!C90*O90+P90*'Prices&amp;Fuel'!D90)*'Prices&amp;Fuel'!H90+(N90+O90+P90)*'Prices&amp;Fuel'!H90*FPL!T90+Q90/2</f>
        <v>3140588.51210694</v>
      </c>
      <c r="AI90" s="7" t="n">
        <f aca="false">R90*'Prices&amp;Fuel'!H90*'Prices&amp;Fuel'!Q90</f>
        <v>0</v>
      </c>
      <c r="AJ90" s="55" t="n">
        <f aca="false">SUM(AG90:AI90)-'Long Term Deals'!AZ90</f>
        <v>0</v>
      </c>
    </row>
    <row r="91" customFormat="false" ht="11.25" hidden="false" customHeight="false" outlineLevel="0" collapsed="false">
      <c r="A91" s="6" t="n">
        <f aca="false">+A90+365/12</f>
        <v>38364.8333333333</v>
      </c>
      <c r="B91" s="7" t="n">
        <f aca="false">'Long Term Deals'!AF91</f>
        <v>58611.8251928021</v>
      </c>
      <c r="C91" s="7" t="n">
        <f aca="false">'Long Term Deals'!AG91</f>
        <v>0</v>
      </c>
      <c r="D91" s="7" t="n">
        <f aca="false">'Long Term Deals'!AH91</f>
        <v>77120.822622108</v>
      </c>
      <c r="E91" s="7" t="n">
        <f aca="false">'Long Term Deals'!AI91</f>
        <v>0</v>
      </c>
      <c r="F91" s="7" t="n">
        <f aca="false">'Long Term Deals'!AJ91</f>
        <v>0</v>
      </c>
      <c r="G91" s="7" t="n">
        <f aca="false">'Long Term Deals'!AK91</f>
        <v>0</v>
      </c>
      <c r="H91" s="7" t="n">
        <f aca="false">'Long Term Deals'!AL91</f>
        <v>0</v>
      </c>
      <c r="I91" s="7" t="n">
        <f aca="false">'Long Term Deals'!AM91</f>
        <v>0</v>
      </c>
      <c r="J91" s="7" t="n">
        <f aca="false">'Long Term Deals'!AN91</f>
        <v>0</v>
      </c>
      <c r="K91" s="7" t="n">
        <f aca="false">'Long Term Deals'!AO91</f>
        <v>38560</v>
      </c>
      <c r="L91" s="7" t="n">
        <f aca="false">'Long Term Deals'!AP91</f>
        <v>58611.8251928021</v>
      </c>
      <c r="M91" s="7" t="n">
        <f aca="false">'Long Term Deals'!AQ91</f>
        <v>0</v>
      </c>
      <c r="N91" s="7" t="n">
        <f aca="false">'Long Term Deals'!AR91</f>
        <v>0</v>
      </c>
      <c r="O91" s="7" t="n">
        <f aca="false">'Long Term Deals'!AS91</f>
        <v>0</v>
      </c>
      <c r="P91" s="7" t="n">
        <f aca="false">'Long Term Deals'!AT91</f>
        <v>38560.822622108</v>
      </c>
      <c r="Q91" s="7" t="n">
        <f aca="false">'Long Term Deals'!AU91</f>
        <v>0</v>
      </c>
      <c r="R91" s="7" t="n">
        <f aca="false">'Long Term Deals'!AV91</f>
        <v>0</v>
      </c>
      <c r="S91" s="68" t="n">
        <f aca="false">'Long Term Deals'!AW91</f>
        <v>0.06</v>
      </c>
      <c r="T91" s="68" t="n">
        <f aca="false">'Long Term Deals'!AX91</f>
        <v>0.025</v>
      </c>
      <c r="U91" s="7" t="n">
        <f aca="false">'Long Term Deals'!AY91</f>
        <v>9984371.35304885</v>
      </c>
      <c r="V91" s="7" t="n">
        <f aca="false">'Long Term Deals'!AZ91</f>
        <v>9672139.99058098</v>
      </c>
      <c r="W91" s="5" t="n">
        <f aca="false">U91-V91</f>
        <v>312231.362467868</v>
      </c>
      <c r="X91" s="5" t="n">
        <f aca="false">'Long Term Deals'!CA91</f>
        <v>21038.5604113111</v>
      </c>
      <c r="Y91" s="71" t="n">
        <f aca="false">[4]Sheet1!$AL132</f>
        <v>762567.143039026</v>
      </c>
      <c r="Z91" s="7" t="n">
        <f aca="false">[2]Sheet1!$O107</f>
        <v>-141030.721432989</v>
      </c>
      <c r="AA91" s="7" t="n">
        <f aca="false">'[3]Long Term Deals'!$Z90</f>
        <v>-34895.0629697055</v>
      </c>
      <c r="AB91" s="70" t="n">
        <f aca="false">-Z91+AA91+Y91+W91-X91</f>
        <v>1159895.60355887</v>
      </c>
      <c r="AC91" s="70" t="n">
        <f aca="false">AB91-Y91</f>
        <v>397328.460519841</v>
      </c>
      <c r="AD91" s="70" t="n">
        <f aca="false">AC91+Z91-AA91+X91</f>
        <v>312231.362467869</v>
      </c>
      <c r="AE91" s="13" t="n">
        <f aca="false">(W91-Z91+AA91)/(B91+C91+D91)/'Prices&amp;Fuel'!H91</f>
        <v>0.0994286236206122</v>
      </c>
      <c r="AF91" s="1" t="n">
        <v>132000</v>
      </c>
      <c r="AG91" s="7" t="n">
        <f aca="false">((((I91*'Prices&amp;Fuel'!B91+'Prices&amp;Fuel'!C91*FPL!J91+FPL!K91*'Prices&amp;Fuel'!D91))+(L91*'Prices&amp;Fuel'!B91+'Prices&amp;Fuel'!C91*FPL!M91))*'Prices&amp;Fuel'!H91)+(I91+J91+K91)*'Prices&amp;Fuel'!H91*FPL!T91+Q91/2</f>
        <v>6906277.01650638</v>
      </c>
      <c r="AH91" s="7" t="n">
        <f aca="false">(N91*'Prices&amp;Fuel'!B91+'Prices&amp;Fuel'!C91*O91+P91*'Prices&amp;Fuel'!D91)*'Prices&amp;Fuel'!H91+(N91+O91+P91)*'Prices&amp;Fuel'!H91*FPL!T91+Q91/2</f>
        <v>2765862.9740746</v>
      </c>
      <c r="AI91" s="7" t="n">
        <f aca="false">R91*'Prices&amp;Fuel'!H91*'Prices&amp;Fuel'!Q91</f>
        <v>0</v>
      </c>
      <c r="AJ91" s="55" t="n">
        <f aca="false">SUM(AG91:AI91)-'Long Term Deals'!AZ91</f>
        <v>0</v>
      </c>
    </row>
    <row r="92" customFormat="false" ht="11.25" hidden="false" customHeight="false" outlineLevel="0" collapsed="false">
      <c r="A92" s="6" t="n">
        <f aca="false">+A91+365/12</f>
        <v>38395.25</v>
      </c>
      <c r="B92" s="7" t="n">
        <f aca="false">'Long Term Deals'!AF92</f>
        <v>58611.8251928021</v>
      </c>
      <c r="C92" s="7" t="n">
        <f aca="false">'Long Term Deals'!AG92</f>
        <v>0</v>
      </c>
      <c r="D92" s="7" t="n">
        <f aca="false">'Long Term Deals'!AH92</f>
        <v>77120.822622108</v>
      </c>
      <c r="E92" s="7" t="n">
        <f aca="false">'Long Term Deals'!AI92</f>
        <v>0</v>
      </c>
      <c r="F92" s="7" t="n">
        <f aca="false">'Long Term Deals'!AJ92</f>
        <v>0</v>
      </c>
      <c r="G92" s="7" t="n">
        <f aca="false">'Long Term Deals'!AK92</f>
        <v>0</v>
      </c>
      <c r="H92" s="7" t="n">
        <f aca="false">'Long Term Deals'!AL92</f>
        <v>0</v>
      </c>
      <c r="I92" s="7" t="n">
        <f aca="false">'Long Term Deals'!AM92</f>
        <v>0</v>
      </c>
      <c r="J92" s="7" t="n">
        <f aca="false">'Long Term Deals'!AN92</f>
        <v>0</v>
      </c>
      <c r="K92" s="7" t="n">
        <f aca="false">'Long Term Deals'!AO92</f>
        <v>38560</v>
      </c>
      <c r="L92" s="7" t="n">
        <f aca="false">'Long Term Deals'!AP92</f>
        <v>58611.8251928021</v>
      </c>
      <c r="M92" s="7" t="n">
        <f aca="false">'Long Term Deals'!AQ92</f>
        <v>0</v>
      </c>
      <c r="N92" s="7" t="n">
        <f aca="false">'Long Term Deals'!AR92</f>
        <v>0</v>
      </c>
      <c r="O92" s="7" t="n">
        <f aca="false">'Long Term Deals'!AS92</f>
        <v>0</v>
      </c>
      <c r="P92" s="7" t="n">
        <f aca="false">'Long Term Deals'!AT92</f>
        <v>38560.822622108</v>
      </c>
      <c r="Q92" s="7" t="n">
        <f aca="false">'Long Term Deals'!AU92</f>
        <v>0</v>
      </c>
      <c r="R92" s="7" t="n">
        <f aca="false">'Long Term Deals'!AV92</f>
        <v>0</v>
      </c>
      <c r="S92" s="68" t="n">
        <f aca="false">'Long Term Deals'!AW92</f>
        <v>0.06</v>
      </c>
      <c r="T92" s="68" t="n">
        <f aca="false">'Long Term Deals'!AX92</f>
        <v>0.025</v>
      </c>
      <c r="U92" s="7" t="n">
        <f aca="false">'Long Term Deals'!AY92</f>
        <v>10075373.7170591</v>
      </c>
      <c r="V92" s="7" t="n">
        <f aca="false">'Long Term Deals'!AZ92</f>
        <v>9793358.2928946</v>
      </c>
      <c r="W92" s="5" t="n">
        <f aca="false">U92-V92</f>
        <v>282015.424164524</v>
      </c>
      <c r="X92" s="5" t="n">
        <f aca="false">'Long Term Deals'!CA92</f>
        <v>19002.5706940874</v>
      </c>
      <c r="Y92" s="71" t="n">
        <f aca="false">[4]Sheet1!$AL133</f>
        <v>688770.322744927</v>
      </c>
      <c r="Z92" s="7" t="n">
        <f aca="false">[2]Sheet1!$O108</f>
        <v>-127382.587100764</v>
      </c>
      <c r="AA92" s="7" t="n">
        <f aca="false">'[3]Long Term Deals'!$Z91</f>
        <v>-31518.1213919921</v>
      </c>
      <c r="AB92" s="70" t="n">
        <f aca="false">-Z92+AA92+Y92+W92-X92</f>
        <v>1047647.64192414</v>
      </c>
      <c r="AC92" s="70" t="n">
        <f aca="false">AB92-Y92</f>
        <v>358877.319179209</v>
      </c>
      <c r="AD92" s="70" t="n">
        <f aca="false">AC92+Z92-AA92+X92</f>
        <v>282015.424164524</v>
      </c>
      <c r="AE92" s="13" t="n">
        <f aca="false">(W92-Z92+AA92)/(B92+C92+D92)/'Prices&amp;Fuel'!H92</f>
        <v>0.0994286236206117</v>
      </c>
      <c r="AF92" s="1" t="n">
        <v>132000</v>
      </c>
      <c r="AG92" s="7" t="n">
        <f aca="false">((((I92*'Prices&amp;Fuel'!B92+'Prices&amp;Fuel'!C92*FPL!J92+FPL!K92*'Prices&amp;Fuel'!D92))+(L92*'Prices&amp;Fuel'!B92+'Prices&amp;Fuel'!C92*FPL!M92))*'Prices&amp;Fuel'!H92)+(I92+J92+K92)*'Prices&amp;Fuel'!H92*FPL!T92+Q92/2</f>
        <v>6994806.31654206</v>
      </c>
      <c r="AH92" s="7" t="n">
        <f aca="false">(N92*'Prices&amp;Fuel'!B92+'Prices&amp;Fuel'!C92*O92+P92*'Prices&amp;Fuel'!D92)*'Prices&amp;Fuel'!H92+(N92+O92+P92)*'Prices&amp;Fuel'!H92*FPL!T92+Q92/2</f>
        <v>2798551.97635254</v>
      </c>
      <c r="AI92" s="7" t="n">
        <f aca="false">R92*'Prices&amp;Fuel'!H92*'Prices&amp;Fuel'!Q92</f>
        <v>0</v>
      </c>
      <c r="AJ92" s="55" t="n">
        <f aca="false">SUM(AG92:AI92)-'Long Term Deals'!AZ92</f>
        <v>0</v>
      </c>
    </row>
    <row r="93" customFormat="false" ht="11.25" hidden="false" customHeight="false" outlineLevel="0" collapsed="false">
      <c r="A93" s="6" t="n">
        <f aca="false">+A92+365/12</f>
        <v>38425.6666666667</v>
      </c>
      <c r="B93" s="7" t="n">
        <f aca="false">'Long Term Deals'!AF93</f>
        <v>58611.8251928021</v>
      </c>
      <c r="C93" s="7" t="n">
        <f aca="false">'Long Term Deals'!AG93</f>
        <v>0</v>
      </c>
      <c r="D93" s="7" t="n">
        <f aca="false">'Long Term Deals'!AH93</f>
        <v>77120.822622108</v>
      </c>
      <c r="E93" s="7" t="n">
        <f aca="false">'Long Term Deals'!AI93</f>
        <v>0</v>
      </c>
      <c r="F93" s="7" t="n">
        <f aca="false">'Long Term Deals'!AJ93</f>
        <v>0</v>
      </c>
      <c r="G93" s="7" t="n">
        <f aca="false">'Long Term Deals'!AK93</f>
        <v>0</v>
      </c>
      <c r="H93" s="7" t="n">
        <f aca="false">'Long Term Deals'!AL93</f>
        <v>0</v>
      </c>
      <c r="I93" s="7" t="n">
        <f aca="false">'Long Term Deals'!AM93</f>
        <v>0</v>
      </c>
      <c r="J93" s="7" t="n">
        <f aca="false">'Long Term Deals'!AN93</f>
        <v>0</v>
      </c>
      <c r="K93" s="7" t="n">
        <f aca="false">'Long Term Deals'!AO93</f>
        <v>38560</v>
      </c>
      <c r="L93" s="7" t="n">
        <f aca="false">'Long Term Deals'!AP93</f>
        <v>58611.8251928021</v>
      </c>
      <c r="M93" s="7" t="n">
        <f aca="false">'Long Term Deals'!AQ93</f>
        <v>0</v>
      </c>
      <c r="N93" s="7" t="n">
        <f aca="false">'Long Term Deals'!AR93</f>
        <v>0</v>
      </c>
      <c r="O93" s="7" t="n">
        <f aca="false">'Long Term Deals'!AS93</f>
        <v>0</v>
      </c>
      <c r="P93" s="7" t="n">
        <f aca="false">'Long Term Deals'!AT93</f>
        <v>38560.822622108</v>
      </c>
      <c r="Q93" s="7" t="n">
        <f aca="false">'Long Term Deals'!AU93</f>
        <v>0</v>
      </c>
      <c r="R93" s="7" t="n">
        <f aca="false">'Long Term Deals'!AV93</f>
        <v>0</v>
      </c>
      <c r="S93" s="68" t="n">
        <f aca="false">'Long Term Deals'!AW93</f>
        <v>0.06</v>
      </c>
      <c r="T93" s="68" t="n">
        <f aca="false">'Long Term Deals'!AX93</f>
        <v>0.025</v>
      </c>
      <c r="U93" s="7" t="n">
        <f aca="false">'Long Term Deals'!AY93</f>
        <v>11154878.0438869</v>
      </c>
      <c r="V93" s="7" t="n">
        <f aca="false">'Long Term Deals'!AZ93</f>
        <v>10842646.681419</v>
      </c>
      <c r="W93" s="5" t="n">
        <f aca="false">U93-V93</f>
        <v>312231.362467866</v>
      </c>
      <c r="X93" s="5" t="n">
        <f aca="false">'Long Term Deals'!CA93</f>
        <v>21038.5604113111</v>
      </c>
      <c r="Y93" s="71" t="n">
        <f aca="false">[4]Sheet1!$AL134</f>
        <v>762567.143039026</v>
      </c>
      <c r="Z93" s="7" t="n">
        <f aca="false">[2]Sheet1!$O109</f>
        <v>-141030.721432989</v>
      </c>
      <c r="AA93" s="7" t="n">
        <f aca="false">'[3]Long Term Deals'!$Z92</f>
        <v>-34895.0629697055</v>
      </c>
      <c r="AB93" s="70" t="n">
        <f aca="false">-Z93+AA93+Y93+W93-X93</f>
        <v>1159895.60355887</v>
      </c>
      <c r="AC93" s="70" t="n">
        <f aca="false">AB93-Y93</f>
        <v>397328.460519839</v>
      </c>
      <c r="AD93" s="70" t="n">
        <f aca="false">AC93+Z93-AA93+X93</f>
        <v>312231.362467867</v>
      </c>
      <c r="AE93" s="13" t="n">
        <f aca="false">(W93-Z93+AA93)/(B93+C93+D93)/'Prices&amp;Fuel'!H93</f>
        <v>0.0994286236206118</v>
      </c>
      <c r="AF93" s="1" t="n">
        <v>132000</v>
      </c>
      <c r="AG93" s="7" t="n">
        <f aca="false">((((I93*'Prices&amp;Fuel'!B93+'Prices&amp;Fuel'!C93*FPL!J93+FPL!K93*'Prices&amp;Fuel'!D93))+(L93*'Prices&amp;Fuel'!B93+'Prices&amp;Fuel'!C93*FPL!M93))*'Prices&amp;Fuel'!H93)+(I93+J93+K93)*'Prices&amp;Fuel'!H93*FPL!T93+Q93/2</f>
        <v>7744249.85045728</v>
      </c>
      <c r="AH93" s="7" t="n">
        <f aca="false">(N93*'Prices&amp;Fuel'!B93+'Prices&amp;Fuel'!C93*O93+P93*'Prices&amp;Fuel'!D93)*'Prices&amp;Fuel'!H93+(N93+O93+P93)*'Prices&amp;Fuel'!H93*FPL!T93+Q93/2</f>
        <v>3098396.83096174</v>
      </c>
      <c r="AI93" s="7" t="n">
        <f aca="false">R93*'Prices&amp;Fuel'!H93*'Prices&amp;Fuel'!Q93</f>
        <v>0</v>
      </c>
      <c r="AJ93" s="55" t="n">
        <f aca="false">SUM(AG93:AI93)-'Long Term Deals'!AZ93</f>
        <v>0</v>
      </c>
    </row>
    <row r="94" customFormat="false" ht="11.25" hidden="false" customHeight="false" outlineLevel="0" collapsed="false">
      <c r="A94" s="6" t="n">
        <f aca="false">+A93+365/12</f>
        <v>38456.0833333333</v>
      </c>
      <c r="B94" s="7" t="n">
        <f aca="false">'Long Term Deals'!AF94</f>
        <v>58611.8251928021</v>
      </c>
      <c r="C94" s="7" t="n">
        <f aca="false">'Long Term Deals'!AG94</f>
        <v>0</v>
      </c>
      <c r="D94" s="7" t="n">
        <f aca="false">'Long Term Deals'!AH94</f>
        <v>77120.822622108</v>
      </c>
      <c r="E94" s="7" t="n">
        <f aca="false">'Long Term Deals'!AI94</f>
        <v>0</v>
      </c>
      <c r="F94" s="7" t="n">
        <f aca="false">'Long Term Deals'!AJ94</f>
        <v>0</v>
      </c>
      <c r="G94" s="7" t="n">
        <f aca="false">'Long Term Deals'!AK94</f>
        <v>0</v>
      </c>
      <c r="H94" s="7" t="n">
        <f aca="false">'Long Term Deals'!AL94</f>
        <v>0</v>
      </c>
      <c r="I94" s="7" t="n">
        <f aca="false">'Long Term Deals'!AM94</f>
        <v>0</v>
      </c>
      <c r="J94" s="7" t="n">
        <f aca="false">'Long Term Deals'!AN94</f>
        <v>0</v>
      </c>
      <c r="K94" s="7" t="n">
        <f aca="false">'Long Term Deals'!AO94</f>
        <v>38560</v>
      </c>
      <c r="L94" s="7" t="n">
        <f aca="false">'Long Term Deals'!AP94</f>
        <v>58611.8251928021</v>
      </c>
      <c r="M94" s="7" t="n">
        <f aca="false">'Long Term Deals'!AQ94</f>
        <v>0</v>
      </c>
      <c r="N94" s="7" t="n">
        <f aca="false">'Long Term Deals'!AR94</f>
        <v>0</v>
      </c>
      <c r="O94" s="7" t="n">
        <f aca="false">'Long Term Deals'!AS94</f>
        <v>0</v>
      </c>
      <c r="P94" s="7" t="n">
        <f aca="false">'Long Term Deals'!AT94</f>
        <v>38560.822622108</v>
      </c>
      <c r="Q94" s="7" t="n">
        <f aca="false">'Long Term Deals'!AU94</f>
        <v>0</v>
      </c>
      <c r="R94" s="7" t="n">
        <f aca="false">'Long Term Deals'!AV94</f>
        <v>0</v>
      </c>
      <c r="S94" s="68" t="n">
        <f aca="false">'Long Term Deals'!AW94</f>
        <v>0.06</v>
      </c>
      <c r="T94" s="68" t="n">
        <f aca="false">'Long Term Deals'!AX94</f>
        <v>0.025</v>
      </c>
      <c r="U94" s="7" t="n">
        <f aca="false">'Long Term Deals'!AY94</f>
        <v>11927791.6787661</v>
      </c>
      <c r="V94" s="7" t="n">
        <f aca="false">'Long Term Deals'!AZ94</f>
        <v>11625632.2957327</v>
      </c>
      <c r="W94" s="5" t="n">
        <f aca="false">U94-V94</f>
        <v>302159.383033419</v>
      </c>
      <c r="X94" s="5" t="n">
        <f aca="false">'Long Term Deals'!CA94</f>
        <v>20359.8971722365</v>
      </c>
      <c r="Y94" s="71" t="n">
        <f aca="false">[4]Sheet1!$AL135</f>
        <v>737968.202940993</v>
      </c>
      <c r="Z94" s="7" t="n">
        <f aca="false">[2]Sheet1!$O110</f>
        <v>-136481.343322248</v>
      </c>
      <c r="AA94" s="7" t="n">
        <f aca="false">'[3]Long Term Deals'!$Z93</f>
        <v>-33769.4157771343</v>
      </c>
      <c r="AB94" s="70" t="n">
        <f aca="false">-Z94+AA94+Y94+W94-X94</f>
        <v>1122479.61634729</v>
      </c>
      <c r="AC94" s="70" t="n">
        <f aca="false">AB94-Y94</f>
        <v>384511.413406296</v>
      </c>
      <c r="AD94" s="70" t="n">
        <f aca="false">AC94+Z94-AA94+X94</f>
        <v>302159.383033419</v>
      </c>
      <c r="AE94" s="13" t="n">
        <f aca="false">(W94-Z94+AA94)/(B94+C94+D94)/'Prices&amp;Fuel'!H94</f>
        <v>0.0994286236206118</v>
      </c>
      <c r="AF94" s="1" t="n">
        <v>132000</v>
      </c>
      <c r="AG94" s="7" t="n">
        <f aca="false">((((I94*'Prices&amp;Fuel'!B94+'Prices&amp;Fuel'!C94*FPL!J94+FPL!K94*'Prices&amp;Fuel'!D94))+(L94*'Prices&amp;Fuel'!B94+'Prices&amp;Fuel'!C94*FPL!M94))*'Prices&amp;Fuel'!H94)+(I94+J94+K94)*'Prices&amp;Fuel'!H94*FPL!T94+Q94/2</f>
        <v>8305376.79136276</v>
      </c>
      <c r="AH94" s="7" t="n">
        <f aca="false">(N94*'Prices&amp;Fuel'!B94+'Prices&amp;Fuel'!C94*O94+P94*'Prices&amp;Fuel'!D94)*'Prices&amp;Fuel'!H94+(N94+O94+P94)*'Prices&amp;Fuel'!H94*FPL!T94+Q94/2</f>
        <v>3320255.50436989</v>
      </c>
      <c r="AI94" s="7" t="n">
        <f aca="false">R94*'Prices&amp;Fuel'!H94*'Prices&amp;Fuel'!Q94</f>
        <v>0</v>
      </c>
      <c r="AJ94" s="55" t="n">
        <f aca="false">SUM(AG94:AI94)-'Long Term Deals'!AZ94</f>
        <v>0</v>
      </c>
    </row>
    <row r="95" customFormat="false" ht="11.25" hidden="false" customHeight="false" outlineLevel="0" collapsed="false">
      <c r="A95" s="6" t="n">
        <f aca="false">+A94+365/12</f>
        <v>38486.5</v>
      </c>
      <c r="B95" s="7" t="n">
        <f aca="false">'Long Term Deals'!AF95</f>
        <v>155269.922879177</v>
      </c>
      <c r="C95" s="7" t="n">
        <f aca="false">'Long Term Deals'!AG95</f>
        <v>0</v>
      </c>
      <c r="D95" s="7" t="n">
        <f aca="false">'Long Term Deals'!AH95</f>
        <v>77120.822622108</v>
      </c>
      <c r="E95" s="7" t="n">
        <f aca="false">'Long Term Deals'!AI95</f>
        <v>0</v>
      </c>
      <c r="F95" s="7" t="n">
        <f aca="false">'Long Term Deals'!AJ95</f>
        <v>0</v>
      </c>
      <c r="G95" s="7" t="n">
        <f aca="false">'Long Term Deals'!AK95</f>
        <v>0</v>
      </c>
      <c r="H95" s="7" t="n">
        <f aca="false">'Long Term Deals'!AL95</f>
        <v>0</v>
      </c>
      <c r="I95" s="7" t="n">
        <f aca="false">'Long Term Deals'!AM95</f>
        <v>37635</v>
      </c>
      <c r="J95" s="7" t="n">
        <f aca="false">'Long Term Deals'!AN95</f>
        <v>0</v>
      </c>
      <c r="K95" s="7" t="n">
        <f aca="false">'Long Term Deals'!AO95</f>
        <v>38560</v>
      </c>
      <c r="L95" s="7" t="n">
        <f aca="false">'Long Term Deals'!AP95</f>
        <v>80000</v>
      </c>
      <c r="M95" s="7" t="n">
        <f aca="false">'Long Term Deals'!AQ95</f>
        <v>0</v>
      </c>
      <c r="N95" s="7" t="n">
        <f aca="false">'Long Term Deals'!AR95</f>
        <v>37634.9228791774</v>
      </c>
      <c r="O95" s="7" t="n">
        <f aca="false">'Long Term Deals'!AS95</f>
        <v>0</v>
      </c>
      <c r="P95" s="7" t="n">
        <f aca="false">'Long Term Deals'!AT95</f>
        <v>38560.822622108</v>
      </c>
      <c r="Q95" s="7" t="n">
        <f aca="false">'Long Term Deals'!AU95</f>
        <v>0</v>
      </c>
      <c r="R95" s="7" t="n">
        <f aca="false">'Long Term Deals'!AV95</f>
        <v>0</v>
      </c>
      <c r="S95" s="68" t="n">
        <f aca="false">'Long Term Deals'!AW95</f>
        <v>0.06</v>
      </c>
      <c r="T95" s="68" t="n">
        <f aca="false">'Long Term Deals'!AX95</f>
        <v>0.025</v>
      </c>
      <c r="U95" s="7" t="n">
        <f aca="false">'Long Term Deals'!AY95</f>
        <v>22410659.5557841</v>
      </c>
      <c r="V95" s="7" t="n">
        <f aca="false">'Long Term Deals'!AZ95</f>
        <v>21976978.3218509</v>
      </c>
      <c r="W95" s="5" t="n">
        <f aca="false">U95-V95</f>
        <v>433681.233933166</v>
      </c>
      <c r="X95" s="5" t="n">
        <f aca="false">'Long Term Deals'!CA95</f>
        <v>36020.5655526992</v>
      </c>
      <c r="Y95" s="71" t="n">
        <f aca="false">[4]Sheet1!$AL136</f>
        <v>762567.143039026</v>
      </c>
      <c r="Z95" s="7" t="n">
        <f aca="false">[2]Sheet1!$O111</f>
        <v>-241461.689726178</v>
      </c>
      <c r="AA95" s="7" t="n">
        <f aca="false">'[3]Long Term Deals'!$Z94</f>
        <v>-43972.9018835931</v>
      </c>
      <c r="AB95" s="70" t="n">
        <f aca="false">-Z95+AA95+Y95+W95-X95</f>
        <v>1357716.59926208</v>
      </c>
      <c r="AC95" s="70" t="n">
        <f aca="false">AB95-Y95</f>
        <v>595149.456223052</v>
      </c>
      <c r="AD95" s="70" t="n">
        <f aca="false">AC95+Z95-AA95+X95</f>
        <v>433681.233933166</v>
      </c>
      <c r="AE95" s="13" t="n">
        <f aca="false">(W95-Z95+AA95)/(B95+C95+D95)/'Prices&amp;Fuel'!H95</f>
        <v>0.0876124530655035</v>
      </c>
      <c r="AF95" s="1" t="n">
        <v>226000</v>
      </c>
      <c r="AG95" s="7" t="n">
        <f aca="false">((((I95*'Prices&amp;Fuel'!B95+'Prices&amp;Fuel'!C95*FPL!J95+FPL!K95*'Prices&amp;Fuel'!D95))+(L95*'Prices&amp;Fuel'!B95+'Prices&amp;Fuel'!C95*FPL!M95))*'Prices&amp;Fuel'!H95)+(I95+J95+K95)*'Prices&amp;Fuel'!H95*FPL!T95+Q95/2</f>
        <v>14746773.441635</v>
      </c>
      <c r="AH95" s="7" t="n">
        <f aca="false">(N95*'Prices&amp;Fuel'!B95+'Prices&amp;Fuel'!C95*O95+P95*'Prices&amp;Fuel'!D95)*'Prices&amp;Fuel'!H95+(N95+O95+P95)*'Prices&amp;Fuel'!H95*FPL!T95+Q95/2</f>
        <v>7230204.8802159</v>
      </c>
      <c r="AI95" s="7" t="n">
        <f aca="false">R95*'Prices&amp;Fuel'!H95*'Prices&amp;Fuel'!Q95</f>
        <v>0</v>
      </c>
      <c r="AJ95" s="55" t="n">
        <f aca="false">SUM(AG95:AI95)-'Long Term Deals'!AZ95</f>
        <v>0</v>
      </c>
    </row>
    <row r="96" customFormat="false" ht="11.25" hidden="false" customHeight="false" outlineLevel="0" collapsed="false">
      <c r="A96" s="6" t="n">
        <f aca="false">+A95+365/12</f>
        <v>38516.9166666667</v>
      </c>
      <c r="B96" s="7" t="n">
        <f aca="false">'Long Term Deals'!AF96</f>
        <v>155269.922879177</v>
      </c>
      <c r="C96" s="7" t="n">
        <f aca="false">'Long Term Deals'!AG96</f>
        <v>0</v>
      </c>
      <c r="D96" s="7" t="n">
        <f aca="false">'Long Term Deals'!AH96</f>
        <v>77120.822622108</v>
      </c>
      <c r="E96" s="7" t="n">
        <f aca="false">'Long Term Deals'!AI96</f>
        <v>0</v>
      </c>
      <c r="F96" s="7" t="n">
        <f aca="false">'Long Term Deals'!AJ96</f>
        <v>0</v>
      </c>
      <c r="G96" s="7" t="n">
        <f aca="false">'Long Term Deals'!AK96</f>
        <v>0</v>
      </c>
      <c r="H96" s="7" t="n">
        <f aca="false">'Long Term Deals'!AL96</f>
        <v>0</v>
      </c>
      <c r="I96" s="7" t="n">
        <f aca="false">'Long Term Deals'!AM96</f>
        <v>37635</v>
      </c>
      <c r="J96" s="7" t="n">
        <f aca="false">'Long Term Deals'!AN96</f>
        <v>0</v>
      </c>
      <c r="K96" s="7" t="n">
        <f aca="false">'Long Term Deals'!AO96</f>
        <v>38560</v>
      </c>
      <c r="L96" s="7" t="n">
        <f aca="false">'Long Term Deals'!AP96</f>
        <v>80000</v>
      </c>
      <c r="M96" s="7" t="n">
        <f aca="false">'Long Term Deals'!AQ96</f>
        <v>0</v>
      </c>
      <c r="N96" s="7" t="n">
        <f aca="false">'Long Term Deals'!AR96</f>
        <v>37634.9228791774</v>
      </c>
      <c r="O96" s="7" t="n">
        <f aca="false">'Long Term Deals'!AS96</f>
        <v>0</v>
      </c>
      <c r="P96" s="7" t="n">
        <f aca="false">'Long Term Deals'!AT96</f>
        <v>38560.822622108</v>
      </c>
      <c r="Q96" s="7" t="n">
        <f aca="false">'Long Term Deals'!AU96</f>
        <v>0</v>
      </c>
      <c r="R96" s="7" t="n">
        <f aca="false">'Long Term Deals'!AV96</f>
        <v>0</v>
      </c>
      <c r="S96" s="68" t="n">
        <f aca="false">'Long Term Deals'!AW96</f>
        <v>0.06</v>
      </c>
      <c r="T96" s="68" t="n">
        <f aca="false">'Long Term Deals'!AX96</f>
        <v>0.025</v>
      </c>
      <c r="U96" s="7" t="n">
        <f aca="false">'Long Term Deals'!AY96</f>
        <v>31097429.0609769</v>
      </c>
      <c r="V96" s="7" t="n">
        <f aca="false">'Long Term Deals'!AZ96</f>
        <v>30677737.5442674</v>
      </c>
      <c r="W96" s="5" t="n">
        <f aca="false">U96-V96</f>
        <v>419691.516709507</v>
      </c>
      <c r="X96" s="5" t="n">
        <f aca="false">'Long Term Deals'!CA96</f>
        <v>34858.6118251928</v>
      </c>
      <c r="Y96" s="71" t="n">
        <f aca="false">[4]Sheet1!$AL137</f>
        <v>737968.202940993</v>
      </c>
      <c r="Z96" s="7" t="n">
        <f aca="false">[2]Sheet1!$O112</f>
        <v>-233672.602960818</v>
      </c>
      <c r="AA96" s="7" t="n">
        <f aca="false">'[3]Long Term Deals'!$Z95</f>
        <v>-42554.4211776707</v>
      </c>
      <c r="AB96" s="70" t="n">
        <f aca="false">-Z96+AA96+Y96+W96-X96</f>
        <v>1313919.28960845</v>
      </c>
      <c r="AC96" s="70" t="n">
        <f aca="false">AB96-Y96</f>
        <v>575951.086667461</v>
      </c>
      <c r="AD96" s="70" t="n">
        <f aca="false">AC96+Z96-AA96+X96</f>
        <v>419691.516709506</v>
      </c>
      <c r="AE96" s="13" t="n">
        <f aca="false">(W96-Z96+AA96)/(B96+C96+D96)/'Prices&amp;Fuel'!H96</f>
        <v>0.0876124530655023</v>
      </c>
      <c r="AF96" s="1" t="n">
        <v>226000</v>
      </c>
      <c r="AG96" s="7" t="n">
        <f aca="false">((((I96*'Prices&amp;Fuel'!B96+'Prices&amp;Fuel'!C96*FPL!J96+FPL!K96*'Prices&amp;Fuel'!D96))+(L96*'Prices&amp;Fuel'!B96+'Prices&amp;Fuel'!C96*FPL!M96))*'Prices&amp;Fuel'!H96)+(I96+J96+K96)*'Prices&amp;Fuel'!H96*FPL!T96+Q96/2</f>
        <v>20595536.1550635</v>
      </c>
      <c r="AH96" s="7" t="n">
        <f aca="false">(N96*'Prices&amp;Fuel'!B96+'Prices&amp;Fuel'!C96*O96+P96*'Prices&amp;Fuel'!D96)*'Prices&amp;Fuel'!H96+(N96+O96+P96)*'Prices&amp;Fuel'!H96*FPL!T96+Q96/2</f>
        <v>10082201.3892039</v>
      </c>
      <c r="AI96" s="7" t="n">
        <f aca="false">R96*'Prices&amp;Fuel'!H96*'Prices&amp;Fuel'!Q96</f>
        <v>0</v>
      </c>
      <c r="AJ96" s="55" t="n">
        <f aca="false">SUM(AG96:AI96)-'Long Term Deals'!AZ96</f>
        <v>0</v>
      </c>
    </row>
    <row r="97" customFormat="false" ht="11.25" hidden="false" customHeight="false" outlineLevel="0" collapsed="false">
      <c r="A97" s="6" t="n">
        <f aca="false">+A96+365/12</f>
        <v>38547.3333333333</v>
      </c>
      <c r="B97" s="7" t="n">
        <f aca="false">'Long Term Deals'!AF97</f>
        <v>155269.922879177</v>
      </c>
      <c r="C97" s="7" t="n">
        <f aca="false">'Long Term Deals'!AG97</f>
        <v>0</v>
      </c>
      <c r="D97" s="7" t="n">
        <f aca="false">'Long Term Deals'!AH97</f>
        <v>77120.822622108</v>
      </c>
      <c r="E97" s="7" t="n">
        <f aca="false">'Long Term Deals'!AI97</f>
        <v>0</v>
      </c>
      <c r="F97" s="7" t="n">
        <f aca="false">'Long Term Deals'!AJ97</f>
        <v>0</v>
      </c>
      <c r="G97" s="7" t="n">
        <f aca="false">'Long Term Deals'!AK97</f>
        <v>0</v>
      </c>
      <c r="H97" s="7" t="n">
        <f aca="false">'Long Term Deals'!AL97</f>
        <v>0</v>
      </c>
      <c r="I97" s="7" t="n">
        <f aca="false">'Long Term Deals'!AM97</f>
        <v>37635</v>
      </c>
      <c r="J97" s="7" t="n">
        <f aca="false">'Long Term Deals'!AN97</f>
        <v>0</v>
      </c>
      <c r="K97" s="7" t="n">
        <f aca="false">'Long Term Deals'!AO97</f>
        <v>38560</v>
      </c>
      <c r="L97" s="7" t="n">
        <f aca="false">'Long Term Deals'!AP97</f>
        <v>80000</v>
      </c>
      <c r="M97" s="7" t="n">
        <f aca="false">'Long Term Deals'!AQ97</f>
        <v>0</v>
      </c>
      <c r="N97" s="7" t="n">
        <f aca="false">'Long Term Deals'!AR97</f>
        <v>37634.9228791774</v>
      </c>
      <c r="O97" s="7" t="n">
        <f aca="false">'Long Term Deals'!AS97</f>
        <v>0</v>
      </c>
      <c r="P97" s="7" t="n">
        <f aca="false">'Long Term Deals'!AT97</f>
        <v>38560.822622108</v>
      </c>
      <c r="Q97" s="7" t="n">
        <f aca="false">'Long Term Deals'!AU97</f>
        <v>0</v>
      </c>
      <c r="R97" s="7" t="n">
        <f aca="false">'Long Term Deals'!AV97</f>
        <v>0</v>
      </c>
      <c r="S97" s="68" t="n">
        <f aca="false">'Long Term Deals'!AW97</f>
        <v>0.06</v>
      </c>
      <c r="T97" s="68" t="n">
        <f aca="false">'Long Term Deals'!AX97</f>
        <v>0.025</v>
      </c>
      <c r="U97" s="7" t="n">
        <f aca="false">'Long Term Deals'!AY97</f>
        <v>32059785.9802571</v>
      </c>
      <c r="V97" s="7" t="n">
        <f aca="false">'Long Term Deals'!AZ97</f>
        <v>31626104.7463239</v>
      </c>
      <c r="W97" s="5" t="n">
        <f aca="false">U97-V97</f>
        <v>433681.233933158</v>
      </c>
      <c r="X97" s="5" t="n">
        <f aca="false">'Long Term Deals'!CA97</f>
        <v>36020.5655526992</v>
      </c>
      <c r="Y97" s="71" t="n">
        <f aca="false">[4]Sheet1!$AL138</f>
        <v>762567.143039026</v>
      </c>
      <c r="Z97" s="7" t="n">
        <f aca="false">[2]Sheet1!$O113</f>
        <v>-241461.689726178</v>
      </c>
      <c r="AA97" s="7" t="n">
        <f aca="false">'[3]Long Term Deals'!$Z96</f>
        <v>-43972.9018835931</v>
      </c>
      <c r="AB97" s="70" t="n">
        <f aca="false">-Z97+AA97+Y97+W97-X97</f>
        <v>1357716.59926207</v>
      </c>
      <c r="AC97" s="70" t="n">
        <f aca="false">AB97-Y97</f>
        <v>595149.456223044</v>
      </c>
      <c r="AD97" s="70" t="n">
        <f aca="false">AC97+Z97-AA97+X97</f>
        <v>433681.233933158</v>
      </c>
      <c r="AE97" s="13" t="n">
        <f aca="false">(W97-Z97+AA97)/(B97+C97+D97)/'Prices&amp;Fuel'!H97</f>
        <v>0.0876124530655025</v>
      </c>
      <c r="AF97" s="1" t="n">
        <v>200000</v>
      </c>
      <c r="AG97" s="7" t="n">
        <f aca="false">((((I97*'Prices&amp;Fuel'!B97+'Prices&amp;Fuel'!C97*FPL!J97+FPL!K97*'Prices&amp;Fuel'!D97))+(L97*'Prices&amp;Fuel'!B97+'Prices&amp;Fuel'!C97*FPL!M97))*'Prices&amp;Fuel'!H97)+(I97+J97+K97)*'Prices&amp;Fuel'!H97*FPL!T97+Q97/2</f>
        <v>21232166.3888435</v>
      </c>
      <c r="AH97" s="7" t="n">
        <f aca="false">(N97*'Prices&amp;Fuel'!B97+'Prices&amp;Fuel'!C97*O97+P97*'Prices&amp;Fuel'!D97)*'Prices&amp;Fuel'!H97+(N97+O97+P97)*'Prices&amp;Fuel'!H97*FPL!T97+Q97/2</f>
        <v>10393938.3574804</v>
      </c>
      <c r="AI97" s="7" t="n">
        <f aca="false">R97*'Prices&amp;Fuel'!H97*'Prices&amp;Fuel'!Q97</f>
        <v>0</v>
      </c>
      <c r="AJ97" s="55" t="n">
        <f aca="false">SUM(AG97:AI97)-'Long Term Deals'!AZ97</f>
        <v>0</v>
      </c>
    </row>
    <row r="98" customFormat="false" ht="11.25" hidden="false" customHeight="false" outlineLevel="0" collapsed="false">
      <c r="A98" s="6" t="n">
        <f aca="false">+A97+365/12</f>
        <v>38577.75</v>
      </c>
      <c r="B98" s="7" t="n">
        <f aca="false">'Long Term Deals'!AF98</f>
        <v>128534.70437018</v>
      </c>
      <c r="C98" s="7" t="n">
        <f aca="false">'Long Term Deals'!AG98</f>
        <v>0</v>
      </c>
      <c r="D98" s="7" t="n">
        <f aca="false">'Long Term Deals'!AH98</f>
        <v>77120.822622108</v>
      </c>
      <c r="E98" s="7" t="n">
        <f aca="false">'Long Term Deals'!AI98</f>
        <v>0</v>
      </c>
      <c r="F98" s="7" t="n">
        <f aca="false">'Long Term Deals'!AJ98</f>
        <v>0</v>
      </c>
      <c r="G98" s="7" t="n">
        <f aca="false">'Long Term Deals'!AK98</f>
        <v>0</v>
      </c>
      <c r="H98" s="7" t="n">
        <f aca="false">'Long Term Deals'!AL98</f>
        <v>0</v>
      </c>
      <c r="I98" s="7" t="n">
        <f aca="false">'Long Term Deals'!AM98</f>
        <v>24267</v>
      </c>
      <c r="J98" s="7" t="n">
        <f aca="false">'Long Term Deals'!AN98</f>
        <v>0</v>
      </c>
      <c r="K98" s="7" t="n">
        <f aca="false">'Long Term Deals'!AO98</f>
        <v>38560</v>
      </c>
      <c r="L98" s="7" t="n">
        <f aca="false">'Long Term Deals'!AP98</f>
        <v>80000</v>
      </c>
      <c r="M98" s="7" t="n">
        <f aca="false">'Long Term Deals'!AQ98</f>
        <v>0</v>
      </c>
      <c r="N98" s="7" t="n">
        <f aca="false">'Long Term Deals'!AR98</f>
        <v>24267.70437018</v>
      </c>
      <c r="O98" s="7" t="n">
        <f aca="false">'Long Term Deals'!AS98</f>
        <v>0</v>
      </c>
      <c r="P98" s="7" t="n">
        <f aca="false">'Long Term Deals'!AT98</f>
        <v>38560.822622108</v>
      </c>
      <c r="Q98" s="7" t="n">
        <f aca="false">'Long Term Deals'!AU98</f>
        <v>0</v>
      </c>
      <c r="R98" s="7" t="n">
        <f aca="false">'Long Term Deals'!AV98</f>
        <v>0</v>
      </c>
      <c r="S98" s="68" t="n">
        <f aca="false">'Long Term Deals'!AW98</f>
        <v>0.06</v>
      </c>
      <c r="T98" s="68" t="n">
        <f aca="false">'Long Term Deals'!AX98</f>
        <v>0.025</v>
      </c>
      <c r="U98" s="7" t="n">
        <f aca="false">'Long Term Deals'!AY98</f>
        <v>24841004.5367609</v>
      </c>
      <c r="V98" s="7" t="n">
        <f aca="false">'Long Term Deals'!AZ98</f>
        <v>24436331.01491</v>
      </c>
      <c r="W98" s="5" t="n">
        <f aca="false">U98-V98</f>
        <v>404673.521850899</v>
      </c>
      <c r="X98" s="5" t="n">
        <f aca="false">'Long Term Deals'!CA98</f>
        <v>31876.6066838046</v>
      </c>
      <c r="Y98" s="71" t="n">
        <f aca="false">[4]Sheet1!$AL139</f>
        <v>762567.143039026</v>
      </c>
      <c r="Z98" s="7" t="n">
        <f aca="false">[2]Sheet1!$O114</f>
        <v>-213682.911262105</v>
      </c>
      <c r="AA98" s="7" t="n">
        <f aca="false">'[3]Long Term Deals'!$Z97</f>
        <v>-43972.9018835931</v>
      </c>
      <c r="AB98" s="70" t="n">
        <f aca="false">-Z98+AA98+Y98+W98-X98</f>
        <v>1305074.06758463</v>
      </c>
      <c r="AC98" s="70" t="n">
        <f aca="false">AB98-Y98</f>
        <v>542506.924545606</v>
      </c>
      <c r="AD98" s="70" t="n">
        <f aca="false">AC98+Z98-AA98+X98</f>
        <v>404673.521850899</v>
      </c>
      <c r="AE98" s="13" t="n">
        <f aca="false">(W98-Z98+AA98)/(B98+C98+D98)/'Prices&amp;Fuel'!H98</f>
        <v>0.0900948361484842</v>
      </c>
      <c r="AF98" s="1" t="n">
        <v>200000</v>
      </c>
      <c r="AG98" s="7" t="n">
        <f aca="false">((((I98*'Prices&amp;Fuel'!B98+'Prices&amp;Fuel'!C98*FPL!J98+FPL!K98*'Prices&amp;Fuel'!D98))+(L98*'Prices&amp;Fuel'!B98+'Prices&amp;Fuel'!C98*FPL!M98))*'Prices&amp;Fuel'!H98)+(I98+J98+K98)*'Prices&amp;Fuel'!H98*FPL!T98+Q98/2</f>
        <v>16947349.9010511</v>
      </c>
      <c r="AH98" s="7" t="n">
        <f aca="false">(N98*'Prices&amp;Fuel'!B98+'Prices&amp;Fuel'!C98*O98+P98*'Prices&amp;Fuel'!D98)*'Prices&amp;Fuel'!H98+(N98+O98+P98)*'Prices&amp;Fuel'!H98*FPL!T98+Q98/2</f>
        <v>7488981.11385891</v>
      </c>
      <c r="AI98" s="7" t="n">
        <f aca="false">R98*'Prices&amp;Fuel'!H98*'Prices&amp;Fuel'!Q98</f>
        <v>0</v>
      </c>
      <c r="AJ98" s="55" t="n">
        <f aca="false">SUM(AG98:AI98)-'Long Term Deals'!AZ98</f>
        <v>0</v>
      </c>
    </row>
    <row r="99" customFormat="false" ht="11.25" hidden="false" customHeight="false" outlineLevel="0" collapsed="false">
      <c r="A99" s="6" t="n">
        <f aca="false">+A98+365/12</f>
        <v>38608.1666666667</v>
      </c>
      <c r="B99" s="7" t="n">
        <f aca="false">'Long Term Deals'!AF99</f>
        <v>128534.70437018</v>
      </c>
      <c r="C99" s="7" t="n">
        <f aca="false">'Long Term Deals'!AG99</f>
        <v>0</v>
      </c>
      <c r="D99" s="7" t="n">
        <f aca="false">'Long Term Deals'!AH99</f>
        <v>77120.822622108</v>
      </c>
      <c r="E99" s="7" t="n">
        <f aca="false">'Long Term Deals'!AI99</f>
        <v>0</v>
      </c>
      <c r="F99" s="7" t="n">
        <f aca="false">'Long Term Deals'!AJ99</f>
        <v>0</v>
      </c>
      <c r="G99" s="7" t="n">
        <f aca="false">'Long Term Deals'!AK99</f>
        <v>0</v>
      </c>
      <c r="H99" s="7" t="n">
        <f aca="false">'Long Term Deals'!AL99</f>
        <v>0</v>
      </c>
      <c r="I99" s="7" t="n">
        <f aca="false">'Long Term Deals'!AM99</f>
        <v>64267</v>
      </c>
      <c r="J99" s="7" t="n">
        <f aca="false">'Long Term Deals'!AN99</f>
        <v>0</v>
      </c>
      <c r="K99" s="7" t="n">
        <f aca="false">'Long Term Deals'!AO99</f>
        <v>38560</v>
      </c>
      <c r="L99" s="7" t="n">
        <f aca="false">'Long Term Deals'!AP99</f>
        <v>0</v>
      </c>
      <c r="M99" s="7" t="n">
        <f aca="false">'Long Term Deals'!AQ99</f>
        <v>0</v>
      </c>
      <c r="N99" s="7" t="n">
        <f aca="false">'Long Term Deals'!AR99</f>
        <v>64267.70437018</v>
      </c>
      <c r="O99" s="7" t="n">
        <f aca="false">'Long Term Deals'!AS99</f>
        <v>0</v>
      </c>
      <c r="P99" s="7" t="n">
        <f aca="false">'Long Term Deals'!AT99</f>
        <v>38560.822622108</v>
      </c>
      <c r="Q99" s="7" t="n">
        <f aca="false">'Long Term Deals'!AU99</f>
        <v>0</v>
      </c>
      <c r="R99" s="7" t="n">
        <f aca="false">'Long Term Deals'!AV99</f>
        <v>0</v>
      </c>
      <c r="S99" s="68" t="n">
        <f aca="false">'Long Term Deals'!AW99</f>
        <v>0.06</v>
      </c>
      <c r="T99" s="68" t="n">
        <f aca="false">'Long Term Deals'!AX99</f>
        <v>0.025</v>
      </c>
      <c r="U99" s="7" t="n">
        <f aca="false">'Long Term Deals'!AY99</f>
        <v>28934273.7069409</v>
      </c>
      <c r="V99" s="7" t="n">
        <f aca="false">'Long Term Deals'!AZ99</f>
        <v>28602654.1696658</v>
      </c>
      <c r="W99" s="5" t="n">
        <f aca="false">U99-V99</f>
        <v>331619.537275057</v>
      </c>
      <c r="X99" s="5" t="n">
        <f aca="false">'Long Term Deals'!CA99</f>
        <v>30848.3290488432</v>
      </c>
      <c r="Y99" s="71" t="n">
        <f aca="false">[4]Sheet1!$AL140</f>
        <v>0</v>
      </c>
      <c r="Z99" s="7" t="n">
        <f aca="false">[2]Sheet1!$O115</f>
        <v>-206789.914124617</v>
      </c>
      <c r="AA99" s="7" t="n">
        <f aca="false">'[3]Long Term Deals'!$Z98</f>
        <v>17445.5788223299</v>
      </c>
      <c r="AB99" s="70" t="n">
        <f aca="false">-Z99+AA99+Y99+W99-X99</f>
        <v>525006.701173161</v>
      </c>
      <c r="AC99" s="70" t="n">
        <f aca="false">AB99-Y99</f>
        <v>525006.701173161</v>
      </c>
      <c r="AD99" s="70" t="n">
        <f aca="false">AC99+Z99-AA99+X99</f>
        <v>331619.537275057</v>
      </c>
      <c r="AE99" s="13" t="n">
        <f aca="false">(W99-Z99+AA99)/(B99+C99+D99)/'Prices&amp;Fuel'!H99</f>
        <v>0.0900948361484833</v>
      </c>
      <c r="AF99" s="1" t="n">
        <v>200000</v>
      </c>
      <c r="AG99" s="7" t="n">
        <f aca="false">((((I99*'Prices&amp;Fuel'!B99+'Prices&amp;Fuel'!C99*FPL!J99+FPL!K99*'Prices&amp;Fuel'!D99))+(L99*'Prices&amp;Fuel'!B99+'Prices&amp;Fuel'!C99*FPL!M99))*'Prices&amp;Fuel'!H99)+(I99+J99+K99)*'Prices&amp;Fuel'!H99*FPL!T99+Q99/2</f>
        <v>14301220.8599793</v>
      </c>
      <c r="AH99" s="7" t="n">
        <f aca="false">(N99*'Prices&amp;Fuel'!B99+'Prices&amp;Fuel'!C99*O99+P99*'Prices&amp;Fuel'!D99)*'Prices&amp;Fuel'!H99+(N99+O99+P99)*'Prices&amp;Fuel'!H99*FPL!T99+Q99/2</f>
        <v>14301433.3096865</v>
      </c>
      <c r="AI99" s="7" t="n">
        <f aca="false">R99*'Prices&amp;Fuel'!H99*'Prices&amp;Fuel'!Q99</f>
        <v>0</v>
      </c>
      <c r="AJ99" s="55" t="n">
        <f aca="false">SUM(AG99:AI99)-'Long Term Deals'!AZ99</f>
        <v>0</v>
      </c>
    </row>
    <row r="100" customFormat="false" ht="11.25" hidden="false" customHeight="false" outlineLevel="0" collapsed="false">
      <c r="A100" s="6" t="n">
        <f aca="false">+A99+365/12</f>
        <v>38638.5833333333</v>
      </c>
      <c r="B100" s="7" t="n">
        <f aca="false">'Long Term Deals'!AF100</f>
        <v>58611.8251928021</v>
      </c>
      <c r="C100" s="7" t="n">
        <f aca="false">'Long Term Deals'!AG100</f>
        <v>0</v>
      </c>
      <c r="D100" s="7" t="n">
        <f aca="false">'Long Term Deals'!AH100</f>
        <v>77120.822622108</v>
      </c>
      <c r="E100" s="7" t="n">
        <f aca="false">'Long Term Deals'!AI100</f>
        <v>0</v>
      </c>
      <c r="F100" s="7" t="n">
        <f aca="false">'Long Term Deals'!AJ100</f>
        <v>0</v>
      </c>
      <c r="G100" s="7" t="n">
        <f aca="false">'Long Term Deals'!AK100</f>
        <v>0</v>
      </c>
      <c r="H100" s="7" t="n">
        <f aca="false">'Long Term Deals'!AL100</f>
        <v>0</v>
      </c>
      <c r="I100" s="7" t="n">
        <f aca="false">'Long Term Deals'!AM100</f>
        <v>29306</v>
      </c>
      <c r="J100" s="7" t="n">
        <f aca="false">'Long Term Deals'!AN100</f>
        <v>0</v>
      </c>
      <c r="K100" s="7" t="n">
        <f aca="false">'Long Term Deals'!AO100</f>
        <v>38560</v>
      </c>
      <c r="L100" s="7" t="n">
        <f aca="false">'Long Term Deals'!AP100</f>
        <v>0</v>
      </c>
      <c r="M100" s="7" t="n">
        <f aca="false">'Long Term Deals'!AQ100</f>
        <v>0</v>
      </c>
      <c r="N100" s="7" t="n">
        <f aca="false">'Long Term Deals'!AR100</f>
        <v>29305.8251928021</v>
      </c>
      <c r="O100" s="7" t="n">
        <f aca="false">'Long Term Deals'!AS100</f>
        <v>0</v>
      </c>
      <c r="P100" s="7" t="n">
        <f aca="false">'Long Term Deals'!AT100</f>
        <v>38560.822622108</v>
      </c>
      <c r="Q100" s="7" t="n">
        <f aca="false">'Long Term Deals'!AU100</f>
        <v>0</v>
      </c>
      <c r="R100" s="7" t="n">
        <f aca="false">'Long Term Deals'!AV100</f>
        <v>0</v>
      </c>
      <c r="S100" s="68" t="n">
        <f aca="false">'Long Term Deals'!AW100</f>
        <v>0.06</v>
      </c>
      <c r="T100" s="68" t="n">
        <f aca="false">'Long Term Deals'!AX100</f>
        <v>0.025</v>
      </c>
      <c r="U100" s="7" t="n">
        <f aca="false">'Long Term Deals'!AY100</f>
        <v>22729888.6532853</v>
      </c>
      <c r="V100" s="7" t="n">
        <f aca="false">'Long Term Deals'!AZ100</f>
        <v>22463081.4553419</v>
      </c>
      <c r="W100" s="5" t="n">
        <f aca="false">U100-V100</f>
        <v>266807.197943442</v>
      </c>
      <c r="X100" s="5" t="n">
        <f aca="false">'Long Term Deals'!CA100</f>
        <v>21038.5604113111</v>
      </c>
      <c r="Y100" s="71"/>
      <c r="Z100" s="7" t="n">
        <f aca="false">[2]Sheet1!$O116</f>
        <v>-141030.721432989</v>
      </c>
      <c r="AA100" s="7" t="n">
        <f aca="false">'[3]Long Term Deals'!$Z99</f>
        <v>10529.1015547159</v>
      </c>
      <c r="AB100" s="70" t="n">
        <f aca="false">-Z100+AA100+Y100+W100-X100</f>
        <v>397328.460519836</v>
      </c>
      <c r="AC100" s="70" t="n">
        <f aca="false">AB100-Y100</f>
        <v>397328.460519836</v>
      </c>
      <c r="AD100" s="70" t="n">
        <f aca="false">AC100+Z100-AA100+X100</f>
        <v>266807.197943442</v>
      </c>
      <c r="AE100" s="13" t="n">
        <f aca="false">(W100-Z100+AA100)/(B100+C100+D100)/'Prices&amp;Fuel'!H100</f>
        <v>0.099428623620611</v>
      </c>
      <c r="AF100" s="1" t="n">
        <v>132000</v>
      </c>
      <c r="AG100" s="7" t="n">
        <f aca="false">((((I100*'Prices&amp;Fuel'!B100+'Prices&amp;Fuel'!C100*FPL!J100+FPL!K100*'Prices&amp;Fuel'!D100))+(L100*'Prices&amp;Fuel'!B100+'Prices&amp;Fuel'!C100*FPL!M100))*'Prices&amp;Fuel'!H100)+(I100+J100+K100)*'Prices&amp;Fuel'!H100*FPL!T100+Q100/2</f>
        <v>11231487.0521357</v>
      </c>
      <c r="AH100" s="7" t="n">
        <f aca="false">(N100*'Prices&amp;Fuel'!B100+'Prices&amp;Fuel'!C100*O100+P100*'Prices&amp;Fuel'!D100)*'Prices&amp;Fuel'!H100+(N100+O100+P100)*'Prices&amp;Fuel'!H100*FPL!T100+Q100/2</f>
        <v>11231594.4032062</v>
      </c>
      <c r="AI100" s="7" t="n">
        <f aca="false">R100*'Prices&amp;Fuel'!H100*'Prices&amp;Fuel'!Q100</f>
        <v>0</v>
      </c>
      <c r="AJ100" s="55" t="n">
        <f aca="false">SUM(AG100:AI100)-'Long Term Deals'!AZ100</f>
        <v>0</v>
      </c>
    </row>
    <row r="101" customFormat="false" ht="11.25" hidden="false" customHeight="false" outlineLevel="0" collapsed="false">
      <c r="A101" s="6" t="n">
        <f aca="false">+A100+365/12</f>
        <v>38669</v>
      </c>
      <c r="B101" s="7" t="n">
        <f aca="false">'Long Term Deals'!AF101</f>
        <v>58611.8251928021</v>
      </c>
      <c r="C101" s="7" t="n">
        <f aca="false">'Long Term Deals'!AG101</f>
        <v>0</v>
      </c>
      <c r="D101" s="7" t="n">
        <f aca="false">'Long Term Deals'!AH101</f>
        <v>77120.822622108</v>
      </c>
      <c r="E101" s="7" t="n">
        <f aca="false">'Long Term Deals'!AI101</f>
        <v>0</v>
      </c>
      <c r="F101" s="7" t="n">
        <f aca="false">'Long Term Deals'!AJ101</f>
        <v>0</v>
      </c>
      <c r="G101" s="7" t="n">
        <f aca="false">'Long Term Deals'!AK101</f>
        <v>0</v>
      </c>
      <c r="H101" s="7" t="n">
        <f aca="false">'Long Term Deals'!AL101</f>
        <v>0</v>
      </c>
      <c r="I101" s="7" t="n">
        <f aca="false">'Long Term Deals'!AM101</f>
        <v>29306</v>
      </c>
      <c r="J101" s="7" t="n">
        <f aca="false">'Long Term Deals'!AN101</f>
        <v>0</v>
      </c>
      <c r="K101" s="7" t="n">
        <f aca="false">'Long Term Deals'!AO101</f>
        <v>38560</v>
      </c>
      <c r="L101" s="7" t="n">
        <f aca="false">'Long Term Deals'!AP101</f>
        <v>0</v>
      </c>
      <c r="M101" s="7" t="n">
        <f aca="false">'Long Term Deals'!AQ101</f>
        <v>0</v>
      </c>
      <c r="N101" s="7" t="n">
        <f aca="false">'Long Term Deals'!AR101</f>
        <v>29305.8251928021</v>
      </c>
      <c r="O101" s="7" t="n">
        <f aca="false">'Long Term Deals'!AS101</f>
        <v>0</v>
      </c>
      <c r="P101" s="7" t="n">
        <f aca="false">'Long Term Deals'!AT101</f>
        <v>38560.822622108</v>
      </c>
      <c r="Q101" s="7" t="n">
        <f aca="false">'Long Term Deals'!AU101</f>
        <v>0</v>
      </c>
      <c r="R101" s="7" t="n">
        <f aca="false">'Long Term Deals'!AV101</f>
        <v>0</v>
      </c>
      <c r="S101" s="68" t="n">
        <f aca="false">'Long Term Deals'!AW101</f>
        <v>0.06</v>
      </c>
      <c r="T101" s="68" t="n">
        <f aca="false">'Long Term Deals'!AX101</f>
        <v>0.025</v>
      </c>
      <c r="U101" s="7" t="n">
        <f aca="false">'Long Term Deals'!AY101</f>
        <v>14738685.8825707</v>
      </c>
      <c r="V101" s="7" t="n">
        <f aca="false">'Long Term Deals'!AZ101</f>
        <v>14480485.3684319</v>
      </c>
      <c r="W101" s="5" t="n">
        <f aca="false">U101-V101</f>
        <v>258200.51413882</v>
      </c>
      <c r="X101" s="5" t="n">
        <f aca="false">'Long Term Deals'!CA101</f>
        <v>20359.8971722365</v>
      </c>
      <c r="Y101" s="71"/>
      <c r="Z101" s="7" t="n">
        <f aca="false">[2]Sheet1!$O117</f>
        <v>-136481.343322248</v>
      </c>
      <c r="AA101" s="7" t="n">
        <f aca="false">'[3]Long Term Deals'!$Z100</f>
        <v>10189.453117467</v>
      </c>
      <c r="AB101" s="70" t="n">
        <f aca="false">-Z101+AA101+Y101+W101-X101</f>
        <v>384511.413406298</v>
      </c>
      <c r="AC101" s="70" t="n">
        <f aca="false">AB101-Y101</f>
        <v>384511.413406298</v>
      </c>
      <c r="AD101" s="70" t="n">
        <f aca="false">AC101+Z101-AA101+X101</f>
        <v>258200.51413882</v>
      </c>
      <c r="AE101" s="13" t="n">
        <f aca="false">(W101-Z101+AA101)/(B101+C101+D101)/'Prices&amp;Fuel'!H101</f>
        <v>0.0994286236206123</v>
      </c>
      <c r="AF101" s="1" t="n">
        <v>132000</v>
      </c>
      <c r="AG101" s="7" t="n">
        <f aca="false">((((I101*'Prices&amp;Fuel'!B101+'Prices&amp;Fuel'!C101*FPL!J101+FPL!K101*'Prices&amp;Fuel'!D101))+(L101*'Prices&amp;Fuel'!B101+'Prices&amp;Fuel'!C101*FPL!M101))*'Prices&amp;Fuel'!H101)+(I101+J101+K101)*'Prices&amp;Fuel'!H101*FPL!T101+Q101/2</f>
        <v>7240208.0603304</v>
      </c>
      <c r="AH101" s="7" t="n">
        <f aca="false">(N101*'Prices&amp;Fuel'!B101+'Prices&amp;Fuel'!C101*O101+P101*'Prices&amp;Fuel'!D101)*'Prices&amp;Fuel'!H101+(N101+O101+P101)*'Prices&amp;Fuel'!H101*FPL!T101+Q101/2</f>
        <v>7240277.30810148</v>
      </c>
      <c r="AI101" s="7" t="n">
        <f aca="false">R101*'Prices&amp;Fuel'!H101*'Prices&amp;Fuel'!Q101</f>
        <v>0</v>
      </c>
      <c r="AJ101" s="55" t="n">
        <f aca="false">SUM(AG101:AI101)-'Long Term Deals'!AZ101</f>
        <v>0</v>
      </c>
    </row>
    <row r="102" customFormat="false" ht="11.25" hidden="false" customHeight="false" outlineLevel="0" collapsed="false">
      <c r="A102" s="6" t="n">
        <f aca="false">+A101+365/12</f>
        <v>38699.4166666667</v>
      </c>
      <c r="B102" s="7" t="n">
        <f aca="false">'Long Term Deals'!AF102</f>
        <v>58611.8251928021</v>
      </c>
      <c r="C102" s="7" t="n">
        <f aca="false">'Long Term Deals'!AG102</f>
        <v>0</v>
      </c>
      <c r="D102" s="7" t="n">
        <f aca="false">'Long Term Deals'!AH102</f>
        <v>77120.822622108</v>
      </c>
      <c r="E102" s="7" t="n">
        <f aca="false">'Long Term Deals'!AI102</f>
        <v>0</v>
      </c>
      <c r="F102" s="7" t="n">
        <f aca="false">'Long Term Deals'!AJ102</f>
        <v>0</v>
      </c>
      <c r="G102" s="7" t="n">
        <f aca="false">'Long Term Deals'!AK102</f>
        <v>0</v>
      </c>
      <c r="H102" s="7" t="n">
        <f aca="false">'Long Term Deals'!AL102</f>
        <v>0</v>
      </c>
      <c r="I102" s="7" t="n">
        <f aca="false">'Long Term Deals'!AM102</f>
        <v>29306</v>
      </c>
      <c r="J102" s="7" t="n">
        <f aca="false">'Long Term Deals'!AN102</f>
        <v>0</v>
      </c>
      <c r="K102" s="7" t="n">
        <f aca="false">'Long Term Deals'!AO102</f>
        <v>38560</v>
      </c>
      <c r="L102" s="7" t="n">
        <f aca="false">'Long Term Deals'!AP102</f>
        <v>0</v>
      </c>
      <c r="M102" s="7" t="n">
        <f aca="false">'Long Term Deals'!AQ102</f>
        <v>0</v>
      </c>
      <c r="N102" s="7" t="n">
        <f aca="false">'Long Term Deals'!AR102</f>
        <v>29305.8251928021</v>
      </c>
      <c r="O102" s="7" t="n">
        <f aca="false">'Long Term Deals'!AS102</f>
        <v>0</v>
      </c>
      <c r="P102" s="7" t="n">
        <f aca="false">'Long Term Deals'!AT102</f>
        <v>38560.822622108</v>
      </c>
      <c r="Q102" s="7" t="n">
        <f aca="false">'Long Term Deals'!AU102</f>
        <v>0</v>
      </c>
      <c r="R102" s="7" t="n">
        <f aca="false">'Long Term Deals'!AV102</f>
        <v>0</v>
      </c>
      <c r="S102" s="68" t="n">
        <f aca="false">'Long Term Deals'!AW102</f>
        <v>0.06</v>
      </c>
      <c r="T102" s="68" t="n">
        <f aca="false">'Long Term Deals'!AX102</f>
        <v>0.025</v>
      </c>
      <c r="U102" s="7" t="n">
        <f aca="false">'Long Term Deals'!AY102</f>
        <v>11414990.6418509</v>
      </c>
      <c r="V102" s="7" t="n">
        <f aca="false">'Long Term Deals'!AZ102</f>
        <v>11148183.4439075</v>
      </c>
      <c r="W102" s="5" t="n">
        <f aca="false">U102-V102</f>
        <v>266807.197943445</v>
      </c>
      <c r="X102" s="5" t="n">
        <f aca="false">'Long Term Deals'!CA102</f>
        <v>21038.5604113111</v>
      </c>
      <c r="Y102" s="71"/>
      <c r="Z102" s="7" t="n">
        <f aca="false">[2]Sheet1!$O118</f>
        <v>-141030.721432989</v>
      </c>
      <c r="AA102" s="7" t="n">
        <f aca="false">'[3]Long Term Deals'!$Z101</f>
        <v>10529.1015547159</v>
      </c>
      <c r="AB102" s="70" t="n">
        <f aca="false">-Z102+AA102+Y102+W102-X102</f>
        <v>397328.460519839</v>
      </c>
      <c r="AC102" s="70" t="n">
        <f aca="false">AB102-Y102</f>
        <v>397328.460519839</v>
      </c>
      <c r="AD102" s="70" t="n">
        <f aca="false">AC102+Z102-AA102+X102</f>
        <v>266807.197943445</v>
      </c>
      <c r="AE102" s="13" t="n">
        <f aca="false">(W102-Z102+AA102)/(B102+C102+D102)/'Prices&amp;Fuel'!H102</f>
        <v>0.0994286236206118</v>
      </c>
      <c r="AF102" s="1" t="n">
        <v>132000</v>
      </c>
      <c r="AG102" s="7" t="n">
        <f aca="false">((((I102*'Prices&amp;Fuel'!B102+'Prices&amp;Fuel'!C102*FPL!J102+FPL!K102*'Prices&amp;Fuel'!D102))+(L102*'Prices&amp;Fuel'!B102+'Prices&amp;Fuel'!C102*FPL!M102))*'Prices&amp;Fuel'!H102)+(I102+J102+K102)*'Prices&amp;Fuel'!H102*FPL!T102+Q102/2</f>
        <v>5574065.0478796</v>
      </c>
      <c r="AH102" s="7" t="n">
        <f aca="false">(N102*'Prices&amp;Fuel'!B102+'Prices&amp;Fuel'!C102*O102+P102*'Prices&amp;Fuel'!D102)*'Prices&amp;Fuel'!H102+(N102+O102+P102)*'Prices&amp;Fuel'!H102*FPL!T102+Q102/2</f>
        <v>5574118.39602786</v>
      </c>
      <c r="AI102" s="7" t="n">
        <f aca="false">R102*'Prices&amp;Fuel'!H102*'Prices&amp;Fuel'!Q102</f>
        <v>0</v>
      </c>
      <c r="AJ102" s="55" t="n">
        <f aca="false">SUM(AG102:AI102)-'Long Term Deals'!AZ102</f>
        <v>0</v>
      </c>
    </row>
    <row r="103" customFormat="false" ht="11.25" hidden="false" customHeight="false" outlineLevel="0" collapsed="false">
      <c r="A103" s="6" t="n">
        <f aca="false">+A102+365/12</f>
        <v>38729.8333333333</v>
      </c>
      <c r="B103" s="7" t="n">
        <f aca="false">'Long Term Deals'!AF103</f>
        <v>58611.8251928021</v>
      </c>
      <c r="C103" s="7" t="n">
        <f aca="false">'Long Term Deals'!AG103</f>
        <v>0</v>
      </c>
      <c r="D103" s="7" t="n">
        <f aca="false">'Long Term Deals'!AH103</f>
        <v>77120.822622108</v>
      </c>
      <c r="E103" s="7" t="n">
        <f aca="false">'Long Term Deals'!AI103</f>
        <v>0</v>
      </c>
      <c r="F103" s="7" t="n">
        <f aca="false">'Long Term Deals'!AJ103</f>
        <v>0</v>
      </c>
      <c r="G103" s="7" t="n">
        <f aca="false">'Long Term Deals'!AK103</f>
        <v>0</v>
      </c>
      <c r="H103" s="7" t="n">
        <f aca="false">'Long Term Deals'!AL103</f>
        <v>0</v>
      </c>
      <c r="I103" s="7" t="n">
        <f aca="false">'Long Term Deals'!AM103</f>
        <v>29306</v>
      </c>
      <c r="J103" s="7" t="n">
        <f aca="false">'Long Term Deals'!AN103</f>
        <v>0</v>
      </c>
      <c r="K103" s="7" t="n">
        <f aca="false">'Long Term Deals'!AO103</f>
        <v>38560</v>
      </c>
      <c r="L103" s="7" t="n">
        <f aca="false">'Long Term Deals'!AP103</f>
        <v>0</v>
      </c>
      <c r="M103" s="7" t="n">
        <f aca="false">'Long Term Deals'!AQ103</f>
        <v>0</v>
      </c>
      <c r="N103" s="7" t="n">
        <f aca="false">'Long Term Deals'!AR103</f>
        <v>29305.8251928021</v>
      </c>
      <c r="O103" s="7" t="n">
        <f aca="false">'Long Term Deals'!AS103</f>
        <v>0</v>
      </c>
      <c r="P103" s="7" t="n">
        <f aca="false">'Long Term Deals'!AT103</f>
        <v>38560.822622108</v>
      </c>
      <c r="Q103" s="7" t="n">
        <f aca="false">'Long Term Deals'!AU103</f>
        <v>0</v>
      </c>
      <c r="R103" s="7" t="n">
        <f aca="false">'Long Term Deals'!AV103</f>
        <v>0</v>
      </c>
      <c r="S103" s="68" t="n">
        <f aca="false">'Long Term Deals'!AW103</f>
        <v>0.05</v>
      </c>
      <c r="T103" s="68" t="n">
        <f aca="false">'Long Term Deals'!AX103</f>
        <v>0.025</v>
      </c>
      <c r="U103" s="7" t="n">
        <f aca="false">'Long Term Deals'!AY103</f>
        <v>10040703.4984559</v>
      </c>
      <c r="V103" s="7" t="n">
        <f aca="false">'Long Term Deals'!AZ103</f>
        <v>9815973.42133512</v>
      </c>
      <c r="W103" s="5" t="n">
        <f aca="false">U103-V103</f>
        <v>224730.077120824</v>
      </c>
      <c r="X103" s="5" t="n">
        <f aca="false">'Long Term Deals'!CA103</f>
        <v>21038.5604113111</v>
      </c>
      <c r="Y103" s="71"/>
      <c r="Z103" s="7" t="n">
        <f aca="false">[2]Sheet1!$O120</f>
        <v>-183238.044795547</v>
      </c>
      <c r="AA103" s="7" t="n">
        <f aca="false">'[3]Long Term Deals'!$Z102</f>
        <v>10529.1015547159</v>
      </c>
      <c r="AB103" s="70" t="n">
        <f aca="false">-Z103+AA103+Y103+W103-X103</f>
        <v>397458.663059776</v>
      </c>
      <c r="AC103" s="70" t="n">
        <f aca="false">AB103-Y103</f>
        <v>397458.663059776</v>
      </c>
      <c r="AD103" s="70" t="n">
        <f aca="false">AC103+Z103-AA103+X103</f>
        <v>224730.077120824</v>
      </c>
      <c r="AE103" s="13" t="n">
        <f aca="false">(W103-Z103+AA103)/(B103+C103+D103)/'Prices&amp;Fuel'!H103</f>
        <v>0.0994595674060684</v>
      </c>
      <c r="AF103" s="1" t="n">
        <v>132000</v>
      </c>
      <c r="AG103" s="7" t="n">
        <f aca="false">((((I103*'Prices&amp;Fuel'!B103+'Prices&amp;Fuel'!C103*FPL!J103+FPL!K103*'Prices&amp;Fuel'!D103))+(L103*'Prices&amp;Fuel'!B103+'Prices&amp;Fuel'!C103*FPL!M103))*'Prices&amp;Fuel'!H103)+(I103+J103+K103)*'Prices&amp;Fuel'!H103*FPL!T103+Q103/2</f>
        <v>4907963.21573099</v>
      </c>
      <c r="AH103" s="7" t="n">
        <f aca="false">(N103*'Prices&amp;Fuel'!B103+'Prices&amp;Fuel'!C103*O103+P103*'Prices&amp;Fuel'!D103)*'Prices&amp;Fuel'!H103+(N103+O103+P103)*'Prices&amp;Fuel'!H103*FPL!T103+Q103/2</f>
        <v>4908010.20560413</v>
      </c>
      <c r="AI103" s="7" t="n">
        <f aca="false">R103*'Prices&amp;Fuel'!H103*'Prices&amp;Fuel'!Q103</f>
        <v>0</v>
      </c>
      <c r="AJ103" s="55" t="n">
        <f aca="false">SUM(AG103:AI103)-'Long Term Deals'!AZ103</f>
        <v>0</v>
      </c>
    </row>
    <row r="104" customFormat="false" ht="11.25" hidden="false" customHeight="false" outlineLevel="0" collapsed="false">
      <c r="A104" s="6" t="n">
        <f aca="false">+A103+365/12</f>
        <v>38760.25</v>
      </c>
      <c r="B104" s="7" t="n">
        <f aca="false">'Long Term Deals'!AF104</f>
        <v>58611.8251928021</v>
      </c>
      <c r="C104" s="7" t="n">
        <f aca="false">'Long Term Deals'!AG104</f>
        <v>0</v>
      </c>
      <c r="D104" s="7" t="n">
        <f aca="false">'Long Term Deals'!AH104</f>
        <v>77120.822622108</v>
      </c>
      <c r="E104" s="7" t="n">
        <f aca="false">'Long Term Deals'!AI104</f>
        <v>0</v>
      </c>
      <c r="F104" s="7" t="n">
        <f aca="false">'Long Term Deals'!AJ104</f>
        <v>0</v>
      </c>
      <c r="G104" s="7" t="n">
        <f aca="false">'Long Term Deals'!AK104</f>
        <v>0</v>
      </c>
      <c r="H104" s="7" t="n">
        <f aca="false">'Long Term Deals'!AL104</f>
        <v>0</v>
      </c>
      <c r="I104" s="7" t="n">
        <f aca="false">'Long Term Deals'!AM104</f>
        <v>29306</v>
      </c>
      <c r="J104" s="7" t="n">
        <f aca="false">'Long Term Deals'!AN104</f>
        <v>0</v>
      </c>
      <c r="K104" s="7" t="n">
        <f aca="false">'Long Term Deals'!AO104</f>
        <v>38560</v>
      </c>
      <c r="L104" s="7" t="n">
        <f aca="false">'Long Term Deals'!AP104</f>
        <v>0</v>
      </c>
      <c r="M104" s="7" t="n">
        <f aca="false">'Long Term Deals'!AQ104</f>
        <v>0</v>
      </c>
      <c r="N104" s="7" t="n">
        <f aca="false">'Long Term Deals'!AR104</f>
        <v>29305.8251928021</v>
      </c>
      <c r="O104" s="7" t="n">
        <f aca="false">'Long Term Deals'!AS104</f>
        <v>0</v>
      </c>
      <c r="P104" s="7" t="n">
        <f aca="false">'Long Term Deals'!AT104</f>
        <v>38560.822622108</v>
      </c>
      <c r="Q104" s="7" t="n">
        <f aca="false">'Long Term Deals'!AU104</f>
        <v>0</v>
      </c>
      <c r="R104" s="7" t="n">
        <f aca="false">'Long Term Deals'!AV104</f>
        <v>0</v>
      </c>
      <c r="S104" s="68" t="n">
        <f aca="false">'Long Term Deals'!AW104</f>
        <v>0.05</v>
      </c>
      <c r="T104" s="68" t="n">
        <f aca="false">'Long Term Deals'!AX104</f>
        <v>0.025</v>
      </c>
      <c r="U104" s="7" t="n">
        <f aca="false">'Long Term Deals'!AY104</f>
        <v>10136826.6830215</v>
      </c>
      <c r="V104" s="7" t="n">
        <f aca="false">'Long Term Deals'!AZ104</f>
        <v>9933844.67788011</v>
      </c>
      <c r="W104" s="5" t="n">
        <f aca="false">U104-V104</f>
        <v>202982.005141385</v>
      </c>
      <c r="X104" s="5" t="n">
        <f aca="false">'Long Term Deals'!CA104</f>
        <v>19002.5706940874</v>
      </c>
      <c r="Y104" s="71"/>
      <c r="Z104" s="7" t="n">
        <f aca="false">[2]Sheet1!$O121</f>
        <v>-165505.330783075</v>
      </c>
      <c r="AA104" s="7" t="n">
        <f aca="false">'[3]Long Term Deals'!$Z103</f>
        <v>9510.15624296921</v>
      </c>
      <c r="AB104" s="70" t="n">
        <f aca="false">-Z104+AA104+Y104+W104-X104</f>
        <v>358994.921473342</v>
      </c>
      <c r="AC104" s="70" t="n">
        <f aca="false">AB104-Y104</f>
        <v>358994.921473342</v>
      </c>
      <c r="AD104" s="70" t="n">
        <f aca="false">AC104+Z104-AA104+X104</f>
        <v>202982.005141385</v>
      </c>
      <c r="AE104" s="13" t="n">
        <f aca="false">(W104-Z104+AA104)/(B104+C104+D104)/'Prices&amp;Fuel'!H104</f>
        <v>0.0994595674060673</v>
      </c>
      <c r="AF104" s="1" t="n">
        <v>132000</v>
      </c>
      <c r="AG104" s="7" t="n">
        <f aca="false">((((I104*'Prices&amp;Fuel'!B104+'Prices&amp;Fuel'!C104*FPL!J104+FPL!K104*'Prices&amp;Fuel'!D104))+(L104*'Prices&amp;Fuel'!B104+'Prices&amp;Fuel'!C104*FPL!M104))*'Prices&amp;Fuel'!H104)+(I104+J104+K104)*'Prices&amp;Fuel'!H104*FPL!T104+Q104/2</f>
        <v>4966898.56953798</v>
      </c>
      <c r="AH104" s="7" t="n">
        <f aca="false">(N104*'Prices&amp;Fuel'!B104+'Prices&amp;Fuel'!C104*O104+P104*'Prices&amp;Fuel'!D104)*'Prices&amp;Fuel'!H104+(N104+O104+P104)*'Prices&amp;Fuel'!H104*FPL!T104+Q104/2</f>
        <v>4966946.10834213</v>
      </c>
      <c r="AI104" s="7" t="n">
        <f aca="false">R104*'Prices&amp;Fuel'!H104*'Prices&amp;Fuel'!Q104</f>
        <v>0</v>
      </c>
      <c r="AJ104" s="55" t="n">
        <f aca="false">SUM(AG104:AI104)-'Long Term Deals'!AZ104</f>
        <v>0</v>
      </c>
    </row>
    <row r="105" customFormat="false" ht="11.25" hidden="false" customHeight="false" outlineLevel="0" collapsed="false">
      <c r="A105" s="6" t="n">
        <f aca="false">+A104+365/12</f>
        <v>38790.6666666667</v>
      </c>
      <c r="B105" s="7" t="n">
        <f aca="false">'Long Term Deals'!AF105</f>
        <v>58611.8251928021</v>
      </c>
      <c r="C105" s="7" t="n">
        <f aca="false">'Long Term Deals'!AG105</f>
        <v>0</v>
      </c>
      <c r="D105" s="7" t="n">
        <f aca="false">'Long Term Deals'!AH105</f>
        <v>77120.822622108</v>
      </c>
      <c r="E105" s="7" t="n">
        <f aca="false">'Long Term Deals'!AI105</f>
        <v>0</v>
      </c>
      <c r="F105" s="7" t="n">
        <f aca="false">'Long Term Deals'!AJ105</f>
        <v>0</v>
      </c>
      <c r="G105" s="7" t="n">
        <f aca="false">'Long Term Deals'!AK105</f>
        <v>0</v>
      </c>
      <c r="H105" s="7" t="n">
        <f aca="false">'Long Term Deals'!AL105</f>
        <v>0</v>
      </c>
      <c r="I105" s="7" t="n">
        <f aca="false">'Long Term Deals'!AM105</f>
        <v>29306</v>
      </c>
      <c r="J105" s="7" t="n">
        <f aca="false">'Long Term Deals'!AN105</f>
        <v>0</v>
      </c>
      <c r="K105" s="7" t="n">
        <f aca="false">'Long Term Deals'!AO105</f>
        <v>38560</v>
      </c>
      <c r="L105" s="7" t="n">
        <f aca="false">'Long Term Deals'!AP105</f>
        <v>0</v>
      </c>
      <c r="M105" s="7" t="n">
        <f aca="false">'Long Term Deals'!AQ105</f>
        <v>0</v>
      </c>
      <c r="N105" s="7" t="n">
        <f aca="false">'Long Term Deals'!AR105</f>
        <v>29305.8251928021</v>
      </c>
      <c r="O105" s="7" t="n">
        <f aca="false">'Long Term Deals'!AS105</f>
        <v>0</v>
      </c>
      <c r="P105" s="7" t="n">
        <f aca="false">'Long Term Deals'!AT105</f>
        <v>38560.822622108</v>
      </c>
      <c r="Q105" s="7" t="n">
        <f aca="false">'Long Term Deals'!AU105</f>
        <v>0</v>
      </c>
      <c r="R105" s="7" t="n">
        <f aca="false">'Long Term Deals'!AV105</f>
        <v>0</v>
      </c>
      <c r="S105" s="68" t="n">
        <f aca="false">'Long Term Deals'!AW105</f>
        <v>0.05</v>
      </c>
      <c r="T105" s="68" t="n">
        <f aca="false">'Long Term Deals'!AX105</f>
        <v>0.025</v>
      </c>
      <c r="U105" s="7" t="n">
        <f aca="false">'Long Term Deals'!AY105</f>
        <v>11222915.2562024</v>
      </c>
      <c r="V105" s="7" t="n">
        <f aca="false">'Long Term Deals'!AZ105</f>
        <v>10998185.1790815</v>
      </c>
      <c r="W105" s="5" t="n">
        <f aca="false">U105-V105</f>
        <v>224730.077120822</v>
      </c>
      <c r="X105" s="5" t="n">
        <f aca="false">'Long Term Deals'!CA105</f>
        <v>21038.5604113111</v>
      </c>
      <c r="Z105" s="7" t="n">
        <f aca="false">[2]Sheet1!$O122</f>
        <v>-183238.044795547</v>
      </c>
      <c r="AA105" s="7" t="n">
        <f aca="false">'[3]Long Term Deals'!$Z104</f>
        <v>10529.1015547159</v>
      </c>
      <c r="AB105" s="70" t="n">
        <f aca="false">-Z105+AA105+Y105+W105-X105</f>
        <v>397458.663059774</v>
      </c>
      <c r="AC105" s="70" t="n">
        <f aca="false">AB105-Y105</f>
        <v>397458.663059774</v>
      </c>
      <c r="AD105" s="70" t="n">
        <f aca="false">AC105+Z105-AA105+X105</f>
        <v>224730.077120822</v>
      </c>
      <c r="AE105" s="13" t="n">
        <f aca="false">(W105-Z105+AA105)/(B105+C105+D105)/'Prices&amp;Fuel'!H105</f>
        <v>0.099459567406068</v>
      </c>
      <c r="AF105" s="1" t="n">
        <v>132000</v>
      </c>
      <c r="AG105" s="7" t="n">
        <f aca="false">((((I105*'Prices&amp;Fuel'!B105+'Prices&amp;Fuel'!C105*FPL!J105+FPL!K105*'Prices&amp;Fuel'!D105))+(L105*'Prices&amp;Fuel'!B105+'Prices&amp;Fuel'!C105*FPL!M105))*'Prices&amp;Fuel'!H105)+(I105+J105+K105)*'Prices&amp;Fuel'!H105*FPL!T105+Q105/2</f>
        <v>5499066.27341705</v>
      </c>
      <c r="AH105" s="7" t="n">
        <f aca="false">(N105*'Prices&amp;Fuel'!B105+'Prices&amp;Fuel'!C105*O105+P105*'Prices&amp;Fuel'!D105)*'Prices&amp;Fuel'!H105+(N105+O105+P105)*'Prices&amp;Fuel'!H105*FPL!T105+Q105/2</f>
        <v>5499118.9056645</v>
      </c>
      <c r="AI105" s="7" t="n">
        <f aca="false">R105*'Prices&amp;Fuel'!H105*'Prices&amp;Fuel'!Q105</f>
        <v>0</v>
      </c>
      <c r="AJ105" s="55" t="n">
        <f aca="false">SUM(AG105:AI105)-'Long Term Deals'!AZ105</f>
        <v>0</v>
      </c>
    </row>
    <row r="106" customFormat="false" ht="11.25" hidden="false" customHeight="false" outlineLevel="0" collapsed="false">
      <c r="A106" s="6" t="n">
        <f aca="false">+A105+365/12</f>
        <v>38821.0833333333</v>
      </c>
      <c r="B106" s="7" t="n">
        <f aca="false">'Long Term Deals'!AF106</f>
        <v>58611.8251928021</v>
      </c>
      <c r="C106" s="7" t="n">
        <f aca="false">'Long Term Deals'!AG106</f>
        <v>0</v>
      </c>
      <c r="D106" s="7" t="n">
        <f aca="false">'Long Term Deals'!AH106</f>
        <v>77120.822622108</v>
      </c>
      <c r="E106" s="7" t="n">
        <f aca="false">'Long Term Deals'!AI106</f>
        <v>0</v>
      </c>
      <c r="F106" s="7" t="n">
        <f aca="false">'Long Term Deals'!AJ106</f>
        <v>0</v>
      </c>
      <c r="G106" s="7" t="n">
        <f aca="false">'Long Term Deals'!AK106</f>
        <v>0</v>
      </c>
      <c r="H106" s="7" t="n">
        <f aca="false">'Long Term Deals'!AL106</f>
        <v>0</v>
      </c>
      <c r="I106" s="7" t="n">
        <f aca="false">'Long Term Deals'!AM106</f>
        <v>29306</v>
      </c>
      <c r="J106" s="7" t="n">
        <f aca="false">'Long Term Deals'!AN106</f>
        <v>0</v>
      </c>
      <c r="K106" s="7" t="n">
        <f aca="false">'Long Term Deals'!AO106</f>
        <v>38560</v>
      </c>
      <c r="L106" s="7" t="n">
        <f aca="false">'Long Term Deals'!AP106</f>
        <v>0</v>
      </c>
      <c r="M106" s="7" t="n">
        <f aca="false">'Long Term Deals'!AQ106</f>
        <v>0</v>
      </c>
      <c r="N106" s="7" t="n">
        <f aca="false">'Long Term Deals'!AR106</f>
        <v>29305.8251928021</v>
      </c>
      <c r="O106" s="7" t="n">
        <f aca="false">'Long Term Deals'!AS106</f>
        <v>0</v>
      </c>
      <c r="P106" s="7" t="n">
        <f aca="false">'Long Term Deals'!AT106</f>
        <v>38560.822622108</v>
      </c>
      <c r="Q106" s="7" t="n">
        <f aca="false">'Long Term Deals'!AU106</f>
        <v>0</v>
      </c>
      <c r="R106" s="7" t="n">
        <f aca="false">'Long Term Deals'!AV106</f>
        <v>0</v>
      </c>
      <c r="S106" s="68" t="n">
        <f aca="false">'Long Term Deals'!AW106</f>
        <v>0.05</v>
      </c>
      <c r="T106" s="68" t="n">
        <f aca="false">'Long Term Deals'!AX106</f>
        <v>0.025</v>
      </c>
      <c r="U106" s="7" t="n">
        <f aca="false">'Long Term Deals'!AY106</f>
        <v>12004961.6264021</v>
      </c>
      <c r="V106" s="7" t="n">
        <f aca="false">'Long Term Deals'!AZ106</f>
        <v>11787480.9066077</v>
      </c>
      <c r="W106" s="5" t="n">
        <f aca="false">U106-V106</f>
        <v>217480.719794344</v>
      </c>
      <c r="X106" s="5" t="n">
        <f aca="false">'Long Term Deals'!CA106</f>
        <v>20359.8971722365</v>
      </c>
      <c r="Z106" s="7" t="n">
        <f aca="false">[2]Sheet1!$O123</f>
        <v>-177327.140124723</v>
      </c>
      <c r="AA106" s="7" t="n">
        <f aca="false">'[3]Long Term Deals'!$Z105</f>
        <v>10189.453117467</v>
      </c>
      <c r="AB106" s="70" t="n">
        <f aca="false">-Z106+AA106+Y106+W106-X106</f>
        <v>384637.415864298</v>
      </c>
      <c r="AC106" s="70" t="n">
        <f aca="false">AB106-Y106</f>
        <v>384637.415864298</v>
      </c>
      <c r="AD106" s="70" t="n">
        <f aca="false">AC106+Z106-AA106+X106</f>
        <v>217480.719794344</v>
      </c>
      <c r="AE106" s="13" t="n">
        <f aca="false">(W106-Z106+AA106)/(B106+C106+D106)/'Prices&amp;Fuel'!H106</f>
        <v>0.0994595674060681</v>
      </c>
      <c r="AF106" s="1" t="n">
        <v>132000</v>
      </c>
      <c r="AG106" s="7" t="n">
        <f aca="false">((((I106*'Prices&amp;Fuel'!B106+'Prices&amp;Fuel'!C106*FPL!J106+FPL!K106*'Prices&amp;Fuel'!D106))+(L106*'Prices&amp;Fuel'!B106+'Prices&amp;Fuel'!C106*FPL!M106))*'Prices&amp;Fuel'!H106)+(I106+J106+K106)*'Prices&amp;Fuel'!H106*FPL!T106+Q106/2</f>
        <v>5893712.25590624</v>
      </c>
      <c r="AH106" s="7" t="n">
        <f aca="false">(N106*'Prices&amp;Fuel'!B106+'Prices&amp;Fuel'!C106*O106+P106*'Prices&amp;Fuel'!D106)*'Prices&amp;Fuel'!H106+(N106+O106+P106)*'Prices&amp;Fuel'!H106*FPL!T106+Q106/2</f>
        <v>5893768.65070148</v>
      </c>
      <c r="AI106" s="7" t="n">
        <f aca="false">R106*'Prices&amp;Fuel'!H106*'Prices&amp;Fuel'!Q106</f>
        <v>0</v>
      </c>
      <c r="AJ106" s="55" t="n">
        <f aca="false">SUM(AG106:AI106)-'Long Term Deals'!AZ106</f>
        <v>0</v>
      </c>
    </row>
    <row r="107" customFormat="false" ht="11.25" hidden="false" customHeight="false" outlineLevel="0" collapsed="false">
      <c r="A107" s="6" t="n">
        <f aca="false">+A106+365/12</f>
        <v>38851.5</v>
      </c>
      <c r="B107" s="7" t="n">
        <f aca="false">'Long Term Deals'!AF107</f>
        <v>128534.70437018</v>
      </c>
      <c r="C107" s="7" t="n">
        <f aca="false">'Long Term Deals'!AG107</f>
        <v>0</v>
      </c>
      <c r="D107" s="7" t="n">
        <f aca="false">'Long Term Deals'!AH107</f>
        <v>77120.822622108</v>
      </c>
      <c r="E107" s="7" t="n">
        <f aca="false">'Long Term Deals'!AI107</f>
        <v>0</v>
      </c>
      <c r="F107" s="7" t="n">
        <f aca="false">'Long Term Deals'!AJ107</f>
        <v>0</v>
      </c>
      <c r="G107" s="7" t="n">
        <f aca="false">'Long Term Deals'!AK107</f>
        <v>0</v>
      </c>
      <c r="H107" s="7" t="n">
        <f aca="false">'Long Term Deals'!AL107</f>
        <v>0</v>
      </c>
      <c r="I107" s="7" t="n">
        <f aca="false">'Long Term Deals'!AM107</f>
        <v>64267</v>
      </c>
      <c r="J107" s="7" t="n">
        <f aca="false">'Long Term Deals'!AN107</f>
        <v>0</v>
      </c>
      <c r="K107" s="7" t="n">
        <f aca="false">'Long Term Deals'!AO107</f>
        <v>38560</v>
      </c>
      <c r="L107" s="7" t="n">
        <f aca="false">'Long Term Deals'!AP107</f>
        <v>0</v>
      </c>
      <c r="M107" s="7" t="n">
        <f aca="false">'Long Term Deals'!AQ107</f>
        <v>0</v>
      </c>
      <c r="N107" s="7" t="n">
        <f aca="false">'Long Term Deals'!AR107</f>
        <v>64267.70437018</v>
      </c>
      <c r="O107" s="7" t="n">
        <f aca="false">'Long Term Deals'!AS107</f>
        <v>0</v>
      </c>
      <c r="P107" s="7" t="n">
        <f aca="false">'Long Term Deals'!AT107</f>
        <v>38560.822622108</v>
      </c>
      <c r="Q107" s="7" t="n">
        <f aca="false">'Long Term Deals'!AU107</f>
        <v>0</v>
      </c>
      <c r="R107" s="7" t="n">
        <f aca="false">'Long Term Deals'!AV107</f>
        <v>0</v>
      </c>
      <c r="S107" s="68" t="n">
        <f aca="false">'Long Term Deals'!AW107</f>
        <v>0.05</v>
      </c>
      <c r="T107" s="68" t="n">
        <f aca="false">'Long Term Deals'!AX107</f>
        <v>0.025</v>
      </c>
      <c r="U107" s="7" t="n">
        <f aca="false">'Long Term Deals'!AY107</f>
        <v>19982246.3609255</v>
      </c>
      <c r="V107" s="7" t="n">
        <f aca="false">'Long Term Deals'!AZ107</f>
        <v>19703326.0524422</v>
      </c>
      <c r="W107" s="5" t="n">
        <f aca="false">U107-V107</f>
        <v>278920.308483291</v>
      </c>
      <c r="X107" s="5" t="n">
        <f aca="false">'Long Term Deals'!CA107</f>
        <v>31876.6066838046</v>
      </c>
      <c r="Z107" s="7" t="n">
        <f aca="false">[2]Sheet1!$O124</f>
        <v>-277633.401205374</v>
      </c>
      <c r="AA107" s="7" t="n">
        <f aca="false">'[3]Long Term Deals'!$Z106</f>
        <v>15953.184173812</v>
      </c>
      <c r="AB107" s="70" t="n">
        <f aca="false">-Z107+AA107+Y107+W107-X107</f>
        <v>540630.287178673</v>
      </c>
      <c r="AC107" s="70" t="n">
        <f aca="false">AB107-Y107</f>
        <v>540630.287178673</v>
      </c>
      <c r="AD107" s="70" t="n">
        <f aca="false">AC107+Z107-AA107+X107</f>
        <v>278920.308483291</v>
      </c>
      <c r="AE107" s="13" t="n">
        <f aca="false">(W107-Z107+AA107)/(B107+C107+D107)/'Prices&amp;Fuel'!H107</f>
        <v>0.0898004764969774</v>
      </c>
      <c r="AF107" s="1" t="n">
        <v>200000</v>
      </c>
      <c r="AG107" s="7" t="n">
        <f aca="false">((((I107*'Prices&amp;Fuel'!B107+'Prices&amp;Fuel'!C107*FPL!J107+FPL!K107*'Prices&amp;Fuel'!D107))+(L107*'Prices&amp;Fuel'!B107+'Prices&amp;Fuel'!C107*FPL!M107))*'Prices&amp;Fuel'!H107)+(I107+J107+K107)*'Prices&amp;Fuel'!H107*FPL!T107+Q107/2</f>
        <v>9851589.83887311</v>
      </c>
      <c r="AH107" s="7" t="n">
        <f aca="false">(N107*'Prices&amp;Fuel'!B107+'Prices&amp;Fuel'!C107*O107+P107*'Prices&amp;Fuel'!D107)*'Prices&amp;Fuel'!H107+(N107+O107+P107)*'Prices&amp;Fuel'!H107*FPL!T107+Q107/2</f>
        <v>9851736.21356905</v>
      </c>
      <c r="AI107" s="7" t="n">
        <f aca="false">R107*'Prices&amp;Fuel'!H107*'Prices&amp;Fuel'!Q107</f>
        <v>0</v>
      </c>
      <c r="AJ107" s="55" t="n">
        <f aca="false">SUM(AG107:AI107)-'Long Term Deals'!AZ107</f>
        <v>0</v>
      </c>
    </row>
    <row r="108" customFormat="false" ht="11.25" hidden="false" customHeight="false" outlineLevel="0" collapsed="false">
      <c r="A108" s="6" t="n">
        <f aca="false">+A107+365/12</f>
        <v>38881.9166666667</v>
      </c>
      <c r="B108" s="7" t="n">
        <f aca="false">'Long Term Deals'!AF108</f>
        <v>128534.70437018</v>
      </c>
      <c r="C108" s="7" t="n">
        <f aca="false">'Long Term Deals'!AG108</f>
        <v>0</v>
      </c>
      <c r="D108" s="7" t="n">
        <f aca="false">'Long Term Deals'!AH108</f>
        <v>77120.822622108</v>
      </c>
      <c r="E108" s="7" t="n">
        <f aca="false">'Long Term Deals'!AI108</f>
        <v>0</v>
      </c>
      <c r="F108" s="7" t="n">
        <f aca="false">'Long Term Deals'!AJ108</f>
        <v>0</v>
      </c>
      <c r="G108" s="7" t="n">
        <f aca="false">'Long Term Deals'!AK108</f>
        <v>0</v>
      </c>
      <c r="H108" s="7" t="n">
        <f aca="false">'Long Term Deals'!AL108</f>
        <v>0</v>
      </c>
      <c r="I108" s="7" t="n">
        <f aca="false">'Long Term Deals'!AM108</f>
        <v>64267</v>
      </c>
      <c r="J108" s="7" t="n">
        <f aca="false">'Long Term Deals'!AN108</f>
        <v>0</v>
      </c>
      <c r="K108" s="7" t="n">
        <f aca="false">'Long Term Deals'!AO108</f>
        <v>38560</v>
      </c>
      <c r="L108" s="7" t="n">
        <f aca="false">'Long Term Deals'!AP108</f>
        <v>0</v>
      </c>
      <c r="M108" s="7" t="n">
        <f aca="false">'Long Term Deals'!AQ108</f>
        <v>0</v>
      </c>
      <c r="N108" s="7" t="n">
        <f aca="false">'Long Term Deals'!AR108</f>
        <v>64267.70437018</v>
      </c>
      <c r="O108" s="7" t="n">
        <f aca="false">'Long Term Deals'!AS108</f>
        <v>0</v>
      </c>
      <c r="P108" s="7" t="n">
        <f aca="false">'Long Term Deals'!AT108</f>
        <v>38560.822622108</v>
      </c>
      <c r="Q108" s="7" t="n">
        <f aca="false">'Long Term Deals'!AU108</f>
        <v>0</v>
      </c>
      <c r="R108" s="7" t="n">
        <f aca="false">'Long Term Deals'!AV108</f>
        <v>0</v>
      </c>
      <c r="S108" s="68" t="n">
        <f aca="false">'Long Term Deals'!AW108</f>
        <v>0.05</v>
      </c>
      <c r="T108" s="68" t="n">
        <f aca="false">'Long Term Deals'!AX108</f>
        <v>0.025</v>
      </c>
      <c r="U108" s="7" t="n">
        <f aca="false">'Long Term Deals'!AY108</f>
        <v>27748092.2350643</v>
      </c>
      <c r="V108" s="7" t="n">
        <f aca="false">'Long Term Deals'!AZ108</f>
        <v>27478169.3558869</v>
      </c>
      <c r="W108" s="5" t="n">
        <f aca="false">U108-V108</f>
        <v>269922.879177377</v>
      </c>
      <c r="X108" s="5" t="n">
        <f aca="false">'Long Term Deals'!CA108</f>
        <v>30848.3290488432</v>
      </c>
      <c r="Z108" s="7" t="n">
        <f aca="false">[2]Sheet1!$O125</f>
        <v>-268677.485037459</v>
      </c>
      <c r="AA108" s="7" t="n">
        <f aca="false">'[3]Long Term Deals'!$Z107</f>
        <v>15438.5653294955</v>
      </c>
      <c r="AB108" s="70" t="n">
        <f aca="false">-Z108+AA108+Y108+W108-X108</f>
        <v>523190.600495488</v>
      </c>
      <c r="AC108" s="70" t="n">
        <f aca="false">AB108-Y108</f>
        <v>523190.600495488</v>
      </c>
      <c r="AD108" s="70" t="n">
        <f aca="false">AC108+Z108-AA108+X108</f>
        <v>269922.879177377</v>
      </c>
      <c r="AE108" s="13" t="n">
        <f aca="false">(W108-Z108+AA108)/(B108+C108+D108)/'Prices&amp;Fuel'!H108</f>
        <v>0.089800476496977</v>
      </c>
      <c r="AF108" s="1" t="n">
        <v>200000</v>
      </c>
      <c r="AG108" s="7" t="n">
        <f aca="false">((((I108*'Prices&amp;Fuel'!B108+'Prices&amp;Fuel'!C108*FPL!J108+FPL!K108*'Prices&amp;Fuel'!D108))+(L108*'Prices&amp;Fuel'!B108+'Prices&amp;Fuel'!C108*FPL!M108))*'Prices&amp;Fuel'!H108)+(I108+J108+K108)*'Prices&amp;Fuel'!H108*FPL!T108+Q108/2</f>
        <v>13738982.6277397</v>
      </c>
      <c r="AH108" s="7" t="n">
        <f aca="false">(N108*'Prices&amp;Fuel'!B108+'Prices&amp;Fuel'!C108*O108+P108*'Prices&amp;Fuel'!D108)*'Prices&amp;Fuel'!H108+(N108+O108+P108)*'Prices&amp;Fuel'!H108*FPL!T108+Q108/2</f>
        <v>13739186.7281472</v>
      </c>
      <c r="AI108" s="7" t="n">
        <f aca="false">R108*'Prices&amp;Fuel'!H108*'Prices&amp;Fuel'!Q108</f>
        <v>0</v>
      </c>
      <c r="AJ108" s="55" t="n">
        <f aca="false">SUM(AG108:AI108)-'Long Term Deals'!AZ108</f>
        <v>0</v>
      </c>
    </row>
    <row r="109" customFormat="false" ht="11.25" hidden="false" customHeight="false" outlineLevel="0" collapsed="false">
      <c r="A109" s="6" t="n">
        <f aca="false">+A108+365/12</f>
        <v>38912.3333333333</v>
      </c>
      <c r="B109" s="7" t="n">
        <f aca="false">'Long Term Deals'!AF109</f>
        <v>128534.70437018</v>
      </c>
      <c r="C109" s="7" t="n">
        <f aca="false">'Long Term Deals'!AG109</f>
        <v>0</v>
      </c>
      <c r="D109" s="7" t="n">
        <f aca="false">'Long Term Deals'!AH109</f>
        <v>77120.822622108</v>
      </c>
      <c r="E109" s="7" t="n">
        <f aca="false">'Long Term Deals'!AI109</f>
        <v>0</v>
      </c>
      <c r="F109" s="7" t="n">
        <f aca="false">'Long Term Deals'!AJ109</f>
        <v>0</v>
      </c>
      <c r="G109" s="7" t="n">
        <f aca="false">'Long Term Deals'!AK109</f>
        <v>0</v>
      </c>
      <c r="H109" s="7" t="n">
        <f aca="false">'Long Term Deals'!AL109</f>
        <v>0</v>
      </c>
      <c r="I109" s="7" t="n">
        <f aca="false">'Long Term Deals'!AM109</f>
        <v>64267</v>
      </c>
      <c r="J109" s="7" t="n">
        <f aca="false">'Long Term Deals'!AN109</f>
        <v>0</v>
      </c>
      <c r="K109" s="7" t="n">
        <f aca="false">'Long Term Deals'!AO109</f>
        <v>38560</v>
      </c>
      <c r="L109" s="7" t="n">
        <f aca="false">'Long Term Deals'!AP109</f>
        <v>0</v>
      </c>
      <c r="M109" s="7" t="n">
        <f aca="false">'Long Term Deals'!AQ109</f>
        <v>0</v>
      </c>
      <c r="N109" s="7" t="n">
        <f aca="false">'Long Term Deals'!AR109</f>
        <v>64267.70437018</v>
      </c>
      <c r="O109" s="7" t="n">
        <f aca="false">'Long Term Deals'!AS109</f>
        <v>0</v>
      </c>
      <c r="P109" s="7" t="n">
        <f aca="false">'Long Term Deals'!AT109</f>
        <v>38560.822622108</v>
      </c>
      <c r="Q109" s="7" t="n">
        <f aca="false">'Long Term Deals'!AU109</f>
        <v>0</v>
      </c>
      <c r="R109" s="7" t="n">
        <f aca="false">'Long Term Deals'!AV109</f>
        <v>0</v>
      </c>
      <c r="S109" s="68" t="n">
        <f aca="false">'Long Term Deals'!AW109</f>
        <v>0.05</v>
      </c>
      <c r="T109" s="68" t="n">
        <f aca="false">'Long Term Deals'!AX109</f>
        <v>0.025</v>
      </c>
      <c r="U109" s="7" t="n">
        <f aca="false">'Long Term Deals'!AY109</f>
        <v>28606686.793419</v>
      </c>
      <c r="V109" s="7" t="n">
        <f aca="false">'Long Term Deals'!AZ109</f>
        <v>28327766.4849357</v>
      </c>
      <c r="W109" s="5" t="n">
        <f aca="false">U109-V109</f>
        <v>278920.308483284</v>
      </c>
      <c r="X109" s="5" t="n">
        <f aca="false">'Long Term Deals'!CA109</f>
        <v>31876.6066838046</v>
      </c>
      <c r="Z109" s="7" t="n">
        <f aca="false">[2]Sheet1!$O126</f>
        <v>-277633.401205374</v>
      </c>
      <c r="AA109" s="7" t="n">
        <f aca="false">'[3]Long Term Deals'!$Z108</f>
        <v>15953.184173812</v>
      </c>
      <c r="AB109" s="70" t="n">
        <f aca="false">-Z109+AA109+Y109+W109-X109</f>
        <v>540630.287178666</v>
      </c>
      <c r="AC109" s="70" t="n">
        <f aca="false">AB109-Y109</f>
        <v>540630.287178666</v>
      </c>
      <c r="AD109" s="70" t="n">
        <f aca="false">AC109+Z109-AA109+X109</f>
        <v>278920.308483284</v>
      </c>
      <c r="AE109" s="13" t="n">
        <f aca="false">(W109-Z109+AA109)/(B109+C109+D109)/'Prices&amp;Fuel'!H109</f>
        <v>0.0898004764969762</v>
      </c>
      <c r="AF109" s="1" t="n">
        <v>200000</v>
      </c>
      <c r="AG109" s="7" t="n">
        <f aca="false">((((I109*'Prices&amp;Fuel'!B109+'Prices&amp;Fuel'!C109*FPL!J109+FPL!K109*'Prices&amp;Fuel'!D109))+(L109*'Prices&amp;Fuel'!B109+'Prices&amp;Fuel'!C109*FPL!M109))*'Prices&amp;Fuel'!H109)+(I109+J109+K109)*'Prices&amp;Fuel'!H109*FPL!T109+Q109/2</f>
        <v>14163778.0368848</v>
      </c>
      <c r="AH109" s="7" t="n">
        <f aca="false">(N109*'Prices&amp;Fuel'!B109+'Prices&amp;Fuel'!C109*O109+P109*'Prices&amp;Fuel'!D109)*'Prices&amp;Fuel'!H109+(N109+O109+P109)*'Prices&amp;Fuel'!H109*FPL!T109+Q109/2</f>
        <v>14163988.4480509</v>
      </c>
      <c r="AI109" s="7" t="n">
        <f aca="false">R109*'Prices&amp;Fuel'!H109*'Prices&amp;Fuel'!Q109</f>
        <v>0</v>
      </c>
      <c r="AJ109" s="55" t="n">
        <f aca="false">SUM(AG109:AI109)-'Long Term Deals'!AZ109</f>
        <v>0</v>
      </c>
    </row>
    <row r="110" customFormat="false" ht="11.25" hidden="false" customHeight="false" outlineLevel="0" collapsed="false">
      <c r="A110" s="6" t="n">
        <f aca="false">+A109+365/12</f>
        <v>38942.75</v>
      </c>
      <c r="B110" s="7" t="n">
        <f aca="false">'Long Term Deals'!AF110</f>
        <v>128534.70437018</v>
      </c>
      <c r="C110" s="7" t="n">
        <f aca="false">'Long Term Deals'!AG110</f>
        <v>0</v>
      </c>
      <c r="D110" s="7" t="n">
        <f aca="false">'Long Term Deals'!AH110</f>
        <v>77120.822622108</v>
      </c>
      <c r="E110" s="7" t="n">
        <f aca="false">'Long Term Deals'!AI110</f>
        <v>0</v>
      </c>
      <c r="F110" s="7" t="n">
        <f aca="false">'Long Term Deals'!AJ110</f>
        <v>0</v>
      </c>
      <c r="G110" s="7" t="n">
        <f aca="false">'Long Term Deals'!AK110</f>
        <v>0</v>
      </c>
      <c r="H110" s="7" t="n">
        <f aca="false">'Long Term Deals'!AL110</f>
        <v>0</v>
      </c>
      <c r="I110" s="7" t="n">
        <f aca="false">'Long Term Deals'!AM110</f>
        <v>64267</v>
      </c>
      <c r="J110" s="7" t="n">
        <f aca="false">'Long Term Deals'!AN110</f>
        <v>0</v>
      </c>
      <c r="K110" s="7" t="n">
        <f aca="false">'Long Term Deals'!AO110</f>
        <v>38560</v>
      </c>
      <c r="L110" s="7" t="n">
        <f aca="false">'Long Term Deals'!AP110</f>
        <v>0</v>
      </c>
      <c r="M110" s="7" t="n">
        <f aca="false">'Long Term Deals'!AQ110</f>
        <v>0</v>
      </c>
      <c r="N110" s="7" t="n">
        <f aca="false">'Long Term Deals'!AR110</f>
        <v>64267.70437018</v>
      </c>
      <c r="O110" s="7" t="n">
        <f aca="false">'Long Term Deals'!AS110</f>
        <v>0</v>
      </c>
      <c r="P110" s="7" t="n">
        <f aca="false">'Long Term Deals'!AT110</f>
        <v>38560.822622108</v>
      </c>
      <c r="Q110" s="7" t="n">
        <f aca="false">'Long Term Deals'!AU110</f>
        <v>0</v>
      </c>
      <c r="R110" s="7" t="n">
        <f aca="false">'Long Term Deals'!AV110</f>
        <v>0</v>
      </c>
      <c r="S110" s="68" t="n">
        <f aca="false">'Long Term Deals'!AW110</f>
        <v>0.05</v>
      </c>
      <c r="T110" s="68" t="n">
        <f aca="false">'Long Term Deals'!AX110</f>
        <v>0.025</v>
      </c>
      <c r="U110" s="7" t="n">
        <f aca="false">'Long Term Deals'!AY110</f>
        <v>25024226.9214602</v>
      </c>
      <c r="V110" s="7" t="n">
        <f aca="false">'Long Term Deals'!AZ110</f>
        <v>24745306.6129769</v>
      </c>
      <c r="W110" s="5" t="n">
        <f aca="false">U110-V110</f>
        <v>278920.308483288</v>
      </c>
      <c r="X110" s="5" t="n">
        <f aca="false">'Long Term Deals'!CA110</f>
        <v>31876.6066838046</v>
      </c>
      <c r="Z110" s="7" t="n">
        <f aca="false">[2]Sheet1!$O127</f>
        <v>-277633.401205374</v>
      </c>
      <c r="AA110" s="7" t="n">
        <f aca="false">'[3]Long Term Deals'!$Z109</f>
        <v>15953.184173812</v>
      </c>
      <c r="AB110" s="70" t="n">
        <f aca="false">-Z110+AA110+Y110+W110-X110</f>
        <v>540630.28717867</v>
      </c>
      <c r="AC110" s="70" t="n">
        <f aca="false">AB110-Y110</f>
        <v>540630.28717867</v>
      </c>
      <c r="AD110" s="70" t="n">
        <f aca="false">AC110+Z110-AA110+X110</f>
        <v>278920.308483288</v>
      </c>
      <c r="AE110" s="13" t="n">
        <f aca="false">(W110-Z110+AA110)/(B110+C110+D110)/'Prices&amp;Fuel'!H110</f>
        <v>0.0898004764969768</v>
      </c>
      <c r="AF110" s="1" t="n">
        <v>200000</v>
      </c>
      <c r="AG110" s="7" t="n">
        <f aca="false">((((I110*'Prices&amp;Fuel'!B110+'Prices&amp;Fuel'!C110*FPL!J110+FPL!K110*'Prices&amp;Fuel'!D110))+(L110*'Prices&amp;Fuel'!B110+'Prices&amp;Fuel'!C110*FPL!M110))*'Prices&amp;Fuel'!H110)+(I110+J110+K110)*'Prices&amp;Fuel'!H110*FPL!T110+Q110/2</f>
        <v>12372561.4007876</v>
      </c>
      <c r="AH110" s="7" t="n">
        <f aca="false">(N110*'Prices&amp;Fuel'!B110+'Prices&amp;Fuel'!C110*O110+P110*'Prices&amp;Fuel'!D110)*'Prices&amp;Fuel'!H110+(N110+O110+P110)*'Prices&amp;Fuel'!H110*FPL!T110+Q110/2</f>
        <v>12372745.2121892</v>
      </c>
      <c r="AI110" s="7" t="n">
        <f aca="false">R110*'Prices&amp;Fuel'!H110*'Prices&amp;Fuel'!Q110</f>
        <v>0</v>
      </c>
      <c r="AJ110" s="55" t="n">
        <f aca="false">SUM(AG110:AI110)-'Long Term Deals'!AZ110</f>
        <v>0</v>
      </c>
    </row>
    <row r="111" customFormat="false" ht="11.25" hidden="false" customHeight="false" outlineLevel="0" collapsed="false">
      <c r="A111" s="6" t="n">
        <f aca="false">+A110+365/12</f>
        <v>38973.1666666667</v>
      </c>
      <c r="B111" s="7" t="n">
        <f aca="false">'Long Term Deals'!AF111</f>
        <v>128534.70437018</v>
      </c>
      <c r="C111" s="7" t="n">
        <f aca="false">'Long Term Deals'!AG111</f>
        <v>0</v>
      </c>
      <c r="D111" s="7" t="n">
        <f aca="false">'Long Term Deals'!AH111</f>
        <v>77120.822622108</v>
      </c>
      <c r="E111" s="7" t="n">
        <f aca="false">'Long Term Deals'!AI111</f>
        <v>0</v>
      </c>
      <c r="F111" s="7" t="n">
        <f aca="false">'Long Term Deals'!AJ111</f>
        <v>0</v>
      </c>
      <c r="G111" s="7" t="n">
        <f aca="false">'Long Term Deals'!AK111</f>
        <v>0</v>
      </c>
      <c r="H111" s="7" t="n">
        <f aca="false">'Long Term Deals'!AL111</f>
        <v>0</v>
      </c>
      <c r="I111" s="7" t="n">
        <f aca="false">'Long Term Deals'!AM111</f>
        <v>64267</v>
      </c>
      <c r="J111" s="7" t="n">
        <f aca="false">'Long Term Deals'!AN111</f>
        <v>0</v>
      </c>
      <c r="K111" s="7" t="n">
        <f aca="false">'Long Term Deals'!AO111</f>
        <v>38560</v>
      </c>
      <c r="L111" s="7" t="n">
        <f aca="false">'Long Term Deals'!AP111</f>
        <v>0</v>
      </c>
      <c r="M111" s="7" t="n">
        <f aca="false">'Long Term Deals'!AQ111</f>
        <v>0</v>
      </c>
      <c r="N111" s="7" t="n">
        <f aca="false">'Long Term Deals'!AR111</f>
        <v>64267.70437018</v>
      </c>
      <c r="O111" s="7" t="n">
        <f aca="false">'Long Term Deals'!AS111</f>
        <v>0</v>
      </c>
      <c r="P111" s="7" t="n">
        <f aca="false">'Long Term Deals'!AT111</f>
        <v>38560.822622108</v>
      </c>
      <c r="Q111" s="7" t="n">
        <f aca="false">'Long Term Deals'!AU111</f>
        <v>0</v>
      </c>
      <c r="R111" s="7" t="n">
        <f aca="false">'Long Term Deals'!AV111</f>
        <v>0</v>
      </c>
      <c r="S111" s="68" t="n">
        <f aca="false">'Long Term Deals'!AW111</f>
        <v>0.05</v>
      </c>
      <c r="T111" s="68" t="n">
        <f aca="false">'Long Term Deals'!AX111</f>
        <v>0.025</v>
      </c>
      <c r="U111" s="7" t="n">
        <f aca="false">'Long Term Deals'!AY111</f>
        <v>29160531.6111054</v>
      </c>
      <c r="V111" s="7" t="n">
        <f aca="false">'Long Term Deals'!AZ111</f>
        <v>28890608.731928</v>
      </c>
      <c r="W111" s="5" t="n">
        <f aca="false">U111-V111</f>
        <v>269922.879177373</v>
      </c>
      <c r="X111" s="5" t="n">
        <f aca="false">'Long Term Deals'!CA111</f>
        <v>30848.3290488432</v>
      </c>
      <c r="Z111" s="7" t="n">
        <f aca="false">[2]Sheet1!$O128</f>
        <v>-268677.485037459</v>
      </c>
      <c r="AA111" s="7" t="n">
        <f aca="false">'[3]Long Term Deals'!$Z110</f>
        <v>15438.5653294955</v>
      </c>
      <c r="AB111" s="70" t="n">
        <f aca="false">-Z111+AA111+Y111+W111-X111</f>
        <v>523190.600495484</v>
      </c>
      <c r="AC111" s="70" t="n">
        <f aca="false">AB111-Y111</f>
        <v>523190.600495484</v>
      </c>
      <c r="AD111" s="70" t="n">
        <f aca="false">AC111+Z111-AA111+X111</f>
        <v>269922.879177373</v>
      </c>
      <c r="AE111" s="13" t="n">
        <f aca="false">(W111-Z111+AA111)/(B111+C111+D111)/'Prices&amp;Fuel'!H111</f>
        <v>0.0898004764969764</v>
      </c>
      <c r="AF111" s="1" t="n">
        <v>200000</v>
      </c>
      <c r="AG111" s="7" t="n">
        <f aca="false">((((I111*'Prices&amp;Fuel'!B111+'Prices&amp;Fuel'!C111*FPL!J111+FPL!K111*'Prices&amp;Fuel'!D111))+(L111*'Prices&amp;Fuel'!B111+'Prices&amp;Fuel'!C111*FPL!M111))*'Prices&amp;Fuel'!H111)+(I111+J111+K111)*'Prices&amp;Fuel'!H111*FPL!T111+Q111/2</f>
        <v>14445197.0720791</v>
      </c>
      <c r="AH111" s="7" t="n">
        <f aca="false">(N111*'Prices&amp;Fuel'!B111+'Prices&amp;Fuel'!C111*O111+P111*'Prices&amp;Fuel'!D111)*'Prices&amp;Fuel'!H111+(N111+O111+P111)*'Prices&amp;Fuel'!H111*FPL!T111+Q111/2</f>
        <v>14445411.6598489</v>
      </c>
      <c r="AI111" s="7" t="n">
        <f aca="false">R111*'Prices&amp;Fuel'!H111*'Prices&amp;Fuel'!Q111</f>
        <v>0</v>
      </c>
      <c r="AJ111" s="55" t="n">
        <f aca="false">SUM(AG111:AI111)-'Long Term Deals'!AZ111</f>
        <v>0</v>
      </c>
    </row>
    <row r="112" customFormat="false" ht="11.25" hidden="false" customHeight="false" outlineLevel="0" collapsed="false">
      <c r="A112" s="6" t="n">
        <f aca="false">+A111+365/12</f>
        <v>39003.5833333333</v>
      </c>
      <c r="B112" s="7" t="n">
        <f aca="false">'Long Term Deals'!AF112</f>
        <v>58611.8251928021</v>
      </c>
      <c r="C112" s="7" t="n">
        <f aca="false">'Long Term Deals'!AG112</f>
        <v>0</v>
      </c>
      <c r="D112" s="7" t="n">
        <f aca="false">'Long Term Deals'!AH112</f>
        <v>77120.822622108</v>
      </c>
      <c r="E112" s="7" t="n">
        <f aca="false">'Long Term Deals'!AI112</f>
        <v>0</v>
      </c>
      <c r="F112" s="7" t="n">
        <f aca="false">'Long Term Deals'!AJ112</f>
        <v>0</v>
      </c>
      <c r="G112" s="7" t="n">
        <f aca="false">'Long Term Deals'!AK112</f>
        <v>0</v>
      </c>
      <c r="H112" s="7" t="n">
        <f aca="false">'Long Term Deals'!AL112</f>
        <v>0</v>
      </c>
      <c r="I112" s="7" t="n">
        <f aca="false">'Long Term Deals'!AM112</f>
        <v>29306</v>
      </c>
      <c r="J112" s="7" t="n">
        <f aca="false">'Long Term Deals'!AN112</f>
        <v>0</v>
      </c>
      <c r="K112" s="7" t="n">
        <f aca="false">'Long Term Deals'!AO112</f>
        <v>38560</v>
      </c>
      <c r="L112" s="7" t="n">
        <f aca="false">'Long Term Deals'!AP112</f>
        <v>0</v>
      </c>
      <c r="M112" s="7" t="n">
        <f aca="false">'Long Term Deals'!AQ112</f>
        <v>0</v>
      </c>
      <c r="N112" s="7" t="n">
        <f aca="false">'Long Term Deals'!AR112</f>
        <v>29305.8251928021</v>
      </c>
      <c r="O112" s="7" t="n">
        <f aca="false">'Long Term Deals'!AS112</f>
        <v>0</v>
      </c>
      <c r="P112" s="7" t="n">
        <f aca="false">'Long Term Deals'!AT112</f>
        <v>38560.822622108</v>
      </c>
      <c r="Q112" s="7" t="n">
        <f aca="false">'Long Term Deals'!AU112</f>
        <v>0</v>
      </c>
      <c r="R112" s="7" t="n">
        <f aca="false">'Long Term Deals'!AV112</f>
        <v>0</v>
      </c>
      <c r="S112" s="68" t="n">
        <f aca="false">'Long Term Deals'!AW112</f>
        <v>0.05</v>
      </c>
      <c r="T112" s="68" t="n">
        <f aca="false">'Long Term Deals'!AX112</f>
        <v>0.025</v>
      </c>
      <c r="U112" s="7" t="n">
        <f aca="false">'Long Term Deals'!AY112</f>
        <v>22913675.9716948</v>
      </c>
      <c r="V112" s="7" t="n">
        <f aca="false">'Long Term Deals'!AZ112</f>
        <v>22688945.894574</v>
      </c>
      <c r="W112" s="5" t="n">
        <f aca="false">U112-V112</f>
        <v>224730.077120822</v>
      </c>
      <c r="X112" s="5" t="n">
        <f aca="false">'Long Term Deals'!CA112</f>
        <v>21038.5604113111</v>
      </c>
      <c r="Z112" s="7" t="n">
        <f aca="false">[2]Sheet1!$O129</f>
        <v>-183238.044795547</v>
      </c>
      <c r="AA112" s="7" t="n">
        <f aca="false">'[3]Long Term Deals'!$Z111</f>
        <v>10529.1015547159</v>
      </c>
      <c r="AB112" s="70" t="n">
        <f aca="false">-Z112+AA112+Y112+W112-X112</f>
        <v>397458.663059774</v>
      </c>
      <c r="AC112" s="70" t="n">
        <f aca="false">AB112-Y112</f>
        <v>397458.663059774</v>
      </c>
      <c r="AD112" s="70" t="n">
        <f aca="false">AC112+Z112-AA112+X112</f>
        <v>224730.077120822</v>
      </c>
      <c r="AE112" s="13" t="n">
        <f aca="false">(W112-Z112+AA112)/(B112+C112+D112)/'Prices&amp;Fuel'!H112</f>
        <v>0.099459567406068</v>
      </c>
      <c r="AF112" s="1" t="n">
        <v>132000</v>
      </c>
      <c r="AG112" s="7" t="n">
        <f aca="false">((((I112*'Prices&amp;Fuel'!B112+'Prices&amp;Fuel'!C112*FPL!J112+FPL!K112*'Prices&amp;Fuel'!D112))+(L112*'Prices&amp;Fuel'!B112+'Prices&amp;Fuel'!C112*FPL!M112))*'Prices&amp;Fuel'!H112)+(I112+J112+K112)*'Prices&amp;Fuel'!H112*FPL!T112+Q112/2</f>
        <v>11344418.732757</v>
      </c>
      <c r="AH112" s="7" t="n">
        <f aca="false">(N112*'Prices&amp;Fuel'!B112+'Prices&amp;Fuel'!C112*O112+P112*'Prices&amp;Fuel'!D112)*'Prices&amp;Fuel'!H112+(N112+O112+P112)*'Prices&amp;Fuel'!H112*FPL!T112+Q112/2</f>
        <v>11344527.161817</v>
      </c>
      <c r="AI112" s="7" t="n">
        <f aca="false">R112*'Prices&amp;Fuel'!H112*'Prices&amp;Fuel'!Q112</f>
        <v>0</v>
      </c>
      <c r="AJ112" s="55" t="n">
        <f aca="false">SUM(AG112:AI112)-'Long Term Deals'!AZ112</f>
        <v>0</v>
      </c>
    </row>
    <row r="113" customFormat="false" ht="11.25" hidden="false" customHeight="false" outlineLevel="0" collapsed="false">
      <c r="A113" s="6" t="n">
        <f aca="false">+A112+365/12</f>
        <v>39034</v>
      </c>
      <c r="B113" s="7" t="n">
        <f aca="false">'Long Term Deals'!AF113</f>
        <v>58611.8251928021</v>
      </c>
      <c r="C113" s="7" t="n">
        <f aca="false">'Long Term Deals'!AG113</f>
        <v>0</v>
      </c>
      <c r="D113" s="7" t="n">
        <f aca="false">'Long Term Deals'!AH113</f>
        <v>77120.822622108</v>
      </c>
      <c r="E113" s="7" t="n">
        <f aca="false">'Long Term Deals'!AI113</f>
        <v>0</v>
      </c>
      <c r="F113" s="7" t="n">
        <f aca="false">'Long Term Deals'!AJ113</f>
        <v>0</v>
      </c>
      <c r="G113" s="7" t="n">
        <f aca="false">'Long Term Deals'!AK113</f>
        <v>0</v>
      </c>
      <c r="H113" s="7" t="n">
        <f aca="false">'Long Term Deals'!AL113</f>
        <v>0</v>
      </c>
      <c r="I113" s="7" t="n">
        <f aca="false">'Long Term Deals'!AM113</f>
        <v>29306</v>
      </c>
      <c r="J113" s="7" t="n">
        <f aca="false">'Long Term Deals'!AN113</f>
        <v>0</v>
      </c>
      <c r="K113" s="7" t="n">
        <f aca="false">'Long Term Deals'!AO113</f>
        <v>38560</v>
      </c>
      <c r="L113" s="7" t="n">
        <f aca="false">'Long Term Deals'!AP113</f>
        <v>0</v>
      </c>
      <c r="M113" s="7" t="n">
        <f aca="false">'Long Term Deals'!AQ113</f>
        <v>0</v>
      </c>
      <c r="N113" s="7" t="n">
        <f aca="false">'Long Term Deals'!AR113</f>
        <v>29305.8251928021</v>
      </c>
      <c r="O113" s="7" t="n">
        <f aca="false">'Long Term Deals'!AS113</f>
        <v>0</v>
      </c>
      <c r="P113" s="7" t="n">
        <f aca="false">'Long Term Deals'!AT113</f>
        <v>38560.822622108</v>
      </c>
      <c r="Q113" s="7" t="n">
        <f aca="false">'Long Term Deals'!AU113</f>
        <v>0</v>
      </c>
      <c r="R113" s="7" t="n">
        <f aca="false">'Long Term Deals'!AV113</f>
        <v>0</v>
      </c>
      <c r="S113" s="68" t="n">
        <f aca="false">'Long Term Deals'!AW113</f>
        <v>0.05</v>
      </c>
      <c r="T113" s="68" t="n">
        <f aca="false">'Long Term Deals'!AX113</f>
        <v>0.025</v>
      </c>
      <c r="U113" s="7" t="n">
        <f aca="false">'Long Term Deals'!AY113</f>
        <v>14843964.7722447</v>
      </c>
      <c r="V113" s="7" t="n">
        <f aca="false">'Long Term Deals'!AZ113</f>
        <v>14626484.0524504</v>
      </c>
      <c r="W113" s="5" t="n">
        <f aca="false">U113-V113</f>
        <v>217480.719794344</v>
      </c>
      <c r="X113" s="5" t="n">
        <f aca="false">'Long Term Deals'!CA113</f>
        <v>20359.8971722365</v>
      </c>
      <c r="Z113" s="7" t="n">
        <f aca="false">[2]Sheet1!$O130</f>
        <v>-177327.140124723</v>
      </c>
      <c r="AA113" s="7" t="n">
        <f aca="false">'[3]Long Term Deals'!$Z112</f>
        <v>10189.453117467</v>
      </c>
      <c r="AB113" s="70" t="n">
        <f aca="false">-Z113+AA113+Y113+W113-X113</f>
        <v>384637.415864298</v>
      </c>
      <c r="AC113" s="70" t="n">
        <f aca="false">AB113-Y113</f>
        <v>384637.415864298</v>
      </c>
      <c r="AD113" s="70" t="n">
        <f aca="false">AC113+Z113-AA113+X113</f>
        <v>217480.719794344</v>
      </c>
      <c r="AE113" s="13" t="n">
        <f aca="false">(W113-Z113+AA113)/(B113+C113+D113)/'Prices&amp;Fuel'!H113</f>
        <v>0.0994595674060681</v>
      </c>
      <c r="AF113" s="1" t="n">
        <v>132000</v>
      </c>
      <c r="AG113" s="7" t="n">
        <f aca="false">((((I113*'Prices&amp;Fuel'!B113+'Prices&amp;Fuel'!C113*FPL!J113+FPL!K113*'Prices&amp;Fuel'!D113))+(L113*'Prices&amp;Fuel'!B113+'Prices&amp;Fuel'!C113*FPL!M113))*'Prices&amp;Fuel'!H113)+(I113+J113+K113)*'Prices&amp;Fuel'!H113*FPL!T113+Q113/2</f>
        <v>7313207.05393371</v>
      </c>
      <c r="AH113" s="7" t="n">
        <f aca="false">(N113*'Prices&amp;Fuel'!B113+'Prices&amp;Fuel'!C113*O113+P113*'Prices&amp;Fuel'!D113)*'Prices&amp;Fuel'!H113+(N113+O113+P113)*'Prices&amp;Fuel'!H113*FPL!T113+Q113/2</f>
        <v>7313276.99851668</v>
      </c>
      <c r="AI113" s="7" t="n">
        <f aca="false">R113*'Prices&amp;Fuel'!H113*'Prices&amp;Fuel'!Q113</f>
        <v>0</v>
      </c>
      <c r="AJ113" s="55" t="n">
        <f aca="false">SUM(AG113:AI113)-'Long Term Deals'!AZ113</f>
        <v>0</v>
      </c>
    </row>
    <row r="114" customFormat="false" ht="11.25" hidden="false" customHeight="false" outlineLevel="0" collapsed="false">
      <c r="A114" s="6" t="n">
        <f aca="false">+A113+365/12</f>
        <v>39064.4166666667</v>
      </c>
      <c r="B114" s="7" t="n">
        <f aca="false">'Long Term Deals'!AF114</f>
        <v>58611.8251928021</v>
      </c>
      <c r="C114" s="7" t="n">
        <f aca="false">'Long Term Deals'!AG114</f>
        <v>0</v>
      </c>
      <c r="D114" s="7" t="n">
        <f aca="false">'Long Term Deals'!AH114</f>
        <v>77120.822622108</v>
      </c>
      <c r="E114" s="7" t="n">
        <f aca="false">'Long Term Deals'!AI114</f>
        <v>0</v>
      </c>
      <c r="F114" s="7" t="n">
        <f aca="false">'Long Term Deals'!AJ114</f>
        <v>0</v>
      </c>
      <c r="G114" s="7" t="n">
        <f aca="false">'Long Term Deals'!AK114</f>
        <v>0</v>
      </c>
      <c r="H114" s="7" t="n">
        <f aca="false">'Long Term Deals'!AL114</f>
        <v>0</v>
      </c>
      <c r="I114" s="7" t="n">
        <f aca="false">'Long Term Deals'!AM114</f>
        <v>29306</v>
      </c>
      <c r="J114" s="7" t="n">
        <f aca="false">'Long Term Deals'!AN114</f>
        <v>0</v>
      </c>
      <c r="K114" s="7" t="n">
        <f aca="false">'Long Term Deals'!AO114</f>
        <v>38560</v>
      </c>
      <c r="L114" s="7" t="n">
        <f aca="false">'Long Term Deals'!AP114</f>
        <v>0</v>
      </c>
      <c r="M114" s="7" t="n">
        <f aca="false">'Long Term Deals'!AQ114</f>
        <v>0</v>
      </c>
      <c r="N114" s="7" t="n">
        <f aca="false">'Long Term Deals'!AR114</f>
        <v>29305.8251928021</v>
      </c>
      <c r="O114" s="7" t="n">
        <f aca="false">'Long Term Deals'!AS114</f>
        <v>0</v>
      </c>
      <c r="P114" s="7" t="n">
        <f aca="false">'Long Term Deals'!AT114</f>
        <v>38560.822622108</v>
      </c>
      <c r="Q114" s="7" t="n">
        <f aca="false">'Long Term Deals'!AU114</f>
        <v>0</v>
      </c>
      <c r="R114" s="7" t="n">
        <f aca="false">'Long Term Deals'!AV114</f>
        <v>0</v>
      </c>
      <c r="S114" s="68" t="n">
        <f aca="false">'Long Term Deals'!AW114</f>
        <v>0.05</v>
      </c>
      <c r="T114" s="68" t="n">
        <f aca="false">'Long Term Deals'!AX114</f>
        <v>0.025</v>
      </c>
      <c r="U114" s="7" t="n">
        <f aca="false">'Long Term Deals'!AY114</f>
        <v>11485628.980146</v>
      </c>
      <c r="V114" s="7" t="n">
        <f aca="false">'Long Term Deals'!AZ114</f>
        <v>11260898.9030252</v>
      </c>
      <c r="W114" s="5" t="n">
        <f aca="false">U114-V114</f>
        <v>224730.077120822</v>
      </c>
      <c r="X114" s="5" t="n">
        <f aca="false">'Long Term Deals'!CA114</f>
        <v>21038.5604113111</v>
      </c>
      <c r="Z114" s="7" t="n">
        <f aca="false">[2]Sheet1!$O131</f>
        <v>-183238.044795547</v>
      </c>
      <c r="AA114" s="7" t="n">
        <f aca="false">'[3]Long Term Deals'!$Z113</f>
        <v>10529.1015547159</v>
      </c>
      <c r="AB114" s="70" t="n">
        <f aca="false">-Z114+AA114+Y114+W114-X114</f>
        <v>397458.663059774</v>
      </c>
      <c r="AC114" s="70" t="n">
        <f aca="false">AB114-Y114</f>
        <v>397458.663059774</v>
      </c>
      <c r="AD114" s="70" t="n">
        <f aca="false">AC114+Z114-AA114+X114</f>
        <v>224730.077120822</v>
      </c>
      <c r="AE114" s="13" t="n">
        <f aca="false">(W114-Z114+AA114)/(B114+C114+D114)/'Prices&amp;Fuel'!H114</f>
        <v>0.099459567406068</v>
      </c>
      <c r="AF114" s="1" t="n">
        <v>132000</v>
      </c>
      <c r="AG114" s="7" t="n">
        <f aca="false">((((I114*'Prices&amp;Fuel'!B114+'Prices&amp;Fuel'!C114*FPL!J114+FPL!K114*'Prices&amp;Fuel'!D114))+(L114*'Prices&amp;Fuel'!B114+'Prices&amp;Fuel'!C114*FPL!M114))*'Prices&amp;Fuel'!H114)+(I114+J114+K114)*'Prices&amp;Fuel'!H114*FPL!T114+Q114/2</f>
        <v>5630422.5084584</v>
      </c>
      <c r="AH114" s="7" t="n">
        <f aca="false">(N114*'Prices&amp;Fuel'!B114+'Prices&amp;Fuel'!C114*O114+P114*'Prices&amp;Fuel'!D114)*'Prices&amp;Fuel'!H114+(N114+O114+P114)*'Prices&amp;Fuel'!H114*FPL!T114+Q114/2</f>
        <v>5630476.3945668</v>
      </c>
      <c r="AI114" s="7" t="n">
        <f aca="false">R114*'Prices&amp;Fuel'!H114*'Prices&amp;Fuel'!Q114</f>
        <v>0</v>
      </c>
      <c r="AJ114" s="55" t="n">
        <f aca="false">SUM(AG114:AI114)-'Long Term Deals'!AZ114</f>
        <v>0</v>
      </c>
    </row>
    <row r="115" customFormat="false" ht="11.25" hidden="false" customHeight="false" outlineLevel="0" collapsed="false">
      <c r="A115" s="6" t="n">
        <f aca="false">+A114+365/12</f>
        <v>39094.8333333333</v>
      </c>
      <c r="B115" s="7" t="n">
        <f aca="false">'Long Term Deals'!AF115</f>
        <v>58611.8251928021</v>
      </c>
      <c r="C115" s="7" t="n">
        <f aca="false">'Long Term Deals'!AG115</f>
        <v>0</v>
      </c>
      <c r="D115" s="7" t="n">
        <f aca="false">'Long Term Deals'!AH115</f>
        <v>77120.822622108</v>
      </c>
      <c r="E115" s="7" t="n">
        <f aca="false">'Long Term Deals'!AI115</f>
        <v>0</v>
      </c>
      <c r="F115" s="7" t="n">
        <f aca="false">'Long Term Deals'!AJ115</f>
        <v>0</v>
      </c>
      <c r="G115" s="7" t="n">
        <f aca="false">'Long Term Deals'!AK115</f>
        <v>0</v>
      </c>
      <c r="H115" s="7" t="n">
        <f aca="false">'Long Term Deals'!AL115</f>
        <v>0</v>
      </c>
      <c r="I115" s="7" t="n">
        <f aca="false">'Long Term Deals'!AM115</f>
        <v>29306</v>
      </c>
      <c r="J115" s="7" t="n">
        <f aca="false">'Long Term Deals'!AN115</f>
        <v>0</v>
      </c>
      <c r="K115" s="7" t="n">
        <f aca="false">'Long Term Deals'!AO115</f>
        <v>38560</v>
      </c>
      <c r="L115" s="7" t="n">
        <f aca="false">'Long Term Deals'!AP115</f>
        <v>0</v>
      </c>
      <c r="M115" s="7" t="n">
        <f aca="false">'Long Term Deals'!AQ115</f>
        <v>0</v>
      </c>
      <c r="N115" s="7" t="n">
        <f aca="false">'Long Term Deals'!AR115</f>
        <v>29305.8251928021</v>
      </c>
      <c r="O115" s="7" t="n">
        <f aca="false">'Long Term Deals'!AS115</f>
        <v>0</v>
      </c>
      <c r="P115" s="7" t="n">
        <f aca="false">'Long Term Deals'!AT115</f>
        <v>38560.822622108</v>
      </c>
      <c r="Q115" s="7" t="n">
        <f aca="false">'Long Term Deals'!AU115</f>
        <v>0</v>
      </c>
      <c r="R115" s="7" t="n">
        <f aca="false">'Long Term Deals'!AV115</f>
        <v>0</v>
      </c>
      <c r="S115" s="68" t="n">
        <f aca="false">'Long Term Deals'!AW115</f>
        <v>0.04</v>
      </c>
      <c r="T115" s="68" t="n">
        <f aca="false">'Long Term Deals'!AX115</f>
        <v>0.025</v>
      </c>
      <c r="U115" s="7" t="n">
        <f aca="false">'Long Term Deals'!AY115</f>
        <v>10098019.7365253</v>
      </c>
      <c r="V115" s="7" t="n">
        <f aca="false">'Long Term Deals'!AZ115</f>
        <v>9915366.78022713</v>
      </c>
      <c r="W115" s="5" t="n">
        <f aca="false">U115-V115</f>
        <v>182652.9562982</v>
      </c>
      <c r="X115" s="5" t="n">
        <f aca="false">'Long Term Deals'!CA115</f>
        <v>21038.5604113111</v>
      </c>
      <c r="Z115" s="7" t="n">
        <f aca="false">[2]Sheet1!$O133</f>
        <v>-225445.368158105</v>
      </c>
      <c r="AA115" s="7" t="n">
        <f aca="false">'[3]Long Term Deals'!$Z114</f>
        <v>10529.1015547159</v>
      </c>
      <c r="AB115" s="70" t="n">
        <f aca="false">-Z115+AA115+Y115+W115-X115</f>
        <v>397588.86559971</v>
      </c>
      <c r="AC115" s="70" t="n">
        <f aca="false">AB115-Y115</f>
        <v>397588.86559971</v>
      </c>
      <c r="AD115" s="70" t="n">
        <f aca="false">AC115+Z115-AA115+X115</f>
        <v>182652.9562982</v>
      </c>
      <c r="AE115" s="13" t="n">
        <f aca="false">(W115-Z115+AA115)/(B115+C115+D115)/'Prices&amp;Fuel'!H115</f>
        <v>0.0994905111915245</v>
      </c>
      <c r="AF115" s="1" t="n">
        <v>132000</v>
      </c>
      <c r="AG115" s="7" t="n">
        <f aca="false">((((I115*'Prices&amp;Fuel'!B115+'Prices&amp;Fuel'!C115*FPL!J115+FPL!K115*'Prices&amp;Fuel'!D115))+(L115*'Prices&amp;Fuel'!B115+'Prices&amp;Fuel'!C115*FPL!M115))*'Prices&amp;Fuel'!H115)+(I115+J115+K115)*'Prices&amp;Fuel'!H115*FPL!T115+Q115/2</f>
        <v>4957659.6579883</v>
      </c>
      <c r="AH115" s="7" t="n">
        <f aca="false">(N115*'Prices&amp;Fuel'!B115+'Prices&amp;Fuel'!C115*O115+P115*'Prices&amp;Fuel'!D115)*'Prices&amp;Fuel'!H115+(N115+O115+P115)*'Prices&amp;Fuel'!H115*FPL!T115+Q115/2</f>
        <v>4957707.12223884</v>
      </c>
      <c r="AI115" s="7" t="n">
        <f aca="false">R115*'Prices&amp;Fuel'!H115*'Prices&amp;Fuel'!Q115</f>
        <v>0</v>
      </c>
      <c r="AJ115" s="55" t="n">
        <f aca="false">SUM(AG115:AI115)-'Long Term Deals'!AZ115</f>
        <v>0</v>
      </c>
    </row>
    <row r="116" customFormat="false" ht="11.25" hidden="false" customHeight="false" outlineLevel="0" collapsed="false">
      <c r="A116" s="6" t="n">
        <f aca="false">+A115+365/12</f>
        <v>39125.25</v>
      </c>
      <c r="B116" s="7" t="n">
        <f aca="false">'Long Term Deals'!AF116</f>
        <v>58611.8251928021</v>
      </c>
      <c r="C116" s="7" t="n">
        <f aca="false">'Long Term Deals'!AG116</f>
        <v>0</v>
      </c>
      <c r="D116" s="7" t="n">
        <f aca="false">'Long Term Deals'!AH116</f>
        <v>77120.822622108</v>
      </c>
      <c r="E116" s="7" t="n">
        <f aca="false">'Long Term Deals'!AI116</f>
        <v>0</v>
      </c>
      <c r="F116" s="7" t="n">
        <f aca="false">'Long Term Deals'!AJ116</f>
        <v>0</v>
      </c>
      <c r="G116" s="7" t="n">
        <f aca="false">'Long Term Deals'!AK116</f>
        <v>0</v>
      </c>
      <c r="H116" s="7" t="n">
        <f aca="false">'Long Term Deals'!AL116</f>
        <v>0</v>
      </c>
      <c r="I116" s="7" t="n">
        <f aca="false">'Long Term Deals'!AM116</f>
        <v>29306</v>
      </c>
      <c r="J116" s="7" t="n">
        <f aca="false">'Long Term Deals'!AN116</f>
        <v>0</v>
      </c>
      <c r="K116" s="7" t="n">
        <f aca="false">'Long Term Deals'!AO116</f>
        <v>38560</v>
      </c>
      <c r="L116" s="7" t="n">
        <f aca="false">'Long Term Deals'!AP116</f>
        <v>0</v>
      </c>
      <c r="M116" s="7" t="n">
        <f aca="false">'Long Term Deals'!AQ116</f>
        <v>0</v>
      </c>
      <c r="N116" s="7" t="n">
        <f aca="false">'Long Term Deals'!AR116</f>
        <v>29305.8251928021</v>
      </c>
      <c r="O116" s="7" t="n">
        <f aca="false">'Long Term Deals'!AS116</f>
        <v>0</v>
      </c>
      <c r="P116" s="7" t="n">
        <f aca="false">'Long Term Deals'!AT116</f>
        <v>38560.822622108</v>
      </c>
      <c r="Q116" s="7" t="n">
        <f aca="false">'Long Term Deals'!AU116</f>
        <v>0</v>
      </c>
      <c r="R116" s="7" t="n">
        <f aca="false">'Long Term Deals'!AV116</f>
        <v>0</v>
      </c>
      <c r="S116" s="68" t="n">
        <f aca="false">'Long Term Deals'!AW116</f>
        <v>0.04</v>
      </c>
      <c r="T116" s="68" t="n">
        <f aca="false">'Long Term Deals'!AX116</f>
        <v>0.025</v>
      </c>
      <c r="U116" s="7" t="n">
        <f aca="false">'Long Term Deals'!AY116</f>
        <v>10199274.2300574</v>
      </c>
      <c r="V116" s="7" t="n">
        <f aca="false">'Long Term Deals'!AZ116</f>
        <v>10034297.3663041</v>
      </c>
      <c r="W116" s="5" t="n">
        <f aca="false">U116-V116</f>
        <v>164976.863753214</v>
      </c>
      <c r="X116" s="5" t="n">
        <f aca="false">'Long Term Deals'!CA116</f>
        <v>19002.5706940874</v>
      </c>
      <c r="Z116" s="7" t="n">
        <f aca="false">[2]Sheet1!$O134</f>
        <v>-203628.074465385</v>
      </c>
      <c r="AA116" s="7" t="n">
        <f aca="false">'[3]Long Term Deals'!$Z115</f>
        <v>9510.15624296921</v>
      </c>
      <c r="AB116" s="70" t="n">
        <f aca="false">-Z116+AA116+Y116+W116-X116</f>
        <v>359112.523767482</v>
      </c>
      <c r="AC116" s="70" t="n">
        <f aca="false">AB116-Y116</f>
        <v>359112.523767482</v>
      </c>
      <c r="AD116" s="70" t="n">
        <f aca="false">AC116+Z116-AA116+X116</f>
        <v>164976.863753214</v>
      </c>
      <c r="AE116" s="13" t="n">
        <f aca="false">(W116-Z116+AA116)/(B116+C116+D116)/'Prices&amp;Fuel'!H116</f>
        <v>0.0994905111915248</v>
      </c>
      <c r="AF116" s="1" t="n">
        <v>132000</v>
      </c>
      <c r="AG116" s="7" t="n">
        <f aca="false">((((I116*'Prices&amp;Fuel'!B116+'Prices&amp;Fuel'!C116*FPL!J116+FPL!K116*'Prices&amp;Fuel'!D116))+(L116*'Prices&amp;Fuel'!B116+'Prices&amp;Fuel'!C116*FPL!M116))*'Prices&amp;Fuel'!H116)+(I116+J116+K116)*'Prices&amp;Fuel'!H116*FPL!T116+Q116/2</f>
        <v>5017124.67403336</v>
      </c>
      <c r="AH116" s="7" t="n">
        <f aca="false">(N116*'Prices&amp;Fuel'!B116+'Prices&amp;Fuel'!C116*O116+P116*'Prices&amp;Fuel'!D116)*'Prices&amp;Fuel'!H116+(N116+O116+P116)*'Prices&amp;Fuel'!H116*FPL!T116+Q116/2</f>
        <v>5017172.69227079</v>
      </c>
      <c r="AI116" s="7" t="n">
        <f aca="false">R116*'Prices&amp;Fuel'!H116*'Prices&amp;Fuel'!Q116</f>
        <v>0</v>
      </c>
      <c r="AJ116" s="55" t="n">
        <f aca="false">SUM(AG116:AI116)-'Long Term Deals'!AZ116</f>
        <v>0</v>
      </c>
    </row>
    <row r="117" customFormat="false" ht="11.25" hidden="false" customHeight="false" outlineLevel="0" collapsed="false">
      <c r="A117" s="6" t="n">
        <f aca="false">+A116+365/12</f>
        <v>39155.6666666667</v>
      </c>
      <c r="B117" s="7" t="n">
        <f aca="false">'Long Term Deals'!AF117</f>
        <v>58611.8251928021</v>
      </c>
      <c r="C117" s="7" t="n">
        <f aca="false">'Long Term Deals'!AG117</f>
        <v>0</v>
      </c>
      <c r="D117" s="7" t="n">
        <f aca="false">'Long Term Deals'!AH117</f>
        <v>77120.822622108</v>
      </c>
      <c r="E117" s="7" t="n">
        <f aca="false">'Long Term Deals'!AI117</f>
        <v>0</v>
      </c>
      <c r="F117" s="7" t="n">
        <f aca="false">'Long Term Deals'!AJ117</f>
        <v>0</v>
      </c>
      <c r="G117" s="7" t="n">
        <f aca="false">'Long Term Deals'!AK117</f>
        <v>0</v>
      </c>
      <c r="H117" s="7" t="n">
        <f aca="false">'Long Term Deals'!AL117</f>
        <v>0</v>
      </c>
      <c r="I117" s="7" t="n">
        <f aca="false">'Long Term Deals'!AM117</f>
        <v>29306</v>
      </c>
      <c r="J117" s="7" t="n">
        <f aca="false">'Long Term Deals'!AN117</f>
        <v>0</v>
      </c>
      <c r="K117" s="7" t="n">
        <f aca="false">'Long Term Deals'!AO117</f>
        <v>38560</v>
      </c>
      <c r="L117" s="7" t="n">
        <f aca="false">'Long Term Deals'!AP117</f>
        <v>0</v>
      </c>
      <c r="M117" s="7" t="n">
        <f aca="false">'Long Term Deals'!AQ117</f>
        <v>0</v>
      </c>
      <c r="N117" s="7" t="n">
        <f aca="false">'Long Term Deals'!AR117</f>
        <v>29305.8251928021</v>
      </c>
      <c r="O117" s="7" t="n">
        <f aca="false">'Long Term Deals'!AS117</f>
        <v>0</v>
      </c>
      <c r="P117" s="7" t="n">
        <f aca="false">'Long Term Deals'!AT117</f>
        <v>38560.822622108</v>
      </c>
      <c r="Q117" s="7" t="n">
        <f aca="false">'Long Term Deals'!AU117</f>
        <v>0</v>
      </c>
      <c r="R117" s="7" t="n">
        <f aca="false">'Long Term Deals'!AV117</f>
        <v>0</v>
      </c>
      <c r="S117" s="68" t="n">
        <f aca="false">'Long Term Deals'!AW117</f>
        <v>0.04</v>
      </c>
      <c r="T117" s="68" t="n">
        <f aca="false">'Long Term Deals'!AX117</f>
        <v>0.025</v>
      </c>
      <c r="U117" s="7" t="n">
        <f aca="false">'Long Term Deals'!AY117</f>
        <v>11292053.6118492</v>
      </c>
      <c r="V117" s="7" t="n">
        <f aca="false">'Long Term Deals'!AZ117</f>
        <v>11109400.655551</v>
      </c>
      <c r="W117" s="5" t="n">
        <f aca="false">U117-V117</f>
        <v>182652.956298202</v>
      </c>
      <c r="X117" s="5" t="n">
        <f aca="false">'Long Term Deals'!CA117</f>
        <v>21038.5604113111</v>
      </c>
      <c r="Z117" s="7" t="n">
        <f aca="false">[2]Sheet1!$O135</f>
        <v>-225445.368158105</v>
      </c>
      <c r="AA117" s="7" t="n">
        <f aca="false">'[3]Long Term Deals'!$Z116</f>
        <v>10529.1015547159</v>
      </c>
      <c r="AB117" s="70" t="n">
        <f aca="false">-Z117+AA117+Y117+W117-X117</f>
        <v>397588.865599712</v>
      </c>
      <c r="AC117" s="70" t="n">
        <f aca="false">AB117-Y117</f>
        <v>397588.865599712</v>
      </c>
      <c r="AD117" s="70" t="n">
        <f aca="false">AC117+Z117-AA117+X117</f>
        <v>182652.956298202</v>
      </c>
      <c r="AE117" s="13" t="n">
        <f aca="false">(W117-Z117+AA117)/(B117+C117+D117)/'Prices&amp;Fuel'!H117</f>
        <v>0.099490511191525</v>
      </c>
      <c r="AF117" s="1" t="n">
        <v>132000</v>
      </c>
      <c r="AG117" s="7" t="n">
        <f aca="false">((((I117*'Prices&amp;Fuel'!B117+'Prices&amp;Fuel'!C117*FPL!J117+FPL!K117*'Prices&amp;Fuel'!D117))+(L117*'Prices&amp;Fuel'!B117+'Prices&amp;Fuel'!C117*FPL!M117))*'Prices&amp;Fuel'!H117)+(I117+J117+K117)*'Prices&amp;Fuel'!H117*FPL!T117+Q117/2</f>
        <v>5554673.74625122</v>
      </c>
      <c r="AH117" s="7" t="n">
        <f aca="false">(N117*'Prices&amp;Fuel'!B117+'Prices&amp;Fuel'!C117*O117+P117*'Prices&amp;Fuel'!D117)*'Prices&amp;Fuel'!H117+(N117+O117+P117)*'Prices&amp;Fuel'!H117*FPL!T117+Q117/2</f>
        <v>5554726.9092998</v>
      </c>
      <c r="AI117" s="7" t="n">
        <f aca="false">R117*'Prices&amp;Fuel'!H117*'Prices&amp;Fuel'!Q117</f>
        <v>0</v>
      </c>
      <c r="AJ117" s="55" t="n">
        <f aca="false">SUM(AG117:AI117)-'Long Term Deals'!AZ117</f>
        <v>0</v>
      </c>
    </row>
    <row r="118" customFormat="false" ht="11.25" hidden="false" customHeight="false" outlineLevel="0" collapsed="false">
      <c r="A118" s="6" t="n">
        <f aca="false">+A117+365/12</f>
        <v>39186.0833333333</v>
      </c>
      <c r="B118" s="7" t="n">
        <f aca="false">'Long Term Deals'!AF118</f>
        <v>58611.8251928021</v>
      </c>
      <c r="C118" s="7" t="n">
        <f aca="false">'Long Term Deals'!AG118</f>
        <v>0</v>
      </c>
      <c r="D118" s="7" t="n">
        <f aca="false">'Long Term Deals'!AH118</f>
        <v>77120.822622108</v>
      </c>
      <c r="E118" s="7" t="n">
        <f aca="false">'Long Term Deals'!AI118</f>
        <v>0</v>
      </c>
      <c r="F118" s="7" t="n">
        <f aca="false">'Long Term Deals'!AJ118</f>
        <v>0</v>
      </c>
      <c r="G118" s="7" t="n">
        <f aca="false">'Long Term Deals'!AK118</f>
        <v>0</v>
      </c>
      <c r="H118" s="7" t="n">
        <f aca="false">'Long Term Deals'!AL118</f>
        <v>0</v>
      </c>
      <c r="I118" s="7" t="n">
        <f aca="false">'Long Term Deals'!AM118</f>
        <v>29306</v>
      </c>
      <c r="J118" s="7" t="n">
        <f aca="false">'Long Term Deals'!AN118</f>
        <v>0</v>
      </c>
      <c r="K118" s="7" t="n">
        <f aca="false">'Long Term Deals'!AO118</f>
        <v>38560</v>
      </c>
      <c r="L118" s="7" t="n">
        <f aca="false">'Long Term Deals'!AP118</f>
        <v>0</v>
      </c>
      <c r="M118" s="7" t="n">
        <f aca="false">'Long Term Deals'!AQ118</f>
        <v>0</v>
      </c>
      <c r="N118" s="7" t="n">
        <f aca="false">'Long Term Deals'!AR118</f>
        <v>29305.8251928021</v>
      </c>
      <c r="O118" s="7" t="n">
        <f aca="false">'Long Term Deals'!AS118</f>
        <v>0</v>
      </c>
      <c r="P118" s="7" t="n">
        <f aca="false">'Long Term Deals'!AT118</f>
        <v>38560.822622108</v>
      </c>
      <c r="Q118" s="7" t="n">
        <f aca="false">'Long Term Deals'!AU118</f>
        <v>0</v>
      </c>
      <c r="R118" s="7" t="n">
        <f aca="false">'Long Term Deals'!AV118</f>
        <v>0</v>
      </c>
      <c r="S118" s="68" t="n">
        <f aca="false">'Long Term Deals'!AW118</f>
        <v>0.04</v>
      </c>
      <c r="T118" s="68" t="n">
        <f aca="false">'Long Term Deals'!AX118</f>
        <v>0.025</v>
      </c>
      <c r="U118" s="7" t="n">
        <f aca="false">'Long Term Deals'!AY118</f>
        <v>12083310.4714579</v>
      </c>
      <c r="V118" s="7" t="n">
        <f aca="false">'Long Term Deals'!AZ118</f>
        <v>11906549.546008</v>
      </c>
      <c r="W118" s="5" t="n">
        <f aca="false">U118-V118</f>
        <v>176760.925449872</v>
      </c>
      <c r="X118" s="5" t="n">
        <f aca="false">'Long Term Deals'!CA118</f>
        <v>20359.8971722365</v>
      </c>
      <c r="Z118" s="7" t="n">
        <f aca="false">[2]Sheet1!$O136</f>
        <v>-218172.936927199</v>
      </c>
      <c r="AA118" s="7" t="n">
        <f aca="false">'[3]Long Term Deals'!$Z117</f>
        <v>10189.453117467</v>
      </c>
      <c r="AB118" s="70" t="n">
        <f aca="false">-Z118+AA118+Y118+W118-X118</f>
        <v>384763.418322301</v>
      </c>
      <c r="AC118" s="70" t="n">
        <f aca="false">AB118-Y118</f>
        <v>384763.418322301</v>
      </c>
      <c r="AD118" s="70" t="n">
        <f aca="false">AC118+Z118-AA118+X118</f>
        <v>176760.925449872</v>
      </c>
      <c r="AE118" s="13" t="n">
        <f aca="false">(W118-Z118+AA118)/(B118+C118+D118)/'Prices&amp;Fuel'!H118</f>
        <v>0.0994905111915248</v>
      </c>
      <c r="AF118" s="1" t="n">
        <v>132000</v>
      </c>
      <c r="AG118" s="7" t="n">
        <f aca="false">((((I118*'Prices&amp;Fuel'!B118+'Prices&amp;Fuel'!C118*FPL!J118+FPL!K118*'Prices&amp;Fuel'!D118))+(L118*'Prices&amp;Fuel'!B118+'Prices&amp;Fuel'!C118*FPL!M118))*'Prices&amp;Fuel'!H118)+(I118+J118+K118)*'Prices&amp;Fuel'!H118*FPL!T118+Q118/2</f>
        <v>5953246.2914653</v>
      </c>
      <c r="AH118" s="7" t="n">
        <f aca="false">(N118*'Prices&amp;Fuel'!B118+'Prices&amp;Fuel'!C118*O118+P118*'Prices&amp;Fuel'!D118)*'Prices&amp;Fuel'!H118+(N118+O118+P118)*'Prices&amp;Fuel'!H118*FPL!T118+Q118/2</f>
        <v>5953303.25454268</v>
      </c>
      <c r="AI118" s="7" t="n">
        <f aca="false">R118*'Prices&amp;Fuel'!H118*'Prices&amp;Fuel'!Q118</f>
        <v>0</v>
      </c>
      <c r="AJ118" s="55" t="n">
        <f aca="false">SUM(AG118:AI118)-'Long Term Deals'!AZ118</f>
        <v>0</v>
      </c>
    </row>
    <row r="119" customFormat="false" ht="11.25" hidden="false" customHeight="false" outlineLevel="0" collapsed="false">
      <c r="A119" s="6" t="n">
        <f aca="false">+A118+365/12</f>
        <v>39216.5</v>
      </c>
      <c r="B119" s="7" t="n">
        <f aca="false">'Long Term Deals'!AF119</f>
        <v>128534.70437018</v>
      </c>
      <c r="C119" s="7" t="n">
        <f aca="false">'Long Term Deals'!AG119</f>
        <v>0</v>
      </c>
      <c r="D119" s="7" t="n">
        <f aca="false">'Long Term Deals'!AH119</f>
        <v>77120.822622108</v>
      </c>
      <c r="E119" s="7" t="n">
        <f aca="false">'Long Term Deals'!AI119</f>
        <v>0</v>
      </c>
      <c r="F119" s="7" t="n">
        <f aca="false">'Long Term Deals'!AJ119</f>
        <v>0</v>
      </c>
      <c r="G119" s="7" t="n">
        <f aca="false">'Long Term Deals'!AK119</f>
        <v>0</v>
      </c>
      <c r="H119" s="7" t="n">
        <f aca="false">'Long Term Deals'!AL119</f>
        <v>0</v>
      </c>
      <c r="I119" s="7" t="n">
        <f aca="false">'Long Term Deals'!AM119</f>
        <v>64267</v>
      </c>
      <c r="J119" s="7" t="n">
        <f aca="false">'Long Term Deals'!AN119</f>
        <v>0</v>
      </c>
      <c r="K119" s="7" t="n">
        <f aca="false">'Long Term Deals'!AO119</f>
        <v>38560</v>
      </c>
      <c r="L119" s="7" t="n">
        <f aca="false">'Long Term Deals'!AP119</f>
        <v>0</v>
      </c>
      <c r="M119" s="7" t="n">
        <f aca="false">'Long Term Deals'!AQ119</f>
        <v>0</v>
      </c>
      <c r="N119" s="7" t="n">
        <f aca="false">'Long Term Deals'!AR119</f>
        <v>64267.70437018</v>
      </c>
      <c r="O119" s="7" t="n">
        <f aca="false">'Long Term Deals'!AS119</f>
        <v>0</v>
      </c>
      <c r="P119" s="7" t="n">
        <f aca="false">'Long Term Deals'!AT119</f>
        <v>38560.822622108</v>
      </c>
      <c r="Q119" s="7" t="n">
        <f aca="false">'Long Term Deals'!AU119</f>
        <v>0</v>
      </c>
      <c r="R119" s="7" t="n">
        <f aca="false">'Long Term Deals'!AV119</f>
        <v>0</v>
      </c>
      <c r="S119" s="68" t="n">
        <f aca="false">'Long Term Deals'!AW119</f>
        <v>0.04</v>
      </c>
      <c r="T119" s="68" t="n">
        <f aca="false">'Long Term Deals'!AX119</f>
        <v>0.025</v>
      </c>
      <c r="U119" s="7" t="n">
        <f aca="false">'Long Term Deals'!AY119</f>
        <v>20117518.696</v>
      </c>
      <c r="V119" s="7" t="n">
        <f aca="false">'Long Term Deals'!AZ119</f>
        <v>19902351.6008843</v>
      </c>
      <c r="W119" s="5" t="n">
        <f aca="false">U119-V119</f>
        <v>215167.09511568</v>
      </c>
      <c r="X119" s="5" t="n">
        <f aca="false">'Long Term Deals'!CA119</f>
        <v>31876.6066838046</v>
      </c>
      <c r="Z119" s="7" t="n">
        <f aca="false">[2]Sheet1!$O137</f>
        <v>-341583.891148644</v>
      </c>
      <c r="AA119" s="7" t="n">
        <f aca="false">'[3]Long Term Deals'!$Z118</f>
        <v>15953.184173812</v>
      </c>
      <c r="AB119" s="70" t="n">
        <f aca="false">-Z119+AA119+Y119+W119-X119</f>
        <v>540827.563754332</v>
      </c>
      <c r="AC119" s="70" t="n">
        <f aca="false">AB119-Y119</f>
        <v>540827.563754332</v>
      </c>
      <c r="AD119" s="70" t="n">
        <f aca="false">AC119+Z119-AA119+X119</f>
        <v>215167.09511568</v>
      </c>
      <c r="AE119" s="13" t="n">
        <f aca="false">(W119-Z119+AA119)/(B119+C119+D119)/'Prices&amp;Fuel'!H119</f>
        <v>0.0898314202824335</v>
      </c>
      <c r="AF119" s="1" t="n">
        <v>200000</v>
      </c>
      <c r="AG119" s="7" t="n">
        <f aca="false">((((I119*'Prices&amp;Fuel'!B119+'Prices&amp;Fuel'!C119*FPL!J119+FPL!K119*'Prices&amp;Fuel'!D119))+(L119*'Prices&amp;Fuel'!B119+'Prices&amp;Fuel'!C119*FPL!M119))*'Prices&amp;Fuel'!H119)+(I119+J119+K119)*'Prices&amp;Fuel'!H119*FPL!T119+Q119/2</f>
        <v>9951101.87421185</v>
      </c>
      <c r="AH119" s="7" t="n">
        <f aca="false">(N119*'Prices&amp;Fuel'!B119+'Prices&amp;Fuel'!C119*O119+P119*'Prices&amp;Fuel'!D119)*'Prices&amp;Fuel'!H119+(N119+O119+P119)*'Prices&amp;Fuel'!H119*FPL!T119+Q119/2</f>
        <v>9951249.72667248</v>
      </c>
      <c r="AI119" s="7" t="n">
        <f aca="false">R119*'Prices&amp;Fuel'!H119*'Prices&amp;Fuel'!Q119</f>
        <v>0</v>
      </c>
      <c r="AJ119" s="55" t="n">
        <f aca="false">SUM(AG119:AI119)-'Long Term Deals'!AZ119</f>
        <v>0</v>
      </c>
    </row>
    <row r="120" customFormat="false" ht="11.25" hidden="false" customHeight="false" outlineLevel="0" collapsed="false">
      <c r="A120" s="6" t="n">
        <f aca="false">+A119+365/12</f>
        <v>39246.9166666667</v>
      </c>
      <c r="B120" s="7" t="n">
        <f aca="false">'Long Term Deals'!AF120</f>
        <v>128534.70437018</v>
      </c>
      <c r="C120" s="7" t="n">
        <f aca="false">'Long Term Deals'!AG120</f>
        <v>0</v>
      </c>
      <c r="D120" s="7" t="n">
        <f aca="false">'Long Term Deals'!AH120</f>
        <v>77120.822622108</v>
      </c>
      <c r="E120" s="7" t="n">
        <f aca="false">'Long Term Deals'!AI120</f>
        <v>0</v>
      </c>
      <c r="F120" s="7" t="n">
        <f aca="false">'Long Term Deals'!AJ120</f>
        <v>0</v>
      </c>
      <c r="G120" s="7" t="n">
        <f aca="false">'Long Term Deals'!AK120</f>
        <v>0</v>
      </c>
      <c r="H120" s="7" t="n">
        <f aca="false">'Long Term Deals'!AL120</f>
        <v>0</v>
      </c>
      <c r="I120" s="7" t="n">
        <f aca="false">'Long Term Deals'!AM120</f>
        <v>64267</v>
      </c>
      <c r="J120" s="7" t="n">
        <f aca="false">'Long Term Deals'!AN120</f>
        <v>0</v>
      </c>
      <c r="K120" s="7" t="n">
        <f aca="false">'Long Term Deals'!AO120</f>
        <v>38560</v>
      </c>
      <c r="L120" s="7" t="n">
        <f aca="false">'Long Term Deals'!AP120</f>
        <v>0</v>
      </c>
      <c r="M120" s="7" t="n">
        <f aca="false">'Long Term Deals'!AQ120</f>
        <v>0</v>
      </c>
      <c r="N120" s="7" t="n">
        <f aca="false">'Long Term Deals'!AR120</f>
        <v>64267.70437018</v>
      </c>
      <c r="O120" s="7" t="n">
        <f aca="false">'Long Term Deals'!AS120</f>
        <v>0</v>
      </c>
      <c r="P120" s="7" t="n">
        <f aca="false">'Long Term Deals'!AT120</f>
        <v>38560.822622108</v>
      </c>
      <c r="Q120" s="7" t="n">
        <f aca="false">'Long Term Deals'!AU120</f>
        <v>0</v>
      </c>
      <c r="R120" s="7" t="n">
        <f aca="false">'Long Term Deals'!AV120</f>
        <v>0</v>
      </c>
      <c r="S120" s="68" t="n">
        <f aca="false">'Long Term Deals'!AW120</f>
        <v>0.04</v>
      </c>
      <c r="T120" s="68" t="n">
        <f aca="false">'Long Term Deals'!AX120</f>
        <v>0.025</v>
      </c>
      <c r="U120" s="7" t="n">
        <f aca="false">'Long Term Deals'!AY120</f>
        <v>27963105.291091</v>
      </c>
      <c r="V120" s="7" t="n">
        <f aca="false">'Long Term Deals'!AZ120</f>
        <v>27754879.0700113</v>
      </c>
      <c r="W120" s="5" t="n">
        <f aca="false">U120-V120</f>
        <v>208226.221079696</v>
      </c>
      <c r="X120" s="5" t="n">
        <f aca="false">'Long Term Deals'!CA120</f>
        <v>30848.3290488432</v>
      </c>
      <c r="Z120" s="7" t="n">
        <f aca="false">[2]Sheet1!$O138</f>
        <v>-330565.055950301</v>
      </c>
      <c r="AA120" s="7" t="n">
        <f aca="false">'[3]Long Term Deals'!$Z119</f>
        <v>15438.5653294955</v>
      </c>
      <c r="AB120" s="70" t="n">
        <f aca="false">-Z120+AA120+Y120+W120-X120</f>
        <v>523381.513310649</v>
      </c>
      <c r="AC120" s="70" t="n">
        <f aca="false">AB120-Y120</f>
        <v>523381.513310649</v>
      </c>
      <c r="AD120" s="70" t="n">
        <f aca="false">AC120+Z120-AA120+X120</f>
        <v>208226.221079696</v>
      </c>
      <c r="AE120" s="13" t="n">
        <f aca="false">(W120-Z120+AA120)/(B120+C120+D120)/'Prices&amp;Fuel'!H120</f>
        <v>0.0898314202824344</v>
      </c>
      <c r="AF120" s="1" t="n">
        <v>200000</v>
      </c>
      <c r="AG120" s="7" t="n">
        <f aca="false">((((I120*'Prices&amp;Fuel'!B120+'Prices&amp;Fuel'!C120*FPL!J120+FPL!K120*'Prices&amp;Fuel'!D120))+(L120*'Prices&amp;Fuel'!B120+'Prices&amp;Fuel'!C120*FPL!M120))*'Prices&amp;Fuel'!H120)+(I120+J120+K120)*'Prices&amp;Fuel'!H120*FPL!T120+Q120/2</f>
        <v>13877336.4575171</v>
      </c>
      <c r="AH120" s="7" t="n">
        <f aca="false">(N120*'Prices&amp;Fuel'!B120+'Prices&amp;Fuel'!C120*O120+P120*'Prices&amp;Fuel'!D120)*'Prices&amp;Fuel'!H120+(N120+O120+P120)*'Prices&amp;Fuel'!H120*FPL!T120+Q120/2</f>
        <v>13877542.6124942</v>
      </c>
      <c r="AI120" s="7" t="n">
        <f aca="false">R120*'Prices&amp;Fuel'!H120*'Prices&amp;Fuel'!Q120</f>
        <v>0</v>
      </c>
      <c r="AJ120" s="55" t="n">
        <f aca="false">SUM(AG120:AI120)-'Long Term Deals'!AZ120</f>
        <v>0</v>
      </c>
    </row>
    <row r="121" customFormat="false" ht="11.25" hidden="false" customHeight="false" outlineLevel="0" collapsed="false">
      <c r="A121" s="6" t="n">
        <f aca="false">+A120+365/12</f>
        <v>39277.3333333333</v>
      </c>
      <c r="B121" s="7" t="n">
        <f aca="false">'Long Term Deals'!AF121</f>
        <v>128534.70437018</v>
      </c>
      <c r="C121" s="7" t="n">
        <f aca="false">'Long Term Deals'!AG121</f>
        <v>0</v>
      </c>
      <c r="D121" s="7" t="n">
        <f aca="false">'Long Term Deals'!AH121</f>
        <v>77120.822622108</v>
      </c>
      <c r="E121" s="7" t="n">
        <f aca="false">'Long Term Deals'!AI121</f>
        <v>0</v>
      </c>
      <c r="F121" s="7" t="n">
        <f aca="false">'Long Term Deals'!AJ121</f>
        <v>0</v>
      </c>
      <c r="G121" s="7" t="n">
        <f aca="false">'Long Term Deals'!AK121</f>
        <v>0</v>
      </c>
      <c r="H121" s="7" t="n">
        <f aca="false">'Long Term Deals'!AL121</f>
        <v>0</v>
      </c>
      <c r="I121" s="7" t="n">
        <f aca="false">'Long Term Deals'!AM121</f>
        <v>64267</v>
      </c>
      <c r="J121" s="7" t="n">
        <f aca="false">'Long Term Deals'!AN121</f>
        <v>0</v>
      </c>
      <c r="K121" s="7" t="n">
        <f aca="false">'Long Term Deals'!AO121</f>
        <v>38560</v>
      </c>
      <c r="L121" s="7" t="n">
        <f aca="false">'Long Term Deals'!AP121</f>
        <v>0</v>
      </c>
      <c r="M121" s="7" t="n">
        <f aca="false">'Long Term Deals'!AQ121</f>
        <v>0</v>
      </c>
      <c r="N121" s="7" t="n">
        <f aca="false">'Long Term Deals'!AR121</f>
        <v>64267.70437018</v>
      </c>
      <c r="O121" s="7" t="n">
        <f aca="false">'Long Term Deals'!AS121</f>
        <v>0</v>
      </c>
      <c r="P121" s="7" t="n">
        <f aca="false">'Long Term Deals'!AT121</f>
        <v>38560.822622108</v>
      </c>
      <c r="Q121" s="7" t="n">
        <f aca="false">'Long Term Deals'!AU121</f>
        <v>0</v>
      </c>
      <c r="R121" s="7" t="n">
        <f aca="false">'Long Term Deals'!AV121</f>
        <v>0</v>
      </c>
      <c r="S121" s="68" t="n">
        <f aca="false">'Long Term Deals'!AW121</f>
        <v>0.04</v>
      </c>
      <c r="T121" s="68" t="n">
        <f aca="false">'Long Term Deals'!AX121</f>
        <v>0.025</v>
      </c>
      <c r="U121" s="7" t="n">
        <f aca="false">'Long Term Deals'!AY121</f>
        <v>28828203.5328185</v>
      </c>
      <c r="V121" s="7" t="n">
        <f aca="false">'Long Term Deals'!AZ121</f>
        <v>28613036.4377028</v>
      </c>
      <c r="W121" s="5" t="n">
        <f aca="false">U121-V121</f>
        <v>215167.095115677</v>
      </c>
      <c r="X121" s="5" t="n">
        <f aca="false">'Long Term Deals'!CA121</f>
        <v>31876.6066838046</v>
      </c>
      <c r="Z121" s="7" t="n">
        <f aca="false">[2]Sheet1!$O139</f>
        <v>-341583.891148644</v>
      </c>
      <c r="AA121" s="7" t="n">
        <f aca="false">'[3]Long Term Deals'!$Z120</f>
        <v>15953.184173812</v>
      </c>
      <c r="AB121" s="70" t="n">
        <f aca="false">-Z121+AA121+Y121+W121-X121</f>
        <v>540827.563754328</v>
      </c>
      <c r="AC121" s="70" t="n">
        <f aca="false">AB121-Y121</f>
        <v>540827.563754328</v>
      </c>
      <c r="AD121" s="70" t="n">
        <f aca="false">AC121+Z121-AA121+X121</f>
        <v>215167.095115677</v>
      </c>
      <c r="AE121" s="13" t="n">
        <f aca="false">(W121-Z121+AA121)/(B121+C121+D121)/'Prices&amp;Fuel'!H121</f>
        <v>0.0898314202824329</v>
      </c>
      <c r="AF121" s="1" t="n">
        <v>200000</v>
      </c>
      <c r="AG121" s="7" t="n">
        <f aca="false">((((I121*'Prices&amp;Fuel'!B121+'Prices&amp;Fuel'!C121*FPL!J121+FPL!K121*'Prices&amp;Fuel'!D121))+(L121*'Prices&amp;Fuel'!B121+'Prices&amp;Fuel'!C121*FPL!M121))*'Prices&amp;Fuel'!H121)+(I121+J121+K121)*'Prices&amp;Fuel'!H121*FPL!T121+Q121/2</f>
        <v>14306411.9542036</v>
      </c>
      <c r="AH121" s="7" t="n">
        <f aca="false">(N121*'Prices&amp;Fuel'!B121+'Prices&amp;Fuel'!C121*O121+P121*'Prices&amp;Fuel'!D121)*'Prices&amp;Fuel'!H121+(N121+O121+P121)*'Prices&amp;Fuel'!H121*FPL!T121+Q121/2</f>
        <v>14306624.4834992</v>
      </c>
      <c r="AI121" s="7" t="n">
        <f aca="false">R121*'Prices&amp;Fuel'!H121*'Prices&amp;Fuel'!Q121</f>
        <v>0</v>
      </c>
      <c r="AJ121" s="55" t="n">
        <f aca="false">SUM(AG121:AI121)-'Long Term Deals'!AZ121</f>
        <v>0</v>
      </c>
    </row>
    <row r="122" customFormat="false" ht="11.25" hidden="false" customHeight="false" outlineLevel="0" collapsed="false">
      <c r="A122" s="6" t="n">
        <f aca="false">+A121+365/12</f>
        <v>39307.75</v>
      </c>
      <c r="B122" s="7" t="n">
        <f aca="false">'Long Term Deals'!AF122</f>
        <v>128534.70437018</v>
      </c>
      <c r="C122" s="7" t="n">
        <f aca="false">'Long Term Deals'!AG122</f>
        <v>0</v>
      </c>
      <c r="D122" s="7" t="n">
        <f aca="false">'Long Term Deals'!AH122</f>
        <v>77120.822622108</v>
      </c>
      <c r="E122" s="7" t="n">
        <f aca="false">'Long Term Deals'!AI122</f>
        <v>0</v>
      </c>
      <c r="F122" s="7" t="n">
        <f aca="false">'Long Term Deals'!AJ122</f>
        <v>0</v>
      </c>
      <c r="G122" s="7" t="n">
        <f aca="false">'Long Term Deals'!AK122</f>
        <v>0</v>
      </c>
      <c r="H122" s="7" t="n">
        <f aca="false">'Long Term Deals'!AL122</f>
        <v>0</v>
      </c>
      <c r="I122" s="7" t="n">
        <f aca="false">'Long Term Deals'!AM122</f>
        <v>64267</v>
      </c>
      <c r="J122" s="7" t="n">
        <f aca="false">'Long Term Deals'!AN122</f>
        <v>0</v>
      </c>
      <c r="K122" s="7" t="n">
        <f aca="false">'Long Term Deals'!AO122</f>
        <v>38560</v>
      </c>
      <c r="L122" s="7" t="n">
        <f aca="false">'Long Term Deals'!AP122</f>
        <v>0</v>
      </c>
      <c r="M122" s="7" t="n">
        <f aca="false">'Long Term Deals'!AQ122</f>
        <v>0</v>
      </c>
      <c r="N122" s="7" t="n">
        <f aca="false">'Long Term Deals'!AR122</f>
        <v>64267.70437018</v>
      </c>
      <c r="O122" s="7" t="n">
        <f aca="false">'Long Term Deals'!AS122</f>
        <v>0</v>
      </c>
      <c r="P122" s="7" t="n">
        <f aca="false">'Long Term Deals'!AT122</f>
        <v>38560.822622108</v>
      </c>
      <c r="Q122" s="7" t="n">
        <f aca="false">'Long Term Deals'!AU122</f>
        <v>0</v>
      </c>
      <c r="R122" s="7" t="n">
        <f aca="false">'Long Term Deals'!AV122</f>
        <v>0</v>
      </c>
      <c r="S122" s="68" t="n">
        <f aca="false">'Long Term Deals'!AW122</f>
        <v>0.04</v>
      </c>
      <c r="T122" s="68" t="n">
        <f aca="false">'Long Term Deals'!AX122</f>
        <v>0.025</v>
      </c>
      <c r="U122" s="7" t="n">
        <f aca="false">'Long Term Deals'!AY122</f>
        <v>25209919.0621401</v>
      </c>
      <c r="V122" s="7" t="n">
        <f aca="false">'Long Term Deals'!AZ122</f>
        <v>24994751.9670244</v>
      </c>
      <c r="W122" s="5" t="n">
        <f aca="false">U122-V122</f>
        <v>215167.095115684</v>
      </c>
      <c r="X122" s="5" t="n">
        <f aca="false">'Long Term Deals'!CA122</f>
        <v>31876.6066838046</v>
      </c>
      <c r="Z122" s="7" t="n">
        <f aca="false">[2]Sheet1!$O140</f>
        <v>-341583.891148644</v>
      </c>
      <c r="AA122" s="7" t="n">
        <f aca="false">'[3]Long Term Deals'!$Z121</f>
        <v>15953.184173812</v>
      </c>
      <c r="AB122" s="70" t="n">
        <f aca="false">-Z122+AA122+Y122+W122-X122</f>
        <v>540827.563754336</v>
      </c>
      <c r="AC122" s="70" t="n">
        <f aca="false">AB122-Y122</f>
        <v>540827.563754336</v>
      </c>
      <c r="AD122" s="70" t="n">
        <f aca="false">AC122+Z122-AA122+X122</f>
        <v>215167.095115684</v>
      </c>
      <c r="AE122" s="13" t="n">
        <f aca="false">(W122-Z122+AA122)/(B122+C122+D122)/'Prices&amp;Fuel'!H122</f>
        <v>0.0898314202824341</v>
      </c>
      <c r="AF122" s="1" t="n">
        <v>200000</v>
      </c>
      <c r="AG122" s="7" t="n">
        <f aca="false">((((I122*'Prices&amp;Fuel'!B122+'Prices&amp;Fuel'!C122*FPL!J122+FPL!K122*'Prices&amp;Fuel'!D122))+(L122*'Prices&amp;Fuel'!B122+'Prices&amp;Fuel'!C122*FPL!M122))*'Prices&amp;Fuel'!H122)+(I122+J122+K122)*'Prices&amp;Fuel'!H122*FPL!T122+Q122/2</f>
        <v>12497283.1517455</v>
      </c>
      <c r="AH122" s="7" t="n">
        <f aca="false">(N122*'Prices&amp;Fuel'!B122+'Prices&amp;Fuel'!C122*O122+P122*'Prices&amp;Fuel'!D122)*'Prices&amp;Fuel'!H122+(N122+O122+P122)*'Prices&amp;Fuel'!H122*FPL!T122+Q122/2</f>
        <v>12497468.8152789</v>
      </c>
      <c r="AI122" s="7" t="n">
        <f aca="false">R122*'Prices&amp;Fuel'!H122*'Prices&amp;Fuel'!Q122</f>
        <v>0</v>
      </c>
      <c r="AJ122" s="55" t="n">
        <f aca="false">SUM(AG122:AI122)-'Long Term Deals'!AZ122</f>
        <v>0</v>
      </c>
    </row>
    <row r="123" customFormat="false" ht="11.25" hidden="false" customHeight="false" outlineLevel="0" collapsed="false">
      <c r="A123" s="6" t="n">
        <f aca="false">+A122+365/12</f>
        <v>39338.1666666667</v>
      </c>
      <c r="B123" s="7" t="n">
        <f aca="false">'Long Term Deals'!AF123</f>
        <v>128534.70437018</v>
      </c>
      <c r="C123" s="7" t="n">
        <f aca="false">'Long Term Deals'!AG123</f>
        <v>0</v>
      </c>
      <c r="D123" s="7" t="n">
        <f aca="false">'Long Term Deals'!AH123</f>
        <v>77120.822622108</v>
      </c>
      <c r="E123" s="7" t="n">
        <f aca="false">'Long Term Deals'!AI123</f>
        <v>0</v>
      </c>
      <c r="F123" s="7" t="n">
        <f aca="false">'Long Term Deals'!AJ123</f>
        <v>0</v>
      </c>
      <c r="G123" s="7" t="n">
        <f aca="false">'Long Term Deals'!AK123</f>
        <v>0</v>
      </c>
      <c r="H123" s="7" t="n">
        <f aca="false">'Long Term Deals'!AL123</f>
        <v>0</v>
      </c>
      <c r="I123" s="7" t="n">
        <f aca="false">'Long Term Deals'!AM123</f>
        <v>64267</v>
      </c>
      <c r="J123" s="7" t="n">
        <f aca="false">'Long Term Deals'!AN123</f>
        <v>0</v>
      </c>
      <c r="K123" s="7" t="n">
        <f aca="false">'Long Term Deals'!AO123</f>
        <v>38560</v>
      </c>
      <c r="L123" s="7" t="n">
        <f aca="false">'Long Term Deals'!AP123</f>
        <v>0</v>
      </c>
      <c r="M123" s="7" t="n">
        <f aca="false">'Long Term Deals'!AQ123</f>
        <v>0</v>
      </c>
      <c r="N123" s="7" t="n">
        <f aca="false">'Long Term Deals'!AR123</f>
        <v>64267.70437018</v>
      </c>
      <c r="O123" s="7" t="n">
        <f aca="false">'Long Term Deals'!AS123</f>
        <v>0</v>
      </c>
      <c r="P123" s="7" t="n">
        <f aca="false">'Long Term Deals'!AT123</f>
        <v>38560.822622108</v>
      </c>
      <c r="Q123" s="7" t="n">
        <f aca="false">'Long Term Deals'!AU123</f>
        <v>0</v>
      </c>
      <c r="R123" s="7" t="n">
        <f aca="false">'Long Term Deals'!AV123</f>
        <v>0</v>
      </c>
      <c r="S123" s="68" t="n">
        <f aca="false">'Long Term Deals'!AW123</f>
        <v>0.04</v>
      </c>
      <c r="T123" s="68" t="n">
        <f aca="false">'Long Term Deals'!AX123</f>
        <v>0.025</v>
      </c>
      <c r="U123" s="7" t="n">
        <f aca="false">'Long Term Deals'!AY123</f>
        <v>29389669.0608926</v>
      </c>
      <c r="V123" s="7" t="n">
        <f aca="false">'Long Term Deals'!AZ123</f>
        <v>29181442.8398129</v>
      </c>
      <c r="W123" s="5" t="n">
        <f aca="false">U123-V123</f>
        <v>208226.221079696</v>
      </c>
      <c r="X123" s="5" t="n">
        <f aca="false">'Long Term Deals'!CA123</f>
        <v>30848.3290488432</v>
      </c>
      <c r="Z123" s="7" t="n">
        <f aca="false">[2]Sheet1!$O141</f>
        <v>-330565.055950301</v>
      </c>
      <c r="AA123" s="7" t="n">
        <f aca="false">'[3]Long Term Deals'!$Z122</f>
        <v>15438.5653294955</v>
      </c>
      <c r="AB123" s="70" t="n">
        <f aca="false">-Z123+AA123+Y123+W123-X123</f>
        <v>523381.513310649</v>
      </c>
      <c r="AC123" s="70" t="n">
        <f aca="false">AB123-Y123</f>
        <v>523381.513310649</v>
      </c>
      <c r="AD123" s="70" t="n">
        <f aca="false">AC123+Z123-AA123+X123</f>
        <v>208226.221079696</v>
      </c>
      <c r="AE123" s="13" t="n">
        <f aca="false">(W123-Z123+AA123)/(B123+C123+D123)/'Prices&amp;Fuel'!H123</f>
        <v>0.0898314202824344</v>
      </c>
      <c r="AF123" s="1" t="n">
        <v>200000</v>
      </c>
      <c r="AG123" s="7" t="n">
        <f aca="false">((((I123*'Prices&amp;Fuel'!B123+'Prices&amp;Fuel'!C123*FPL!J123+FPL!K123*'Prices&amp;Fuel'!D123))+(L123*'Prices&amp;Fuel'!B123+'Prices&amp;Fuel'!C123*FPL!M123))*'Prices&amp;Fuel'!H123)+(I123+J123+K123)*'Prices&amp;Fuel'!H123*FPL!T123+Q123/2</f>
        <v>14590613.0462999</v>
      </c>
      <c r="AH123" s="7" t="n">
        <f aca="false">(N123*'Prices&amp;Fuel'!B123+'Prices&amp;Fuel'!C123*O123+P123*'Prices&amp;Fuel'!D123)*'Prices&amp;Fuel'!H123+(N123+O123+P123)*'Prices&amp;Fuel'!H123*FPL!T123+Q123/2</f>
        <v>14590829.793513</v>
      </c>
      <c r="AI123" s="7" t="n">
        <f aca="false">R123*'Prices&amp;Fuel'!H123*'Prices&amp;Fuel'!Q123</f>
        <v>0</v>
      </c>
      <c r="AJ123" s="55" t="n">
        <f aca="false">SUM(AG123:AI123)-'Long Term Deals'!AZ123</f>
        <v>0</v>
      </c>
    </row>
    <row r="124" customFormat="false" ht="11.25" hidden="false" customHeight="false" outlineLevel="0" collapsed="false">
      <c r="A124" s="6" t="n">
        <f aca="false">+A123+365/12</f>
        <v>39368.5833333333</v>
      </c>
      <c r="B124" s="7" t="n">
        <f aca="false">'Long Term Deals'!AF124</f>
        <v>58611.8251928021</v>
      </c>
      <c r="C124" s="7" t="n">
        <f aca="false">'Long Term Deals'!AG124</f>
        <v>0</v>
      </c>
      <c r="D124" s="7" t="n">
        <f aca="false">'Long Term Deals'!AH124</f>
        <v>77120.822622108</v>
      </c>
      <c r="E124" s="7" t="n">
        <f aca="false">'Long Term Deals'!AI124</f>
        <v>0</v>
      </c>
      <c r="F124" s="7" t="n">
        <f aca="false">'Long Term Deals'!AJ124</f>
        <v>0</v>
      </c>
      <c r="G124" s="7" t="n">
        <f aca="false">'Long Term Deals'!AK124</f>
        <v>0</v>
      </c>
      <c r="H124" s="7" t="n">
        <f aca="false">'Long Term Deals'!AL124</f>
        <v>0</v>
      </c>
      <c r="I124" s="7" t="n">
        <f aca="false">'Long Term Deals'!AM124</f>
        <v>29306</v>
      </c>
      <c r="J124" s="7" t="n">
        <f aca="false">'Long Term Deals'!AN124</f>
        <v>0</v>
      </c>
      <c r="K124" s="7" t="n">
        <f aca="false">'Long Term Deals'!AO124</f>
        <v>38560</v>
      </c>
      <c r="L124" s="7" t="n">
        <f aca="false">'Long Term Deals'!AP124</f>
        <v>0</v>
      </c>
      <c r="M124" s="7" t="n">
        <f aca="false">'Long Term Deals'!AQ124</f>
        <v>0</v>
      </c>
      <c r="N124" s="7" t="n">
        <f aca="false">'Long Term Deals'!AR124</f>
        <v>29305.8251928021</v>
      </c>
      <c r="O124" s="7" t="n">
        <f aca="false">'Long Term Deals'!AS124</f>
        <v>0</v>
      </c>
      <c r="P124" s="7" t="n">
        <f aca="false">'Long Term Deals'!AT124</f>
        <v>38560.822622108</v>
      </c>
      <c r="Q124" s="7" t="n">
        <f aca="false">'Long Term Deals'!AU124</f>
        <v>0</v>
      </c>
      <c r="R124" s="7" t="n">
        <f aca="false">'Long Term Deals'!AV124</f>
        <v>0</v>
      </c>
      <c r="S124" s="68" t="n">
        <f aca="false">'Long Term Deals'!AW124</f>
        <v>0.04</v>
      </c>
      <c r="T124" s="68" t="n">
        <f aca="false">'Long Term Deals'!AX124</f>
        <v>0.025</v>
      </c>
      <c r="U124" s="7" t="n">
        <f aca="false">'Long Term Deals'!AY124</f>
        <v>23099721.9344966</v>
      </c>
      <c r="V124" s="7" t="n">
        <f aca="false">'Long Term Deals'!AZ124</f>
        <v>22917068.9781984</v>
      </c>
      <c r="W124" s="5" t="n">
        <f aca="false">U124-V124</f>
        <v>182652.956298195</v>
      </c>
      <c r="X124" s="5" t="n">
        <f aca="false">'Long Term Deals'!CA124</f>
        <v>21038.5604113111</v>
      </c>
      <c r="Z124" s="7" t="n">
        <f aca="false">[2]Sheet1!$O142</f>
        <v>-225445.368158105</v>
      </c>
      <c r="AA124" s="7" t="n">
        <f aca="false">'[3]Long Term Deals'!$Z123</f>
        <v>10529.1015547159</v>
      </c>
      <c r="AB124" s="70" t="n">
        <f aca="false">-Z124+AA124+Y124+W124-X124</f>
        <v>397588.865599705</v>
      </c>
      <c r="AC124" s="70" t="n">
        <f aca="false">AB124-Y124</f>
        <v>397588.865599705</v>
      </c>
      <c r="AD124" s="70" t="n">
        <f aca="false">AC124+Z124-AA124+X124</f>
        <v>182652.956298195</v>
      </c>
      <c r="AE124" s="13" t="n">
        <f aca="false">(W124-Z124+AA124)/(B124+C124+D124)/'Prices&amp;Fuel'!H124</f>
        <v>0.0994905111915232</v>
      </c>
      <c r="AF124" s="1" t="n">
        <v>132000</v>
      </c>
      <c r="AG124" s="7" t="n">
        <f aca="false">((((I124*'Prices&amp;Fuel'!B124+'Prices&amp;Fuel'!C124*FPL!J124+FPL!K124*'Prices&amp;Fuel'!D124))+(L124*'Prices&amp;Fuel'!B124+'Prices&amp;Fuel'!C124*FPL!M124))*'Prices&amp;Fuel'!H124)+(I124+J124+K124)*'Prices&amp;Fuel'!H124*FPL!T124+Q124/2</f>
        <v>11458479.7301846</v>
      </c>
      <c r="AH124" s="7" t="n">
        <f aca="false">(N124*'Prices&amp;Fuel'!B124+'Prices&amp;Fuel'!C124*O124+P124*'Prices&amp;Fuel'!D124)*'Prices&amp;Fuel'!H124+(N124+O124+P124)*'Prices&amp;Fuel'!H124*FPL!T124+Q124/2</f>
        <v>11458589.2480138</v>
      </c>
      <c r="AI124" s="7" t="n">
        <f aca="false">R124*'Prices&amp;Fuel'!H124*'Prices&amp;Fuel'!Q124</f>
        <v>0</v>
      </c>
      <c r="AJ124" s="55" t="n">
        <f aca="false">SUM(AG124:AI124)-'Long Term Deals'!AZ124</f>
        <v>0</v>
      </c>
    </row>
    <row r="125" customFormat="false" ht="11.25" hidden="false" customHeight="false" outlineLevel="0" collapsed="false">
      <c r="A125" s="6" t="n">
        <f aca="false">+A124+365/12</f>
        <v>39399</v>
      </c>
      <c r="B125" s="7" t="n">
        <f aca="false">'Long Term Deals'!AF125</f>
        <v>58611.8251928021</v>
      </c>
      <c r="C125" s="7" t="n">
        <f aca="false">'Long Term Deals'!AG125</f>
        <v>0</v>
      </c>
      <c r="D125" s="7" t="n">
        <f aca="false">'Long Term Deals'!AH125</f>
        <v>77120.822622108</v>
      </c>
      <c r="E125" s="7" t="n">
        <f aca="false">'Long Term Deals'!AI125</f>
        <v>0</v>
      </c>
      <c r="F125" s="7" t="n">
        <f aca="false">'Long Term Deals'!AJ125</f>
        <v>0</v>
      </c>
      <c r="G125" s="7" t="n">
        <f aca="false">'Long Term Deals'!AK125</f>
        <v>0</v>
      </c>
      <c r="H125" s="7" t="n">
        <f aca="false">'Long Term Deals'!AL125</f>
        <v>0</v>
      </c>
      <c r="I125" s="7" t="n">
        <f aca="false">'Long Term Deals'!AM125</f>
        <v>29306</v>
      </c>
      <c r="J125" s="7" t="n">
        <f aca="false">'Long Term Deals'!AN125</f>
        <v>0</v>
      </c>
      <c r="K125" s="7" t="n">
        <f aca="false">'Long Term Deals'!AO125</f>
        <v>38560</v>
      </c>
      <c r="L125" s="7" t="n">
        <f aca="false">'Long Term Deals'!AP125</f>
        <v>0</v>
      </c>
      <c r="M125" s="7" t="n">
        <f aca="false">'Long Term Deals'!AQ125</f>
        <v>0</v>
      </c>
      <c r="N125" s="7" t="n">
        <f aca="false">'Long Term Deals'!AR125</f>
        <v>29305.8251928021</v>
      </c>
      <c r="O125" s="7" t="n">
        <f aca="false">'Long Term Deals'!AS125</f>
        <v>0</v>
      </c>
      <c r="P125" s="7" t="n">
        <f aca="false">'Long Term Deals'!AT125</f>
        <v>38560.822622108</v>
      </c>
      <c r="Q125" s="7" t="n">
        <f aca="false">'Long Term Deals'!AU125</f>
        <v>0</v>
      </c>
      <c r="R125" s="7" t="n">
        <f aca="false">'Long Term Deals'!AV125</f>
        <v>0</v>
      </c>
      <c r="S125" s="68" t="n">
        <f aca="false">'Long Term Deals'!AW125</f>
        <v>0.04</v>
      </c>
      <c r="T125" s="68" t="n">
        <f aca="false">'Long Term Deals'!AX125</f>
        <v>0.025</v>
      </c>
      <c r="U125" s="7" t="n">
        <f aca="false">'Long Term Deals'!AY125</f>
        <v>14950703.648759</v>
      </c>
      <c r="V125" s="7" t="n">
        <f aca="false">'Long Term Deals'!AZ125</f>
        <v>14773942.7233091</v>
      </c>
      <c r="W125" s="5" t="n">
        <f aca="false">U125-V125</f>
        <v>176760.925449871</v>
      </c>
      <c r="X125" s="5" t="n">
        <f aca="false">'Long Term Deals'!CA125</f>
        <v>20359.8971722365</v>
      </c>
      <c r="Z125" s="7" t="n">
        <f aca="false">[2]Sheet1!$O143</f>
        <v>-218172.936927199</v>
      </c>
      <c r="AA125" s="7" t="n">
        <f aca="false">'[3]Long Term Deals'!$Z124</f>
        <v>10189.453117467</v>
      </c>
      <c r="AB125" s="70" t="n">
        <f aca="false">-Z125+AA125+Y125+W125-X125</f>
        <v>384763.4183223</v>
      </c>
      <c r="AC125" s="70" t="n">
        <f aca="false">AB125-Y125</f>
        <v>384763.4183223</v>
      </c>
      <c r="AD125" s="70" t="n">
        <f aca="false">AC125+Z125-AA125+X125</f>
        <v>176760.92544987</v>
      </c>
      <c r="AE125" s="13" t="n">
        <f aca="false">(W125-Z125+AA125)/(B125+C125+D125)/'Prices&amp;Fuel'!H125</f>
        <v>0.0994905111915243</v>
      </c>
      <c r="AF125" s="1" t="n">
        <v>132000</v>
      </c>
      <c r="AG125" s="7" t="n">
        <f aca="false">((((I125*'Prices&amp;Fuel'!B125+'Prices&amp;Fuel'!C125*FPL!J125+FPL!K125*'Prices&amp;Fuel'!D125))+(L125*'Prices&amp;Fuel'!B125+'Prices&amp;Fuel'!C125*FPL!M125))*'Prices&amp;Fuel'!H125)+(I125+J125+K125)*'Prices&amp;Fuel'!H125*FPL!T125+Q125/2</f>
        <v>7386936.03747304</v>
      </c>
      <c r="AH125" s="7" t="n">
        <f aca="false">(N125*'Prices&amp;Fuel'!B125+'Prices&amp;Fuel'!C125*O125+P125*'Prices&amp;Fuel'!D125)*'Prices&amp;Fuel'!H125+(N125+O125+P125)*'Prices&amp;Fuel'!H125*FPL!T125+Q125/2</f>
        <v>7387006.68583604</v>
      </c>
      <c r="AI125" s="7" t="n">
        <f aca="false">R125*'Prices&amp;Fuel'!H125*'Prices&amp;Fuel'!Q125</f>
        <v>0</v>
      </c>
      <c r="AJ125" s="55" t="n">
        <f aca="false">SUM(AG125:AI125)-'Long Term Deals'!AZ125</f>
        <v>0</v>
      </c>
    </row>
    <row r="126" customFormat="false" ht="11.25" hidden="false" customHeight="false" outlineLevel="0" collapsed="false">
      <c r="A126" s="6" t="n">
        <f aca="false">+A125+365/12</f>
        <v>39429.4166666667</v>
      </c>
      <c r="B126" s="7" t="n">
        <f aca="false">'Long Term Deals'!AF126</f>
        <v>58611.8251928021</v>
      </c>
      <c r="C126" s="7" t="n">
        <f aca="false">'Long Term Deals'!AG126</f>
        <v>0</v>
      </c>
      <c r="D126" s="7" t="n">
        <f aca="false">'Long Term Deals'!AH126</f>
        <v>77120.822622108</v>
      </c>
      <c r="E126" s="7" t="n">
        <f aca="false">'Long Term Deals'!AI126</f>
        <v>0</v>
      </c>
      <c r="F126" s="7" t="n">
        <f aca="false">'Long Term Deals'!AJ126</f>
        <v>0</v>
      </c>
      <c r="G126" s="7" t="n">
        <f aca="false">'Long Term Deals'!AK126</f>
        <v>0</v>
      </c>
      <c r="H126" s="7" t="n">
        <f aca="false">'Long Term Deals'!AL126</f>
        <v>0</v>
      </c>
      <c r="I126" s="7" t="n">
        <f aca="false">'Long Term Deals'!AM126</f>
        <v>29306</v>
      </c>
      <c r="J126" s="7" t="n">
        <f aca="false">'Long Term Deals'!AN126</f>
        <v>0</v>
      </c>
      <c r="K126" s="7" t="n">
        <f aca="false">'Long Term Deals'!AO126</f>
        <v>38560</v>
      </c>
      <c r="L126" s="7" t="n">
        <f aca="false">'Long Term Deals'!AP126</f>
        <v>0</v>
      </c>
      <c r="M126" s="7" t="n">
        <f aca="false">'Long Term Deals'!AQ126</f>
        <v>0</v>
      </c>
      <c r="N126" s="7" t="n">
        <f aca="false">'Long Term Deals'!AR126</f>
        <v>29305.8251928021</v>
      </c>
      <c r="O126" s="7" t="n">
        <f aca="false">'Long Term Deals'!AS126</f>
        <v>0</v>
      </c>
      <c r="P126" s="7" t="n">
        <f aca="false">'Long Term Deals'!AT126</f>
        <v>38560.822622108</v>
      </c>
      <c r="Q126" s="7" t="n">
        <f aca="false">'Long Term Deals'!AU126</f>
        <v>0</v>
      </c>
      <c r="R126" s="7" t="n">
        <f aca="false">'Long Term Deals'!AV126</f>
        <v>0</v>
      </c>
      <c r="S126" s="68" t="n">
        <f aca="false">'Long Term Deals'!AW126</f>
        <v>0.04</v>
      </c>
      <c r="T126" s="68" t="n">
        <f aca="false">'Long Term Deals'!AX126</f>
        <v>0.025</v>
      </c>
      <c r="U126" s="7" t="n">
        <f aca="false">'Long Term Deals'!AY126</f>
        <v>11557394.4730323</v>
      </c>
      <c r="V126" s="7" t="n">
        <f aca="false">'Long Term Deals'!AZ126</f>
        <v>11374741.5167341</v>
      </c>
      <c r="W126" s="5" t="n">
        <f aca="false">U126-V126</f>
        <v>182652.956298199</v>
      </c>
      <c r="X126" s="5" t="n">
        <f aca="false">'Long Term Deals'!CA126</f>
        <v>21038.5604113111</v>
      </c>
      <c r="Z126" s="7" t="n">
        <f aca="false">[2]Sheet1!$O144</f>
        <v>-225445.368158105</v>
      </c>
      <c r="AA126" s="7" t="n">
        <f aca="false">'[3]Long Term Deals'!$Z125</f>
        <v>10529.1015547159</v>
      </c>
      <c r="AB126" s="70" t="n">
        <f aca="false">-Z126+AA126+Y126+W126-X126</f>
        <v>397588.865599709</v>
      </c>
      <c r="AC126" s="70" t="n">
        <f aca="false">AB126-Y126</f>
        <v>397588.865599709</v>
      </c>
      <c r="AD126" s="70" t="n">
        <f aca="false">AC126+Z126-AA126+X126</f>
        <v>182652.956298199</v>
      </c>
      <c r="AE126" s="13" t="n">
        <f aca="false">(W126-Z126+AA126)/(B126+C126+D126)/'Prices&amp;Fuel'!H126</f>
        <v>0.0994905111915241</v>
      </c>
      <c r="AF126" s="1" t="n">
        <v>132000</v>
      </c>
      <c r="AG126" s="7" t="n">
        <f aca="false">((((I126*'Prices&amp;Fuel'!B126+'Prices&amp;Fuel'!C126*FPL!J126+FPL!K126*'Prices&amp;Fuel'!D126))+(L126*'Prices&amp;Fuel'!B126+'Prices&amp;Fuel'!C126*FPL!M126))*'Prices&amp;Fuel'!H126)+(I126+J126+K126)*'Prices&amp;Fuel'!H126*FPL!T126+Q126/2</f>
        <v>5687343.54364298</v>
      </c>
      <c r="AH126" s="7" t="n">
        <f aca="false">(N126*'Prices&amp;Fuel'!B126+'Prices&amp;Fuel'!C126*O126+P126*'Prices&amp;Fuel'!D126)*'Prices&amp;Fuel'!H126+(N126+O126+P126)*'Prices&amp;Fuel'!H126*FPL!T126+Q126/2</f>
        <v>5687397.97309113</v>
      </c>
      <c r="AI126" s="7" t="n">
        <f aca="false">R126*'Prices&amp;Fuel'!H126*'Prices&amp;Fuel'!Q126</f>
        <v>0</v>
      </c>
      <c r="AJ126" s="55" t="n">
        <f aca="false">SUM(AG126:AI126)-'Long Term Deals'!AZ126</f>
        <v>0</v>
      </c>
    </row>
    <row r="127" customFormat="false" ht="11.25" hidden="false" customHeight="false" outlineLevel="0" collapsed="false">
      <c r="A127" s="6" t="n">
        <f aca="false">+A126+365/12</f>
        <v>39459.8333333333</v>
      </c>
      <c r="B127" s="7" t="n">
        <f aca="false">'Long Term Deals'!AF127</f>
        <v>58611.8251928021</v>
      </c>
      <c r="C127" s="7" t="n">
        <f aca="false">'Long Term Deals'!AG127</f>
        <v>0</v>
      </c>
      <c r="D127" s="7" t="n">
        <f aca="false">'Long Term Deals'!AH127</f>
        <v>77120.822622108</v>
      </c>
      <c r="E127" s="7" t="n">
        <f aca="false">'Long Term Deals'!AI127</f>
        <v>0</v>
      </c>
      <c r="F127" s="7" t="n">
        <f aca="false">'Long Term Deals'!AJ127</f>
        <v>0</v>
      </c>
      <c r="G127" s="7" t="n">
        <f aca="false">'Long Term Deals'!AK127</f>
        <v>0</v>
      </c>
      <c r="H127" s="7" t="n">
        <f aca="false">'Long Term Deals'!AL127</f>
        <v>0</v>
      </c>
      <c r="I127" s="7" t="n">
        <f aca="false">'Long Term Deals'!AM127</f>
        <v>29306</v>
      </c>
      <c r="J127" s="7" t="n">
        <f aca="false">'Long Term Deals'!AN127</f>
        <v>0</v>
      </c>
      <c r="K127" s="7" t="n">
        <f aca="false">'Long Term Deals'!AO127</f>
        <v>38560</v>
      </c>
      <c r="L127" s="7" t="n">
        <f aca="false">'Long Term Deals'!AP127</f>
        <v>0</v>
      </c>
      <c r="M127" s="7" t="n">
        <f aca="false">'Long Term Deals'!AQ127</f>
        <v>0</v>
      </c>
      <c r="N127" s="7" t="n">
        <f aca="false">'Long Term Deals'!AR127</f>
        <v>29305.8251928021</v>
      </c>
      <c r="O127" s="7" t="n">
        <f aca="false">'Long Term Deals'!AS127</f>
        <v>0</v>
      </c>
      <c r="P127" s="7" t="n">
        <f aca="false">'Long Term Deals'!AT127</f>
        <v>38560.822622108</v>
      </c>
      <c r="Q127" s="7" t="n">
        <f aca="false">'Long Term Deals'!AU127</f>
        <v>0</v>
      </c>
      <c r="R127" s="7" t="n">
        <f aca="false">'Long Term Deals'!AV127</f>
        <v>0</v>
      </c>
      <c r="S127" s="68" t="n">
        <f aca="false">'Long Term Deals'!AW127</f>
        <v>0.03</v>
      </c>
      <c r="T127" s="68" t="n">
        <f aca="false">'Long Term Deals'!AX127</f>
        <v>0.015</v>
      </c>
      <c r="U127" s="7" t="n">
        <f aca="false">'Long Term Deals'!AY127</f>
        <v>10156329.9081836</v>
      </c>
      <c r="V127" s="7" t="n">
        <f aca="false">'Long Term Deals'!AZ127</f>
        <v>9973676.95188545</v>
      </c>
      <c r="W127" s="5" t="n">
        <f aca="false">U127-V127</f>
        <v>182652.9562982</v>
      </c>
      <c r="X127" s="5" t="n">
        <f aca="false">'Long Term Deals'!CA127</f>
        <v>21038.5604113111</v>
      </c>
      <c r="Z127" s="7" t="n">
        <f aca="false">[2]Sheet1!$O146</f>
        <v>-267652.691520663</v>
      </c>
      <c r="AA127" s="7" t="n">
        <f aca="false">'[3]Long Term Deals'!$Z126</f>
        <v>-31548.0192679062</v>
      </c>
      <c r="AB127" s="70" t="n">
        <f aca="false">-Z127+AA127+Y127+W127-X127</f>
        <v>397719.068139646</v>
      </c>
      <c r="AC127" s="70" t="n">
        <f aca="false">AB127-Y127</f>
        <v>397719.068139646</v>
      </c>
      <c r="AD127" s="70" t="n">
        <f aca="false">AC127+Z127-AA127+X127</f>
        <v>182652.9562982</v>
      </c>
      <c r="AE127" s="13" t="n">
        <f aca="false">(W127-Z127+AA127)/(B127+C127+D127)/'Prices&amp;Fuel'!H127</f>
        <v>0.0995214549769809</v>
      </c>
      <c r="AF127" s="1" t="n">
        <v>132000</v>
      </c>
      <c r="AG127" s="7" t="n">
        <f aca="false">((((I127*'Prices&amp;Fuel'!B127+'Prices&amp;Fuel'!C127*FPL!J127+FPL!K127*'Prices&amp;Fuel'!D127))+(L127*'Prices&amp;Fuel'!B127+'Prices&amp;Fuel'!C127*FPL!M127))*'Prices&amp;Fuel'!H127)+(I127+J127+K127)*'Prices&amp;Fuel'!H127*FPL!T127+Q127/2</f>
        <v>4986814.60466818</v>
      </c>
      <c r="AH127" s="7" t="n">
        <f aca="false">(N127*'Prices&amp;Fuel'!B127+'Prices&amp;Fuel'!C127*O127+P127*'Prices&amp;Fuel'!D127)*'Prices&amp;Fuel'!H127+(N127+O127+P127)*'Prices&amp;Fuel'!H127*FPL!T127+Q127/2</f>
        <v>4986862.34721727</v>
      </c>
      <c r="AI127" s="7" t="n">
        <f aca="false">R127*'Prices&amp;Fuel'!H127*'Prices&amp;Fuel'!Q127</f>
        <v>0</v>
      </c>
      <c r="AJ127" s="55" t="n">
        <f aca="false">SUM(AG127:AI127)-'Long Term Deals'!AZ127</f>
        <v>0</v>
      </c>
    </row>
    <row r="128" customFormat="false" ht="11.25" hidden="false" customHeight="false" outlineLevel="0" collapsed="false">
      <c r="A128" s="6" t="n">
        <f aca="false">+A127+365/12</f>
        <v>39490.25</v>
      </c>
      <c r="B128" s="7" t="n">
        <f aca="false">'Long Term Deals'!AF128</f>
        <v>58611.8251928021</v>
      </c>
      <c r="C128" s="7" t="n">
        <f aca="false">'Long Term Deals'!AG128</f>
        <v>0</v>
      </c>
      <c r="D128" s="7" t="n">
        <f aca="false">'Long Term Deals'!AH128</f>
        <v>77120.822622108</v>
      </c>
      <c r="E128" s="7" t="n">
        <f aca="false">'Long Term Deals'!AI128</f>
        <v>0</v>
      </c>
      <c r="F128" s="7" t="n">
        <f aca="false">'Long Term Deals'!AJ128</f>
        <v>0</v>
      </c>
      <c r="G128" s="7" t="n">
        <f aca="false">'Long Term Deals'!AK128</f>
        <v>0</v>
      </c>
      <c r="H128" s="7" t="n">
        <f aca="false">'Long Term Deals'!AL128</f>
        <v>0</v>
      </c>
      <c r="I128" s="7" t="n">
        <f aca="false">'Long Term Deals'!AM128</f>
        <v>29306</v>
      </c>
      <c r="J128" s="7" t="n">
        <f aca="false">'Long Term Deals'!AN128</f>
        <v>0</v>
      </c>
      <c r="K128" s="7" t="n">
        <f aca="false">'Long Term Deals'!AO128</f>
        <v>38560</v>
      </c>
      <c r="L128" s="7" t="n">
        <f aca="false">'Long Term Deals'!AP128</f>
        <v>0</v>
      </c>
      <c r="M128" s="7" t="n">
        <f aca="false">'Long Term Deals'!AQ128</f>
        <v>0</v>
      </c>
      <c r="N128" s="7" t="n">
        <f aca="false">'Long Term Deals'!AR128</f>
        <v>29305.8251928021</v>
      </c>
      <c r="O128" s="7" t="n">
        <f aca="false">'Long Term Deals'!AS128</f>
        <v>0</v>
      </c>
      <c r="P128" s="7" t="n">
        <f aca="false">'Long Term Deals'!AT128</f>
        <v>38560.822622108</v>
      </c>
      <c r="Q128" s="7" t="n">
        <f aca="false">'Long Term Deals'!AU128</f>
        <v>0</v>
      </c>
      <c r="R128" s="7" t="n">
        <f aca="false">'Long Term Deals'!AV128</f>
        <v>0</v>
      </c>
      <c r="S128" s="68" t="n">
        <f aca="false">'Long Term Deals'!AW128</f>
        <v>0.03</v>
      </c>
      <c r="T128" s="68" t="n">
        <f aca="false">'Long Term Deals'!AX128</f>
        <v>0.015</v>
      </c>
      <c r="U128" s="7" t="n">
        <f aca="false">'Long Term Deals'!AY128</f>
        <v>10629252.2434052</v>
      </c>
      <c r="V128" s="7" t="n">
        <f aca="false">'Long Term Deals'!AZ128</f>
        <v>10458383.3488037</v>
      </c>
      <c r="W128" s="5" t="n">
        <f aca="false">U128-V128</f>
        <v>170868.894601541</v>
      </c>
      <c r="X128" s="5" t="n">
        <f aca="false">'Long Term Deals'!CA128</f>
        <v>19681.233933162</v>
      </c>
      <c r="Z128" s="7" t="n">
        <f aca="false">[2]Sheet1!$O147</f>
        <v>-250384.775938685</v>
      </c>
      <c r="AA128" s="7" t="n">
        <f aca="false">'[3]Long Term Deals'!$Z127</f>
        <v>-29512.6631861058</v>
      </c>
      <c r="AB128" s="70" t="n">
        <f aca="false">-Z128+AA128+Y128+W128-X128</f>
        <v>372059.773420958</v>
      </c>
      <c r="AC128" s="70" t="n">
        <f aca="false">AB128-Y128</f>
        <v>372059.773420958</v>
      </c>
      <c r="AD128" s="70" t="n">
        <f aca="false">AC128+Z128-AA128+X128</f>
        <v>170868.894601541</v>
      </c>
      <c r="AE128" s="13" t="n">
        <f aca="false">(W128-Z128+AA128)/(B128+C128+D128)/'Prices&amp;Fuel'!H128</f>
        <v>0.0995214549769805</v>
      </c>
      <c r="AF128" s="1" t="n">
        <v>132000</v>
      </c>
      <c r="AG128" s="7" t="n">
        <f aca="false">((((I128*'Prices&amp;Fuel'!B128+'Prices&amp;Fuel'!C128*FPL!J128+FPL!K128*'Prices&amp;Fuel'!D128))+(L128*'Prices&amp;Fuel'!B128+'Prices&amp;Fuel'!C128*FPL!M128))*'Prices&amp;Fuel'!H128)+(I128+J128+K128)*'Prices&amp;Fuel'!H128*FPL!T128+Q128/2</f>
        <v>5229166.65098704</v>
      </c>
      <c r="AH128" s="7" t="n">
        <f aca="false">(N128*'Prices&amp;Fuel'!B128+'Prices&amp;Fuel'!C128*O128+P128*'Prices&amp;Fuel'!D128)*'Prices&amp;Fuel'!H128+(N128+O128+P128)*'Prices&amp;Fuel'!H128*FPL!T128+Q128/2</f>
        <v>5229216.69781666</v>
      </c>
      <c r="AI128" s="7" t="n">
        <f aca="false">R128*'Prices&amp;Fuel'!H128*'Prices&amp;Fuel'!Q128</f>
        <v>0</v>
      </c>
      <c r="AJ128" s="55" t="n">
        <f aca="false">SUM(AG128:AI128)-'Long Term Deals'!AZ128</f>
        <v>0</v>
      </c>
    </row>
    <row r="129" customFormat="false" ht="11.25" hidden="false" customHeight="false" outlineLevel="0" collapsed="false">
      <c r="A129" s="6" t="n">
        <f aca="false">+A128+365/12</f>
        <v>39520.6666666667</v>
      </c>
      <c r="B129" s="7" t="n">
        <f aca="false">'Long Term Deals'!AF129</f>
        <v>58611.8251928021</v>
      </c>
      <c r="C129" s="7" t="n">
        <f aca="false">'Long Term Deals'!AG129</f>
        <v>0</v>
      </c>
      <c r="D129" s="7" t="n">
        <f aca="false">'Long Term Deals'!AH129</f>
        <v>77120.822622108</v>
      </c>
      <c r="E129" s="7" t="n">
        <f aca="false">'Long Term Deals'!AI129</f>
        <v>0</v>
      </c>
      <c r="F129" s="7" t="n">
        <f aca="false">'Long Term Deals'!AJ129</f>
        <v>0</v>
      </c>
      <c r="G129" s="7" t="n">
        <f aca="false">'Long Term Deals'!AK129</f>
        <v>0</v>
      </c>
      <c r="H129" s="7" t="n">
        <f aca="false">'Long Term Deals'!AL129</f>
        <v>0</v>
      </c>
      <c r="I129" s="7" t="n">
        <f aca="false">'Long Term Deals'!AM129</f>
        <v>29306</v>
      </c>
      <c r="J129" s="7" t="n">
        <f aca="false">'Long Term Deals'!AN129</f>
        <v>0</v>
      </c>
      <c r="K129" s="7" t="n">
        <f aca="false">'Long Term Deals'!AO129</f>
        <v>38560</v>
      </c>
      <c r="L129" s="7" t="n">
        <f aca="false">'Long Term Deals'!AP129</f>
        <v>0</v>
      </c>
      <c r="M129" s="7" t="n">
        <f aca="false">'Long Term Deals'!AQ129</f>
        <v>0</v>
      </c>
      <c r="N129" s="7" t="n">
        <f aca="false">'Long Term Deals'!AR129</f>
        <v>29305.8251928021</v>
      </c>
      <c r="O129" s="7" t="n">
        <f aca="false">'Long Term Deals'!AS129</f>
        <v>0</v>
      </c>
      <c r="P129" s="7" t="n">
        <f aca="false">'Long Term Deals'!AT129</f>
        <v>38560.822622108</v>
      </c>
      <c r="Q129" s="7" t="n">
        <f aca="false">'Long Term Deals'!AU129</f>
        <v>0</v>
      </c>
      <c r="R129" s="7" t="n">
        <f aca="false">'Long Term Deals'!AV129</f>
        <v>0</v>
      </c>
      <c r="S129" s="68" t="n">
        <f aca="false">'Long Term Deals'!AW129</f>
        <v>0.03</v>
      </c>
      <c r="T129" s="68" t="n">
        <f aca="false">'Long Term Deals'!AX129</f>
        <v>0.015</v>
      </c>
      <c r="U129" s="7" t="n">
        <f aca="false">'Long Term Deals'!AY129</f>
        <v>11362304.1222608</v>
      </c>
      <c r="V129" s="7" t="n">
        <f aca="false">'Long Term Deals'!AZ129</f>
        <v>11179651.1659626</v>
      </c>
      <c r="W129" s="5" t="n">
        <f aca="false">U129-V129</f>
        <v>182652.956298199</v>
      </c>
      <c r="X129" s="5" t="n">
        <f aca="false">'Long Term Deals'!CA129</f>
        <v>21038.5604113111</v>
      </c>
      <c r="Z129" s="7" t="n">
        <f aca="false">[2]Sheet1!$O148</f>
        <v>-267652.691520663</v>
      </c>
      <c r="AA129" s="7" t="n">
        <f aca="false">'[3]Long Term Deals'!$Z128</f>
        <v>-31548.0192679062</v>
      </c>
      <c r="AB129" s="70" t="n">
        <f aca="false">-Z129+AA129+Y129+W129-X129</f>
        <v>397719.068139645</v>
      </c>
      <c r="AC129" s="70" t="n">
        <f aca="false">AB129-Y129</f>
        <v>397719.068139645</v>
      </c>
      <c r="AD129" s="70" t="n">
        <f aca="false">AC129+Z129-AA129+X129</f>
        <v>182652.956298199</v>
      </c>
      <c r="AE129" s="13" t="n">
        <f aca="false">(W129-Z129+AA129)/(B129+C129+D129)/'Prices&amp;Fuel'!H129</f>
        <v>0.0995214549769805</v>
      </c>
      <c r="AF129" s="1" t="n">
        <v>132000</v>
      </c>
      <c r="AG129" s="7" t="n">
        <f aca="false">((((I129*'Prices&amp;Fuel'!B129+'Prices&amp;Fuel'!C129*FPL!J129+FPL!K129*'Prices&amp;Fuel'!D129))+(L129*'Prices&amp;Fuel'!B129+'Prices&amp;Fuel'!C129*FPL!M129))*'Prices&amp;Fuel'!H129)+(I129+J129+K129)*'Prices&amp;Fuel'!H129*FPL!T129+Q129/2</f>
        <v>5589798.83381373</v>
      </c>
      <c r="AH129" s="7" t="n">
        <f aca="false">(N129*'Prices&amp;Fuel'!B129+'Prices&amp;Fuel'!C129*O129+P129*'Prices&amp;Fuel'!D129)*'Prices&amp;Fuel'!H129+(N129+O129+P129)*'Prices&amp;Fuel'!H129*FPL!T129+Q129/2</f>
        <v>5589852.33214884</v>
      </c>
      <c r="AI129" s="7" t="n">
        <f aca="false">R129*'Prices&amp;Fuel'!H129*'Prices&amp;Fuel'!Q129</f>
        <v>0</v>
      </c>
      <c r="AJ129" s="55" t="n">
        <f aca="false">SUM(AG129:AI129)-'Long Term Deals'!AZ129</f>
        <v>0</v>
      </c>
    </row>
    <row r="130" customFormat="false" ht="11.25" hidden="false" customHeight="false" outlineLevel="0" collapsed="false">
      <c r="A130" s="6" t="n">
        <f aca="false">+A129+365/12</f>
        <v>39551.0833333333</v>
      </c>
      <c r="B130" s="7" t="n">
        <f aca="false">'Long Term Deals'!AF130</f>
        <v>58611.8251928021</v>
      </c>
      <c r="C130" s="7" t="n">
        <f aca="false">'Long Term Deals'!AG130</f>
        <v>0</v>
      </c>
      <c r="D130" s="7" t="n">
        <f aca="false">'Long Term Deals'!AH130</f>
        <v>77120.822622108</v>
      </c>
      <c r="E130" s="7" t="n">
        <f aca="false">'Long Term Deals'!AI130</f>
        <v>0</v>
      </c>
      <c r="F130" s="7" t="n">
        <f aca="false">'Long Term Deals'!AJ130</f>
        <v>0</v>
      </c>
      <c r="G130" s="7" t="n">
        <f aca="false">'Long Term Deals'!AK130</f>
        <v>0</v>
      </c>
      <c r="H130" s="7" t="n">
        <f aca="false">'Long Term Deals'!AL130</f>
        <v>0</v>
      </c>
      <c r="I130" s="7" t="n">
        <f aca="false">'Long Term Deals'!AM130</f>
        <v>29306</v>
      </c>
      <c r="J130" s="7" t="n">
        <f aca="false">'Long Term Deals'!AN130</f>
        <v>0</v>
      </c>
      <c r="K130" s="7" t="n">
        <f aca="false">'Long Term Deals'!AO130</f>
        <v>38560</v>
      </c>
      <c r="L130" s="7" t="n">
        <f aca="false">'Long Term Deals'!AP130</f>
        <v>0</v>
      </c>
      <c r="M130" s="7" t="n">
        <f aca="false">'Long Term Deals'!AQ130</f>
        <v>0</v>
      </c>
      <c r="N130" s="7" t="n">
        <f aca="false">'Long Term Deals'!AR130</f>
        <v>29305.8251928021</v>
      </c>
      <c r="O130" s="7" t="n">
        <f aca="false">'Long Term Deals'!AS130</f>
        <v>0</v>
      </c>
      <c r="P130" s="7" t="n">
        <f aca="false">'Long Term Deals'!AT130</f>
        <v>38560.822622108</v>
      </c>
      <c r="Q130" s="7" t="n">
        <f aca="false">'Long Term Deals'!AU130</f>
        <v>0</v>
      </c>
      <c r="R130" s="7" t="n">
        <f aca="false">'Long Term Deals'!AV130</f>
        <v>0</v>
      </c>
      <c r="S130" s="68" t="n">
        <f aca="false">'Long Term Deals'!AW130</f>
        <v>0.03</v>
      </c>
      <c r="T130" s="68" t="n">
        <f aca="false">'Long Term Deals'!AX130</f>
        <v>0.015</v>
      </c>
      <c r="U130" s="7" t="n">
        <f aca="false">'Long Term Deals'!AY130</f>
        <v>12162850.0029076</v>
      </c>
      <c r="V130" s="7" t="n">
        <f aca="false">'Long Term Deals'!AZ130</f>
        <v>11986089.0774578</v>
      </c>
      <c r="W130" s="5" t="n">
        <f aca="false">U130-V130</f>
        <v>176760.925449867</v>
      </c>
      <c r="X130" s="5" t="n">
        <f aca="false">'Long Term Deals'!CA130</f>
        <v>20359.8971722365</v>
      </c>
      <c r="Z130" s="7" t="n">
        <f aca="false">[2]Sheet1!$O149</f>
        <v>-259018.733729674</v>
      </c>
      <c r="AA130" s="7" t="n">
        <f aca="false">'[3]Long Term Deals'!$Z129</f>
        <v>-30530.341227006</v>
      </c>
      <c r="AB130" s="70" t="n">
        <f aca="false">-Z130+AA130+Y130+W130-X130</f>
        <v>384889.420780298</v>
      </c>
      <c r="AC130" s="70" t="n">
        <f aca="false">AB130-Y130</f>
        <v>384889.420780298</v>
      </c>
      <c r="AD130" s="70" t="n">
        <f aca="false">AC130+Z130-AA130+X130</f>
        <v>176760.925449867</v>
      </c>
      <c r="AE130" s="13" t="n">
        <f aca="false">(W130-Z130+AA130)/(B130+C130+D130)/'Prices&amp;Fuel'!H130</f>
        <v>0.0995214549769798</v>
      </c>
      <c r="AF130" s="1" t="n">
        <v>132000</v>
      </c>
      <c r="AG130" s="7" t="n">
        <f aca="false">((((I130*'Prices&amp;Fuel'!B130+'Prices&amp;Fuel'!C130*FPL!J130+FPL!K130*'Prices&amp;Fuel'!D130))+(L130*'Prices&amp;Fuel'!B130+'Prices&amp;Fuel'!C130*FPL!M130))*'Prices&amp;Fuel'!H130)+(I130+J130+K130)*'Prices&amp;Fuel'!H130*FPL!T130+Q130/2</f>
        <v>5993015.86737996</v>
      </c>
      <c r="AH130" s="7" t="n">
        <f aca="false">(N130*'Prices&amp;Fuel'!B130+'Prices&amp;Fuel'!C130*O130+P130*'Prices&amp;Fuel'!D130)*'Prices&amp;Fuel'!H130+(N130+O130+P130)*'Prices&amp;Fuel'!H130*FPL!T130+Q130/2</f>
        <v>5993073.21007782</v>
      </c>
      <c r="AI130" s="7" t="n">
        <f aca="false">R130*'Prices&amp;Fuel'!H130*'Prices&amp;Fuel'!Q130</f>
        <v>0</v>
      </c>
      <c r="AJ130" s="55" t="n">
        <f aca="false">SUM(AG130:AI130)-'Long Term Deals'!AZ130</f>
        <v>0</v>
      </c>
    </row>
    <row r="131" customFormat="false" ht="11.25" hidden="false" customHeight="false" outlineLevel="0" collapsed="false">
      <c r="A131" s="6" t="n">
        <f aca="false">+A130+365/12</f>
        <v>39581.5</v>
      </c>
      <c r="B131" s="7" t="n">
        <f aca="false">'Long Term Deals'!AF131</f>
        <v>128534.70437018</v>
      </c>
      <c r="C131" s="7" t="n">
        <f aca="false">'Long Term Deals'!AG131</f>
        <v>0</v>
      </c>
      <c r="D131" s="7" t="n">
        <f aca="false">'Long Term Deals'!AH131</f>
        <v>77120.822622108</v>
      </c>
      <c r="E131" s="7" t="n">
        <f aca="false">'Long Term Deals'!AI131</f>
        <v>0</v>
      </c>
      <c r="F131" s="7" t="n">
        <f aca="false">'Long Term Deals'!AJ131</f>
        <v>0</v>
      </c>
      <c r="G131" s="7" t="n">
        <f aca="false">'Long Term Deals'!AK131</f>
        <v>0</v>
      </c>
      <c r="H131" s="7" t="n">
        <f aca="false">'Long Term Deals'!AL131</f>
        <v>0</v>
      </c>
      <c r="I131" s="7" t="n">
        <f aca="false">'Long Term Deals'!AM131</f>
        <v>64267</v>
      </c>
      <c r="J131" s="7" t="n">
        <f aca="false">'Long Term Deals'!AN131</f>
        <v>0</v>
      </c>
      <c r="K131" s="7" t="n">
        <f aca="false">'Long Term Deals'!AO131</f>
        <v>38560</v>
      </c>
      <c r="L131" s="7" t="n">
        <f aca="false">'Long Term Deals'!AP131</f>
        <v>0</v>
      </c>
      <c r="M131" s="7" t="n">
        <f aca="false">'Long Term Deals'!AQ131</f>
        <v>0</v>
      </c>
      <c r="N131" s="7" t="n">
        <f aca="false">'Long Term Deals'!AR131</f>
        <v>64267.70437018</v>
      </c>
      <c r="O131" s="7" t="n">
        <f aca="false">'Long Term Deals'!AS131</f>
        <v>0</v>
      </c>
      <c r="P131" s="7" t="n">
        <f aca="false">'Long Term Deals'!AT131</f>
        <v>38560.822622108</v>
      </c>
      <c r="Q131" s="7" t="n">
        <f aca="false">'Long Term Deals'!AU131</f>
        <v>0</v>
      </c>
      <c r="R131" s="7" t="n">
        <f aca="false">'Long Term Deals'!AV131</f>
        <v>0</v>
      </c>
      <c r="S131" s="68" t="n">
        <f aca="false">'Long Term Deals'!AW131</f>
        <v>0.03</v>
      </c>
      <c r="T131" s="68" t="n">
        <f aca="false">'Long Term Deals'!AX131</f>
        <v>0.015</v>
      </c>
      <c r="U131" s="7" t="n">
        <f aca="false">'Long Term Deals'!AY131</f>
        <v>20254781.286559</v>
      </c>
      <c r="V131" s="7" t="n">
        <f aca="false">'Long Term Deals'!AZ131</f>
        <v>20039614.1914433</v>
      </c>
      <c r="W131" s="5" t="n">
        <f aca="false">U131-V131</f>
        <v>215167.09511568</v>
      </c>
      <c r="X131" s="5" t="n">
        <f aca="false">'Long Term Deals'!CA131</f>
        <v>31876.6066838046</v>
      </c>
      <c r="Z131" s="7" t="n">
        <f aca="false">[2]Sheet1!$O150</f>
        <v>-405534.381091914</v>
      </c>
      <c r="AA131" s="7" t="n">
        <f aca="false">'[3]Long Term Deals'!$Z130</f>
        <v>-47800.0291937973</v>
      </c>
      <c r="AB131" s="70" t="n">
        <f aca="false">-Z131+AA131+Y131+W131-X131</f>
        <v>541024.840329992</v>
      </c>
      <c r="AC131" s="70" t="n">
        <f aca="false">AB131-Y131</f>
        <v>541024.840329992</v>
      </c>
      <c r="AD131" s="70" t="n">
        <f aca="false">AC131+Z131-AA131+X131</f>
        <v>215167.09511568</v>
      </c>
      <c r="AE131" s="13" t="n">
        <f aca="false">(W131-Z131+AA131)/(B131+C131+D131)/'Prices&amp;Fuel'!H131</f>
        <v>0.0898623640678899</v>
      </c>
      <c r="AF131" s="1" t="n">
        <v>200000</v>
      </c>
      <c r="AG131" s="7" t="n">
        <f aca="false">((((I131*'Prices&amp;Fuel'!B131+'Prices&amp;Fuel'!C131*FPL!J131+FPL!K131*'Prices&amp;Fuel'!D131))+(L131*'Prices&amp;Fuel'!B131+'Prices&amp;Fuel'!C131*FPL!M131))*'Prices&amp;Fuel'!H131)+(I131+J131+K131)*'Prices&amp;Fuel'!H131*FPL!T131+Q131/2</f>
        <v>10019732.659904</v>
      </c>
      <c r="AH131" s="7" t="n">
        <f aca="false">(N131*'Prices&amp;Fuel'!B131+'Prices&amp;Fuel'!C131*O131+P131*'Prices&amp;Fuel'!D131)*'Prices&amp;Fuel'!H131+(N131+O131+P131)*'Prices&amp;Fuel'!H131*FPL!T131+Q131/2</f>
        <v>10019881.5315393</v>
      </c>
      <c r="AI131" s="7" t="n">
        <f aca="false">R131*'Prices&amp;Fuel'!H131*'Prices&amp;Fuel'!Q131</f>
        <v>0</v>
      </c>
      <c r="AJ131" s="55" t="n">
        <f aca="false">SUM(AG131:AI131)-'Long Term Deals'!AZ131</f>
        <v>0</v>
      </c>
    </row>
    <row r="132" customFormat="false" ht="11.25" hidden="false" customHeight="false" outlineLevel="0" collapsed="false">
      <c r="A132" s="6" t="n">
        <f aca="false">+A131+365/12</f>
        <v>39611.9166666667</v>
      </c>
      <c r="B132" s="7" t="n">
        <f aca="false">'Long Term Deals'!AF132</f>
        <v>128534.70437018</v>
      </c>
      <c r="C132" s="7" t="n">
        <f aca="false">'Long Term Deals'!AG132</f>
        <v>0</v>
      </c>
      <c r="D132" s="7" t="n">
        <f aca="false">'Long Term Deals'!AH132</f>
        <v>77120.822622108</v>
      </c>
      <c r="E132" s="7" t="n">
        <f aca="false">'Long Term Deals'!AI132</f>
        <v>0</v>
      </c>
      <c r="F132" s="7" t="n">
        <f aca="false">'Long Term Deals'!AJ132</f>
        <v>0</v>
      </c>
      <c r="G132" s="7" t="n">
        <f aca="false">'Long Term Deals'!AK132</f>
        <v>0</v>
      </c>
      <c r="H132" s="7" t="n">
        <f aca="false">'Long Term Deals'!AL132</f>
        <v>0</v>
      </c>
      <c r="I132" s="7" t="n">
        <f aca="false">'Long Term Deals'!AM132</f>
        <v>64267</v>
      </c>
      <c r="J132" s="7" t="n">
        <f aca="false">'Long Term Deals'!AN132</f>
        <v>0</v>
      </c>
      <c r="K132" s="7" t="n">
        <f aca="false">'Long Term Deals'!AO132</f>
        <v>38560</v>
      </c>
      <c r="L132" s="7" t="n">
        <f aca="false">'Long Term Deals'!AP132</f>
        <v>0</v>
      </c>
      <c r="M132" s="7" t="n">
        <f aca="false">'Long Term Deals'!AQ132</f>
        <v>0</v>
      </c>
      <c r="N132" s="7" t="n">
        <f aca="false">'Long Term Deals'!AR132</f>
        <v>64267.70437018</v>
      </c>
      <c r="O132" s="7" t="n">
        <f aca="false">'Long Term Deals'!AS132</f>
        <v>0</v>
      </c>
      <c r="P132" s="7" t="n">
        <f aca="false">'Long Term Deals'!AT132</f>
        <v>38560.822622108</v>
      </c>
      <c r="Q132" s="7" t="n">
        <f aca="false">'Long Term Deals'!AU132</f>
        <v>0</v>
      </c>
      <c r="R132" s="7" t="n">
        <f aca="false">'Long Term Deals'!AV132</f>
        <v>0</v>
      </c>
      <c r="S132" s="68" t="n">
        <f aca="false">'Long Term Deals'!AW132</f>
        <v>0.03</v>
      </c>
      <c r="T132" s="68" t="n">
        <f aca="false">'Long Term Deals'!AX132</f>
        <v>0.015</v>
      </c>
      <c r="U132" s="7" t="n">
        <f aca="false">'Long Term Deals'!AY132</f>
        <v>28180885.444259</v>
      </c>
      <c r="V132" s="7" t="n">
        <f aca="false">'Long Term Deals'!AZ132</f>
        <v>27972659.2231793</v>
      </c>
      <c r="W132" s="5" t="n">
        <f aca="false">U132-V132</f>
        <v>208226.221079696</v>
      </c>
      <c r="X132" s="5" t="n">
        <f aca="false">'Long Term Deals'!CA132</f>
        <v>30848.3290488432</v>
      </c>
      <c r="Z132" s="7" t="n">
        <f aca="false">[2]Sheet1!$O151</f>
        <v>-392452.626863143</v>
      </c>
      <c r="AA132" s="7" t="n">
        <f aca="false">'[3]Long Term Deals'!$Z131</f>
        <v>-46258.092768191</v>
      </c>
      <c r="AB132" s="70" t="n">
        <f aca="false">-Z132+AA132+Y132+W132-X132</f>
        <v>523572.426125804</v>
      </c>
      <c r="AC132" s="70" t="n">
        <f aca="false">AB132-Y132</f>
        <v>523572.426125804</v>
      </c>
      <c r="AD132" s="70" t="n">
        <f aca="false">AC132+Z132-AA132+X132</f>
        <v>208226.221079696</v>
      </c>
      <c r="AE132" s="13" t="n">
        <f aca="false">(W132-Z132+AA132)/(B132+C132+D132)/'Prices&amp;Fuel'!H132</f>
        <v>0.0898623640678908</v>
      </c>
      <c r="AF132" s="1" t="n">
        <v>200000</v>
      </c>
      <c r="AG132" s="7" t="n">
        <f aca="false">((((I132*'Prices&amp;Fuel'!B132+'Prices&amp;Fuel'!C132*FPL!J132+FPL!K132*'Prices&amp;Fuel'!D132))+(L132*'Prices&amp;Fuel'!B132+'Prices&amp;Fuel'!C132*FPL!M132))*'Prices&amp;Fuel'!H132)+(I132+J132+K132)*'Prices&amp;Fuel'!H132*FPL!T132+Q132/2</f>
        <v>13986225.7255923</v>
      </c>
      <c r="AH132" s="7" t="n">
        <f aca="false">(N132*'Prices&amp;Fuel'!B132+'Prices&amp;Fuel'!C132*O132+P132*'Prices&amp;Fuel'!D132)*'Prices&amp;Fuel'!H132+(N132+O132+P132)*'Prices&amp;Fuel'!H132*FPL!T132+Q132/2</f>
        <v>13986433.497587</v>
      </c>
      <c r="AI132" s="7" t="n">
        <f aca="false">R132*'Prices&amp;Fuel'!H132*'Prices&amp;Fuel'!Q132</f>
        <v>0</v>
      </c>
      <c r="AJ132" s="55" t="n">
        <f aca="false">SUM(AG132:AI132)-'Long Term Deals'!AZ132</f>
        <v>0</v>
      </c>
    </row>
    <row r="133" customFormat="false" ht="11.25" hidden="false" customHeight="false" outlineLevel="0" collapsed="false">
      <c r="A133" s="6" t="n">
        <f aca="false">+A132+365/12</f>
        <v>39642.3333333333</v>
      </c>
      <c r="B133" s="7" t="n">
        <f aca="false">'Long Term Deals'!AF133</f>
        <v>128534.70437018</v>
      </c>
      <c r="C133" s="7" t="n">
        <f aca="false">'Long Term Deals'!AG133</f>
        <v>0</v>
      </c>
      <c r="D133" s="7" t="n">
        <f aca="false">'Long Term Deals'!AH133</f>
        <v>77120.822622108</v>
      </c>
      <c r="E133" s="7" t="n">
        <f aca="false">'Long Term Deals'!AI133</f>
        <v>0</v>
      </c>
      <c r="F133" s="7" t="n">
        <f aca="false">'Long Term Deals'!AJ133</f>
        <v>0</v>
      </c>
      <c r="G133" s="7" t="n">
        <f aca="false">'Long Term Deals'!AK133</f>
        <v>0</v>
      </c>
      <c r="H133" s="7" t="n">
        <f aca="false">'Long Term Deals'!AL133</f>
        <v>0</v>
      </c>
      <c r="I133" s="7" t="n">
        <f aca="false">'Long Term Deals'!AM133</f>
        <v>64267</v>
      </c>
      <c r="J133" s="7" t="n">
        <f aca="false">'Long Term Deals'!AN133</f>
        <v>0</v>
      </c>
      <c r="K133" s="7" t="n">
        <f aca="false">'Long Term Deals'!AO133</f>
        <v>38560</v>
      </c>
      <c r="L133" s="7" t="n">
        <f aca="false">'Long Term Deals'!AP133</f>
        <v>0</v>
      </c>
      <c r="M133" s="7" t="n">
        <f aca="false">'Long Term Deals'!AQ133</f>
        <v>0</v>
      </c>
      <c r="N133" s="7" t="n">
        <f aca="false">'Long Term Deals'!AR133</f>
        <v>64267.70437018</v>
      </c>
      <c r="O133" s="7" t="n">
        <f aca="false">'Long Term Deals'!AS133</f>
        <v>0</v>
      </c>
      <c r="P133" s="7" t="n">
        <f aca="false">'Long Term Deals'!AT133</f>
        <v>38560.822622108</v>
      </c>
      <c r="Q133" s="7" t="n">
        <f aca="false">'Long Term Deals'!AU133</f>
        <v>0</v>
      </c>
      <c r="R133" s="7" t="n">
        <f aca="false">'Long Term Deals'!AV133</f>
        <v>0</v>
      </c>
      <c r="S133" s="68" t="n">
        <f aca="false">'Long Term Deals'!AW133</f>
        <v>0.03</v>
      </c>
      <c r="T133" s="68" t="n">
        <f aca="false">'Long Term Deals'!AX133</f>
        <v>0.015</v>
      </c>
      <c r="U133" s="7" t="n">
        <f aca="false">'Long Term Deals'!AY133</f>
        <v>29052572.9717457</v>
      </c>
      <c r="V133" s="7" t="n">
        <f aca="false">'Long Term Deals'!AZ133</f>
        <v>28837405.87663</v>
      </c>
      <c r="W133" s="5" t="n">
        <f aca="false">U133-V133</f>
        <v>215167.09511568</v>
      </c>
      <c r="X133" s="5" t="n">
        <f aca="false">'Long Term Deals'!CA133</f>
        <v>31876.6066838046</v>
      </c>
      <c r="Z133" s="7" t="n">
        <f aca="false">[2]Sheet1!$O152</f>
        <v>-405534.381091914</v>
      </c>
      <c r="AA133" s="7" t="n">
        <f aca="false">'[3]Long Term Deals'!$Z132</f>
        <v>-47800.0291937973</v>
      </c>
      <c r="AB133" s="70" t="n">
        <f aca="false">-Z133+AA133+Y133+W133-X133</f>
        <v>541024.840329992</v>
      </c>
      <c r="AC133" s="70" t="n">
        <f aca="false">AB133-Y133</f>
        <v>541024.840329992</v>
      </c>
      <c r="AD133" s="70" t="n">
        <f aca="false">AC133+Z133-AA133+X133</f>
        <v>215167.09511568</v>
      </c>
      <c r="AE133" s="13" t="n">
        <f aca="false">(W133-Z133+AA133)/(B133+C133+D133)/'Prices&amp;Fuel'!H133</f>
        <v>0.0898623640678899</v>
      </c>
      <c r="AF133" s="1" t="n">
        <v>200000</v>
      </c>
      <c r="AG133" s="7" t="n">
        <f aca="false">((((I133*'Prices&amp;Fuel'!B133+'Prices&amp;Fuel'!C133*FPL!J133+FPL!K133*'Prices&amp;Fuel'!D133))+(L133*'Prices&amp;Fuel'!B133+'Prices&amp;Fuel'!C133*FPL!M133))*'Prices&amp;Fuel'!H133)+(I133+J133+K133)*'Prices&amp;Fuel'!H133*FPL!T133+Q133/2</f>
        <v>14418595.8406957</v>
      </c>
      <c r="AH133" s="7" t="n">
        <f aca="false">(N133*'Prices&amp;Fuel'!B133+'Prices&amp;Fuel'!C133*O133+P133*'Prices&amp;Fuel'!D133)*'Prices&amp;Fuel'!H133+(N133+O133+P133)*'Prices&amp;Fuel'!H133*FPL!T133+Q133/2</f>
        <v>14418810.0359343</v>
      </c>
      <c r="AI133" s="7" t="n">
        <f aca="false">R133*'Prices&amp;Fuel'!H133*'Prices&amp;Fuel'!Q133</f>
        <v>0</v>
      </c>
      <c r="AJ133" s="55" t="n">
        <f aca="false">SUM(AG133:AI133)-'Long Term Deals'!AZ133</f>
        <v>0</v>
      </c>
    </row>
    <row r="134" customFormat="false" ht="11.25" hidden="false" customHeight="false" outlineLevel="0" collapsed="false">
      <c r="A134" s="6" t="n">
        <f aca="false">+A133+365/12</f>
        <v>39672.75</v>
      </c>
      <c r="B134" s="7" t="n">
        <f aca="false">'Long Term Deals'!AF134</f>
        <v>128534.70437018</v>
      </c>
      <c r="C134" s="7" t="n">
        <f aca="false">'Long Term Deals'!AG134</f>
        <v>0</v>
      </c>
      <c r="D134" s="7" t="n">
        <f aca="false">'Long Term Deals'!AH134</f>
        <v>77120.822622108</v>
      </c>
      <c r="E134" s="7" t="n">
        <f aca="false">'Long Term Deals'!AI134</f>
        <v>0</v>
      </c>
      <c r="F134" s="7" t="n">
        <f aca="false">'Long Term Deals'!AJ134</f>
        <v>0</v>
      </c>
      <c r="G134" s="7" t="n">
        <f aca="false">'Long Term Deals'!AK134</f>
        <v>0</v>
      </c>
      <c r="H134" s="7" t="n">
        <f aca="false">'Long Term Deals'!AL134</f>
        <v>0</v>
      </c>
      <c r="I134" s="7" t="n">
        <f aca="false">'Long Term Deals'!AM134</f>
        <v>64267</v>
      </c>
      <c r="J134" s="7" t="n">
        <f aca="false">'Long Term Deals'!AN134</f>
        <v>0</v>
      </c>
      <c r="K134" s="7" t="n">
        <f aca="false">'Long Term Deals'!AO134</f>
        <v>38560</v>
      </c>
      <c r="L134" s="7" t="n">
        <f aca="false">'Long Term Deals'!AP134</f>
        <v>0</v>
      </c>
      <c r="M134" s="7" t="n">
        <f aca="false">'Long Term Deals'!AQ134</f>
        <v>0</v>
      </c>
      <c r="N134" s="7" t="n">
        <f aca="false">'Long Term Deals'!AR134</f>
        <v>64267.70437018</v>
      </c>
      <c r="O134" s="7" t="n">
        <f aca="false">'Long Term Deals'!AS134</f>
        <v>0</v>
      </c>
      <c r="P134" s="7" t="n">
        <f aca="false">'Long Term Deals'!AT134</f>
        <v>38560.822622108</v>
      </c>
      <c r="Q134" s="7" t="n">
        <f aca="false">'Long Term Deals'!AU134</f>
        <v>0</v>
      </c>
      <c r="R134" s="7" t="n">
        <f aca="false">'Long Term Deals'!AV134</f>
        <v>0</v>
      </c>
      <c r="S134" s="68" t="n">
        <f aca="false">'Long Term Deals'!AW134</f>
        <v>0.03</v>
      </c>
      <c r="T134" s="68" t="n">
        <f aca="false">'Long Term Deals'!AX134</f>
        <v>0.015</v>
      </c>
      <c r="U134" s="7" t="n">
        <f aca="false">'Long Term Deals'!AY134</f>
        <v>25398105.6563604</v>
      </c>
      <c r="V134" s="7" t="n">
        <f aca="false">'Long Term Deals'!AZ134</f>
        <v>25182938.5612448</v>
      </c>
      <c r="W134" s="5" t="n">
        <f aca="false">U134-V134</f>
        <v>215167.095115677</v>
      </c>
      <c r="X134" s="5" t="n">
        <f aca="false">'Long Term Deals'!CA134</f>
        <v>31876.6066838046</v>
      </c>
      <c r="Z134" s="7" t="n">
        <f aca="false">[2]Sheet1!$O153</f>
        <v>-405534.381091914</v>
      </c>
      <c r="AA134" s="7" t="n">
        <f aca="false">'[3]Long Term Deals'!$Z133</f>
        <v>-47800.0291937973</v>
      </c>
      <c r="AB134" s="70" t="n">
        <f aca="false">-Z134+AA134+Y134+W134-X134</f>
        <v>541024.840329988</v>
      </c>
      <c r="AC134" s="70" t="n">
        <f aca="false">AB134-Y134</f>
        <v>541024.840329988</v>
      </c>
      <c r="AD134" s="70" t="n">
        <f aca="false">AC134+Z134-AA134+X134</f>
        <v>215167.095115676</v>
      </c>
      <c r="AE134" s="13" t="n">
        <f aca="false">(W134-Z134+AA134)/(B134+C134+D134)/'Prices&amp;Fuel'!H134</f>
        <v>0.0898623640678893</v>
      </c>
      <c r="AF134" s="1" t="n">
        <v>200000</v>
      </c>
      <c r="AG134" s="7" t="n">
        <f aca="false">((((I134*'Prices&amp;Fuel'!B134+'Prices&amp;Fuel'!C134*FPL!J134+FPL!K134*'Prices&amp;Fuel'!D134))+(L134*'Prices&amp;Fuel'!B134+'Prices&amp;Fuel'!C134*FPL!M134))*'Prices&amp;Fuel'!H134)+(I134+J134+K134)*'Prices&amp;Fuel'!H134*FPL!T134+Q134/2</f>
        <v>12591375.750213</v>
      </c>
      <c r="AH134" s="7" t="n">
        <f aca="false">(N134*'Prices&amp;Fuel'!B134+'Prices&amp;Fuel'!C134*O134+P134*'Prices&amp;Fuel'!D134)*'Prices&amp;Fuel'!H134+(N134+O134+P134)*'Prices&amp;Fuel'!H134*FPL!T134+Q134/2</f>
        <v>12591562.8110318</v>
      </c>
      <c r="AI134" s="7" t="n">
        <f aca="false">R134*'Prices&amp;Fuel'!H134*'Prices&amp;Fuel'!Q134</f>
        <v>0</v>
      </c>
      <c r="AJ134" s="55" t="n">
        <f aca="false">SUM(AG134:AI134)-'Long Term Deals'!AZ134</f>
        <v>0</v>
      </c>
    </row>
    <row r="135" customFormat="false" ht="11.25" hidden="false" customHeight="false" outlineLevel="0" collapsed="false">
      <c r="A135" s="6" t="n">
        <f aca="false">+A134+365/12</f>
        <v>39703.1666666667</v>
      </c>
      <c r="B135" s="7" t="n">
        <f aca="false">'Long Term Deals'!AF135</f>
        <v>128534.70437018</v>
      </c>
      <c r="C135" s="7" t="n">
        <f aca="false">'Long Term Deals'!AG135</f>
        <v>0</v>
      </c>
      <c r="D135" s="7" t="n">
        <f aca="false">'Long Term Deals'!AH135</f>
        <v>77120.822622108</v>
      </c>
      <c r="E135" s="7" t="n">
        <f aca="false">'Long Term Deals'!AI135</f>
        <v>0</v>
      </c>
      <c r="F135" s="7" t="n">
        <f aca="false">'Long Term Deals'!AJ135</f>
        <v>0</v>
      </c>
      <c r="G135" s="7" t="n">
        <f aca="false">'Long Term Deals'!AK135</f>
        <v>0</v>
      </c>
      <c r="H135" s="7" t="n">
        <f aca="false">'Long Term Deals'!AL135</f>
        <v>0</v>
      </c>
      <c r="I135" s="7" t="n">
        <f aca="false">'Long Term Deals'!AM135</f>
        <v>64267</v>
      </c>
      <c r="J135" s="7" t="n">
        <f aca="false">'Long Term Deals'!AN135</f>
        <v>0</v>
      </c>
      <c r="K135" s="7" t="n">
        <f aca="false">'Long Term Deals'!AO135</f>
        <v>38560</v>
      </c>
      <c r="L135" s="7" t="n">
        <f aca="false">'Long Term Deals'!AP135</f>
        <v>0</v>
      </c>
      <c r="M135" s="7" t="n">
        <f aca="false">'Long Term Deals'!AQ135</f>
        <v>0</v>
      </c>
      <c r="N135" s="7" t="n">
        <f aca="false">'Long Term Deals'!AR135</f>
        <v>64267.70437018</v>
      </c>
      <c r="O135" s="7" t="n">
        <f aca="false">'Long Term Deals'!AS135</f>
        <v>0</v>
      </c>
      <c r="P135" s="7" t="n">
        <f aca="false">'Long Term Deals'!AT135</f>
        <v>38560.822622108</v>
      </c>
      <c r="Q135" s="7" t="n">
        <f aca="false">'Long Term Deals'!AU135</f>
        <v>0</v>
      </c>
      <c r="R135" s="7" t="n">
        <f aca="false">'Long Term Deals'!AV135</f>
        <v>0</v>
      </c>
      <c r="S135" s="68" t="n">
        <f aca="false">'Long Term Deals'!AW135</f>
        <v>0.03</v>
      </c>
      <c r="T135" s="68" t="n">
        <f aca="false">'Long Term Deals'!AX135</f>
        <v>0.015</v>
      </c>
      <c r="U135" s="7" t="n">
        <f aca="false">'Long Term Deals'!AY135</f>
        <v>29621714.8517586</v>
      </c>
      <c r="V135" s="7" t="n">
        <f aca="false">'Long Term Deals'!AZ135</f>
        <v>29413488.6306789</v>
      </c>
      <c r="W135" s="5" t="n">
        <f aca="false">U135-V135</f>
        <v>208226.221079692</v>
      </c>
      <c r="X135" s="5" t="n">
        <f aca="false">'Long Term Deals'!CA135</f>
        <v>30848.3290488432</v>
      </c>
      <c r="Z135" s="7" t="n">
        <f aca="false">[2]Sheet1!$O154</f>
        <v>-392452.626863143</v>
      </c>
      <c r="AA135" s="7" t="n">
        <f aca="false">'[3]Long Term Deals'!$Z134</f>
        <v>-46258.092768191</v>
      </c>
      <c r="AB135" s="70" t="n">
        <f aca="false">-Z135+AA135+Y135+W135-X135</f>
        <v>523572.426125801</v>
      </c>
      <c r="AC135" s="70" t="n">
        <f aca="false">AB135-Y135</f>
        <v>523572.426125801</v>
      </c>
      <c r="AD135" s="70" t="n">
        <f aca="false">AC135+Z135-AA135+X135</f>
        <v>208226.221079692</v>
      </c>
      <c r="AE135" s="13" t="n">
        <f aca="false">(W135-Z135+AA135)/(B135+C135+D135)/'Prices&amp;Fuel'!H135</f>
        <v>0.0898623640678902</v>
      </c>
      <c r="AF135" s="1" t="n">
        <v>200000</v>
      </c>
      <c r="AG135" s="7" t="n">
        <f aca="false">((((I135*'Prices&amp;Fuel'!B135+'Prices&amp;Fuel'!C135*FPL!J135+FPL!K135*'Prices&amp;Fuel'!D135))+(L135*'Prices&amp;Fuel'!B135+'Prices&amp;Fuel'!C135*FPL!M135))*'Prices&amp;Fuel'!H135)+(I135+J135+K135)*'Prices&amp;Fuel'!H135*FPL!T135+Q135/2</f>
        <v>14706635.0802629</v>
      </c>
      <c r="AH135" s="7" t="n">
        <f aca="false">(N135*'Prices&amp;Fuel'!B135+'Prices&amp;Fuel'!C135*O135+P135*'Prices&amp;Fuel'!D135)*'Prices&amp;Fuel'!H135+(N135+O135+P135)*'Prices&amp;Fuel'!H135*FPL!T135+Q135/2</f>
        <v>14706853.550416</v>
      </c>
      <c r="AI135" s="7" t="n">
        <f aca="false">R135*'Prices&amp;Fuel'!H135*'Prices&amp;Fuel'!Q135</f>
        <v>0</v>
      </c>
      <c r="AJ135" s="55" t="n">
        <f aca="false">SUM(AG135:AI135)-'Long Term Deals'!AZ135</f>
        <v>0</v>
      </c>
    </row>
    <row r="136" customFormat="false" ht="11.25" hidden="false" customHeight="false" outlineLevel="0" collapsed="false">
      <c r="A136" s="6" t="n">
        <f aca="false">+A135+365/12</f>
        <v>39733.5833333333</v>
      </c>
      <c r="B136" s="7" t="n">
        <f aca="false">'Long Term Deals'!AF136</f>
        <v>58611.8251928021</v>
      </c>
      <c r="C136" s="7" t="n">
        <f aca="false">'Long Term Deals'!AG136</f>
        <v>0</v>
      </c>
      <c r="D136" s="7" t="n">
        <f aca="false">'Long Term Deals'!AH136</f>
        <v>77120.822622108</v>
      </c>
      <c r="E136" s="7" t="n">
        <f aca="false">'Long Term Deals'!AI136</f>
        <v>0</v>
      </c>
      <c r="F136" s="7" t="n">
        <f aca="false">'Long Term Deals'!AJ136</f>
        <v>0</v>
      </c>
      <c r="G136" s="7" t="n">
        <f aca="false">'Long Term Deals'!AK136</f>
        <v>0</v>
      </c>
      <c r="H136" s="7" t="n">
        <f aca="false">'Long Term Deals'!AL136</f>
        <v>0</v>
      </c>
      <c r="I136" s="7" t="n">
        <f aca="false">'Long Term Deals'!AM136</f>
        <v>29306</v>
      </c>
      <c r="J136" s="7" t="n">
        <f aca="false">'Long Term Deals'!AN136</f>
        <v>0</v>
      </c>
      <c r="K136" s="7" t="n">
        <f aca="false">'Long Term Deals'!AO136</f>
        <v>38560</v>
      </c>
      <c r="L136" s="7" t="n">
        <f aca="false">'Long Term Deals'!AP136</f>
        <v>0</v>
      </c>
      <c r="M136" s="7" t="n">
        <f aca="false">'Long Term Deals'!AQ136</f>
        <v>0</v>
      </c>
      <c r="N136" s="7" t="n">
        <f aca="false">'Long Term Deals'!AR136</f>
        <v>29305.8251928021</v>
      </c>
      <c r="O136" s="7" t="n">
        <f aca="false">'Long Term Deals'!AS136</f>
        <v>0</v>
      </c>
      <c r="P136" s="7" t="n">
        <f aca="false">'Long Term Deals'!AT136</f>
        <v>38560.822622108</v>
      </c>
      <c r="Q136" s="7" t="n">
        <f aca="false">'Long Term Deals'!AU136</f>
        <v>0</v>
      </c>
      <c r="R136" s="7" t="n">
        <f aca="false">'Long Term Deals'!AV136</f>
        <v>0</v>
      </c>
      <c r="S136" s="68" t="n">
        <f aca="false">'Long Term Deals'!AW136</f>
        <v>0.03</v>
      </c>
      <c r="T136" s="68" t="n">
        <f aca="false">'Long Term Deals'!AX136</f>
        <v>0.015</v>
      </c>
      <c r="U136" s="7" t="n">
        <f aca="false">'Long Term Deals'!AY136</f>
        <v>23288049.1281346</v>
      </c>
      <c r="V136" s="7" t="n">
        <f aca="false">'Long Term Deals'!AZ136</f>
        <v>23105396.1718364</v>
      </c>
      <c r="W136" s="5" t="n">
        <f aca="false">U136-V136</f>
        <v>182652.956298202</v>
      </c>
      <c r="X136" s="5" t="n">
        <f aca="false">'Long Term Deals'!CA136</f>
        <v>21038.5604113111</v>
      </c>
      <c r="Z136" s="7" t="n">
        <f aca="false">[2]Sheet1!$O155</f>
        <v>-267652.691520663</v>
      </c>
      <c r="AA136" s="7" t="n">
        <f aca="false">'[3]Long Term Deals'!$Z135</f>
        <v>-31548.0192679062</v>
      </c>
      <c r="AB136" s="70" t="n">
        <f aca="false">-Z136+AA136+Y136+W136-X136</f>
        <v>397719.068139648</v>
      </c>
      <c r="AC136" s="70" t="n">
        <f aca="false">AB136-Y136</f>
        <v>397719.068139648</v>
      </c>
      <c r="AD136" s="70" t="n">
        <f aca="false">AC136+Z136-AA136+X136</f>
        <v>182652.956298202</v>
      </c>
      <c r="AE136" s="13" t="n">
        <f aca="false">(W136-Z136+AA136)/(B136+C136+D136)/'Prices&amp;Fuel'!H136</f>
        <v>0.0995214549769814</v>
      </c>
      <c r="AF136" s="1" t="n">
        <v>132000</v>
      </c>
      <c r="AG136" s="7" t="n">
        <f aca="false">((((I136*'Prices&amp;Fuel'!B136+'Prices&amp;Fuel'!C136*FPL!J136+FPL!K136*'Prices&amp;Fuel'!D136))+(L136*'Prices&amp;Fuel'!B136+'Prices&amp;Fuel'!C136*FPL!M136))*'Prices&amp;Fuel'!H136)+(I136+J136+K136)*'Prices&amp;Fuel'!H136*FPL!T136+Q136/2</f>
        <v>11552642.8775864</v>
      </c>
      <c r="AH136" s="7" t="n">
        <f aca="false">(N136*'Prices&amp;Fuel'!B136+'Prices&amp;Fuel'!C136*O136+P136*'Prices&amp;Fuel'!D136)*'Prices&amp;Fuel'!H136+(N136+O136+P136)*'Prices&amp;Fuel'!H136*FPL!T136+Q136/2</f>
        <v>11552753.29425</v>
      </c>
      <c r="AI136" s="7" t="n">
        <f aca="false">R136*'Prices&amp;Fuel'!H136*'Prices&amp;Fuel'!Q136</f>
        <v>0</v>
      </c>
      <c r="AJ136" s="55" t="n">
        <f aca="false">SUM(AG136:AI136)-'Long Term Deals'!AZ136</f>
        <v>0</v>
      </c>
    </row>
    <row r="137" customFormat="false" ht="11.25" hidden="false" customHeight="false" outlineLevel="0" collapsed="false">
      <c r="A137" s="6" t="n">
        <f aca="false">+A136+365/12</f>
        <v>39764</v>
      </c>
      <c r="B137" s="7" t="n">
        <f aca="false">'Long Term Deals'!AF137</f>
        <v>58611.8251928021</v>
      </c>
      <c r="C137" s="7" t="n">
        <f aca="false">'Long Term Deals'!AG137</f>
        <v>0</v>
      </c>
      <c r="D137" s="7" t="n">
        <f aca="false">'Long Term Deals'!AH137</f>
        <v>77120.822622108</v>
      </c>
      <c r="E137" s="7" t="n">
        <f aca="false">'Long Term Deals'!AI137</f>
        <v>0</v>
      </c>
      <c r="F137" s="7" t="n">
        <f aca="false">'Long Term Deals'!AJ137</f>
        <v>0</v>
      </c>
      <c r="G137" s="7" t="n">
        <f aca="false">'Long Term Deals'!AK137</f>
        <v>0</v>
      </c>
      <c r="H137" s="7" t="n">
        <f aca="false">'Long Term Deals'!AL137</f>
        <v>0</v>
      </c>
      <c r="I137" s="7" t="n">
        <f aca="false">'Long Term Deals'!AM137</f>
        <v>29306</v>
      </c>
      <c r="J137" s="7" t="n">
        <f aca="false">'Long Term Deals'!AN137</f>
        <v>0</v>
      </c>
      <c r="K137" s="7" t="n">
        <f aca="false">'Long Term Deals'!AO137</f>
        <v>38560</v>
      </c>
      <c r="L137" s="7" t="n">
        <f aca="false">'Long Term Deals'!AP137</f>
        <v>0</v>
      </c>
      <c r="M137" s="7" t="n">
        <f aca="false">'Long Term Deals'!AQ137</f>
        <v>0</v>
      </c>
      <c r="N137" s="7" t="n">
        <f aca="false">'Long Term Deals'!AR137</f>
        <v>29305.8251928021</v>
      </c>
      <c r="O137" s="7" t="n">
        <f aca="false">'Long Term Deals'!AS137</f>
        <v>0</v>
      </c>
      <c r="P137" s="7" t="n">
        <f aca="false">'Long Term Deals'!AT137</f>
        <v>38560.822622108</v>
      </c>
      <c r="Q137" s="7" t="n">
        <f aca="false">'Long Term Deals'!AU137</f>
        <v>0</v>
      </c>
      <c r="R137" s="7" t="n">
        <f aca="false">'Long Term Deals'!AV137</f>
        <v>0</v>
      </c>
      <c r="S137" s="68" t="n">
        <f aca="false">'Long Term Deals'!AW137</f>
        <v>0.03</v>
      </c>
      <c r="T137" s="68" t="n">
        <f aca="false">'Long Term Deals'!AX137</f>
        <v>0.015</v>
      </c>
      <c r="U137" s="7" t="n">
        <f aca="false">'Long Term Deals'!AY137</f>
        <v>15058917.1119818</v>
      </c>
      <c r="V137" s="7" t="n">
        <f aca="false">'Long Term Deals'!AZ137</f>
        <v>14882156.1865319</v>
      </c>
      <c r="W137" s="5" t="n">
        <f aca="false">U137-V137</f>
        <v>176760.925449871</v>
      </c>
      <c r="X137" s="5" t="n">
        <f aca="false">'Long Term Deals'!CA137</f>
        <v>20359.8971722365</v>
      </c>
      <c r="Z137" s="7" t="n">
        <f aca="false">[2]Sheet1!$O156</f>
        <v>-259018.733729674</v>
      </c>
      <c r="AA137" s="7" t="n">
        <f aca="false">'[3]Long Term Deals'!$Z136</f>
        <v>-30530.341227006</v>
      </c>
      <c r="AB137" s="70" t="n">
        <f aca="false">-Z137+AA137+Y137+W137-X137</f>
        <v>384889.420780302</v>
      </c>
      <c r="AC137" s="70" t="n">
        <f aca="false">AB137-Y137</f>
        <v>384889.420780302</v>
      </c>
      <c r="AD137" s="70" t="n">
        <f aca="false">AC137+Z137-AA137+X137</f>
        <v>176760.925449871</v>
      </c>
      <c r="AE137" s="13" t="n">
        <f aca="false">(W137-Z137+AA137)/(B137+C137+D137)/'Prices&amp;Fuel'!H137</f>
        <v>0.0995214549769807</v>
      </c>
      <c r="AF137" s="1" t="n">
        <v>132000</v>
      </c>
      <c r="AG137" s="7" t="n">
        <f aca="false">((((I137*'Prices&amp;Fuel'!B137+'Prices&amp;Fuel'!C137*FPL!J137+FPL!K137*'Prices&amp;Fuel'!D137))+(L137*'Prices&amp;Fuel'!B137+'Prices&amp;Fuel'!C137*FPL!M137))*'Prices&amp;Fuel'!H137)+(I137+J137+K137)*'Prices&amp;Fuel'!H137*FPL!T137+Q137/2</f>
        <v>7441042.51084777</v>
      </c>
      <c r="AH137" s="7" t="n">
        <f aca="false">(N137*'Prices&amp;Fuel'!B137+'Prices&amp;Fuel'!C137*O137+P137*'Prices&amp;Fuel'!D137)*'Prices&amp;Fuel'!H137+(N137+O137+P137)*'Prices&amp;Fuel'!H137*FPL!T137+Q137/2</f>
        <v>7441113.67568412</v>
      </c>
      <c r="AI137" s="7" t="n">
        <f aca="false">R137*'Prices&amp;Fuel'!H137*'Prices&amp;Fuel'!Q137</f>
        <v>0</v>
      </c>
      <c r="AJ137" s="55" t="n">
        <f aca="false">SUM(AG137:AI137)-'Long Term Deals'!AZ137</f>
        <v>0</v>
      </c>
    </row>
    <row r="138" customFormat="false" ht="11.25" hidden="false" customHeight="false" outlineLevel="0" collapsed="false">
      <c r="A138" s="6" t="n">
        <f aca="false">+A137+365/12</f>
        <v>39794.4166666667</v>
      </c>
      <c r="B138" s="7" t="n">
        <f aca="false">'Long Term Deals'!AF138</f>
        <v>58611.8251928021</v>
      </c>
      <c r="C138" s="7" t="n">
        <f aca="false">'Long Term Deals'!AG138</f>
        <v>0</v>
      </c>
      <c r="D138" s="7" t="n">
        <f aca="false">'Long Term Deals'!AH138</f>
        <v>77120.822622108</v>
      </c>
      <c r="E138" s="7" t="n">
        <f aca="false">'Long Term Deals'!AI138</f>
        <v>0</v>
      </c>
      <c r="F138" s="7" t="n">
        <f aca="false">'Long Term Deals'!AJ138</f>
        <v>0</v>
      </c>
      <c r="G138" s="7" t="n">
        <f aca="false">'Long Term Deals'!AK138</f>
        <v>0</v>
      </c>
      <c r="H138" s="7" t="n">
        <f aca="false">'Long Term Deals'!AL138</f>
        <v>0</v>
      </c>
      <c r="I138" s="7" t="n">
        <f aca="false">'Long Term Deals'!AM138</f>
        <v>29306</v>
      </c>
      <c r="J138" s="7" t="n">
        <f aca="false">'Long Term Deals'!AN138</f>
        <v>0</v>
      </c>
      <c r="K138" s="7" t="n">
        <f aca="false">'Long Term Deals'!AO138</f>
        <v>38560</v>
      </c>
      <c r="L138" s="7" t="n">
        <f aca="false">'Long Term Deals'!AP138</f>
        <v>0</v>
      </c>
      <c r="M138" s="7" t="n">
        <f aca="false">'Long Term Deals'!AQ138</f>
        <v>0</v>
      </c>
      <c r="N138" s="7" t="n">
        <f aca="false">'Long Term Deals'!AR138</f>
        <v>29305.8251928021</v>
      </c>
      <c r="O138" s="7" t="n">
        <f aca="false">'Long Term Deals'!AS138</f>
        <v>0</v>
      </c>
      <c r="P138" s="7" t="n">
        <f aca="false">'Long Term Deals'!AT138</f>
        <v>38560.822622108</v>
      </c>
      <c r="Q138" s="7" t="n">
        <f aca="false">'Long Term Deals'!AU138</f>
        <v>0</v>
      </c>
      <c r="R138" s="7" t="n">
        <f aca="false">'Long Term Deals'!AV138</f>
        <v>0</v>
      </c>
      <c r="S138" s="68" t="n">
        <f aca="false">'Long Term Deals'!AW138</f>
        <v>0.03</v>
      </c>
      <c r="T138" s="68" t="n">
        <f aca="false">'Long Term Deals'!AX138</f>
        <v>0.015</v>
      </c>
      <c r="U138" s="7" t="n">
        <f aca="false">'Long Term Deals'!AY138</f>
        <v>11630298.3920557</v>
      </c>
      <c r="V138" s="7" t="n">
        <f aca="false">'Long Term Deals'!AZ138</f>
        <v>11447645.4357575</v>
      </c>
      <c r="W138" s="5" t="n">
        <f aca="false">U138-V138</f>
        <v>182652.956298199</v>
      </c>
      <c r="X138" s="5" t="n">
        <f aca="false">'Long Term Deals'!CA138</f>
        <v>21038.5604113111</v>
      </c>
      <c r="Z138" s="7" t="n">
        <f aca="false">[2]Sheet1!$O157</f>
        <v>-267652.691520663</v>
      </c>
      <c r="AA138" s="7" t="n">
        <f aca="false">'[3]Long Term Deals'!$Z137</f>
        <v>-31548.0192679062</v>
      </c>
      <c r="AB138" s="70" t="n">
        <f aca="false">-Z138+AA138+Y138+W138-X138</f>
        <v>397719.068139645</v>
      </c>
      <c r="AC138" s="70" t="n">
        <f aca="false">AB138-Y138</f>
        <v>397719.068139645</v>
      </c>
      <c r="AD138" s="70" t="n">
        <f aca="false">AC138+Z138-AA138+X138</f>
        <v>182652.956298199</v>
      </c>
      <c r="AE138" s="13" t="n">
        <f aca="false">(W138-Z138+AA138)/(B138+C138+D138)/'Prices&amp;Fuel'!H138</f>
        <v>0.0995214549769805</v>
      </c>
      <c r="AF138" s="1" t="n">
        <v>132000</v>
      </c>
      <c r="AG138" s="7" t="n">
        <f aca="false">((((I138*'Prices&amp;Fuel'!B138+'Prices&amp;Fuel'!C138*FPL!J138+FPL!K138*'Prices&amp;Fuel'!D138))+(L138*'Prices&amp;Fuel'!B138+'Prices&amp;Fuel'!C138*FPL!M138))*'Prices&amp;Fuel'!H138)+(I138+J138+K138)*'Prices&amp;Fuel'!H138*FPL!T138+Q138/2</f>
        <v>5723795.32917941</v>
      </c>
      <c r="AH138" s="7" t="n">
        <f aca="false">(N138*'Prices&amp;Fuel'!B138+'Prices&amp;Fuel'!C138*O138+P138*'Prices&amp;Fuel'!D138)*'Prices&amp;Fuel'!H138+(N138+O138+P138)*'Prices&amp;Fuel'!H138*FPL!T138+Q138/2</f>
        <v>5723850.10657808</v>
      </c>
      <c r="AI138" s="7" t="n">
        <f aca="false">R138*'Prices&amp;Fuel'!H138*'Prices&amp;Fuel'!Q138</f>
        <v>0</v>
      </c>
      <c r="AJ138" s="55" t="n">
        <f aca="false">SUM(AG138:AI138)-'Long Term Deals'!AZ138</f>
        <v>0</v>
      </c>
    </row>
    <row r="139" customFormat="false" ht="11.25" hidden="false" customHeight="false" outlineLevel="0" collapsed="false">
      <c r="A139" s="6" t="n">
        <f aca="false">+A138+365/12</f>
        <v>39824.8333333333</v>
      </c>
      <c r="B139" s="7" t="n">
        <f aca="false">'Long Term Deals'!AF139</f>
        <v>58611.8251928021</v>
      </c>
      <c r="C139" s="7" t="n">
        <f aca="false">'Long Term Deals'!AG139</f>
        <v>0</v>
      </c>
      <c r="D139" s="7" t="n">
        <f aca="false">'Long Term Deals'!AH139</f>
        <v>77120.822622108</v>
      </c>
      <c r="E139" s="7" t="n">
        <f aca="false">'Long Term Deals'!AI139</f>
        <v>0</v>
      </c>
      <c r="F139" s="7" t="n">
        <f aca="false">'Long Term Deals'!AJ139</f>
        <v>0</v>
      </c>
      <c r="G139" s="7" t="n">
        <f aca="false">'Long Term Deals'!AK139</f>
        <v>0</v>
      </c>
      <c r="H139" s="7" t="n">
        <f aca="false">'Long Term Deals'!AL139</f>
        <v>0</v>
      </c>
      <c r="I139" s="7" t="n">
        <f aca="false">'Long Term Deals'!AM139</f>
        <v>29306</v>
      </c>
      <c r="J139" s="7" t="n">
        <f aca="false">'Long Term Deals'!AN139</f>
        <v>0</v>
      </c>
      <c r="K139" s="7" t="n">
        <f aca="false">'Long Term Deals'!AO139</f>
        <v>38560</v>
      </c>
      <c r="L139" s="7" t="n">
        <f aca="false">'Long Term Deals'!AP139</f>
        <v>0</v>
      </c>
      <c r="M139" s="7" t="n">
        <f aca="false">'Long Term Deals'!AQ139</f>
        <v>0</v>
      </c>
      <c r="N139" s="7" t="n">
        <f aca="false">'Long Term Deals'!AR139</f>
        <v>29305.8251928021</v>
      </c>
      <c r="O139" s="7" t="n">
        <f aca="false">'Long Term Deals'!AS139</f>
        <v>0</v>
      </c>
      <c r="P139" s="7" t="n">
        <f aca="false">'Long Term Deals'!AT139</f>
        <v>38560.822622108</v>
      </c>
      <c r="Q139" s="7" t="n">
        <f aca="false">'Long Term Deals'!AU139</f>
        <v>0</v>
      </c>
      <c r="R139" s="7" t="n">
        <f aca="false">'Long Term Deals'!AV139</f>
        <v>0</v>
      </c>
      <c r="S139" s="68" t="n">
        <f aca="false">'Long Term Deals'!AW139</f>
        <v>0.02</v>
      </c>
      <c r="T139" s="68" t="n">
        <f aca="false">'Long Term Deals'!AX139</f>
        <v>0.015</v>
      </c>
      <c r="U139" s="7" t="n">
        <f aca="false">'Long Term Deals'!AY139</f>
        <v>10215643.9527668</v>
      </c>
      <c r="V139" s="7" t="n">
        <f aca="false">'Long Term Deals'!AZ139</f>
        <v>10075068.1172912</v>
      </c>
      <c r="W139" s="5" t="n">
        <f aca="false">U139-V139</f>
        <v>140575.835475579</v>
      </c>
      <c r="X139" s="5" t="n">
        <f aca="false">'Long Term Deals'!CA139</f>
        <v>21038.5604113111</v>
      </c>
      <c r="Z139" s="7" t="n">
        <f aca="false">[2]Sheet1!$O159</f>
        <v>-309860.014883221</v>
      </c>
      <c r="AA139" s="7" t="n">
        <f aca="false">'[3]Long Term Deals'!$Z138</f>
        <v>-31548.0192679062</v>
      </c>
      <c r="AB139" s="70" t="n">
        <f aca="false">-Z139+AA139+Y139+W139-X139</f>
        <v>397849.270679583</v>
      </c>
      <c r="AC139" s="70" t="n">
        <f aca="false">AB139-Y139</f>
        <v>397849.270679583</v>
      </c>
      <c r="AD139" s="70" t="n">
        <f aca="false">AC139+Z139-AA139+X139</f>
        <v>140575.835475579</v>
      </c>
      <c r="AE139" s="13" t="n">
        <f aca="false">(W139-Z139+AA139)/(B139+C139+D139)/'Prices&amp;Fuel'!H139</f>
        <v>0.0995523987624375</v>
      </c>
      <c r="AF139" s="1" t="n">
        <v>132000</v>
      </c>
      <c r="AG139" s="7" t="n">
        <f aca="false">((((I139*'Prices&amp;Fuel'!B139+'Prices&amp;Fuel'!C139*FPL!J139+FPL!K139*'Prices&amp;Fuel'!D139))+(L139*'Prices&amp;Fuel'!B139+'Prices&amp;Fuel'!C139*FPL!M139))*'Prices&amp;Fuel'!H139)+(I139+J139+K139)*'Prices&amp;Fuel'!H139*FPL!T139+Q139/2</f>
        <v>5037509.94541486</v>
      </c>
      <c r="AH139" s="7" t="n">
        <f aca="false">(N139*'Prices&amp;Fuel'!B139+'Prices&amp;Fuel'!C139*O139+P139*'Prices&amp;Fuel'!D139)*'Prices&amp;Fuel'!H139+(N139+O139+P139)*'Prices&amp;Fuel'!H139*FPL!T139+Q139/2</f>
        <v>5037558.17187633</v>
      </c>
      <c r="AI139" s="7" t="n">
        <f aca="false">R139*'Prices&amp;Fuel'!H139*'Prices&amp;Fuel'!Q139</f>
        <v>0</v>
      </c>
      <c r="AJ139" s="55" t="n">
        <f aca="false">SUM(AG139:AI139)-'Long Term Deals'!AZ139</f>
        <v>0</v>
      </c>
    </row>
    <row r="140" customFormat="false" ht="11.25" hidden="false" customHeight="false" outlineLevel="0" collapsed="false">
      <c r="A140" s="6" t="n">
        <f aca="false">+A139+365/12</f>
        <v>39855.25</v>
      </c>
      <c r="B140" s="7" t="n">
        <f aca="false">'Long Term Deals'!AF140</f>
        <v>58611.8251928021</v>
      </c>
      <c r="C140" s="7" t="n">
        <f aca="false">'Long Term Deals'!AG140</f>
        <v>0</v>
      </c>
      <c r="D140" s="7" t="n">
        <f aca="false">'Long Term Deals'!AH140</f>
        <v>77120.822622108</v>
      </c>
      <c r="E140" s="7" t="n">
        <f aca="false">'Long Term Deals'!AI140</f>
        <v>0</v>
      </c>
      <c r="F140" s="7" t="n">
        <f aca="false">'Long Term Deals'!AJ140</f>
        <v>0</v>
      </c>
      <c r="G140" s="7" t="n">
        <f aca="false">'Long Term Deals'!AK140</f>
        <v>0</v>
      </c>
      <c r="H140" s="7" t="n">
        <f aca="false">'Long Term Deals'!AL140</f>
        <v>0</v>
      </c>
      <c r="I140" s="7" t="n">
        <f aca="false">'Long Term Deals'!AM140</f>
        <v>29306</v>
      </c>
      <c r="J140" s="7" t="n">
        <f aca="false">'Long Term Deals'!AN140</f>
        <v>0</v>
      </c>
      <c r="K140" s="7" t="n">
        <f aca="false">'Long Term Deals'!AO140</f>
        <v>38560</v>
      </c>
      <c r="L140" s="7" t="n">
        <f aca="false">'Long Term Deals'!AP140</f>
        <v>0</v>
      </c>
      <c r="M140" s="7" t="n">
        <f aca="false">'Long Term Deals'!AQ140</f>
        <v>0</v>
      </c>
      <c r="N140" s="7" t="n">
        <f aca="false">'Long Term Deals'!AR140</f>
        <v>29305.8251928021</v>
      </c>
      <c r="O140" s="7" t="n">
        <f aca="false">'Long Term Deals'!AS140</f>
        <v>0</v>
      </c>
      <c r="P140" s="7" t="n">
        <f aca="false">'Long Term Deals'!AT140</f>
        <v>38560.822622108</v>
      </c>
      <c r="Q140" s="7" t="n">
        <f aca="false">'Long Term Deals'!AU140</f>
        <v>0</v>
      </c>
      <c r="R140" s="7" t="n">
        <f aca="false">'Long Term Deals'!AV140</f>
        <v>0</v>
      </c>
      <c r="S140" s="68" t="n">
        <f aca="false">'Long Term Deals'!AW140</f>
        <v>0.02</v>
      </c>
      <c r="T140" s="68" t="n">
        <f aca="false">'Long Term Deals'!AX140</f>
        <v>0.015</v>
      </c>
      <c r="U140" s="7" t="n">
        <f aca="false">'Long Term Deals'!AY140</f>
        <v>10327192.9500507</v>
      </c>
      <c r="V140" s="7" t="n">
        <f aca="false">'Long Term Deals'!AZ140</f>
        <v>10200221.2276856</v>
      </c>
      <c r="W140" s="5" t="n">
        <f aca="false">U140-V140</f>
        <v>126971.72236504</v>
      </c>
      <c r="X140" s="5" t="n">
        <f aca="false">'Long Term Deals'!CA140</f>
        <v>19002.5706940874</v>
      </c>
      <c r="Z140" s="7" t="n">
        <f aca="false">[2]Sheet1!$O160</f>
        <v>-279873.561830006</v>
      </c>
      <c r="AA140" s="7" t="n">
        <f aca="false">'[3]Long Term Deals'!$Z139</f>
        <v>-28494.9851452056</v>
      </c>
      <c r="AB140" s="70" t="n">
        <f aca="false">-Z140+AA140+Y140+W140-X140</f>
        <v>359347.728355754</v>
      </c>
      <c r="AC140" s="70" t="n">
        <f aca="false">AB140-Y140</f>
        <v>359347.728355754</v>
      </c>
      <c r="AD140" s="70" t="n">
        <f aca="false">AC140+Z140-AA140+X140</f>
        <v>126971.72236504</v>
      </c>
      <c r="AE140" s="13" t="n">
        <f aca="false">(W140-Z140+AA140)/(B140+C140+D140)/'Prices&amp;Fuel'!H140</f>
        <v>0.0995523987624378</v>
      </c>
      <c r="AF140" s="1" t="n">
        <v>132000</v>
      </c>
      <c r="AG140" s="7" t="n">
        <f aca="false">((((I140*'Prices&amp;Fuel'!B140+'Prices&amp;Fuel'!C140*FPL!J140+FPL!K140*'Prices&amp;Fuel'!D140))+(L140*'Prices&amp;Fuel'!B140+'Prices&amp;Fuel'!C140*FPL!M140))*'Prices&amp;Fuel'!H140)+(I140+J140+K140)*'Prices&amp;Fuel'!H140*FPL!T140+Q140/2</f>
        <v>5100086.20876943</v>
      </c>
      <c r="AH140" s="7" t="n">
        <f aca="false">(N140*'Prices&amp;Fuel'!B140+'Prices&amp;Fuel'!C140*O140+P140*'Prices&amp;Fuel'!D140)*'Prices&amp;Fuel'!H140+(N140+O140+P140)*'Prices&amp;Fuel'!H140*FPL!T140+Q140/2</f>
        <v>5100135.0189162</v>
      </c>
      <c r="AI140" s="7" t="n">
        <f aca="false">R140*'Prices&amp;Fuel'!H140*'Prices&amp;Fuel'!Q140</f>
        <v>0</v>
      </c>
      <c r="AJ140" s="55" t="n">
        <f aca="false">SUM(AG140:AI140)-'Long Term Deals'!AZ140</f>
        <v>0</v>
      </c>
    </row>
    <row r="141" customFormat="false" ht="11.25" hidden="false" customHeight="false" outlineLevel="0" collapsed="false">
      <c r="A141" s="6" t="n">
        <f aca="false">+A140+365/12</f>
        <v>39885.6666666667</v>
      </c>
      <c r="B141" s="7" t="n">
        <f aca="false">'Long Term Deals'!AF141</f>
        <v>58611.8251928021</v>
      </c>
      <c r="C141" s="7" t="n">
        <f aca="false">'Long Term Deals'!AG141</f>
        <v>0</v>
      </c>
      <c r="D141" s="7" t="n">
        <f aca="false">'Long Term Deals'!AH141</f>
        <v>77120.822622108</v>
      </c>
      <c r="E141" s="7" t="n">
        <f aca="false">'Long Term Deals'!AI141</f>
        <v>0</v>
      </c>
      <c r="F141" s="7" t="n">
        <f aca="false">'Long Term Deals'!AJ141</f>
        <v>0</v>
      </c>
      <c r="G141" s="7" t="n">
        <f aca="false">'Long Term Deals'!AK141</f>
        <v>0</v>
      </c>
      <c r="H141" s="7" t="n">
        <f aca="false">'Long Term Deals'!AL141</f>
        <v>0</v>
      </c>
      <c r="I141" s="7" t="n">
        <f aca="false">'Long Term Deals'!AM141</f>
        <v>29306</v>
      </c>
      <c r="J141" s="7" t="n">
        <f aca="false">'Long Term Deals'!AN141</f>
        <v>0</v>
      </c>
      <c r="K141" s="7" t="n">
        <f aca="false">'Long Term Deals'!AO141</f>
        <v>38560</v>
      </c>
      <c r="L141" s="7" t="n">
        <f aca="false">'Long Term Deals'!AP141</f>
        <v>0</v>
      </c>
      <c r="M141" s="7" t="n">
        <f aca="false">'Long Term Deals'!AQ141</f>
        <v>0</v>
      </c>
      <c r="N141" s="7" t="n">
        <f aca="false">'Long Term Deals'!AR141</f>
        <v>29305.8251928021</v>
      </c>
      <c r="O141" s="7" t="n">
        <f aca="false">'Long Term Deals'!AS141</f>
        <v>0</v>
      </c>
      <c r="P141" s="7" t="n">
        <f aca="false">'Long Term Deals'!AT141</f>
        <v>38560.822622108</v>
      </c>
      <c r="Q141" s="7" t="n">
        <f aca="false">'Long Term Deals'!AU141</f>
        <v>0</v>
      </c>
      <c r="R141" s="7" t="n">
        <f aca="false">'Long Term Deals'!AV141</f>
        <v>0</v>
      </c>
      <c r="S141" s="68" t="n">
        <f aca="false">'Long Term Deals'!AW141</f>
        <v>0.02</v>
      </c>
      <c r="T141" s="68" t="n">
        <f aca="false">'Long Term Deals'!AX141</f>
        <v>0.015</v>
      </c>
      <c r="U141" s="7" t="n">
        <f aca="false">'Long Term Deals'!AY141</f>
        <v>11433677.9089847</v>
      </c>
      <c r="V141" s="7" t="n">
        <f aca="false">'Long Term Deals'!AZ141</f>
        <v>11293102.0735091</v>
      </c>
      <c r="W141" s="5" t="n">
        <f aca="false">U141-V141</f>
        <v>140575.835475575</v>
      </c>
      <c r="X141" s="5" t="n">
        <f aca="false">'Long Term Deals'!CA141</f>
        <v>21038.5604113111</v>
      </c>
      <c r="Z141" s="7" t="n">
        <f aca="false">[2]Sheet1!$O161</f>
        <v>-309860.014883221</v>
      </c>
      <c r="AA141" s="7" t="n">
        <f aca="false">'[3]Long Term Deals'!$Z140</f>
        <v>-31548.0192679062</v>
      </c>
      <c r="AB141" s="70" t="n">
        <f aca="false">-Z141+AA141+Y141+W141-X141</f>
        <v>397849.270679579</v>
      </c>
      <c r="AC141" s="70" t="n">
        <f aca="false">AB141-Y141</f>
        <v>397849.270679579</v>
      </c>
      <c r="AD141" s="70" t="n">
        <f aca="false">AC141+Z141-AA141+X141</f>
        <v>140575.835475575</v>
      </c>
      <c r="AE141" s="13" t="n">
        <f aca="false">(W141-Z141+AA141)/(B141+C141+D141)/'Prices&amp;Fuel'!H141</f>
        <v>0.0995523987624366</v>
      </c>
      <c r="AF141" s="1" t="n">
        <v>132000</v>
      </c>
      <c r="AG141" s="7" t="n">
        <f aca="false">((((I141*'Prices&amp;Fuel'!B141+'Prices&amp;Fuel'!C141*FPL!J141+FPL!K141*'Prices&amp;Fuel'!D141))+(L141*'Prices&amp;Fuel'!B141+'Prices&amp;Fuel'!C141*FPL!M141))*'Prices&amp;Fuel'!H141)+(I141+J141+K141)*'Prices&amp;Fuel'!H141*FPL!T141+Q141/2</f>
        <v>5646524.01685187</v>
      </c>
      <c r="AH141" s="7" t="n">
        <f aca="false">(N141*'Prices&amp;Fuel'!B141+'Prices&amp;Fuel'!C141*O141+P141*'Prices&amp;Fuel'!D141)*'Prices&amp;Fuel'!H141+(N141+O141+P141)*'Prices&amp;Fuel'!H141*FPL!T141+Q141/2</f>
        <v>5646578.05665722</v>
      </c>
      <c r="AI141" s="7" t="n">
        <f aca="false">R141*'Prices&amp;Fuel'!H141*'Prices&amp;Fuel'!Q141</f>
        <v>0</v>
      </c>
      <c r="AJ141" s="55" t="n">
        <f aca="false">SUM(AG141:AI141)-'Long Term Deals'!AZ141</f>
        <v>0</v>
      </c>
    </row>
    <row r="142" customFormat="false" ht="11.25" hidden="false" customHeight="false" outlineLevel="0" collapsed="false">
      <c r="A142" s="6" t="n">
        <f aca="false">+A141+365/12</f>
        <v>39916.0833333333</v>
      </c>
      <c r="B142" s="7" t="n">
        <f aca="false">'Long Term Deals'!AF142</f>
        <v>58611.8251928021</v>
      </c>
      <c r="C142" s="7" t="n">
        <f aca="false">'Long Term Deals'!AG142</f>
        <v>0</v>
      </c>
      <c r="D142" s="7" t="n">
        <f aca="false">'Long Term Deals'!AH142</f>
        <v>77120.822622108</v>
      </c>
      <c r="E142" s="7" t="n">
        <f aca="false">'Long Term Deals'!AI142</f>
        <v>0</v>
      </c>
      <c r="F142" s="7" t="n">
        <f aca="false">'Long Term Deals'!AJ142</f>
        <v>0</v>
      </c>
      <c r="G142" s="7" t="n">
        <f aca="false">'Long Term Deals'!AK142</f>
        <v>0</v>
      </c>
      <c r="H142" s="7" t="n">
        <f aca="false">'Long Term Deals'!AL142</f>
        <v>0</v>
      </c>
      <c r="I142" s="7" t="n">
        <f aca="false">'Long Term Deals'!AM142</f>
        <v>29306</v>
      </c>
      <c r="J142" s="7" t="n">
        <f aca="false">'Long Term Deals'!AN142</f>
        <v>0</v>
      </c>
      <c r="K142" s="7" t="n">
        <f aca="false">'Long Term Deals'!AO142</f>
        <v>38560</v>
      </c>
      <c r="L142" s="7" t="n">
        <f aca="false">'Long Term Deals'!AP142</f>
        <v>0</v>
      </c>
      <c r="M142" s="7" t="n">
        <f aca="false">'Long Term Deals'!AQ142</f>
        <v>0</v>
      </c>
      <c r="N142" s="7" t="n">
        <f aca="false">'Long Term Deals'!AR142</f>
        <v>29305.8251928021</v>
      </c>
      <c r="O142" s="7" t="n">
        <f aca="false">'Long Term Deals'!AS142</f>
        <v>0</v>
      </c>
      <c r="P142" s="7" t="n">
        <f aca="false">'Long Term Deals'!AT142</f>
        <v>38560.822622108</v>
      </c>
      <c r="Q142" s="7" t="n">
        <f aca="false">'Long Term Deals'!AU142</f>
        <v>0</v>
      </c>
      <c r="R142" s="7" t="n">
        <f aca="false">'Long Term Deals'!AV142</f>
        <v>0</v>
      </c>
      <c r="S142" s="68" t="n">
        <f aca="false">'Long Term Deals'!AW142</f>
        <v>0.02</v>
      </c>
      <c r="T142" s="68" t="n">
        <f aca="false">'Long Term Deals'!AX142</f>
        <v>0.015</v>
      </c>
      <c r="U142" s="7" t="n">
        <f aca="false">'Long Term Deals'!AY142</f>
        <v>12243592.1276154</v>
      </c>
      <c r="V142" s="7" t="n">
        <f aca="false">'Long Term Deals'!AZ142</f>
        <v>12107550.99651</v>
      </c>
      <c r="W142" s="5" t="n">
        <f aca="false">U142-V142</f>
        <v>136041.131105397</v>
      </c>
      <c r="X142" s="5" t="n">
        <f aca="false">'Long Term Deals'!CA142</f>
        <v>20359.8971722365</v>
      </c>
      <c r="Z142" s="7" t="n">
        <f aca="false">[2]Sheet1!$O162</f>
        <v>-299864.53053215</v>
      </c>
      <c r="AA142" s="7" t="n">
        <f aca="false">'[3]Long Term Deals'!$Z141</f>
        <v>-30530.341227006</v>
      </c>
      <c r="AB142" s="70" t="n">
        <f aca="false">-Z142+AA142+Y142+W142-X142</f>
        <v>385015.423238304</v>
      </c>
      <c r="AC142" s="70" t="n">
        <f aca="false">AB142-Y142</f>
        <v>385015.423238304</v>
      </c>
      <c r="AD142" s="70" t="n">
        <f aca="false">AC142+Z142-AA142+X142</f>
        <v>136041.131105397</v>
      </c>
      <c r="AE142" s="13" t="n">
        <f aca="false">(W142-Z142+AA142)/(B142+C142+D142)/'Prices&amp;Fuel'!H142</f>
        <v>0.099552398762437</v>
      </c>
      <c r="AF142" s="1" t="n">
        <v>132000</v>
      </c>
      <c r="AG142" s="7" t="n">
        <f aca="false">((((I142*'Prices&amp;Fuel'!B142+'Prices&amp;Fuel'!C142*FPL!J142+FPL!K142*'Prices&amp;Fuel'!D142))+(L142*'Prices&amp;Fuel'!B142+'Prices&amp;Fuel'!C142*FPL!M142))*'Prices&amp;Fuel'!H142)+(I142+J142+K142)*'Prices&amp;Fuel'!H142*FPL!T142+Q142/2</f>
        <v>6053746.53705376</v>
      </c>
      <c r="AH142" s="7" t="n">
        <f aca="false">(N142*'Prices&amp;Fuel'!B142+'Prices&amp;Fuel'!C142*O142+P142*'Prices&amp;Fuel'!D142)*'Prices&amp;Fuel'!H142+(N142+O142+P142)*'Prices&amp;Fuel'!H142*FPL!T142+Q142/2</f>
        <v>6053804.45945624</v>
      </c>
      <c r="AI142" s="7" t="n">
        <f aca="false">R142*'Prices&amp;Fuel'!H142*'Prices&amp;Fuel'!Q142</f>
        <v>0</v>
      </c>
      <c r="AJ142" s="55" t="n">
        <f aca="false">SUM(AG142:AI142)-'Long Term Deals'!AZ142</f>
        <v>0</v>
      </c>
    </row>
    <row r="143" customFormat="false" ht="11.25" hidden="false" customHeight="false" outlineLevel="0" collapsed="false">
      <c r="A143" s="6" t="n">
        <f aca="false">+A142+365/12</f>
        <v>39946.5</v>
      </c>
      <c r="B143" s="7" t="n">
        <f aca="false">'Long Term Deals'!AF143</f>
        <v>128534.70437018</v>
      </c>
      <c r="C143" s="7" t="n">
        <f aca="false">'Long Term Deals'!AG143</f>
        <v>0</v>
      </c>
      <c r="D143" s="7" t="n">
        <f aca="false">'Long Term Deals'!AH143</f>
        <v>77120.822622108</v>
      </c>
      <c r="E143" s="7" t="n">
        <f aca="false">'Long Term Deals'!AI143</f>
        <v>0</v>
      </c>
      <c r="F143" s="7" t="n">
        <f aca="false">'Long Term Deals'!AJ143</f>
        <v>0</v>
      </c>
      <c r="G143" s="7" t="n">
        <f aca="false">'Long Term Deals'!AK143</f>
        <v>0</v>
      </c>
      <c r="H143" s="7" t="n">
        <f aca="false">'Long Term Deals'!AL143</f>
        <v>0</v>
      </c>
      <c r="I143" s="7" t="n">
        <f aca="false">'Long Term Deals'!AM143</f>
        <v>64267</v>
      </c>
      <c r="J143" s="7" t="n">
        <f aca="false">'Long Term Deals'!AN143</f>
        <v>0</v>
      </c>
      <c r="K143" s="7" t="n">
        <f aca="false">'Long Term Deals'!AO143</f>
        <v>38560</v>
      </c>
      <c r="L143" s="7" t="n">
        <f aca="false">'Long Term Deals'!AP143</f>
        <v>0</v>
      </c>
      <c r="M143" s="7" t="n">
        <f aca="false">'Long Term Deals'!AQ143</f>
        <v>0</v>
      </c>
      <c r="N143" s="7" t="n">
        <f aca="false">'Long Term Deals'!AR143</f>
        <v>64267.70437018</v>
      </c>
      <c r="O143" s="7" t="n">
        <f aca="false">'Long Term Deals'!AS143</f>
        <v>0</v>
      </c>
      <c r="P143" s="7" t="n">
        <f aca="false">'Long Term Deals'!AT143</f>
        <v>38560.822622108</v>
      </c>
      <c r="Q143" s="7" t="n">
        <f aca="false">'Long Term Deals'!AU143</f>
        <v>0</v>
      </c>
      <c r="R143" s="7" t="n">
        <f aca="false">'Long Term Deals'!AV143</f>
        <v>0</v>
      </c>
      <c r="S143" s="68" t="n">
        <f aca="false">'Long Term Deals'!AW143</f>
        <v>0.02</v>
      </c>
      <c r="T143" s="68" t="n">
        <f aca="false">'Long Term Deals'!AX143</f>
        <v>0.015</v>
      </c>
      <c r="U143" s="7" t="n">
        <f aca="false">'Long Term Deals'!AY143</f>
        <v>20394054.0351572</v>
      </c>
      <c r="V143" s="7" t="n">
        <f aca="false">'Long Term Deals'!AZ143</f>
        <v>20242640.1534091</v>
      </c>
      <c r="W143" s="5" t="n">
        <f aca="false">U143-V143</f>
        <v>151413.881748073</v>
      </c>
      <c r="X143" s="5" t="n">
        <f aca="false">'Long Term Deals'!CA143</f>
        <v>31876.6066838046</v>
      </c>
      <c r="Z143" s="7" t="n">
        <f aca="false">[2]Sheet1!$O163</f>
        <v>-469484.871035184</v>
      </c>
      <c r="AA143" s="7" t="n">
        <f aca="false">'[3]Long Term Deals'!$Z142</f>
        <v>-47800.0291937973</v>
      </c>
      <c r="AB143" s="70" t="n">
        <f aca="false">-Z143+AA143+Y143+W143-X143</f>
        <v>541222.116905654</v>
      </c>
      <c r="AC143" s="70" t="n">
        <f aca="false">AB143-Y143</f>
        <v>541222.116905654</v>
      </c>
      <c r="AD143" s="70" t="n">
        <f aca="false">AC143+Z143-AA143+X143</f>
        <v>151413.881748073</v>
      </c>
      <c r="AE143" s="13" t="n">
        <f aca="false">(W143-Z143+AA143)/(B143+C143+D143)/'Prices&amp;Fuel'!H143</f>
        <v>0.0898933078533466</v>
      </c>
      <c r="AF143" s="1" t="n">
        <v>200000</v>
      </c>
      <c r="AG143" s="7" t="n">
        <f aca="false">((((I143*'Prices&amp;Fuel'!B143+'Prices&amp;Fuel'!C143*FPL!J143+FPL!K143*'Prices&amp;Fuel'!D143))+(L143*'Prices&amp;Fuel'!B143+'Prices&amp;Fuel'!C143*FPL!M143))*'Prices&amp;Fuel'!H143)+(I143+J143+K143)*'Prices&amp;Fuel'!H143*FPL!T143+Q143/2</f>
        <v>10121244.887153</v>
      </c>
      <c r="AH143" s="7" t="n">
        <f aca="false">(N143*'Prices&amp;Fuel'!B143+'Prices&amp;Fuel'!C143*O143+P143*'Prices&amp;Fuel'!D143)*'Prices&amp;Fuel'!H143+(N143+O143+P143)*'Prices&amp;Fuel'!H143*FPL!T143+Q143/2</f>
        <v>10121395.2662561</v>
      </c>
      <c r="AI143" s="7" t="n">
        <f aca="false">R143*'Prices&amp;Fuel'!H143*'Prices&amp;Fuel'!Q143</f>
        <v>0</v>
      </c>
      <c r="AJ143" s="55" t="n">
        <f aca="false">SUM(AG143:AI143)-'Long Term Deals'!AZ143</f>
        <v>0</v>
      </c>
    </row>
    <row r="144" customFormat="false" ht="11.25" hidden="false" customHeight="false" outlineLevel="0" collapsed="false">
      <c r="A144" s="6" t="n">
        <f aca="false">+A143+365/12</f>
        <v>39976.9166666667</v>
      </c>
      <c r="B144" s="7" t="n">
        <f aca="false">'Long Term Deals'!AF144</f>
        <v>128534.70437018</v>
      </c>
      <c r="C144" s="7" t="n">
        <f aca="false">'Long Term Deals'!AG144</f>
        <v>0</v>
      </c>
      <c r="D144" s="7" t="n">
        <f aca="false">'Long Term Deals'!AH144</f>
        <v>77120.822622108</v>
      </c>
      <c r="E144" s="7" t="n">
        <f aca="false">'Long Term Deals'!AI144</f>
        <v>0</v>
      </c>
      <c r="F144" s="7" t="n">
        <f aca="false">'Long Term Deals'!AJ144</f>
        <v>0</v>
      </c>
      <c r="G144" s="7" t="n">
        <f aca="false">'Long Term Deals'!AK144</f>
        <v>0</v>
      </c>
      <c r="H144" s="7" t="n">
        <f aca="false">'Long Term Deals'!AL144</f>
        <v>0</v>
      </c>
      <c r="I144" s="7" t="n">
        <f aca="false">'Long Term Deals'!AM144</f>
        <v>64267</v>
      </c>
      <c r="J144" s="7" t="n">
        <f aca="false">'Long Term Deals'!AN144</f>
        <v>0</v>
      </c>
      <c r="K144" s="7" t="n">
        <f aca="false">'Long Term Deals'!AO144</f>
        <v>38560</v>
      </c>
      <c r="L144" s="7" t="n">
        <f aca="false">'Long Term Deals'!AP144</f>
        <v>0</v>
      </c>
      <c r="M144" s="7" t="n">
        <f aca="false">'Long Term Deals'!AQ144</f>
        <v>0</v>
      </c>
      <c r="N144" s="7" t="n">
        <f aca="false">'Long Term Deals'!AR144</f>
        <v>64267.70437018</v>
      </c>
      <c r="O144" s="7" t="n">
        <f aca="false">'Long Term Deals'!AS144</f>
        <v>0</v>
      </c>
      <c r="P144" s="7" t="n">
        <f aca="false">'Long Term Deals'!AT144</f>
        <v>38560.822622108</v>
      </c>
      <c r="Q144" s="7" t="n">
        <f aca="false">'Long Term Deals'!AU144</f>
        <v>0</v>
      </c>
      <c r="R144" s="7" t="n">
        <f aca="false">'Long Term Deals'!AV144</f>
        <v>0</v>
      </c>
      <c r="S144" s="68" t="n">
        <f aca="false">'Long Term Deals'!AW144</f>
        <v>0.02</v>
      </c>
      <c r="T144" s="68" t="n">
        <f aca="false">'Long Term Deals'!AX144</f>
        <v>0.015</v>
      </c>
      <c r="U144" s="7" t="n">
        <f aca="false">'Long Term Deals'!AY144</f>
        <v>28401460.3655396</v>
      </c>
      <c r="V144" s="7" t="n">
        <f aca="false">'Long Term Deals'!AZ144</f>
        <v>28254930.8025576</v>
      </c>
      <c r="W144" s="5" t="n">
        <f aca="false">U144-V144</f>
        <v>146529.562982004</v>
      </c>
      <c r="X144" s="5" t="n">
        <f aca="false">'Long Term Deals'!CA144</f>
        <v>30848.3290488432</v>
      </c>
      <c r="Z144" s="7" t="n">
        <f aca="false">[2]Sheet1!$O164</f>
        <v>-454340.197775984</v>
      </c>
      <c r="AA144" s="7" t="n">
        <f aca="false">'[3]Long Term Deals'!$Z143</f>
        <v>-46258.092768191</v>
      </c>
      <c r="AB144" s="70" t="n">
        <f aca="false">-Z144+AA144+Y144+W144-X144</f>
        <v>523763.338940954</v>
      </c>
      <c r="AC144" s="70" t="n">
        <f aca="false">AB144-Y144</f>
        <v>523763.338940954</v>
      </c>
      <c r="AD144" s="70" t="n">
        <f aca="false">AC144+Z144-AA144+X144</f>
        <v>146529.562982004</v>
      </c>
      <c r="AE144" s="13" t="n">
        <f aca="false">(W144-Z144+AA144)/(B144+C144+D144)/'Prices&amp;Fuel'!H144</f>
        <v>0.0898933078533463</v>
      </c>
      <c r="AF144" s="1" t="n">
        <v>200000</v>
      </c>
      <c r="AG144" s="7" t="n">
        <f aca="false">((((I144*'Prices&amp;Fuel'!B144+'Prices&amp;Fuel'!C144*FPL!J144+FPL!K144*'Prices&amp;Fuel'!D144))+(L144*'Prices&amp;Fuel'!B144+'Prices&amp;Fuel'!C144*FPL!M144))*'Prices&amp;Fuel'!H144)+(I144+J144+K144)*'Prices&amp;Fuel'!H144*FPL!T144+Q144/2</f>
        <v>14127360.4673482</v>
      </c>
      <c r="AH144" s="7" t="n">
        <f aca="false">(N144*'Prices&amp;Fuel'!B144+'Prices&amp;Fuel'!C144*O144+P144*'Prices&amp;Fuel'!D144)*'Prices&amp;Fuel'!H144+(N144+O144+P144)*'Prices&amp;Fuel'!H144*FPL!T144+Q144/2</f>
        <v>14127570.3352094</v>
      </c>
      <c r="AI144" s="7" t="n">
        <f aca="false">R144*'Prices&amp;Fuel'!H144*'Prices&amp;Fuel'!Q144</f>
        <v>0</v>
      </c>
      <c r="AJ144" s="55" t="n">
        <f aca="false">SUM(AG144:AI144)-'Long Term Deals'!AZ144</f>
        <v>0</v>
      </c>
    </row>
    <row r="145" customFormat="false" ht="11.25" hidden="false" customHeight="false" outlineLevel="0" collapsed="false">
      <c r="A145" s="6" t="n">
        <f aca="false">+A144+365/12</f>
        <v>40007.3333333333</v>
      </c>
      <c r="B145" s="7" t="n">
        <f aca="false">'Long Term Deals'!AF145</f>
        <v>128534.70437018</v>
      </c>
      <c r="C145" s="7" t="n">
        <f aca="false">'Long Term Deals'!AG145</f>
        <v>0</v>
      </c>
      <c r="D145" s="7" t="n">
        <f aca="false">'Long Term Deals'!AH145</f>
        <v>77120.822622108</v>
      </c>
      <c r="E145" s="7" t="n">
        <f aca="false">'Long Term Deals'!AI145</f>
        <v>0</v>
      </c>
      <c r="F145" s="7" t="n">
        <f aca="false">'Long Term Deals'!AJ145</f>
        <v>0</v>
      </c>
      <c r="G145" s="7" t="n">
        <f aca="false">'Long Term Deals'!AK145</f>
        <v>0</v>
      </c>
      <c r="H145" s="7" t="n">
        <f aca="false">'Long Term Deals'!AL145</f>
        <v>0</v>
      </c>
      <c r="I145" s="7" t="n">
        <f aca="false">'Long Term Deals'!AM145</f>
        <v>64267</v>
      </c>
      <c r="J145" s="7" t="n">
        <f aca="false">'Long Term Deals'!AN145</f>
        <v>0</v>
      </c>
      <c r="K145" s="7" t="n">
        <f aca="false">'Long Term Deals'!AO145</f>
        <v>38560</v>
      </c>
      <c r="L145" s="7" t="n">
        <f aca="false">'Long Term Deals'!AP145</f>
        <v>0</v>
      </c>
      <c r="M145" s="7" t="n">
        <f aca="false">'Long Term Deals'!AQ145</f>
        <v>0</v>
      </c>
      <c r="N145" s="7" t="n">
        <f aca="false">'Long Term Deals'!AR145</f>
        <v>64267.70437018</v>
      </c>
      <c r="O145" s="7" t="n">
        <f aca="false">'Long Term Deals'!AS145</f>
        <v>0</v>
      </c>
      <c r="P145" s="7" t="n">
        <f aca="false">'Long Term Deals'!AT145</f>
        <v>38560.822622108</v>
      </c>
      <c r="Q145" s="7" t="n">
        <f aca="false">'Long Term Deals'!AU145</f>
        <v>0</v>
      </c>
      <c r="R145" s="7" t="n">
        <f aca="false">'Long Term Deals'!AV145</f>
        <v>0</v>
      </c>
      <c r="S145" s="68" t="n">
        <f aca="false">'Long Term Deals'!AW145</f>
        <v>0.02</v>
      </c>
      <c r="T145" s="68" t="n">
        <f aca="false">'Long Term Deals'!AX145</f>
        <v>0.015</v>
      </c>
      <c r="U145" s="7" t="n">
        <f aca="false">'Long Term Deals'!AY145</f>
        <v>29279823.6371958</v>
      </c>
      <c r="V145" s="7" t="n">
        <f aca="false">'Long Term Deals'!AZ145</f>
        <v>29128409.7554477</v>
      </c>
      <c r="W145" s="5" t="n">
        <f aca="false">U145-V145</f>
        <v>151413.881748069</v>
      </c>
      <c r="X145" s="5" t="n">
        <f aca="false">'Long Term Deals'!CA145</f>
        <v>31876.6066838046</v>
      </c>
      <c r="Z145" s="7" t="n">
        <f aca="false">[2]Sheet1!$O165</f>
        <v>-469484.871035184</v>
      </c>
      <c r="AA145" s="7" t="n">
        <f aca="false">'[3]Long Term Deals'!$Z144</f>
        <v>-47800.0291937973</v>
      </c>
      <c r="AB145" s="70" t="n">
        <f aca="false">-Z145+AA145+Y145+W145-X145</f>
        <v>541222.116905651</v>
      </c>
      <c r="AC145" s="70" t="n">
        <f aca="false">AB145-Y145</f>
        <v>541222.116905651</v>
      </c>
      <c r="AD145" s="70" t="n">
        <f aca="false">AC145+Z145-AA145+X145</f>
        <v>151413.881748069</v>
      </c>
      <c r="AE145" s="13" t="n">
        <f aca="false">(W145-Z145+AA145)/(B145+C145+D145)/'Prices&amp;Fuel'!H145</f>
        <v>0.089893307853346</v>
      </c>
      <c r="AF145" s="1" t="n">
        <v>200000</v>
      </c>
      <c r="AG145" s="7" t="n">
        <f aca="false">((((I145*'Prices&amp;Fuel'!B145+'Prices&amp;Fuel'!C145*FPL!J145+FPL!K145*'Prices&amp;Fuel'!D145))+(L145*'Prices&amp;Fuel'!B145+'Prices&amp;Fuel'!C145*FPL!M145))*'Prices&amp;Fuel'!H145)+(I145+J145+K145)*'Prices&amp;Fuel'!H145*FPL!T145+Q145/2</f>
        <v>14564096.6997526</v>
      </c>
      <c r="AH145" s="7" t="n">
        <f aca="false">(N145*'Prices&amp;Fuel'!B145+'Prices&amp;Fuel'!C145*O145+P145*'Prices&amp;Fuel'!D145)*'Prices&amp;Fuel'!H145+(N145+O145+P145)*'Prices&amp;Fuel'!H145*FPL!T145+Q145/2</f>
        <v>14564313.0556951</v>
      </c>
      <c r="AI145" s="7" t="n">
        <f aca="false">R145*'Prices&amp;Fuel'!H145*'Prices&amp;Fuel'!Q145</f>
        <v>0</v>
      </c>
      <c r="AJ145" s="55" t="n">
        <f aca="false">SUM(AG145:AI145)-'Long Term Deals'!AZ145</f>
        <v>0</v>
      </c>
    </row>
    <row r="146" customFormat="false" ht="11.25" hidden="false" customHeight="false" outlineLevel="0" collapsed="false">
      <c r="A146" s="6" t="n">
        <f aca="false">+A145+365/12</f>
        <v>40037.75</v>
      </c>
      <c r="B146" s="7" t="n">
        <f aca="false">'Long Term Deals'!AF146</f>
        <v>128534.70437018</v>
      </c>
      <c r="C146" s="7" t="n">
        <f aca="false">'Long Term Deals'!AG146</f>
        <v>0</v>
      </c>
      <c r="D146" s="7" t="n">
        <f aca="false">'Long Term Deals'!AH146</f>
        <v>77120.822622108</v>
      </c>
      <c r="E146" s="7" t="n">
        <f aca="false">'Long Term Deals'!AI146</f>
        <v>0</v>
      </c>
      <c r="F146" s="7" t="n">
        <f aca="false">'Long Term Deals'!AJ146</f>
        <v>0</v>
      </c>
      <c r="G146" s="7" t="n">
        <f aca="false">'Long Term Deals'!AK146</f>
        <v>0</v>
      </c>
      <c r="H146" s="7" t="n">
        <f aca="false">'Long Term Deals'!AL146</f>
        <v>0</v>
      </c>
      <c r="I146" s="7" t="n">
        <f aca="false">'Long Term Deals'!AM146</f>
        <v>64267</v>
      </c>
      <c r="J146" s="7" t="n">
        <f aca="false">'Long Term Deals'!AN146</f>
        <v>0</v>
      </c>
      <c r="K146" s="7" t="n">
        <f aca="false">'Long Term Deals'!AO146</f>
        <v>38560</v>
      </c>
      <c r="L146" s="7" t="n">
        <f aca="false">'Long Term Deals'!AP146</f>
        <v>0</v>
      </c>
      <c r="M146" s="7" t="n">
        <f aca="false">'Long Term Deals'!AQ146</f>
        <v>0</v>
      </c>
      <c r="N146" s="7" t="n">
        <f aca="false">'Long Term Deals'!AR146</f>
        <v>64267.70437018</v>
      </c>
      <c r="O146" s="7" t="n">
        <f aca="false">'Long Term Deals'!AS146</f>
        <v>0</v>
      </c>
      <c r="P146" s="7" t="n">
        <f aca="false">'Long Term Deals'!AT146</f>
        <v>38560.822622108</v>
      </c>
      <c r="Q146" s="7" t="n">
        <f aca="false">'Long Term Deals'!AU146</f>
        <v>0</v>
      </c>
      <c r="R146" s="7" t="n">
        <f aca="false">'Long Term Deals'!AV146</f>
        <v>0</v>
      </c>
      <c r="S146" s="68" t="n">
        <f aca="false">'Long Term Deals'!AW146</f>
        <v>0.02</v>
      </c>
      <c r="T146" s="68" t="n">
        <f aca="false">'Long Term Deals'!AX146</f>
        <v>0.015</v>
      </c>
      <c r="U146" s="7" t="n">
        <f aca="false">'Long Term Deals'!AY146</f>
        <v>25588811.6486567</v>
      </c>
      <c r="V146" s="7" t="n">
        <f aca="false">'Long Term Deals'!AZ146</f>
        <v>25437397.7669086</v>
      </c>
      <c r="W146" s="5" t="n">
        <f aca="false">U146-V146</f>
        <v>151413.881748069</v>
      </c>
      <c r="X146" s="5" t="n">
        <f aca="false">'Long Term Deals'!CA146</f>
        <v>31876.6066838046</v>
      </c>
      <c r="Z146" s="7" t="n">
        <f aca="false">[2]Sheet1!$O166</f>
        <v>-469484.871035184</v>
      </c>
      <c r="AA146" s="7" t="n">
        <f aca="false">'[3]Long Term Deals'!$Z145</f>
        <v>-47800.0291937973</v>
      </c>
      <c r="AB146" s="70" t="n">
        <f aca="false">-Z146+AA146+Y146+W146-X146</f>
        <v>541222.116905651</v>
      </c>
      <c r="AC146" s="70" t="n">
        <f aca="false">AB146-Y146</f>
        <v>541222.116905651</v>
      </c>
      <c r="AD146" s="70" t="n">
        <f aca="false">AC146+Z146-AA146+X146</f>
        <v>151413.881748069</v>
      </c>
      <c r="AE146" s="13" t="n">
        <f aca="false">(W146-Z146+AA146)/(B146+C146+D146)/'Prices&amp;Fuel'!H146</f>
        <v>0.089893307853346</v>
      </c>
      <c r="AF146" s="1" t="n">
        <v>200000</v>
      </c>
      <c r="AG146" s="7" t="n">
        <f aca="false">((((I146*'Prices&amp;Fuel'!B146+'Prices&amp;Fuel'!C146*FPL!J146+FPL!K146*'Prices&amp;Fuel'!D146))+(L146*'Prices&amp;Fuel'!B146+'Prices&amp;Fuel'!C146*FPL!M146))*'Prices&amp;Fuel'!H146)+(I146+J146+K146)*'Prices&amp;Fuel'!H146*FPL!T146+Q146/2</f>
        <v>12718604.4083651</v>
      </c>
      <c r="AH146" s="7" t="n">
        <f aca="false">(N146*'Prices&amp;Fuel'!B146+'Prices&amp;Fuel'!C146*O146+P146*'Prices&amp;Fuel'!D146)*'Prices&amp;Fuel'!H146+(N146+O146+P146)*'Prices&amp;Fuel'!H146*FPL!T146+Q146/2</f>
        <v>12718793.3585435</v>
      </c>
      <c r="AI146" s="7" t="n">
        <f aca="false">R146*'Prices&amp;Fuel'!H146*'Prices&amp;Fuel'!Q146</f>
        <v>0</v>
      </c>
      <c r="AJ146" s="55" t="n">
        <f aca="false">SUM(AG146:AI146)-'Long Term Deals'!AZ146</f>
        <v>0</v>
      </c>
    </row>
    <row r="147" customFormat="false" ht="11.25" hidden="false" customHeight="false" outlineLevel="0" collapsed="false">
      <c r="A147" s="6" t="n">
        <f aca="false">+A146+365/12</f>
        <v>40068.1666666667</v>
      </c>
      <c r="B147" s="7" t="n">
        <f aca="false">'Long Term Deals'!AF147</f>
        <v>128534.70437018</v>
      </c>
      <c r="C147" s="7" t="n">
        <f aca="false">'Long Term Deals'!AG147</f>
        <v>0</v>
      </c>
      <c r="D147" s="7" t="n">
        <f aca="false">'Long Term Deals'!AH147</f>
        <v>77120.822622108</v>
      </c>
      <c r="E147" s="7" t="n">
        <f aca="false">'Long Term Deals'!AI147</f>
        <v>0</v>
      </c>
      <c r="F147" s="7" t="n">
        <f aca="false">'Long Term Deals'!AJ147</f>
        <v>0</v>
      </c>
      <c r="G147" s="7" t="n">
        <f aca="false">'Long Term Deals'!AK147</f>
        <v>0</v>
      </c>
      <c r="H147" s="7" t="n">
        <f aca="false">'Long Term Deals'!AL147</f>
        <v>0</v>
      </c>
      <c r="I147" s="7" t="n">
        <f aca="false">'Long Term Deals'!AM147</f>
        <v>64267</v>
      </c>
      <c r="J147" s="7" t="n">
        <f aca="false">'Long Term Deals'!AN147</f>
        <v>0</v>
      </c>
      <c r="K147" s="7" t="n">
        <f aca="false">'Long Term Deals'!AO147</f>
        <v>38560</v>
      </c>
      <c r="L147" s="7" t="n">
        <f aca="false">'Long Term Deals'!AP147</f>
        <v>0</v>
      </c>
      <c r="M147" s="7" t="n">
        <f aca="false">'Long Term Deals'!AQ147</f>
        <v>0</v>
      </c>
      <c r="N147" s="7" t="n">
        <f aca="false">'Long Term Deals'!AR147</f>
        <v>64267.70437018</v>
      </c>
      <c r="O147" s="7" t="n">
        <f aca="false">'Long Term Deals'!AS147</f>
        <v>0</v>
      </c>
      <c r="P147" s="7" t="n">
        <f aca="false">'Long Term Deals'!AT147</f>
        <v>38560.822622108</v>
      </c>
      <c r="Q147" s="7" t="n">
        <f aca="false">'Long Term Deals'!AU147</f>
        <v>0</v>
      </c>
      <c r="R147" s="7" t="n">
        <f aca="false">'Long Term Deals'!AV147</f>
        <v>0</v>
      </c>
      <c r="S147" s="68" t="n">
        <f aca="false">'Long Term Deals'!AW147</f>
        <v>0.02</v>
      </c>
      <c r="T147" s="68" t="n">
        <f aca="false">'Long Term Deals'!AX147</f>
        <v>0.015</v>
      </c>
      <c r="U147" s="7" t="n">
        <f aca="false">'Long Term Deals'!AY147</f>
        <v>29856698.0671142</v>
      </c>
      <c r="V147" s="7" t="n">
        <f aca="false">'Long Term Deals'!AZ147</f>
        <v>29710168.5041322</v>
      </c>
      <c r="W147" s="5" t="n">
        <f aca="false">U147-V147</f>
        <v>146529.562982004</v>
      </c>
      <c r="X147" s="5" t="n">
        <f aca="false">'Long Term Deals'!CA147</f>
        <v>30848.3290488432</v>
      </c>
      <c r="Z147" s="7" t="n">
        <f aca="false">[2]Sheet1!$O167</f>
        <v>-454340.197775984</v>
      </c>
      <c r="AA147" s="7" t="n">
        <f aca="false">'[3]Long Term Deals'!$Z146</f>
        <v>-46258.092768191</v>
      </c>
      <c r="AB147" s="70" t="n">
        <f aca="false">-Z147+AA147+Y147+W147-X147</f>
        <v>523763.338940954</v>
      </c>
      <c r="AC147" s="70" t="n">
        <f aca="false">AB147-Y147</f>
        <v>523763.338940954</v>
      </c>
      <c r="AD147" s="70" t="n">
        <f aca="false">AC147+Z147-AA147+X147</f>
        <v>146529.562982004</v>
      </c>
      <c r="AE147" s="13" t="n">
        <f aca="false">(W147-Z147+AA147)/(B147+C147+D147)/'Prices&amp;Fuel'!H147</f>
        <v>0.0898933078533463</v>
      </c>
      <c r="AF147" s="1" t="n">
        <v>200000</v>
      </c>
      <c r="AG147" s="7" t="n">
        <f aca="false">((((I147*'Prices&amp;Fuel'!B147+'Prices&amp;Fuel'!C147*FPL!J147+FPL!K147*'Prices&amp;Fuel'!D147))+(L147*'Prices&amp;Fuel'!B147+'Prices&amp;Fuel'!C147*FPL!M147))*'Prices&amp;Fuel'!H147)+(I147+J147+K147)*'Prices&amp;Fuel'!H147*FPL!T147+Q147/2</f>
        <v>14854973.9155655</v>
      </c>
      <c r="AH147" s="7" t="n">
        <f aca="false">(N147*'Prices&amp;Fuel'!B147+'Prices&amp;Fuel'!C147*O147+P147*'Prices&amp;Fuel'!D147)*'Prices&amp;Fuel'!H147+(N147+O147+P147)*'Prices&amp;Fuel'!H147*FPL!T147+Q147/2</f>
        <v>14855194.5885667</v>
      </c>
      <c r="AI147" s="7" t="n">
        <f aca="false">R147*'Prices&amp;Fuel'!H147*'Prices&amp;Fuel'!Q147</f>
        <v>0</v>
      </c>
      <c r="AJ147" s="55" t="n">
        <f aca="false">SUM(AG147:AI147)-'Long Term Deals'!AZ147</f>
        <v>0</v>
      </c>
    </row>
    <row r="148" customFormat="false" ht="11.25" hidden="false" customHeight="false" outlineLevel="0" collapsed="false">
      <c r="A148" s="6" t="n">
        <f aca="false">+A147+365/12</f>
        <v>40098.5833333333</v>
      </c>
      <c r="B148" s="7" t="n">
        <f aca="false">'Long Term Deals'!AF148</f>
        <v>58611.8251928021</v>
      </c>
      <c r="C148" s="7" t="n">
        <f aca="false">'Long Term Deals'!AG148</f>
        <v>0</v>
      </c>
      <c r="D148" s="7" t="n">
        <f aca="false">'Long Term Deals'!AH148</f>
        <v>77120.822622108</v>
      </c>
      <c r="E148" s="7" t="n">
        <f aca="false">'Long Term Deals'!AI148</f>
        <v>0</v>
      </c>
      <c r="F148" s="7" t="n">
        <f aca="false">'Long Term Deals'!AJ148</f>
        <v>0</v>
      </c>
      <c r="G148" s="7" t="n">
        <f aca="false">'Long Term Deals'!AK148</f>
        <v>0</v>
      </c>
      <c r="H148" s="7" t="n">
        <f aca="false">'Long Term Deals'!AL148</f>
        <v>0</v>
      </c>
      <c r="I148" s="7" t="n">
        <f aca="false">'Long Term Deals'!AM148</f>
        <v>29306</v>
      </c>
      <c r="J148" s="7" t="n">
        <f aca="false">'Long Term Deals'!AN148</f>
        <v>0</v>
      </c>
      <c r="K148" s="7" t="n">
        <f aca="false">'Long Term Deals'!AO148</f>
        <v>38560</v>
      </c>
      <c r="L148" s="7" t="n">
        <f aca="false">'Long Term Deals'!AP148</f>
        <v>0</v>
      </c>
      <c r="M148" s="7" t="n">
        <f aca="false">'Long Term Deals'!AQ148</f>
        <v>0</v>
      </c>
      <c r="N148" s="7" t="n">
        <f aca="false">'Long Term Deals'!AR148</f>
        <v>29305.8251928021</v>
      </c>
      <c r="O148" s="7" t="n">
        <f aca="false">'Long Term Deals'!AS148</f>
        <v>0</v>
      </c>
      <c r="P148" s="7" t="n">
        <f aca="false">'Long Term Deals'!AT148</f>
        <v>38560.822622108</v>
      </c>
      <c r="Q148" s="7" t="n">
        <f aca="false">'Long Term Deals'!AU148</f>
        <v>0</v>
      </c>
      <c r="R148" s="7" t="n">
        <f aca="false">'Long Term Deals'!AV148</f>
        <v>0</v>
      </c>
      <c r="S148" s="68" t="n">
        <f aca="false">'Long Term Deals'!AW148</f>
        <v>0.02</v>
      </c>
      <c r="T148" s="68" t="n">
        <f aca="false">'Long Term Deals'!AX148</f>
        <v>0.015</v>
      </c>
      <c r="U148" s="7" t="n">
        <f aca="false">'Long Term Deals'!AY148</f>
        <v>23478680.3649173</v>
      </c>
      <c r="V148" s="7" t="n">
        <f aca="false">'Long Term Deals'!AZ148</f>
        <v>23338104.5294417</v>
      </c>
      <c r="W148" s="5" t="n">
        <f aca="false">U148-V148</f>
        <v>140575.835475579</v>
      </c>
      <c r="X148" s="5" t="n">
        <f aca="false">'Long Term Deals'!CA148</f>
        <v>21038.5604113111</v>
      </c>
      <c r="Z148" s="7" t="n">
        <f aca="false">[2]Sheet1!$O168</f>
        <v>-309860.014883221</v>
      </c>
      <c r="AA148" s="7" t="n">
        <f aca="false">'[3]Long Term Deals'!$Z147</f>
        <v>-31548.0192679062</v>
      </c>
      <c r="AB148" s="70" t="n">
        <f aca="false">-Z148+AA148+Y148+W148-X148</f>
        <v>397849.270679583</v>
      </c>
      <c r="AC148" s="70" t="n">
        <f aca="false">AB148-Y148</f>
        <v>397849.270679583</v>
      </c>
      <c r="AD148" s="70" t="n">
        <f aca="false">AC148+Z148-AA148+X148</f>
        <v>140575.835475579</v>
      </c>
      <c r="AE148" s="13" t="n">
        <f aca="false">(W148-Z148+AA148)/(B148+C148+D148)/'Prices&amp;Fuel'!H148</f>
        <v>0.0995523987624375</v>
      </c>
      <c r="AF148" s="1" t="n">
        <v>132000</v>
      </c>
      <c r="AG148" s="7" t="n">
        <f aca="false">((((I148*'Prices&amp;Fuel'!B148+'Prices&amp;Fuel'!C148*FPL!J148+FPL!K148*'Prices&amp;Fuel'!D148))+(L148*'Prices&amp;Fuel'!B148+'Prices&amp;Fuel'!C148*FPL!M148))*'Prices&amp;Fuel'!H148)+(I148+J148+K148)*'Prices&amp;Fuel'!H148*FPL!T148+Q148/2</f>
        <v>11668996.5010623</v>
      </c>
      <c r="AH148" s="7" t="n">
        <f aca="false">(N148*'Prices&amp;Fuel'!B148+'Prices&amp;Fuel'!C148*O148+P148*'Prices&amp;Fuel'!D148)*'Prices&amp;Fuel'!H148+(N148+O148+P148)*'Prices&amp;Fuel'!H148*FPL!T148+Q148/2</f>
        <v>11669108.0283794</v>
      </c>
      <c r="AI148" s="7" t="n">
        <f aca="false">R148*'Prices&amp;Fuel'!H148*'Prices&amp;Fuel'!Q148</f>
        <v>0</v>
      </c>
      <c r="AJ148" s="55" t="n">
        <f aca="false">SUM(AG148:AI148)-'Long Term Deals'!AZ148</f>
        <v>0</v>
      </c>
    </row>
    <row r="149" customFormat="false" ht="11.25" hidden="false" customHeight="false" outlineLevel="0" collapsed="false">
      <c r="A149" s="6" t="n">
        <f aca="false">+A148+365/12</f>
        <v>40129</v>
      </c>
      <c r="B149" s="7" t="n">
        <f aca="false">'Long Term Deals'!AF149</f>
        <v>58611.8251928021</v>
      </c>
      <c r="C149" s="7" t="n">
        <f aca="false">'Long Term Deals'!AG149</f>
        <v>0</v>
      </c>
      <c r="D149" s="7" t="n">
        <f aca="false">'Long Term Deals'!AH149</f>
        <v>77120.822622108</v>
      </c>
      <c r="E149" s="7" t="n">
        <f aca="false">'Long Term Deals'!AI149</f>
        <v>0</v>
      </c>
      <c r="F149" s="7" t="n">
        <f aca="false">'Long Term Deals'!AJ149</f>
        <v>0</v>
      </c>
      <c r="G149" s="7" t="n">
        <f aca="false">'Long Term Deals'!AK149</f>
        <v>0</v>
      </c>
      <c r="H149" s="7" t="n">
        <f aca="false">'Long Term Deals'!AL149</f>
        <v>0</v>
      </c>
      <c r="I149" s="7" t="n">
        <f aca="false">'Long Term Deals'!AM149</f>
        <v>29306</v>
      </c>
      <c r="J149" s="7" t="n">
        <f aca="false">'Long Term Deals'!AN149</f>
        <v>0</v>
      </c>
      <c r="K149" s="7" t="n">
        <f aca="false">'Long Term Deals'!AO149</f>
        <v>38560</v>
      </c>
      <c r="L149" s="7" t="n">
        <f aca="false">'Long Term Deals'!AP149</f>
        <v>0</v>
      </c>
      <c r="M149" s="7" t="n">
        <f aca="false">'Long Term Deals'!AQ149</f>
        <v>0</v>
      </c>
      <c r="N149" s="7" t="n">
        <f aca="false">'Long Term Deals'!AR149</f>
        <v>29305.8251928021</v>
      </c>
      <c r="O149" s="7" t="n">
        <f aca="false">'Long Term Deals'!AS149</f>
        <v>0</v>
      </c>
      <c r="P149" s="7" t="n">
        <f aca="false">'Long Term Deals'!AT149</f>
        <v>38560.822622108</v>
      </c>
      <c r="Q149" s="7" t="n">
        <f aca="false">'Long Term Deals'!AU149</f>
        <v>0</v>
      </c>
      <c r="R149" s="7" t="n">
        <f aca="false">'Long Term Deals'!AV149</f>
        <v>0</v>
      </c>
      <c r="S149" s="68" t="n">
        <f aca="false">'Long Term Deals'!AW149</f>
        <v>0.02</v>
      </c>
      <c r="T149" s="68" t="n">
        <f aca="false">'Long Term Deals'!AX149</f>
        <v>0.015</v>
      </c>
      <c r="U149" s="7" t="n">
        <f aca="false">'Long Term Deals'!AY149</f>
        <v>15168619.9077802</v>
      </c>
      <c r="V149" s="7" t="n">
        <f aca="false">'Long Term Deals'!AZ149</f>
        <v>15032578.7766748</v>
      </c>
      <c r="W149" s="5" t="n">
        <f aca="false">U149-V149</f>
        <v>136041.131105399</v>
      </c>
      <c r="X149" s="5" t="n">
        <f aca="false">'Long Term Deals'!CA149</f>
        <v>20359.8971722365</v>
      </c>
      <c r="Z149" s="7" t="n">
        <f aca="false">[2]Sheet1!$O169</f>
        <v>-299864.53053215</v>
      </c>
      <c r="AA149" s="7" t="n">
        <f aca="false">'[3]Long Term Deals'!$Z148</f>
        <v>-30530.341227006</v>
      </c>
      <c r="AB149" s="70" t="n">
        <f aca="false">-Z149+AA149+Y149+W149-X149</f>
        <v>385015.423238306</v>
      </c>
      <c r="AC149" s="70" t="n">
        <f aca="false">AB149-Y149</f>
        <v>385015.423238306</v>
      </c>
      <c r="AD149" s="70" t="n">
        <f aca="false">AC149+Z149-AA149+X149</f>
        <v>136041.131105399</v>
      </c>
      <c r="AE149" s="13" t="n">
        <f aca="false">(W149-Z149+AA149)/(B149+C149+D149)/'Prices&amp;Fuel'!H149</f>
        <v>0.0995523987624375</v>
      </c>
      <c r="AF149" s="1" t="n">
        <v>132000</v>
      </c>
      <c r="AG149" s="7" t="n">
        <f aca="false">((((I149*'Prices&amp;Fuel'!B149+'Prices&amp;Fuel'!C149*FPL!J149+FPL!K149*'Prices&amp;Fuel'!D149))+(L149*'Prices&amp;Fuel'!B149+'Prices&amp;Fuel'!C149*FPL!M149))*'Prices&amp;Fuel'!H149)+(I149+J149+K149)*'Prices&amp;Fuel'!H149*FPL!T149+Q149/2</f>
        <v>7516253.44695625</v>
      </c>
      <c r="AH149" s="7" t="n">
        <f aca="false">(N149*'Prices&amp;Fuel'!B149+'Prices&amp;Fuel'!C149*O149+P149*'Prices&amp;Fuel'!D149)*'Prices&amp;Fuel'!H149+(N149+O149+P149)*'Prices&amp;Fuel'!H149*FPL!T149+Q149/2</f>
        <v>7516325.32971859</v>
      </c>
      <c r="AI149" s="7" t="n">
        <f aca="false">R149*'Prices&amp;Fuel'!H149*'Prices&amp;Fuel'!Q149</f>
        <v>0</v>
      </c>
      <c r="AJ149" s="55" t="n">
        <f aca="false">SUM(AG149:AI149)-'Long Term Deals'!AZ149</f>
        <v>0</v>
      </c>
    </row>
    <row r="150" customFormat="false" ht="11.25" hidden="false" customHeight="false" outlineLevel="0" collapsed="false">
      <c r="A150" s="6" t="n">
        <f aca="false">+A149+365/12</f>
        <v>40159.4166666667</v>
      </c>
      <c r="B150" s="7" t="n">
        <f aca="false">'Long Term Deals'!AF150</f>
        <v>58611.8251928021</v>
      </c>
      <c r="C150" s="7" t="n">
        <f aca="false">'Long Term Deals'!AG150</f>
        <v>0</v>
      </c>
      <c r="D150" s="7" t="n">
        <f aca="false">'Long Term Deals'!AH150</f>
        <v>77120.822622108</v>
      </c>
      <c r="E150" s="7" t="n">
        <f aca="false">'Long Term Deals'!AI150</f>
        <v>0</v>
      </c>
      <c r="F150" s="7" t="n">
        <f aca="false">'Long Term Deals'!AJ150</f>
        <v>0</v>
      </c>
      <c r="G150" s="7" t="n">
        <f aca="false">'Long Term Deals'!AK150</f>
        <v>0</v>
      </c>
      <c r="H150" s="7" t="n">
        <f aca="false">'Long Term Deals'!AL150</f>
        <v>0</v>
      </c>
      <c r="I150" s="7" t="n">
        <f aca="false">'Long Term Deals'!AM150</f>
        <v>29306</v>
      </c>
      <c r="J150" s="7" t="n">
        <f aca="false">'Long Term Deals'!AN150</f>
        <v>0</v>
      </c>
      <c r="K150" s="7" t="n">
        <f aca="false">'Long Term Deals'!AO150</f>
        <v>38560</v>
      </c>
      <c r="L150" s="7" t="n">
        <f aca="false">'Long Term Deals'!AP150</f>
        <v>0</v>
      </c>
      <c r="M150" s="7" t="n">
        <f aca="false">'Long Term Deals'!AQ150</f>
        <v>0</v>
      </c>
      <c r="N150" s="7" t="n">
        <f aca="false">'Long Term Deals'!AR150</f>
        <v>29305.8251928021</v>
      </c>
      <c r="O150" s="7" t="n">
        <f aca="false">'Long Term Deals'!AS150</f>
        <v>0</v>
      </c>
      <c r="P150" s="7" t="n">
        <f aca="false">'Long Term Deals'!AT150</f>
        <v>38560.822622108</v>
      </c>
      <c r="Q150" s="7" t="n">
        <f aca="false">'Long Term Deals'!AU150</f>
        <v>0</v>
      </c>
      <c r="R150" s="7" t="n">
        <f aca="false">'Long Term Deals'!AV150</f>
        <v>0</v>
      </c>
      <c r="S150" s="68" t="n">
        <f aca="false">'Long Term Deals'!AW150</f>
        <v>0.02</v>
      </c>
      <c r="T150" s="68" t="n">
        <f aca="false">'Long Term Deals'!AX150</f>
        <v>0.015</v>
      </c>
      <c r="U150" s="7" t="n">
        <f aca="false">'Long Term Deals'!AY150</f>
        <v>11704352.1214775</v>
      </c>
      <c r="V150" s="7" t="n">
        <f aca="false">'Long Term Deals'!AZ150</f>
        <v>11563776.286002</v>
      </c>
      <c r="W150" s="5" t="n">
        <f aca="false">U150-V150</f>
        <v>140575.835475579</v>
      </c>
      <c r="X150" s="5" t="n">
        <f aca="false">'Long Term Deals'!CA150</f>
        <v>21038.5604113111</v>
      </c>
      <c r="Z150" s="7" t="n">
        <f aca="false">[2]Sheet1!$O170</f>
        <v>-309860.014883221</v>
      </c>
      <c r="AA150" s="7" t="n">
        <f aca="false">'[3]Long Term Deals'!$Z149</f>
        <v>-31548.0192679062</v>
      </c>
      <c r="AB150" s="70" t="n">
        <f aca="false">-Z150+AA150+Y150+W150-X150</f>
        <v>397849.270679583</v>
      </c>
      <c r="AC150" s="70" t="n">
        <f aca="false">AB150-Y150</f>
        <v>397849.270679583</v>
      </c>
      <c r="AD150" s="70" t="n">
        <f aca="false">AC150+Z150-AA150+X150</f>
        <v>140575.835475579</v>
      </c>
      <c r="AE150" s="13" t="n">
        <f aca="false">(W150-Z150+AA150)/(B150+C150+D150)/'Prices&amp;Fuel'!H150</f>
        <v>0.0995523987624375</v>
      </c>
      <c r="AF150" s="1" t="n">
        <v>132000</v>
      </c>
      <c r="AG150" s="7" t="n">
        <f aca="false">((((I150*'Prices&amp;Fuel'!B150+'Prices&amp;Fuel'!C150*FPL!J150+FPL!K150*'Prices&amp;Fuel'!D150))+(L150*'Prices&amp;Fuel'!B150+'Prices&amp;Fuel'!C150*FPL!M150))*'Prices&amp;Fuel'!H150)+(I150+J150+K150)*'Prices&amp;Fuel'!H150*FPL!T150+Q150/2</f>
        <v>5781860.47717121</v>
      </c>
      <c r="AH150" s="7" t="n">
        <f aca="false">(N150*'Prices&amp;Fuel'!B150+'Prices&amp;Fuel'!C150*O150+P150*'Prices&amp;Fuel'!D150)*'Prices&amp;Fuel'!H150+(N150+O150+P150)*'Prices&amp;Fuel'!H150*FPL!T150+Q150/2</f>
        <v>5781915.80883075</v>
      </c>
      <c r="AI150" s="7" t="n">
        <f aca="false">R150*'Prices&amp;Fuel'!H150*'Prices&amp;Fuel'!Q150</f>
        <v>0</v>
      </c>
      <c r="AJ150" s="55" t="n">
        <f aca="false">SUM(AG150:AI150)-'Long Term Deals'!AZ150</f>
        <v>0</v>
      </c>
    </row>
    <row r="151" customFormat="false" ht="11.25" hidden="false" customHeight="false" outlineLevel="0" collapsed="false">
      <c r="A151" s="6" t="n">
        <f aca="false">+A150+365/12</f>
        <v>40189.8333333333</v>
      </c>
      <c r="B151" s="7" t="n">
        <f aca="false">'Long Term Deals'!AF151</f>
        <v>58611.8251928021</v>
      </c>
      <c r="C151" s="7" t="n">
        <f aca="false">'Long Term Deals'!AG151</f>
        <v>0</v>
      </c>
      <c r="D151" s="7" t="n">
        <f aca="false">'Long Term Deals'!AH151</f>
        <v>77120.822622108</v>
      </c>
      <c r="E151" s="7" t="n">
        <f aca="false">'Long Term Deals'!AI151</f>
        <v>0</v>
      </c>
      <c r="F151" s="7" t="n">
        <f aca="false">'Long Term Deals'!AJ151</f>
        <v>0</v>
      </c>
      <c r="G151" s="7" t="n">
        <f aca="false">'Long Term Deals'!AK151</f>
        <v>0</v>
      </c>
      <c r="H151" s="7" t="n">
        <f aca="false">'Long Term Deals'!AL151</f>
        <v>0</v>
      </c>
      <c r="I151" s="7" t="n">
        <f aca="false">'Long Term Deals'!AM151</f>
        <v>29306</v>
      </c>
      <c r="J151" s="7" t="n">
        <f aca="false">'Long Term Deals'!AN151</f>
        <v>0</v>
      </c>
      <c r="K151" s="7" t="n">
        <f aca="false">'Long Term Deals'!AO151</f>
        <v>38560</v>
      </c>
      <c r="L151" s="7" t="n">
        <f aca="false">'Long Term Deals'!AP151</f>
        <v>0</v>
      </c>
      <c r="M151" s="7" t="n">
        <f aca="false">'Long Term Deals'!AQ151</f>
        <v>0</v>
      </c>
      <c r="N151" s="7" t="n">
        <f aca="false">'Long Term Deals'!AR151</f>
        <v>29305.8251928021</v>
      </c>
      <c r="O151" s="7" t="n">
        <f aca="false">'Long Term Deals'!AS151</f>
        <v>0</v>
      </c>
      <c r="P151" s="7" t="n">
        <f aca="false">'Long Term Deals'!AT151</f>
        <v>38560.822622108</v>
      </c>
      <c r="Q151" s="7" t="n">
        <f aca="false">'Long Term Deals'!AU151</f>
        <v>0</v>
      </c>
      <c r="R151" s="7" t="n">
        <f aca="false">'Long Term Deals'!AV151</f>
        <v>0</v>
      </c>
      <c r="S151" s="68" t="n">
        <f aca="false">'Long Term Deals'!AW151</f>
        <v>0.02</v>
      </c>
      <c r="T151" s="68" t="n">
        <f aca="false">'Long Term Deals'!AX151</f>
        <v>0.015</v>
      </c>
      <c r="U151" s="7" t="n">
        <f aca="false">'Long Term Deals'!AY151</f>
        <v>10318049.0298266</v>
      </c>
      <c r="V151" s="7" t="n">
        <f aca="false">'Long Term Deals'!AZ151</f>
        <v>10177473.194351</v>
      </c>
      <c r="W151" s="5" t="n">
        <f aca="false">U151-V151</f>
        <v>140575.835475579</v>
      </c>
      <c r="X151" s="5" t="n">
        <f aca="false">'Long Term Deals'!CA151</f>
        <v>21038.5604113111</v>
      </c>
      <c r="Z151" s="7" t="n">
        <f aca="false">[2]Sheet1!$O172</f>
        <v>-309860.014883221</v>
      </c>
      <c r="AA151" s="7" t="n">
        <f aca="false">'[3]Long Term Deals'!$Z150</f>
        <v>-31548.0192679062</v>
      </c>
      <c r="AB151" s="70" t="n">
        <f aca="false">-Z151+AA151+Y151+W151-X151</f>
        <v>397849.270679583</v>
      </c>
      <c r="AC151" s="70" t="n">
        <f aca="false">AB151-Y151</f>
        <v>397849.270679583</v>
      </c>
      <c r="AD151" s="70" t="n">
        <f aca="false">AC151+Z151-AA151+X151</f>
        <v>140575.835475579</v>
      </c>
      <c r="AE151" s="13" t="n">
        <f aca="false">(W151-Z151+AA151)/(B151+C151+D151)/'Prices&amp;Fuel'!H151</f>
        <v>0.0995523987624375</v>
      </c>
      <c r="AF151" s="1" t="n">
        <v>132000</v>
      </c>
      <c r="AG151" s="7" t="n">
        <f aca="false">((((I151*'Prices&amp;Fuel'!B151+'Prices&amp;Fuel'!C151*FPL!J151+FPL!K151*'Prices&amp;Fuel'!D151))+(L151*'Prices&amp;Fuel'!B151+'Prices&amp;Fuel'!C151*FPL!M151))*'Prices&amp;Fuel'!H151)+(I151+J151+K151)*'Prices&amp;Fuel'!H151*FPL!T151+Q151/2</f>
        <v>5088712.23956901</v>
      </c>
      <c r="AH151" s="7" t="n">
        <f aca="false">(N151*'Prices&amp;Fuel'!B151+'Prices&amp;Fuel'!C151*O151+P151*'Prices&amp;Fuel'!D151)*'Prices&amp;Fuel'!H151+(N151+O151+P151)*'Prices&amp;Fuel'!H151*FPL!T151+Q151/2</f>
        <v>5088760.95478198</v>
      </c>
      <c r="AI151" s="7" t="n">
        <f aca="false">R151*'Prices&amp;Fuel'!H151*'Prices&amp;Fuel'!Q151</f>
        <v>0</v>
      </c>
      <c r="AJ151" s="55" t="n">
        <f aca="false">SUM(AG151:AI151)-'Long Term Deals'!AZ151</f>
        <v>0</v>
      </c>
    </row>
    <row r="152" customFormat="false" ht="11.25" hidden="false" customHeight="false" outlineLevel="0" collapsed="false">
      <c r="A152" s="6" t="n">
        <f aca="false">+A151+365/12</f>
        <v>40220.25</v>
      </c>
      <c r="B152" s="7" t="n">
        <f aca="false">'Long Term Deals'!AF152</f>
        <v>58611.8251928021</v>
      </c>
      <c r="C152" s="7" t="n">
        <f aca="false">'Long Term Deals'!AG152</f>
        <v>0</v>
      </c>
      <c r="D152" s="7" t="n">
        <f aca="false">'Long Term Deals'!AH152</f>
        <v>77120.822622108</v>
      </c>
      <c r="E152" s="7" t="n">
        <f aca="false">'Long Term Deals'!AI152</f>
        <v>0</v>
      </c>
      <c r="F152" s="7" t="n">
        <f aca="false">'Long Term Deals'!AJ152</f>
        <v>0</v>
      </c>
      <c r="G152" s="7" t="n">
        <f aca="false">'Long Term Deals'!AK152</f>
        <v>0</v>
      </c>
      <c r="H152" s="7" t="n">
        <f aca="false">'Long Term Deals'!AL152</f>
        <v>0</v>
      </c>
      <c r="I152" s="7" t="n">
        <f aca="false">'Long Term Deals'!AM152</f>
        <v>29306</v>
      </c>
      <c r="J152" s="7" t="n">
        <f aca="false">'Long Term Deals'!AN152</f>
        <v>0</v>
      </c>
      <c r="K152" s="7" t="n">
        <f aca="false">'Long Term Deals'!AO152</f>
        <v>38560</v>
      </c>
      <c r="L152" s="7" t="n">
        <f aca="false">'Long Term Deals'!AP152</f>
        <v>0</v>
      </c>
      <c r="M152" s="7" t="n">
        <f aca="false">'Long Term Deals'!AQ152</f>
        <v>0</v>
      </c>
      <c r="N152" s="7" t="n">
        <f aca="false">'Long Term Deals'!AR152</f>
        <v>29305.8251928021</v>
      </c>
      <c r="O152" s="7" t="n">
        <f aca="false">'Long Term Deals'!AS152</f>
        <v>0</v>
      </c>
      <c r="P152" s="7" t="n">
        <f aca="false">'Long Term Deals'!AT152</f>
        <v>38560.822622108</v>
      </c>
      <c r="Q152" s="7" t="n">
        <f aca="false">'Long Term Deals'!AU152</f>
        <v>0</v>
      </c>
      <c r="R152" s="7" t="n">
        <f aca="false">'Long Term Deals'!AV152</f>
        <v>0</v>
      </c>
      <c r="S152" s="68" t="n">
        <f aca="false">'Long Term Deals'!AW152</f>
        <v>0.02</v>
      </c>
      <c r="T152" s="68" t="n">
        <f aca="false">'Long Term Deals'!AX152</f>
        <v>0.015</v>
      </c>
      <c r="U152" s="7" t="n">
        <f aca="false">'Long Term Deals'!AY152</f>
        <v>10430689.4553866</v>
      </c>
      <c r="V152" s="7" t="n">
        <f aca="false">'Long Term Deals'!AZ152</f>
        <v>10303717.7330216</v>
      </c>
      <c r="W152" s="5" t="n">
        <f aca="false">U152-V152</f>
        <v>126971.722365037</v>
      </c>
      <c r="X152" s="5" t="n">
        <f aca="false">'Long Term Deals'!CA152</f>
        <v>19002.5706940874</v>
      </c>
      <c r="Z152" s="7" t="n">
        <f aca="false">[2]Sheet1!$O173</f>
        <v>-279873.561830006</v>
      </c>
      <c r="AA152" s="7" t="n">
        <f aca="false">'[3]Long Term Deals'!$Z151</f>
        <v>-28494.9851452056</v>
      </c>
      <c r="AB152" s="70" t="n">
        <f aca="false">-Z152+AA152+Y152+W152-X152</f>
        <v>359347.72835575</v>
      </c>
      <c r="AC152" s="70" t="n">
        <f aca="false">AB152-Y152</f>
        <v>359347.72835575</v>
      </c>
      <c r="AD152" s="70" t="n">
        <f aca="false">AC152+Z152-AA152+X152</f>
        <v>126971.722365037</v>
      </c>
      <c r="AE152" s="13" t="n">
        <f aca="false">(W152-Z152+AA152)/(B152+C152+D152)/'Prices&amp;Fuel'!H152</f>
        <v>0.0995523987624369</v>
      </c>
      <c r="AF152" s="1" t="n">
        <v>132000</v>
      </c>
      <c r="AG152" s="7" t="n">
        <f aca="false">((((I152*'Prices&amp;Fuel'!B152+'Prices&amp;Fuel'!C152*FPL!J152+FPL!K152*'Prices&amp;Fuel'!D152))+(L152*'Prices&amp;Fuel'!B152+'Prices&amp;Fuel'!C152*FPL!M152))*'Prices&amp;Fuel'!H152)+(I152+J152+K152)*'Prices&amp;Fuel'!H152*FPL!T152+Q152/2</f>
        <v>5151834.21445712</v>
      </c>
      <c r="AH152" s="7" t="n">
        <f aca="false">(N152*'Prices&amp;Fuel'!B152+'Prices&amp;Fuel'!C152*O152+P152*'Prices&amp;Fuel'!D152)*'Prices&amp;Fuel'!H152+(N152+O152+P152)*'Prices&amp;Fuel'!H152*FPL!T152+Q152/2</f>
        <v>5151883.51856449</v>
      </c>
      <c r="AI152" s="7" t="n">
        <f aca="false">R152*'Prices&amp;Fuel'!H152*'Prices&amp;Fuel'!Q152</f>
        <v>0</v>
      </c>
      <c r="AJ152" s="55" t="n">
        <f aca="false">SUM(AG152:AI152)-'Long Term Deals'!AZ152</f>
        <v>0</v>
      </c>
    </row>
    <row r="153" customFormat="false" ht="12.75" hidden="false" customHeight="false" outlineLevel="0" collapsed="false">
      <c r="A153" s="6" t="n">
        <f aca="false">+A152+365/12</f>
        <v>40250.6666666667</v>
      </c>
      <c r="B153" s="7"/>
      <c r="U153" s="14"/>
      <c r="V153" s="14"/>
      <c r="W153" s="14"/>
      <c r="X153" s="5" t="n">
        <f aca="false">(B153+C153+D153+H153)*0.005*'Prices&amp;Fuel'!H153</f>
        <v>0</v>
      </c>
      <c r="Z153" s="7"/>
      <c r="AA153" s="7"/>
      <c r="AE153" s="0"/>
      <c r="AF153" s="0"/>
    </row>
    <row r="154" customFormat="false" ht="12.75" hidden="false" customHeight="false" outlineLevel="0" collapsed="false">
      <c r="A154" s="6" t="n">
        <f aca="false">+A153+365/12</f>
        <v>40281.0833333333</v>
      </c>
      <c r="X154" s="5" t="n">
        <f aca="false">(B154+C154+D154+H154)*0.005*'Prices&amp;Fuel'!H154</f>
        <v>0</v>
      </c>
      <c r="Z154" s="7"/>
      <c r="AA154" s="7"/>
      <c r="AE154" s="0"/>
      <c r="AF154" s="0"/>
    </row>
    <row r="155" customFormat="false" ht="12.75" hidden="false" customHeight="false" outlineLevel="0" collapsed="false">
      <c r="A155" s="6" t="n">
        <f aca="false">+A154+365/12</f>
        <v>40311.5</v>
      </c>
      <c r="X155" s="5" t="n">
        <f aca="false">(B155+C155+D155+H155)*0.005*'Prices&amp;Fuel'!H155</f>
        <v>0</v>
      </c>
      <c r="Z155" s="7"/>
      <c r="AA155" s="7"/>
      <c r="AE155" s="0"/>
      <c r="AF155" s="0"/>
    </row>
    <row r="156" customFormat="false" ht="12.75" hidden="false" customHeight="false" outlineLevel="0" collapsed="false">
      <c r="A156" s="6" t="n">
        <f aca="false">+A155+365/12</f>
        <v>40341.9166666667</v>
      </c>
      <c r="X156" s="5" t="n">
        <f aca="false">(B156+C156+D156+H156)*0.005*'Prices&amp;Fuel'!H156</f>
        <v>0</v>
      </c>
      <c r="AA156" s="7"/>
      <c r="AE156" s="0"/>
      <c r="AF156" s="0"/>
    </row>
    <row r="157" customFormat="false" ht="12.75" hidden="false" customHeight="false" outlineLevel="0" collapsed="false">
      <c r="A157" s="6" t="n">
        <f aca="false">+A156+365/12</f>
        <v>40372.3333333333</v>
      </c>
      <c r="X157" s="5" t="n">
        <f aca="false">(B157+C157+D157+H157)*0.005*'Prices&amp;Fuel'!H157</f>
        <v>0</v>
      </c>
      <c r="AA157" s="7"/>
      <c r="AE157" s="0"/>
      <c r="AF157" s="0"/>
    </row>
    <row r="158" customFormat="false" ht="12.75" hidden="false" customHeight="false" outlineLevel="0" collapsed="false">
      <c r="A158" s="6" t="n">
        <f aca="false">+A157+365/12</f>
        <v>40402.75</v>
      </c>
      <c r="X158" s="5" t="n">
        <f aca="false">(B158+C158+D158+H158)*0.005*'Prices&amp;Fuel'!H158</f>
        <v>0</v>
      </c>
      <c r="AA158" s="7"/>
      <c r="AE158" s="0"/>
      <c r="AF158" s="0"/>
    </row>
    <row r="159" customFormat="false" ht="12.75" hidden="false" customHeight="false" outlineLevel="0" collapsed="false">
      <c r="A159" s="6" t="n">
        <f aca="false">+A158+365/12</f>
        <v>40433.1666666667</v>
      </c>
      <c r="X159" s="5" t="n">
        <f aca="false">(B159+C159+D159+H159)*0.005*'Prices&amp;Fuel'!H159</f>
        <v>0</v>
      </c>
      <c r="AA159" s="7"/>
      <c r="AE159" s="0"/>
      <c r="AF159" s="0"/>
    </row>
    <row r="160" customFormat="false" ht="12.75" hidden="false" customHeight="false" outlineLevel="0" collapsed="false">
      <c r="A160" s="6" t="n">
        <f aca="false">+A159+365/12</f>
        <v>40463.5833333333</v>
      </c>
      <c r="X160" s="5" t="n">
        <f aca="false">(B160+C160+D160+H160)*0.005*'Prices&amp;Fuel'!H160</f>
        <v>0</v>
      </c>
      <c r="AA160" s="7"/>
      <c r="AE160" s="0"/>
      <c r="AF160" s="0"/>
    </row>
    <row r="161" customFormat="false" ht="12.75" hidden="false" customHeight="false" outlineLevel="0" collapsed="false">
      <c r="A161" s="6" t="n">
        <f aca="false">+A160+365/12</f>
        <v>40494</v>
      </c>
      <c r="X161" s="5" t="n">
        <f aca="false">(B161+C161+D161+H161)*0.005*'Prices&amp;Fuel'!H161</f>
        <v>0</v>
      </c>
      <c r="AA161" s="7"/>
      <c r="AE161" s="0"/>
      <c r="AF161" s="0"/>
    </row>
    <row r="162" customFormat="false" ht="12.75" hidden="false" customHeight="false" outlineLevel="0" collapsed="false">
      <c r="A162" s="6" t="n">
        <f aca="false">+A161+365/12</f>
        <v>40524.4166666667</v>
      </c>
      <c r="X162" s="5" t="n">
        <f aca="false">(B162+C162+D162+H162)*0.005*'Prices&amp;Fuel'!H162</f>
        <v>0</v>
      </c>
      <c r="AA162" s="7"/>
      <c r="AE162" s="0"/>
      <c r="AF162" s="0"/>
    </row>
    <row r="163" customFormat="false" ht="12.75" hidden="false" customHeight="false" outlineLevel="0" collapsed="false">
      <c r="A163" s="6" t="n">
        <f aca="false">+A162+365/12</f>
        <v>40554.8333333333</v>
      </c>
      <c r="X163" s="5" t="n">
        <f aca="false">(B163+C163+D163+H163)*0.005*'Prices&amp;Fuel'!H163</f>
        <v>0</v>
      </c>
      <c r="AA163" s="7"/>
      <c r="AE163" s="0"/>
      <c r="AF163" s="0"/>
    </row>
    <row r="164" customFormat="false" ht="12.75" hidden="false" customHeight="false" outlineLevel="0" collapsed="false">
      <c r="A164" s="6" t="n">
        <f aca="false">+A163+365/12</f>
        <v>40585.25</v>
      </c>
      <c r="X164" s="5" t="n">
        <f aca="false">(B164+C164+D164+H164)*0.005*'Prices&amp;Fuel'!H164</f>
        <v>0</v>
      </c>
      <c r="AA164" s="7"/>
      <c r="AE164" s="0"/>
      <c r="AF164" s="0"/>
    </row>
    <row r="165" customFormat="false" ht="12.75" hidden="false" customHeight="false" outlineLevel="0" collapsed="false">
      <c r="A165" s="6" t="n">
        <f aca="false">+A164+365/12</f>
        <v>40615.6666666667</v>
      </c>
      <c r="X165" s="5" t="n">
        <f aca="false">(B165+C165+D165+H165)*0.005*'Prices&amp;Fuel'!H165</f>
        <v>0</v>
      </c>
      <c r="AA165" s="7"/>
      <c r="AE165" s="0"/>
      <c r="AF165" s="0"/>
    </row>
    <row r="166" customFormat="false" ht="12.75" hidden="false" customHeight="false" outlineLevel="0" collapsed="false">
      <c r="A166" s="6" t="n">
        <f aca="false">+A165+365/12</f>
        <v>40646.0833333333</v>
      </c>
      <c r="X166" s="5" t="n">
        <f aca="false">(B166+C166+D166+H166)*0.005*'Prices&amp;Fuel'!H166</f>
        <v>0</v>
      </c>
      <c r="AA166" s="7"/>
      <c r="AE166" s="0"/>
      <c r="AF166" s="0"/>
    </row>
    <row r="167" customFormat="false" ht="12.75" hidden="false" customHeight="false" outlineLevel="0" collapsed="false">
      <c r="A167" s="6" t="n">
        <f aca="false">+A166+365/12</f>
        <v>40676.5</v>
      </c>
      <c r="X167" s="5" t="n">
        <f aca="false">(B167+C167+D167+H167)*0.005*'Prices&amp;Fuel'!H167</f>
        <v>0</v>
      </c>
      <c r="AE167" s="0"/>
      <c r="AF167" s="0"/>
    </row>
    <row r="168" customFormat="false" ht="12.75" hidden="false" customHeight="false" outlineLevel="0" collapsed="false">
      <c r="A168" s="6" t="n">
        <f aca="false">+A167+365/12</f>
        <v>40706.9166666667</v>
      </c>
      <c r="X168" s="5" t="n">
        <f aca="false">(B168+C168+D168+H168)*0.005*'Prices&amp;Fuel'!H168</f>
        <v>0</v>
      </c>
      <c r="AE168" s="0"/>
      <c r="AF168" s="0"/>
    </row>
    <row r="169" customFormat="false" ht="12.75" hidden="false" customHeight="false" outlineLevel="0" collapsed="false">
      <c r="A169" s="6" t="n">
        <f aca="false">+A168+365/12</f>
        <v>40737.3333333333</v>
      </c>
      <c r="X169" s="5" t="n">
        <f aca="false">(B169+C169+D169+H169)*0.005*'Prices&amp;Fuel'!H169</f>
        <v>0</v>
      </c>
      <c r="AE169" s="0"/>
      <c r="AF169" s="0"/>
    </row>
    <row r="170" customFormat="false" ht="12.75" hidden="false" customHeight="false" outlineLevel="0" collapsed="false">
      <c r="A170" s="6" t="n">
        <f aca="false">+A169+365/12</f>
        <v>40767.75</v>
      </c>
      <c r="X170" s="5" t="n">
        <f aca="false">(B170+C170+D170+H170)*0.005*'Prices&amp;Fuel'!H170</f>
        <v>0</v>
      </c>
      <c r="AE170" s="0"/>
      <c r="AF170" s="0"/>
    </row>
    <row r="171" customFormat="false" ht="12.75" hidden="false" customHeight="false" outlineLevel="0" collapsed="false">
      <c r="A171" s="6" t="n">
        <f aca="false">+A170+365/12</f>
        <v>40798.1666666667</v>
      </c>
      <c r="X171" s="5" t="n">
        <f aca="false">(B171+C171+D171+H171)*0.005*'Prices&amp;Fuel'!H171</f>
        <v>0</v>
      </c>
      <c r="AE171" s="0"/>
      <c r="AF171" s="0"/>
    </row>
    <row r="172" customFormat="false" ht="12.75" hidden="false" customHeight="false" outlineLevel="0" collapsed="false">
      <c r="A172" s="6" t="n">
        <f aca="false">+A171+365/12</f>
        <v>40828.5833333333</v>
      </c>
      <c r="X172" s="5" t="n">
        <f aca="false">(B172+C172+D172+H172)*0.005*'Prices&amp;Fuel'!H172</f>
        <v>0</v>
      </c>
      <c r="AE172" s="0"/>
      <c r="AF172" s="0"/>
    </row>
    <row r="173" customFormat="false" ht="12.75" hidden="false" customHeight="false" outlineLevel="0" collapsed="false">
      <c r="A173" s="6" t="n">
        <f aca="false">+A172+365/12</f>
        <v>40859</v>
      </c>
      <c r="X173" s="5" t="n">
        <f aca="false">(B173+C173+D173+H173)*0.005*'Prices&amp;Fuel'!H173</f>
        <v>0</v>
      </c>
      <c r="AE173" s="0"/>
      <c r="AF173" s="0"/>
    </row>
    <row r="174" customFormat="false" ht="12.75" hidden="false" customHeight="false" outlineLevel="0" collapsed="false">
      <c r="A174" s="6" t="n">
        <f aca="false">+A173+365/12</f>
        <v>40889.4166666667</v>
      </c>
      <c r="X174" s="5" t="n">
        <f aca="false">(B174+C174+D174+H174)*0.005*'Prices&amp;Fuel'!H174</f>
        <v>0</v>
      </c>
      <c r="AE174" s="0"/>
      <c r="AF174" s="0"/>
    </row>
    <row r="175" customFormat="false" ht="12.75" hidden="false" customHeight="false" outlineLevel="0" collapsed="false">
      <c r="A175" s="6" t="n">
        <f aca="false">+A174+365/12</f>
        <v>40919.8333333333</v>
      </c>
      <c r="X175" s="5" t="n">
        <f aca="false">(B175+C175+D175+H175)*0.005*'Prices&amp;Fuel'!H175</f>
        <v>0</v>
      </c>
      <c r="AE175" s="0"/>
      <c r="AF175" s="0"/>
    </row>
    <row r="176" customFormat="false" ht="12.75" hidden="false" customHeight="false" outlineLevel="0" collapsed="false">
      <c r="A176" s="6" t="n">
        <f aca="false">+A175+365/12</f>
        <v>40950.25</v>
      </c>
      <c r="X176" s="5" t="n">
        <f aca="false">(B176+C176+D176+H176)*0.005*'Prices&amp;Fuel'!H176</f>
        <v>0</v>
      </c>
      <c r="AE176" s="0"/>
      <c r="AF176" s="0"/>
    </row>
    <row r="177" customFormat="false" ht="12.75" hidden="false" customHeight="false" outlineLevel="0" collapsed="false">
      <c r="A177" s="6" t="n">
        <f aca="false">+A176+365/12</f>
        <v>40980.6666666667</v>
      </c>
      <c r="X177" s="5" t="n">
        <f aca="false">(B177+C177+D177+H177)*0.005*'Prices&amp;Fuel'!H177</f>
        <v>0</v>
      </c>
      <c r="AE177" s="0"/>
      <c r="AF177" s="0"/>
    </row>
    <row r="178" customFormat="false" ht="12.75" hidden="false" customHeight="false" outlineLevel="0" collapsed="false">
      <c r="A178" s="6" t="n">
        <f aca="false">+A177+365/12</f>
        <v>41011.0833333333</v>
      </c>
      <c r="X178" s="5" t="n">
        <f aca="false">(B178+C178+D178+H178)*0.005*'Prices&amp;Fuel'!H178</f>
        <v>0</v>
      </c>
      <c r="AE178" s="0"/>
      <c r="AF178" s="0"/>
    </row>
    <row r="179" customFormat="false" ht="12.75" hidden="false" customHeight="false" outlineLevel="0" collapsed="false">
      <c r="A179" s="6" t="n">
        <f aca="false">+A178+365/12</f>
        <v>41041.5</v>
      </c>
      <c r="X179" s="5" t="n">
        <f aca="false">(B179+C179+D179+H179)*0.005*'Prices&amp;Fuel'!H179</f>
        <v>0</v>
      </c>
      <c r="AE179" s="0"/>
      <c r="AF179" s="0"/>
    </row>
    <row r="180" customFormat="false" ht="12.75" hidden="false" customHeight="false" outlineLevel="0" collapsed="false">
      <c r="A180" s="6" t="n">
        <f aca="false">+A179+365/12</f>
        <v>41071.9166666667</v>
      </c>
      <c r="X180" s="5" t="n">
        <f aca="false">(B180+C180+D180+H180)*0.005*'Prices&amp;Fuel'!H180</f>
        <v>0</v>
      </c>
      <c r="AE180" s="0"/>
      <c r="AF180" s="0"/>
    </row>
    <row r="181" customFormat="false" ht="12.75" hidden="false" customHeight="false" outlineLevel="0" collapsed="false">
      <c r="A181" s="6" t="n">
        <f aca="false">+A180+365/12</f>
        <v>41102.3333333333</v>
      </c>
      <c r="X181" s="5" t="n">
        <f aca="false">(B181+C181+D181+H181)*0.005*'Prices&amp;Fuel'!H181</f>
        <v>0</v>
      </c>
      <c r="AE181" s="0"/>
      <c r="AF181" s="0"/>
    </row>
    <row r="182" customFormat="false" ht="12.75" hidden="false" customHeight="false" outlineLevel="0" collapsed="false">
      <c r="A182" s="6" t="n">
        <f aca="false">+A181+365/12</f>
        <v>41132.75</v>
      </c>
      <c r="X182" s="5" t="n">
        <f aca="false">(B182+C182+D182+H182)*0.005*'Prices&amp;Fuel'!H182</f>
        <v>0</v>
      </c>
      <c r="AE182" s="0"/>
      <c r="AF182" s="0"/>
    </row>
    <row r="183" customFormat="false" ht="12.75" hidden="false" customHeight="false" outlineLevel="0" collapsed="false">
      <c r="A183" s="6" t="n">
        <f aca="false">+A182+365/12</f>
        <v>41163.1666666667</v>
      </c>
      <c r="X183" s="5" t="n">
        <f aca="false">(B183+C183+D183+H183)*0.005*'Prices&amp;Fuel'!H183</f>
        <v>0</v>
      </c>
      <c r="AE183" s="0"/>
      <c r="AF183" s="0"/>
    </row>
    <row r="184" customFormat="false" ht="12.75" hidden="false" customHeight="false" outlineLevel="0" collapsed="false">
      <c r="A184" s="6" t="n">
        <f aca="false">+A183+365/12</f>
        <v>41193.5833333333</v>
      </c>
      <c r="X184" s="5" t="n">
        <f aca="false">(B184+C184+D184+H184)*0.005*'Prices&amp;Fuel'!H184</f>
        <v>0</v>
      </c>
      <c r="AE184" s="0"/>
      <c r="AF184" s="0"/>
    </row>
    <row r="185" customFormat="false" ht="12.75" hidden="false" customHeight="false" outlineLevel="0" collapsed="false">
      <c r="A185" s="6" t="n">
        <f aca="false">+A184+365/12</f>
        <v>41224</v>
      </c>
      <c r="X185" s="5" t="n">
        <f aca="false">(B185+C185+D185+H185)*0.005*'Prices&amp;Fuel'!H185</f>
        <v>0</v>
      </c>
      <c r="AE185" s="0"/>
      <c r="AF185" s="0"/>
    </row>
    <row r="186" customFormat="false" ht="12.75" hidden="false" customHeight="false" outlineLevel="0" collapsed="false">
      <c r="A186" s="6" t="n">
        <f aca="false">+A185+365/12</f>
        <v>41254.4166666667</v>
      </c>
      <c r="X186" s="5" t="n">
        <f aca="false">(B186+C186+D186+H186)*0.005*'Prices&amp;Fuel'!H186</f>
        <v>0</v>
      </c>
      <c r="AE186" s="0"/>
      <c r="AF186" s="0"/>
    </row>
    <row r="187" customFormat="false" ht="12.75" hidden="false" customHeight="false" outlineLevel="0" collapsed="false">
      <c r="A187" s="6" t="n">
        <f aca="false">+A186+365/12</f>
        <v>41284.8333333333</v>
      </c>
      <c r="X187" s="5" t="n">
        <f aca="false">(B187+C187+D187+H187)*0.005*'Prices&amp;Fuel'!H187</f>
        <v>0</v>
      </c>
      <c r="AE187" s="0"/>
      <c r="AF187" s="0"/>
    </row>
    <row r="188" customFormat="false" ht="12.75" hidden="false" customHeight="false" outlineLevel="0" collapsed="false">
      <c r="A188" s="6" t="n">
        <f aca="false">+A187+365/12</f>
        <v>41315.25</v>
      </c>
      <c r="X188" s="5" t="n">
        <f aca="false">(B188+C188+D188+H188)*0.005*'Prices&amp;Fuel'!H188</f>
        <v>0</v>
      </c>
      <c r="AE188" s="0"/>
      <c r="AF188" s="0"/>
    </row>
    <row r="189" customFormat="false" ht="12.75" hidden="false" customHeight="false" outlineLevel="0" collapsed="false">
      <c r="A189" s="6" t="n">
        <f aca="false">+A188+365/12</f>
        <v>41345.6666666667</v>
      </c>
      <c r="X189" s="5" t="n">
        <f aca="false">(B189+C189+D189+H189)*0.005*'Prices&amp;Fuel'!H189</f>
        <v>0</v>
      </c>
      <c r="AE189" s="0"/>
      <c r="AF189" s="0"/>
    </row>
    <row r="190" customFormat="false" ht="12.75" hidden="false" customHeight="false" outlineLevel="0" collapsed="false">
      <c r="A190" s="6" t="n">
        <f aca="false">+A189+365/12</f>
        <v>41376.0833333333</v>
      </c>
      <c r="X190" s="5" t="n">
        <f aca="false">(B190+C190+D190+H190)*0.005*'Prices&amp;Fuel'!H190</f>
        <v>0</v>
      </c>
      <c r="AE190" s="0"/>
      <c r="AF190" s="0"/>
    </row>
    <row r="191" customFormat="false" ht="12.75" hidden="false" customHeight="false" outlineLevel="0" collapsed="false">
      <c r="A191" s="6" t="n">
        <f aca="false">+A190+365/12</f>
        <v>41406.5</v>
      </c>
      <c r="X191" s="5" t="n">
        <f aca="false">(B191+C191+D191+H191)*0.005*'Prices&amp;Fuel'!H191</f>
        <v>0</v>
      </c>
      <c r="AE191" s="0"/>
      <c r="AF191" s="0"/>
    </row>
    <row r="192" customFormat="false" ht="12.75" hidden="false" customHeight="false" outlineLevel="0" collapsed="false">
      <c r="A192" s="6" t="n">
        <f aca="false">+A191+365/12</f>
        <v>41436.9166666667</v>
      </c>
      <c r="X192" s="5" t="n">
        <f aca="false">(B192+C192+D192+H192)*0.005*'Prices&amp;Fuel'!H192</f>
        <v>0</v>
      </c>
      <c r="AE192" s="0"/>
      <c r="AF192" s="0"/>
    </row>
    <row r="193" customFormat="false" ht="12.75" hidden="false" customHeight="false" outlineLevel="0" collapsed="false">
      <c r="A193" s="6" t="n">
        <f aca="false">+A192+365/12</f>
        <v>41467.3333333333</v>
      </c>
      <c r="X193" s="5" t="n">
        <f aca="false">(B193+C193+D193+H193)*0.005*'Prices&amp;Fuel'!H193</f>
        <v>0</v>
      </c>
      <c r="AE193" s="0"/>
      <c r="AF193" s="0"/>
    </row>
    <row r="194" customFormat="false" ht="12.75" hidden="false" customHeight="false" outlineLevel="0" collapsed="false">
      <c r="A194" s="6" t="n">
        <f aca="false">+A193+365/12</f>
        <v>41497.75</v>
      </c>
      <c r="X194" s="5" t="n">
        <f aca="false">(B194+C194+D194+H194)*0.005*'Prices&amp;Fuel'!H194</f>
        <v>0</v>
      </c>
      <c r="AE194" s="0"/>
      <c r="AF194" s="0"/>
    </row>
    <row r="195" customFormat="false" ht="12.75" hidden="false" customHeight="false" outlineLevel="0" collapsed="false">
      <c r="A195" s="6" t="n">
        <f aca="false">+A194+365/12</f>
        <v>41528.1666666667</v>
      </c>
      <c r="X195" s="5" t="n">
        <f aca="false">(B195+C195+D195+H195)*0.005*'Prices&amp;Fuel'!H195</f>
        <v>0</v>
      </c>
      <c r="AE195" s="0"/>
      <c r="AF195" s="0"/>
    </row>
    <row r="196" customFormat="false" ht="12.75" hidden="false" customHeight="false" outlineLevel="0" collapsed="false">
      <c r="A196" s="6" t="n">
        <f aca="false">+A195+365/12</f>
        <v>41558.5833333333</v>
      </c>
      <c r="B196" s="7"/>
      <c r="D196" s="7"/>
      <c r="E196" s="7"/>
      <c r="F196" s="7"/>
      <c r="G196" s="7"/>
      <c r="H196" s="7"/>
      <c r="I196" s="7"/>
      <c r="J196" s="7"/>
      <c r="K196" s="7"/>
      <c r="L196" s="7"/>
      <c r="M196" s="7"/>
      <c r="N196" s="7"/>
      <c r="O196" s="7"/>
      <c r="P196" s="7"/>
      <c r="Q196" s="7"/>
      <c r="S196" s="7"/>
      <c r="T196" s="7"/>
      <c r="U196" s="7"/>
      <c r="V196" s="7"/>
      <c r="W196" s="7"/>
      <c r="X196" s="7"/>
      <c r="AE196" s="0"/>
      <c r="AF196" s="0"/>
    </row>
    <row r="197" customFormat="false" ht="12.75" hidden="false" customHeight="false" outlineLevel="0" collapsed="false">
      <c r="A197" s="6" t="n">
        <f aca="false">+A196+365/12</f>
        <v>41589</v>
      </c>
      <c r="B197" s="7"/>
      <c r="D197" s="7"/>
      <c r="E197" s="7"/>
      <c r="F197" s="7"/>
      <c r="G197" s="7"/>
      <c r="H197" s="7"/>
      <c r="I197" s="7"/>
      <c r="J197" s="7"/>
      <c r="K197" s="7"/>
      <c r="L197" s="7"/>
      <c r="M197" s="7"/>
      <c r="N197" s="7"/>
      <c r="O197" s="7"/>
      <c r="P197" s="7"/>
      <c r="Q197" s="7"/>
      <c r="S197" s="7"/>
      <c r="T197" s="7"/>
      <c r="U197" s="7"/>
      <c r="V197" s="7"/>
      <c r="W197" s="7"/>
      <c r="X197" s="7"/>
      <c r="AE197" s="0"/>
      <c r="AF197" s="0"/>
    </row>
    <row r="198" customFormat="false" ht="12.75" hidden="false" customHeight="false" outlineLevel="0" collapsed="false">
      <c r="A198" s="6" t="n">
        <f aca="false">+A197+365/12</f>
        <v>41619.4166666667</v>
      </c>
      <c r="B198" s="7"/>
      <c r="D198" s="7"/>
      <c r="E198" s="7"/>
      <c r="F198" s="7"/>
      <c r="G198" s="7"/>
      <c r="H198" s="7"/>
      <c r="I198" s="7"/>
      <c r="J198" s="7"/>
      <c r="K198" s="7"/>
      <c r="L198" s="7"/>
      <c r="M198" s="7"/>
      <c r="N198" s="7"/>
      <c r="O198" s="7"/>
      <c r="P198" s="7"/>
      <c r="Q198" s="7"/>
      <c r="S198" s="7"/>
      <c r="T198" s="7"/>
      <c r="U198" s="7"/>
      <c r="V198" s="7"/>
      <c r="W198" s="7"/>
      <c r="X198" s="7"/>
      <c r="AE198" s="0"/>
      <c r="AF198" s="0"/>
    </row>
    <row r="199" customFormat="false" ht="12.75" hidden="false" customHeight="false" outlineLevel="0" collapsed="false">
      <c r="A199" s="6" t="n">
        <f aca="false">+A198+365/12</f>
        <v>41649.8333333333</v>
      </c>
      <c r="B199" s="7"/>
      <c r="D199" s="7"/>
      <c r="E199" s="7"/>
      <c r="F199" s="7"/>
      <c r="G199" s="7"/>
      <c r="H199" s="7"/>
      <c r="I199" s="7"/>
      <c r="J199" s="7"/>
      <c r="K199" s="7"/>
      <c r="L199" s="7"/>
      <c r="M199" s="7"/>
      <c r="N199" s="7"/>
      <c r="O199" s="7"/>
      <c r="P199" s="7"/>
      <c r="Q199" s="7"/>
      <c r="S199" s="7"/>
      <c r="T199" s="7"/>
      <c r="U199" s="7"/>
      <c r="V199" s="7"/>
      <c r="W199" s="7"/>
      <c r="X199" s="7"/>
      <c r="AE199" s="0"/>
      <c r="AF199" s="0"/>
    </row>
    <row r="200" customFormat="false" ht="12.75" hidden="false" customHeight="false" outlineLevel="0" collapsed="false">
      <c r="A200" s="6" t="n">
        <f aca="false">+A199+365/12</f>
        <v>41680.25</v>
      </c>
      <c r="B200" s="0"/>
      <c r="C200" s="11"/>
      <c r="D200" s="0"/>
      <c r="E200" s="0"/>
      <c r="F200" s="0"/>
      <c r="G200" s="0"/>
      <c r="H200" s="0"/>
      <c r="I200" s="0"/>
      <c r="J200" s="0"/>
      <c r="K200" s="0"/>
      <c r="L200" s="0"/>
      <c r="M200" s="0"/>
      <c r="N200" s="0"/>
      <c r="O200" s="0"/>
      <c r="P200" s="0"/>
      <c r="Q200" s="0"/>
      <c r="R200" s="11"/>
      <c r="S200" s="0"/>
      <c r="T200" s="0"/>
      <c r="U200" s="0"/>
      <c r="V200" s="0"/>
      <c r="W200" s="0"/>
      <c r="X200" s="0"/>
      <c r="Y200" s="0"/>
      <c r="Z200" s="0"/>
      <c r="AA200" s="0"/>
      <c r="AE200" s="0"/>
      <c r="AF200" s="0"/>
      <c r="AG200" s="0"/>
      <c r="AH200" s="0"/>
      <c r="AI200" s="0"/>
      <c r="AJ200" s="0"/>
      <c r="AK200" s="0"/>
      <c r="AL200" s="0"/>
      <c r="AM200" s="0"/>
      <c r="AN200" s="0"/>
      <c r="AO200" s="0"/>
      <c r="AP200" s="0"/>
      <c r="AQ200" s="0"/>
      <c r="AR200" s="0"/>
      <c r="AS200" s="0"/>
      <c r="AT200" s="0"/>
      <c r="AU200" s="0"/>
      <c r="AV200" s="0"/>
      <c r="AW200" s="0"/>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c r="IW200" s="0"/>
    </row>
    <row r="201" customFormat="false" ht="12.75" hidden="false" customHeight="false" outlineLevel="0" collapsed="false">
      <c r="A201" s="6" t="n">
        <f aca="false">+A200+365/12</f>
        <v>41710.6666666667</v>
      </c>
      <c r="B201" s="0"/>
      <c r="C201" s="11"/>
      <c r="D201" s="0"/>
      <c r="E201" s="0"/>
      <c r="F201" s="0"/>
      <c r="G201" s="0"/>
      <c r="H201" s="0"/>
      <c r="I201" s="0"/>
      <c r="J201" s="0"/>
      <c r="K201" s="0"/>
      <c r="L201" s="0"/>
      <c r="M201" s="0"/>
      <c r="N201" s="0"/>
      <c r="O201" s="0"/>
      <c r="P201" s="0"/>
      <c r="Q201" s="0"/>
      <c r="R201" s="11"/>
      <c r="S201" s="0"/>
      <c r="T201" s="0"/>
      <c r="U201" s="0"/>
      <c r="V201" s="0"/>
      <c r="W201" s="0"/>
      <c r="X201" s="0"/>
      <c r="Y201" s="0"/>
      <c r="Z201" s="0"/>
      <c r="AA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A202" s="6" t="n">
        <f aca="false">+A201+365/12</f>
        <v>41741.0833333333</v>
      </c>
      <c r="B202" s="0"/>
      <c r="C202" s="11"/>
      <c r="D202" s="0"/>
      <c r="E202" s="0"/>
      <c r="F202" s="0"/>
      <c r="G202" s="0"/>
      <c r="H202" s="0"/>
      <c r="I202" s="0"/>
      <c r="J202" s="0"/>
      <c r="K202" s="0"/>
      <c r="L202" s="0"/>
      <c r="M202" s="0"/>
      <c r="N202" s="0"/>
      <c r="O202" s="0"/>
      <c r="P202" s="0"/>
      <c r="Q202" s="0"/>
      <c r="R202" s="11"/>
      <c r="S202" s="0"/>
      <c r="T202" s="0"/>
      <c r="U202" s="0"/>
      <c r="V202" s="0"/>
      <c r="W202" s="0"/>
      <c r="X202" s="0"/>
      <c r="Y202" s="0"/>
      <c r="Z202" s="0"/>
      <c r="AA202" s="0"/>
      <c r="AE202" s="0"/>
      <c r="AF202" s="0"/>
      <c r="AG202" s="0"/>
      <c r="AH202" s="0"/>
      <c r="AI202" s="0"/>
      <c r="AJ202" s="0"/>
      <c r="AK202" s="0"/>
      <c r="AL202" s="0"/>
      <c r="AM202" s="0"/>
      <c r="AN202" s="0"/>
      <c r="AO202" s="0"/>
      <c r="AP202" s="0"/>
      <c r="AQ202" s="0"/>
      <c r="AR202" s="0"/>
      <c r="AS202" s="0"/>
      <c r="AT202" s="0"/>
      <c r="AU202" s="0"/>
      <c r="AV202" s="0"/>
      <c r="AW202" s="0"/>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row>
    <row r="203" customFormat="false" ht="12.75" hidden="false" customHeight="false" outlineLevel="0" collapsed="false">
      <c r="A203" s="6" t="n">
        <f aca="false">+A202+365/12</f>
        <v>41771.5</v>
      </c>
      <c r="AE203" s="0"/>
      <c r="AF203" s="0"/>
    </row>
    <row r="204" customFormat="false" ht="12.75" hidden="false" customHeight="false" outlineLevel="0" collapsed="false">
      <c r="A204" s="6" t="n">
        <f aca="false">+A203+365/12</f>
        <v>41801.9166666667</v>
      </c>
      <c r="AE204" s="0"/>
      <c r="AF204" s="0"/>
    </row>
    <row r="205" customFormat="false" ht="12.75" hidden="false" customHeight="false" outlineLevel="0" collapsed="false">
      <c r="A205" s="6" t="n">
        <f aca="false">+A204+365/12</f>
        <v>41832.3333333333</v>
      </c>
      <c r="AE205" s="0"/>
      <c r="AF205" s="0"/>
    </row>
    <row r="206" customFormat="false" ht="12.75" hidden="false" customHeight="false" outlineLevel="0" collapsed="false">
      <c r="A206" s="6" t="n">
        <f aca="false">+A205+365/12</f>
        <v>41862.75</v>
      </c>
      <c r="AE206" s="0"/>
      <c r="AF206" s="0"/>
    </row>
    <row r="207" customFormat="false" ht="12.75" hidden="false" customHeight="false" outlineLevel="0" collapsed="false">
      <c r="A207" s="6" t="n">
        <f aca="false">+A206+365/12</f>
        <v>41893.1666666667</v>
      </c>
      <c r="AE207" s="0"/>
      <c r="AF207" s="0"/>
    </row>
    <row r="208" customFormat="false" ht="12.75" hidden="false" customHeight="false" outlineLevel="0" collapsed="false">
      <c r="A208" s="6" t="n">
        <f aca="false">+A207+365/12</f>
        <v>41923.5833333333</v>
      </c>
      <c r="AE208" s="0"/>
      <c r="AF208" s="0"/>
    </row>
    <row r="209" customFormat="false" ht="12.75" hidden="false" customHeight="false" outlineLevel="0" collapsed="false">
      <c r="A209" s="6" t="n">
        <f aca="false">+A208+365/12</f>
        <v>41954</v>
      </c>
      <c r="AE209" s="0"/>
      <c r="AF209" s="0"/>
    </row>
    <row r="210" customFormat="false" ht="12.75" hidden="false" customHeight="false" outlineLevel="0" collapsed="false">
      <c r="A210" s="6" t="n">
        <f aca="false">+A209+365/12</f>
        <v>41984.4166666667</v>
      </c>
      <c r="AE210" s="0"/>
      <c r="AF210" s="0"/>
    </row>
    <row r="211" customFormat="false" ht="12.75" hidden="false" customHeight="false" outlineLevel="0" collapsed="false">
      <c r="A211" s="6" t="n">
        <f aca="false">+A210+365/12</f>
        <v>42014.8333333333</v>
      </c>
      <c r="AE211" s="0"/>
      <c r="AF211" s="0"/>
    </row>
    <row r="212" customFormat="false" ht="12.75" hidden="false" customHeight="false" outlineLevel="0" collapsed="false">
      <c r="A212" s="6" t="n">
        <f aca="false">+A211+365/12</f>
        <v>42045.25</v>
      </c>
      <c r="AE212" s="0"/>
      <c r="AF212" s="0"/>
    </row>
    <row r="213" customFormat="false" ht="12.75" hidden="false" customHeight="false" outlineLevel="0" collapsed="false">
      <c r="AE213" s="0"/>
      <c r="AF213" s="0"/>
    </row>
    <row r="214" customFormat="false" ht="12.75" hidden="false" customHeight="false" outlineLevel="0" collapsed="false">
      <c r="AE214" s="0"/>
      <c r="AF214" s="0"/>
    </row>
    <row r="215" customFormat="false" ht="12.75" hidden="false" customHeight="false" outlineLevel="0" collapsed="false">
      <c r="AE215" s="0"/>
      <c r="AF215" s="0"/>
    </row>
    <row r="216" customFormat="false" ht="12.75" hidden="false" customHeight="false" outlineLevel="0" collapsed="false">
      <c r="AE216" s="0"/>
      <c r="AF216" s="0"/>
    </row>
    <row r="217" customFormat="false" ht="12.75" hidden="false" customHeight="false" outlineLevel="0" collapsed="false">
      <c r="AE217" s="0"/>
      <c r="AF217" s="0"/>
    </row>
    <row r="218" customFormat="false" ht="12.75" hidden="false" customHeight="false" outlineLevel="0" collapsed="false">
      <c r="AE218" s="0"/>
      <c r="AF218" s="0"/>
    </row>
    <row r="219" customFormat="false" ht="12.75" hidden="false" customHeight="false" outlineLevel="0" collapsed="false">
      <c r="AE219" s="0"/>
      <c r="AF219" s="0"/>
    </row>
    <row r="220" customFormat="false" ht="12.75" hidden="false" customHeight="false" outlineLevel="0" collapsed="false">
      <c r="AE220" s="0"/>
      <c r="AF220" s="0"/>
    </row>
    <row r="221" customFormat="false" ht="12.75" hidden="false" customHeight="false" outlineLevel="0" collapsed="false">
      <c r="AE221" s="0"/>
      <c r="AF221" s="0"/>
    </row>
    <row r="222" customFormat="false" ht="12.75" hidden="false" customHeight="false" outlineLevel="0" collapsed="false">
      <c r="AE222" s="0"/>
      <c r="AF222" s="0"/>
    </row>
    <row r="223" customFormat="false" ht="12.75" hidden="false" customHeight="false" outlineLevel="0" collapsed="false">
      <c r="AE223" s="0"/>
      <c r="AF223" s="0"/>
    </row>
    <row r="224" customFormat="false" ht="12.75" hidden="false" customHeight="false" outlineLevel="0" collapsed="false">
      <c r="AE224" s="0"/>
      <c r="AF224" s="0"/>
    </row>
    <row r="225" customFormat="false" ht="12.75" hidden="false" customHeight="false" outlineLevel="0" collapsed="false">
      <c r="AE225" s="0"/>
      <c r="AF225" s="0"/>
    </row>
    <row r="226" customFormat="false" ht="12.75" hidden="false" customHeight="false" outlineLevel="0" collapsed="false">
      <c r="AE226" s="0"/>
      <c r="AF226" s="0"/>
    </row>
  </sheetData>
  <mergeCells count="1">
    <mergeCell ref="B3:W3"/>
  </mergeCells>
  <printOptions headings="false" gridLines="true" gridLinesSet="true" horizontalCentered="true" verticalCentered="false"/>
  <pageMargins left="0" right="0" top="0.75" bottom="0.25" header="0.511811023622047" footer="0.511811023622047"/>
  <pageSetup paperSize="1" scale="75"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 man="true" max="65535" min="0"/>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customHeight="true" zeroHeight="false" outlineLevelRow="0" outlineLevelCol="0"/>
  <cols>
    <col collapsed="false" customWidth="false" hidden="false" outlineLevel="0" max="1" min="1" style="73" width="9.14"/>
    <col collapsed="false" customWidth="false" hidden="false" outlineLevel="0" max="6" min="2" style="7" width="9.14"/>
    <col collapsed="false" customWidth="false" hidden="false" outlineLevel="0" max="7" min="7" style="1" width="9.14"/>
    <col collapsed="false" customWidth="false" hidden="false" outlineLevel="0" max="9" min="8" style="7" width="9.14"/>
    <col collapsed="false" customWidth="false" hidden="false" outlineLevel="0" max="10" min="10" style="1" width="9.14"/>
    <col collapsed="false" customWidth="true" hidden="false" outlineLevel="0" max="11" min="11" style="1" width="11.56"/>
    <col collapsed="false" customWidth="true" hidden="false" outlineLevel="0" max="12" min="12" style="0" width="10.41"/>
    <col collapsed="false" customWidth="true" hidden="false" outlineLevel="0" max="13" min="13" style="0" width="9.06"/>
    <col collapsed="false" customWidth="true" hidden="false" outlineLevel="0" max="14" min="14" style="1" width="2.7"/>
    <col collapsed="false" customWidth="false" hidden="false" outlineLevel="0" max="17" min="15" style="1" width="9.14"/>
    <col collapsed="false" customWidth="false" hidden="false" outlineLevel="0" max="19" min="18" style="8" width="9.14"/>
    <col collapsed="false" customWidth="true" hidden="false" outlineLevel="0" max="20" min="20" style="8" width="10.85"/>
    <col collapsed="false" customWidth="true" hidden="false" outlineLevel="0" max="21" min="21" style="8" width="10.99"/>
    <col collapsed="false" customWidth="true" hidden="false" outlineLevel="0" max="22" min="22" style="0" width="9.7"/>
    <col collapsed="false" customWidth="true" hidden="false" outlineLevel="0" max="23" min="23" style="1" width="2.7"/>
    <col collapsed="false" customWidth="false" hidden="false" outlineLevel="0" max="27" min="24" style="1" width="9.14"/>
    <col collapsed="false" customWidth="true" hidden="false" outlineLevel="0" max="28" min="28" style="1" width="10.13"/>
    <col collapsed="false" customWidth="true" hidden="false" outlineLevel="0" max="29" min="29" style="1" width="10.28"/>
    <col collapsed="false" customWidth="true" hidden="false" outlineLevel="0" max="30" min="30" style="1" width="9.56"/>
    <col collapsed="false" customWidth="true" hidden="false" outlineLevel="0" max="31" min="31" style="1" width="2.7"/>
    <col collapsed="false" customWidth="true" hidden="false" outlineLevel="0" max="32" min="32" style="1" width="10.28"/>
    <col collapsed="false" customWidth="true" hidden="false" outlineLevel="0" max="33" min="33" style="7" width="10.13"/>
    <col collapsed="false" customWidth="true" hidden="false" outlineLevel="0" max="37" min="34" style="1" width="10.85"/>
    <col collapsed="false" customWidth="true" hidden="false" outlineLevel="0" max="38" min="38" style="1" width="11.99"/>
    <col collapsed="false" customWidth="true" hidden="false" outlineLevel="0" max="39" min="39" style="1" width="9.85"/>
    <col collapsed="false" customWidth="true" hidden="false" outlineLevel="0" max="41" min="40" style="1" width="10.71"/>
    <col collapsed="false" customWidth="true" hidden="false" outlineLevel="0" max="43" min="42" style="1" width="10.56"/>
    <col collapsed="false" customWidth="true" hidden="false" outlineLevel="0" max="44" min="44" style="1" width="9.7"/>
    <col collapsed="false" customWidth="true" hidden="false" outlineLevel="0" max="45" min="45" style="1" width="9.85"/>
    <col collapsed="false" customWidth="true" hidden="false" outlineLevel="0" max="46" min="46" style="1" width="11.7"/>
    <col collapsed="false" customWidth="true" hidden="false" outlineLevel="0" max="47" min="47" style="1" width="8.99"/>
    <col collapsed="false" customWidth="true" hidden="false" outlineLevel="0" max="48" min="48" style="7" width="7.7"/>
    <col collapsed="false" customWidth="true" hidden="false" outlineLevel="0" max="49" min="49" style="1" width="7.28"/>
    <col collapsed="false" customWidth="true" hidden="false" outlineLevel="0" max="50" min="50" style="1" width="6.7"/>
    <col collapsed="false" customWidth="true" hidden="false" outlineLevel="0" max="51" min="51" style="1" width="11.56"/>
    <col collapsed="false" customWidth="true" hidden="false" outlineLevel="0" max="52" min="52" style="1" width="10.99"/>
    <col collapsed="false" customWidth="true" hidden="false" outlineLevel="0" max="53" min="53" style="1" width="11.42"/>
    <col collapsed="false" customWidth="true" hidden="false" outlineLevel="0" max="54" min="54" style="1" width="9.41"/>
    <col collapsed="false" customWidth="true" hidden="false" outlineLevel="0" max="55" min="55" style="1" width="11.7"/>
    <col collapsed="false" customWidth="false" hidden="false" outlineLevel="0" max="60" min="56" style="1" width="9.14"/>
    <col collapsed="false" customWidth="true" hidden="false" outlineLevel="0" max="62" min="61" style="1" width="10.56"/>
    <col collapsed="false" customWidth="false" hidden="false" outlineLevel="0" max="63" min="63" style="1" width="9.14"/>
    <col collapsed="false" customWidth="true" hidden="false" outlineLevel="0" max="64" min="64" style="1" width="10.41"/>
    <col collapsed="false" customWidth="false" hidden="false" outlineLevel="0" max="66" min="65" style="1" width="9.14"/>
    <col collapsed="false" customWidth="true" hidden="false" outlineLevel="0" max="67" min="67" style="1" width="11.99"/>
    <col collapsed="false" customWidth="true" hidden="false" outlineLevel="0" max="69" min="68" style="1" width="10.85"/>
    <col collapsed="false" customWidth="true" hidden="false" outlineLevel="0" max="71" min="70" style="7" width="9.7"/>
    <col collapsed="false" customWidth="true" hidden="false" outlineLevel="0" max="75" min="72" style="1" width="9.7"/>
    <col collapsed="false" customWidth="false" hidden="false" outlineLevel="0" max="79" min="76" style="1" width="9.14"/>
    <col collapsed="false" customWidth="true" hidden="false" outlineLevel="0" max="80" min="80" style="1" width="10.56"/>
    <col collapsed="false" customWidth="true" hidden="false" outlineLevel="0" max="81" min="81" style="1" width="10.85"/>
    <col collapsed="false" customWidth="true" hidden="false" outlineLevel="0" max="82" min="82" style="1" width="12.28"/>
    <col collapsed="false" customWidth="true" hidden="false" outlineLevel="0" max="83" min="83" style="1" width="10.99"/>
    <col collapsed="false" customWidth="false" hidden="false" outlineLevel="0" max="87" min="84" style="1" width="9.14"/>
    <col collapsed="false" customWidth="true" hidden="false" outlineLevel="0" max="89" min="88" style="1" width="11.56"/>
    <col collapsed="false" customWidth="true" hidden="false" outlineLevel="0" max="90" min="90" style="1" width="10.71"/>
    <col collapsed="false" customWidth="true" hidden="false" outlineLevel="0" max="91" min="91" style="1" width="10.56"/>
    <col collapsed="false" customWidth="true" hidden="false" outlineLevel="0" max="92" min="92" style="1" width="11.56"/>
    <col collapsed="false" customWidth="true" hidden="false" outlineLevel="0" max="93" min="93" style="1" width="11.13"/>
    <col collapsed="false" customWidth="false" hidden="false" outlineLevel="0" max="94" min="94" style="1" width="9.14"/>
    <col collapsed="false" customWidth="false" hidden="false" outlineLevel="0" max="95" min="95" style="7" width="9.14"/>
    <col collapsed="false" customWidth="true" hidden="false" outlineLevel="0" max="96" min="96" style="7" width="10.56"/>
    <col collapsed="false" customWidth="false" hidden="false" outlineLevel="0" max="97" min="97" style="1" width="9.14"/>
    <col collapsed="false" customWidth="true" hidden="false" outlineLevel="0" max="98" min="98" style="1" width="10.28"/>
    <col collapsed="false" customWidth="true" hidden="false" outlineLevel="0" max="99" min="99" style="1" width="9.85"/>
    <col collapsed="false" customWidth="true" hidden="false" outlineLevel="0" max="100" min="100" style="1" width="10.41"/>
    <col collapsed="false" customWidth="true" hidden="false" outlineLevel="0" max="101" min="101" style="1" width="10.71"/>
    <col collapsed="false" customWidth="true" hidden="false" outlineLevel="0" max="103" min="102" style="1" width="10.99"/>
    <col collapsed="false" customWidth="true" hidden="false" outlineLevel="0" max="104" min="104" style="1" width="9.85"/>
    <col collapsed="false" customWidth="true" hidden="false" outlineLevel="0" max="105" min="105" style="1" width="8.85"/>
    <col collapsed="false" customWidth="true" hidden="false" outlineLevel="0" max="106" min="106" style="1" width="7.42"/>
    <col collapsed="false" customWidth="false" hidden="false" outlineLevel="0" max="107" min="107" style="1" width="9.14"/>
    <col collapsed="false" customWidth="true" hidden="false" outlineLevel="0" max="108" min="108" style="1" width="12.28"/>
    <col collapsed="false" customWidth="true" hidden="false" outlineLevel="0" max="109" min="109" style="1" width="10.41"/>
    <col collapsed="false" customWidth="true" hidden="false" outlineLevel="0" max="110" min="110" style="1" width="9.7"/>
    <col collapsed="false" customWidth="false" hidden="false" outlineLevel="0" max="111" min="111" style="1" width="9.14"/>
    <col collapsed="false" customWidth="true" hidden="false" outlineLevel="0" max="112" min="112" style="1" width="10.41"/>
    <col collapsed="false" customWidth="false" hidden="false" outlineLevel="0" max="257" min="113" style="1" width="9.14"/>
  </cols>
  <sheetData>
    <row r="1" customFormat="false" ht="12.75" hidden="false" customHeight="false" outlineLevel="0" collapsed="false">
      <c r="CN1" s="0"/>
      <c r="CO1" s="0"/>
    </row>
    <row r="3" customFormat="false" ht="19.15" hidden="false" customHeight="true" outlineLevel="0" collapsed="false">
      <c r="B3" s="51" t="s">
        <v>143</v>
      </c>
      <c r="C3" s="51"/>
      <c r="D3" s="51"/>
      <c r="E3" s="51"/>
      <c r="F3" s="51"/>
      <c r="G3" s="51"/>
      <c r="H3" s="51"/>
      <c r="I3" s="51"/>
      <c r="J3" s="51"/>
      <c r="K3" s="51"/>
      <c r="L3" s="51"/>
      <c r="M3" s="51"/>
      <c r="O3" s="3" t="s">
        <v>144</v>
      </c>
      <c r="P3" s="3"/>
      <c r="Q3" s="3"/>
      <c r="R3" s="3"/>
      <c r="S3" s="3"/>
      <c r="T3" s="3"/>
      <c r="U3" s="3"/>
      <c r="X3" s="3" t="s">
        <v>145</v>
      </c>
      <c r="Y3" s="3"/>
      <c r="Z3" s="3"/>
      <c r="AA3" s="3"/>
      <c r="AB3" s="3"/>
      <c r="AC3" s="3"/>
      <c r="AD3" s="3"/>
      <c r="AF3" s="3" t="s">
        <v>146</v>
      </c>
      <c r="AG3" s="3"/>
      <c r="AH3" s="3"/>
      <c r="AI3" s="3"/>
      <c r="AJ3" s="3"/>
      <c r="AK3" s="3"/>
      <c r="AL3" s="3"/>
      <c r="AM3" s="3"/>
      <c r="AN3" s="3"/>
      <c r="AO3" s="3"/>
      <c r="AP3" s="3"/>
      <c r="AQ3" s="3"/>
      <c r="AR3" s="3"/>
      <c r="AS3" s="3"/>
      <c r="AT3" s="3"/>
      <c r="AU3" s="3"/>
      <c r="AV3" s="3"/>
      <c r="AW3" s="3"/>
      <c r="AX3" s="3"/>
      <c r="AY3" s="3"/>
      <c r="AZ3" s="3"/>
      <c r="BA3" s="3"/>
      <c r="BB3" s="2" t="s">
        <v>0</v>
      </c>
      <c r="BC3" s="2"/>
      <c r="BD3" s="2"/>
      <c r="BE3" s="2"/>
      <c r="BF3" s="2"/>
      <c r="BG3" s="2"/>
      <c r="BH3" s="2"/>
      <c r="BI3" s="2"/>
      <c r="BJ3" s="2"/>
      <c r="BK3" s="2"/>
      <c r="BL3" s="2"/>
      <c r="BM3" s="2"/>
      <c r="BN3" s="2"/>
      <c r="BO3" s="2"/>
      <c r="BP3" s="2"/>
      <c r="BQ3" s="2"/>
      <c r="BR3" s="65" t="s">
        <v>147</v>
      </c>
      <c r="BS3" s="65"/>
      <c r="BT3" s="65"/>
      <c r="BU3" s="65"/>
      <c r="BV3" s="65"/>
      <c r="BW3" s="65"/>
      <c r="BX3" s="65"/>
      <c r="BY3" s="65"/>
      <c r="BZ3" s="65"/>
      <c r="CA3" s="66"/>
      <c r="CB3" s="66"/>
      <c r="CC3" s="66" t="s">
        <v>148</v>
      </c>
      <c r="CD3" s="66"/>
      <c r="CE3" s="66"/>
      <c r="CF3" s="3" t="s">
        <v>100</v>
      </c>
      <c r="CG3" s="3"/>
      <c r="CH3" s="3"/>
      <c r="CI3" s="3"/>
      <c r="CJ3" s="3" t="s">
        <v>149</v>
      </c>
      <c r="CK3" s="3"/>
      <c r="CL3" s="3"/>
    </row>
    <row r="4" customFormat="false" ht="45" hidden="false" customHeight="true" outlineLevel="0" collapsed="false">
      <c r="A4" s="74" t="s">
        <v>197</v>
      </c>
      <c r="B4" s="5" t="s">
        <v>150</v>
      </c>
      <c r="C4" s="5" t="s">
        <v>151</v>
      </c>
      <c r="D4" s="5" t="s">
        <v>152</v>
      </c>
      <c r="E4" s="5" t="s">
        <v>153</v>
      </c>
      <c r="F4" s="5" t="s">
        <v>154</v>
      </c>
      <c r="G4" s="5" t="s">
        <v>155</v>
      </c>
      <c r="H4" s="5" t="s">
        <v>156</v>
      </c>
      <c r="I4" s="5" t="s">
        <v>157</v>
      </c>
      <c r="J4" s="5" t="s">
        <v>158</v>
      </c>
      <c r="K4" s="4" t="s">
        <v>11</v>
      </c>
      <c r="L4" s="4" t="s">
        <v>22</v>
      </c>
      <c r="M4" s="4" t="s">
        <v>23</v>
      </c>
      <c r="N4" s="4"/>
      <c r="O4" s="5" t="s">
        <v>150</v>
      </c>
      <c r="P4" s="5" t="s">
        <v>151</v>
      </c>
      <c r="Q4" s="5" t="s">
        <v>152</v>
      </c>
      <c r="R4" s="32" t="s">
        <v>8</v>
      </c>
      <c r="S4" s="32" t="s">
        <v>32</v>
      </c>
      <c r="T4" s="4" t="s">
        <v>11</v>
      </c>
      <c r="U4" s="4" t="s">
        <v>22</v>
      </c>
      <c r="V4" s="4" t="s">
        <v>23</v>
      </c>
      <c r="W4" s="4"/>
      <c r="X4" s="5" t="s">
        <v>150</v>
      </c>
      <c r="Y4" s="5" t="s">
        <v>152</v>
      </c>
      <c r="Z4" s="5" t="s">
        <v>8</v>
      </c>
      <c r="AA4" s="5" t="s">
        <v>32</v>
      </c>
      <c r="AB4" s="4" t="s">
        <v>11</v>
      </c>
      <c r="AC4" s="4" t="s">
        <v>22</v>
      </c>
      <c r="AD4" s="4" t="s">
        <v>23</v>
      </c>
      <c r="AE4" s="4"/>
      <c r="AF4" s="5" t="s">
        <v>150</v>
      </c>
      <c r="AG4" s="5" t="s">
        <v>151</v>
      </c>
      <c r="AH4" s="5" t="s">
        <v>159</v>
      </c>
      <c r="AI4" s="5" t="s">
        <v>160</v>
      </c>
      <c r="AJ4" s="5" t="s">
        <v>161</v>
      </c>
      <c r="AK4" s="5" t="s">
        <v>162</v>
      </c>
      <c r="AL4" s="5" t="s">
        <v>163</v>
      </c>
      <c r="AM4" s="4" t="s">
        <v>164</v>
      </c>
      <c r="AN4" s="4" t="s">
        <v>165</v>
      </c>
      <c r="AO4" s="4" t="s">
        <v>166</v>
      </c>
      <c r="AP4" s="4" t="s">
        <v>167</v>
      </c>
      <c r="AQ4" s="4" t="s">
        <v>168</v>
      </c>
      <c r="AR4" s="4" t="s">
        <v>169</v>
      </c>
      <c r="AS4" s="4" t="s">
        <v>170</v>
      </c>
      <c r="AT4" s="4" t="s">
        <v>171</v>
      </c>
      <c r="AU4" s="4" t="s">
        <v>172</v>
      </c>
      <c r="AV4" s="5" t="s">
        <v>173</v>
      </c>
      <c r="AW4" s="4" t="s">
        <v>174</v>
      </c>
      <c r="AX4" s="4" t="s">
        <v>175</v>
      </c>
      <c r="AY4" s="4" t="s">
        <v>11</v>
      </c>
      <c r="AZ4" s="4" t="s">
        <v>22</v>
      </c>
      <c r="BA4" s="4" t="s">
        <v>23</v>
      </c>
      <c r="BB4" s="4" t="s">
        <v>29</v>
      </c>
      <c r="BC4" s="4" t="s">
        <v>30</v>
      </c>
      <c r="BD4" s="4" t="s">
        <v>31</v>
      </c>
      <c r="BE4" s="4" t="s">
        <v>5</v>
      </c>
      <c r="BF4" s="4" t="s">
        <v>6</v>
      </c>
      <c r="BG4" s="4" t="s">
        <v>7</v>
      </c>
      <c r="BH4" s="5" t="s">
        <v>8</v>
      </c>
      <c r="BI4" s="5" t="s">
        <v>9</v>
      </c>
      <c r="BJ4" s="5" t="s">
        <v>10</v>
      </c>
      <c r="BK4" s="5" t="s">
        <v>32</v>
      </c>
      <c r="BL4" s="4" t="s">
        <v>11</v>
      </c>
      <c r="BM4" s="4" t="s">
        <v>18</v>
      </c>
      <c r="BN4" s="4" t="s">
        <v>19</v>
      </c>
      <c r="BO4" s="4" t="s">
        <v>20</v>
      </c>
      <c r="BP4" s="4" t="s">
        <v>22</v>
      </c>
      <c r="BQ4" s="4" t="s">
        <v>23</v>
      </c>
      <c r="BR4" s="17" t="s">
        <v>176</v>
      </c>
      <c r="BS4" s="17"/>
      <c r="BT4" s="5" t="s">
        <v>8</v>
      </c>
      <c r="BU4" s="5"/>
      <c r="BV4" s="5" t="s">
        <v>32</v>
      </c>
      <c r="BW4" s="5"/>
      <c r="BX4" s="4" t="s">
        <v>11</v>
      </c>
      <c r="BY4" s="4" t="s">
        <v>22</v>
      </c>
      <c r="BZ4" s="4" t="s">
        <v>23</v>
      </c>
      <c r="CA4" s="4" t="s">
        <v>177</v>
      </c>
      <c r="CB4" s="4" t="s">
        <v>178</v>
      </c>
      <c r="CC4" s="4" t="s">
        <v>11</v>
      </c>
      <c r="CD4" s="4" t="s">
        <v>22</v>
      </c>
      <c r="CE4" s="4" t="s">
        <v>23</v>
      </c>
      <c r="CF4" s="4" t="s">
        <v>11</v>
      </c>
      <c r="CG4" s="4" t="s">
        <v>179</v>
      </c>
      <c r="CH4" s="4" t="s">
        <v>22</v>
      </c>
      <c r="CI4" s="4" t="s">
        <v>23</v>
      </c>
      <c r="CJ4" s="4" t="s">
        <v>11</v>
      </c>
      <c r="CK4" s="4" t="s">
        <v>22</v>
      </c>
      <c r="CL4" s="4" t="s">
        <v>23</v>
      </c>
      <c r="CM4" s="4"/>
      <c r="CN4" s="4" t="s">
        <v>180</v>
      </c>
      <c r="CO4" s="4" t="str">
        <f aca="false">'Long Term Deals'!CO4</f>
        <v>Financial Payment</v>
      </c>
      <c r="CP4" s="4" t="s">
        <v>72</v>
      </c>
      <c r="CQ4" s="5" t="s">
        <v>121</v>
      </c>
      <c r="CR4" s="5" t="s">
        <v>122</v>
      </c>
      <c r="CS4" s="4"/>
      <c r="CT4" s="4" t="s">
        <v>183</v>
      </c>
      <c r="CU4" s="4" t="s">
        <v>184</v>
      </c>
      <c r="CV4" s="4"/>
      <c r="CW4" s="4" t="s">
        <v>198</v>
      </c>
      <c r="CX4" s="4" t="s">
        <v>199</v>
      </c>
      <c r="CY4" s="4"/>
      <c r="CZ4" s="4" t="s">
        <v>200</v>
      </c>
      <c r="DA4" s="4" t="s">
        <v>201</v>
      </c>
      <c r="DB4" s="4" t="s">
        <v>202</v>
      </c>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1.25" hidden="false" customHeight="false" outlineLevel="0" collapsed="false">
      <c r="A5" s="75" t="n">
        <v>35810</v>
      </c>
      <c r="B5" s="7" t="n">
        <f aca="false">('Long Term Deals'!B7*'Prices&amp;Fuel'!$H7+'Prices&amp;Fuel'!$H8*'Long Term Deals'!B8+'Long Term Deals'!B9*'Prices&amp;Fuel'!$H9+'Long Term Deals'!B10*'Prices&amp;Fuel'!$H10+'Long Term Deals'!B11*'Prices&amp;Fuel'!$H11+'Long Term Deals'!B12*'Prices&amp;Fuel'!$H12+'Long Term Deals'!B13*'Prices&amp;Fuel'!$H13+'Long Term Deals'!B14*'Prices&amp;Fuel'!$H14+'Long Term Deals'!B15*'Prices&amp;Fuel'!$H15+'Long Term Deals'!B16*'Prices&amp;Fuel'!$H16+'Long Term Deals'!B17*'Prices&amp;Fuel'!$H17+'Long Term Deals'!B18*'Prices&amp;Fuel'!$H18)/SUM('Prices&amp;Fuel'!$H7:$H18)</f>
        <v>6194.24383561644</v>
      </c>
      <c r="C5" s="7" t="n">
        <f aca="false">('Long Term Deals'!C7*'Prices&amp;Fuel'!$H7+'Prices&amp;Fuel'!$H8*'Long Term Deals'!C8+'Long Term Deals'!C9*'Prices&amp;Fuel'!$H9+'Long Term Deals'!C10*'Prices&amp;Fuel'!$H10+'Long Term Deals'!C11*'Prices&amp;Fuel'!$H11+'Long Term Deals'!C12*'Prices&amp;Fuel'!$H12+'Long Term Deals'!C13*'Prices&amp;Fuel'!$H13+'Long Term Deals'!C14*'Prices&amp;Fuel'!$H14+'Long Term Deals'!C15*'Prices&amp;Fuel'!$H15+'Long Term Deals'!C16*'Prices&amp;Fuel'!$H16+'Long Term Deals'!C17*'Prices&amp;Fuel'!$H17+'Long Term Deals'!C18*'Prices&amp;Fuel'!$H18)/SUM('Prices&amp;Fuel'!$H7:$H18)</f>
        <v>6185.08219178082</v>
      </c>
      <c r="D5" s="7" t="n">
        <f aca="false">('Long Term Deals'!D7*'Prices&amp;Fuel'!$H7+'Prices&amp;Fuel'!$H8*'Long Term Deals'!D8+'Long Term Deals'!D9*'Prices&amp;Fuel'!$H9+'Long Term Deals'!D10*'Prices&amp;Fuel'!$H10+'Long Term Deals'!D11*'Prices&amp;Fuel'!$H11+'Long Term Deals'!D12*'Prices&amp;Fuel'!$H12+'Long Term Deals'!D13*'Prices&amp;Fuel'!$H13+'Long Term Deals'!D14*'Prices&amp;Fuel'!$H14+'Long Term Deals'!D15*'Prices&amp;Fuel'!$H15+'Long Term Deals'!D16*'Prices&amp;Fuel'!$H16+'Long Term Deals'!D17*'Prices&amp;Fuel'!$H17+'Long Term Deals'!D18*'Prices&amp;Fuel'!$H18)/SUM('Prices&amp;Fuel'!$H7:$H18)</f>
        <v>1710.76164383562</v>
      </c>
      <c r="E5" s="8"/>
      <c r="F5" s="8"/>
      <c r="G5" s="8"/>
      <c r="H5" s="8"/>
      <c r="I5" s="8"/>
      <c r="J5" s="8"/>
      <c r="K5" s="7" t="n">
        <f aca="false">SUM('Long Term Deals'!K7:K18)</f>
        <v>11223935.7213741</v>
      </c>
      <c r="L5" s="7" t="n">
        <f aca="false">SUM('Long Term Deals'!L7:L18)</f>
        <v>11172506.9013741</v>
      </c>
      <c r="M5" s="14" t="n">
        <f aca="false">K5-L5</f>
        <v>51428.8199999984</v>
      </c>
      <c r="O5" s="7" t="n">
        <f aca="false">('Long Term Deals'!O7*'Prices&amp;Fuel'!$H7+'Prices&amp;Fuel'!$H8*'Long Term Deals'!O8+'Long Term Deals'!O9*'Prices&amp;Fuel'!$H9+'Long Term Deals'!O10*'Prices&amp;Fuel'!$H10+'Long Term Deals'!O11*'Prices&amp;Fuel'!$H11+'Long Term Deals'!O12*'Prices&amp;Fuel'!$H12+'Long Term Deals'!O13*'Prices&amp;Fuel'!$H13+'Long Term Deals'!O14*'Prices&amp;Fuel'!$H14+'Long Term Deals'!O15*'Prices&amp;Fuel'!$H15+'Long Term Deals'!O16*'Prices&amp;Fuel'!$H16+'Long Term Deals'!O17*'Prices&amp;Fuel'!$H17+'Long Term Deals'!O18*'Prices&amp;Fuel'!$H18)/SUM('Prices&amp;Fuel'!$H7:$H18)</f>
        <v>8862.70684931507</v>
      </c>
      <c r="P5" s="7" t="n">
        <f aca="false">('Long Term Deals'!P7*'Prices&amp;Fuel'!$H7+'Prices&amp;Fuel'!$H8*'Long Term Deals'!P8+'Long Term Deals'!P9*'Prices&amp;Fuel'!$H9+'Long Term Deals'!P10*'Prices&amp;Fuel'!$H10+'Long Term Deals'!P11*'Prices&amp;Fuel'!$H11+'Long Term Deals'!P12*'Prices&amp;Fuel'!$H12+'Long Term Deals'!P13*'Prices&amp;Fuel'!$H13+'Long Term Deals'!P14*'Prices&amp;Fuel'!$H14+'Long Term Deals'!P15*'Prices&amp;Fuel'!$H15+'Long Term Deals'!P16*'Prices&amp;Fuel'!$H16+'Long Term Deals'!P17*'Prices&amp;Fuel'!$H17+'Long Term Deals'!P18*'Prices&amp;Fuel'!$H18)/SUM('Prices&amp;Fuel'!$H7:$H18)</f>
        <v>10586.9917808219</v>
      </c>
      <c r="Q5" s="7" t="n">
        <f aca="false">('Long Term Deals'!Q7*'Prices&amp;Fuel'!$H7+'Prices&amp;Fuel'!$H8*'Long Term Deals'!Q8+'Long Term Deals'!Q9*'Prices&amp;Fuel'!$H9+'Long Term Deals'!Q10*'Prices&amp;Fuel'!$H10+'Long Term Deals'!Q11*'Prices&amp;Fuel'!$H11+'Long Term Deals'!Q12*'Prices&amp;Fuel'!$H12+'Long Term Deals'!Q13*'Prices&amp;Fuel'!$H13+'Long Term Deals'!Q14*'Prices&amp;Fuel'!$H14+'Long Term Deals'!Q15*'Prices&amp;Fuel'!$H15+'Long Term Deals'!Q16*'Prices&amp;Fuel'!$H16+'Long Term Deals'!Q17*'Prices&amp;Fuel'!$H17+'Long Term Deals'!Q18*'Prices&amp;Fuel'!$H18)/SUM('Prices&amp;Fuel'!$H7:$H18)</f>
        <v>5168.93150684932</v>
      </c>
      <c r="T5" s="7" t="n">
        <f aca="false">SUM('Long Term Deals'!T7:T18)</f>
        <v>19587773.94</v>
      </c>
      <c r="U5" s="7" t="n">
        <f aca="false">SUM('Long Term Deals'!U7:U18)</f>
        <v>19491635.92</v>
      </c>
      <c r="V5" s="14" t="n">
        <f aca="false">T5-U5</f>
        <v>96138.0200000033</v>
      </c>
      <c r="X5" s="7" t="n">
        <f aca="false">('Long Term Deals'!X7*'Prices&amp;Fuel'!$H7+'Prices&amp;Fuel'!$H8*'Long Term Deals'!X8+'Long Term Deals'!X9*'Prices&amp;Fuel'!$H9+'Long Term Deals'!X10*'Prices&amp;Fuel'!$H10+'Long Term Deals'!X11*'Prices&amp;Fuel'!$H11+'Long Term Deals'!X12*'Prices&amp;Fuel'!$H12+'Long Term Deals'!X13*'Prices&amp;Fuel'!$H13+'Long Term Deals'!X14*'Prices&amp;Fuel'!$H14+'Long Term Deals'!X15*'Prices&amp;Fuel'!$H15+'Long Term Deals'!X16*'Prices&amp;Fuel'!$H16+'Long Term Deals'!X17*'Prices&amp;Fuel'!$H17+'Long Term Deals'!X18*'Prices&amp;Fuel'!$H18)/SUM('Prices&amp;Fuel'!$H7:$H18)</f>
        <v>3500</v>
      </c>
      <c r="Y5" s="7" t="n">
        <f aca="false">('Long Term Deals'!Y7*'Prices&amp;Fuel'!$H7+'Prices&amp;Fuel'!$H8*'Long Term Deals'!Y8+'Long Term Deals'!Y9*'Prices&amp;Fuel'!$H9+'Long Term Deals'!Y10*'Prices&amp;Fuel'!$H10+'Long Term Deals'!Y11*'Prices&amp;Fuel'!$H11+'Long Term Deals'!Y12*'Prices&amp;Fuel'!$H12+'Long Term Deals'!Y13*'Prices&amp;Fuel'!$H13+'Long Term Deals'!Y14*'Prices&amp;Fuel'!$H14+'Long Term Deals'!Y15*'Prices&amp;Fuel'!$H15+'Long Term Deals'!Y16*'Prices&amp;Fuel'!$H16+'Long Term Deals'!Y17*'Prices&amp;Fuel'!$H17+'Long Term Deals'!Y18*'Prices&amp;Fuel'!$H18)/SUM('Prices&amp;Fuel'!$H7:$H18)</f>
        <v>3500</v>
      </c>
      <c r="Z5" s="27"/>
      <c r="AA5" s="27"/>
      <c r="AB5" s="7" t="n">
        <f aca="false">SUM('Long Term Deals'!AB7:AB18)</f>
        <v>5621000</v>
      </c>
      <c r="AC5" s="7" t="n">
        <f aca="false">SUM('Long Term Deals'!AC7:AC18)</f>
        <v>5569900</v>
      </c>
      <c r="AD5" s="14" t="n">
        <f aca="false">AB5-AC5</f>
        <v>51100</v>
      </c>
      <c r="AF5" s="7" t="n">
        <f aca="false">('Long Term Deals'!AF7*'Prices&amp;Fuel'!$H7+'Prices&amp;Fuel'!$H8*'Long Term Deals'!AF8+'Long Term Deals'!AF9*'Prices&amp;Fuel'!$H9+'Long Term Deals'!AF10*'Prices&amp;Fuel'!$H10+'Long Term Deals'!AF11*'Prices&amp;Fuel'!$H11+'Long Term Deals'!AF12*'Prices&amp;Fuel'!$H12+'Long Term Deals'!AF13*'Prices&amp;Fuel'!$H13+'Long Term Deals'!AF14*'Prices&amp;Fuel'!$H14+'Long Term Deals'!AF15*'Prices&amp;Fuel'!$H15+'Long Term Deals'!AF16*'Prices&amp;Fuel'!$H16+'Long Term Deals'!AF17*'Prices&amp;Fuel'!$H17+'Long Term Deals'!AF18*'Prices&amp;Fuel'!$H18)/SUM('Prices&amp;Fuel'!$H7:$H18)</f>
        <v>113120.710739528</v>
      </c>
      <c r="AG5" s="7" t="n">
        <f aca="false">('Long Term Deals'!AG7*'Prices&amp;Fuel'!$H7+'Prices&amp;Fuel'!$H8*'Long Term Deals'!AG8+'Long Term Deals'!AG9*'Prices&amp;Fuel'!$H9+'Long Term Deals'!AG10*'Prices&amp;Fuel'!$H10+'Long Term Deals'!AG11*'Prices&amp;Fuel'!$H11+'Long Term Deals'!AG12*'Prices&amp;Fuel'!$H12+'Long Term Deals'!AG13*'Prices&amp;Fuel'!$H13+'Long Term Deals'!AG14*'Prices&amp;Fuel'!$H14+'Long Term Deals'!AG15*'Prices&amp;Fuel'!$H15+'Long Term Deals'!AG16*'Prices&amp;Fuel'!$H16+'Long Term Deals'!AG17*'Prices&amp;Fuel'!$H17+'Long Term Deals'!AG18*'Prices&amp;Fuel'!$H18)/SUM('Prices&amp;Fuel'!$H7:$H18)</f>
        <v>58064.6456198013</v>
      </c>
      <c r="AH5" s="7" t="n">
        <f aca="false">('Long Term Deals'!AH7*'Prices&amp;Fuel'!$H7+'Prices&amp;Fuel'!$H8*'Long Term Deals'!AH8+'Long Term Deals'!AH9*'Prices&amp;Fuel'!$H9+'Long Term Deals'!AH10*'Prices&amp;Fuel'!$H10+'Long Term Deals'!AH11*'Prices&amp;Fuel'!$H11+'Long Term Deals'!AH12*'Prices&amp;Fuel'!$H12+'Long Term Deals'!AH13*'Prices&amp;Fuel'!$H13+'Long Term Deals'!AH14*'Prices&amp;Fuel'!$H14+'Long Term Deals'!AH15*'Prices&amp;Fuel'!$H15+'Long Term Deals'!AH16*'Prices&amp;Fuel'!$H16+'Long Term Deals'!AH17*'Prices&amp;Fuel'!$H17+'Long Term Deals'!AH18*'Prices&amp;Fuel'!$H18)/SUM('Prices&amp;Fuel'!$H7:$H18)</f>
        <v>32800.1583074704</v>
      </c>
      <c r="AI5" s="7" t="n">
        <f aca="false">('Long Term Deals'!AI7*'Prices&amp;Fuel'!$H7+'Prices&amp;Fuel'!$H8*'Long Term Deals'!AI8+'Long Term Deals'!AI9*'Prices&amp;Fuel'!$H9+'Long Term Deals'!AI10*'Prices&amp;Fuel'!$H10+'Long Term Deals'!AI11*'Prices&amp;Fuel'!$H11+'Long Term Deals'!AI12*'Prices&amp;Fuel'!$H12+'Long Term Deals'!AI13*'Prices&amp;Fuel'!$H13+'Long Term Deals'!AI14*'Prices&amp;Fuel'!$H14+'Long Term Deals'!AI15*'Prices&amp;Fuel'!$H15+'Long Term Deals'!AI16*'Prices&amp;Fuel'!$H16+'Long Term Deals'!AI17*'Prices&amp;Fuel'!$H17+'Long Term Deals'!AI18*'Prices&amp;Fuel'!$H18)/SUM('Prices&amp;Fuel'!$H7:$H18)</f>
        <v>36212.9222003109</v>
      </c>
      <c r="AJ5" s="7" t="n">
        <f aca="false">('Long Term Deals'!AJ7*'Prices&amp;Fuel'!$H7+'Prices&amp;Fuel'!$H8*'Long Term Deals'!AJ8+'Long Term Deals'!AJ9*'Prices&amp;Fuel'!$H9+'Long Term Deals'!AJ10*'Prices&amp;Fuel'!$H10+'Long Term Deals'!AJ11*'Prices&amp;Fuel'!$H11+'Long Term Deals'!AJ12*'Prices&amp;Fuel'!$H12+'Long Term Deals'!AJ13*'Prices&amp;Fuel'!$H13+'Long Term Deals'!AJ14*'Prices&amp;Fuel'!$H14+'Long Term Deals'!AJ15*'Prices&amp;Fuel'!$H15+'Long Term Deals'!AJ16*'Prices&amp;Fuel'!$H16+'Long Term Deals'!AJ17*'Prices&amp;Fuel'!$H17+'Long Term Deals'!AJ18*'Prices&amp;Fuel'!$H18)/SUM('Prices&amp;Fuel'!$H7:$H18)</f>
        <v>79299.3564667312</v>
      </c>
      <c r="AK5" s="7" t="n">
        <f aca="false">('Long Term Deals'!AK7*'Prices&amp;Fuel'!$H7+'Prices&amp;Fuel'!$H8*'Long Term Deals'!AK8+'Long Term Deals'!AK9*'Prices&amp;Fuel'!$H9+'Long Term Deals'!AK10*'Prices&amp;Fuel'!$H10+'Long Term Deals'!AK11*'Prices&amp;Fuel'!$H11+'Long Term Deals'!AK12*'Prices&amp;Fuel'!$H12+'Long Term Deals'!AK13*'Prices&amp;Fuel'!$H13+'Long Term Deals'!AK14*'Prices&amp;Fuel'!$H14+'Long Term Deals'!AK15*'Prices&amp;Fuel'!$H15+'Long Term Deals'!AK16*'Prices&amp;Fuel'!$H16+'Long Term Deals'!AK17*'Prices&amp;Fuel'!$H17+'Long Term Deals'!AK18*'Prices&amp;Fuel'!$H18)/SUM('Prices&amp;Fuel'!$H7:$H18)</f>
        <v>44314.7516698687</v>
      </c>
      <c r="AL5" s="7" t="n">
        <f aca="false">SUM(AI5:AK5)</f>
        <v>159827.030336911</v>
      </c>
      <c r="AM5" s="7"/>
      <c r="AN5" s="7"/>
      <c r="AO5" s="7"/>
      <c r="AP5" s="7"/>
      <c r="AQ5" s="7"/>
      <c r="AR5" s="14"/>
      <c r="AS5" s="14"/>
      <c r="AT5" s="14"/>
      <c r="AU5" s="14"/>
      <c r="AW5" s="68"/>
      <c r="AX5" s="68"/>
      <c r="AY5" s="7" t="n">
        <f aca="false">SUM('Long Term Deals'!AY7:AY18)</f>
        <v>173658196.849763</v>
      </c>
      <c r="AZ5" s="7" t="n">
        <f aca="false">SUM('Long Term Deals'!AZ7:AZ18)</f>
        <v>158746334.556931</v>
      </c>
      <c r="BA5" s="5" t="n">
        <f aca="false">AY5-AZ5</f>
        <v>14911862.2928326</v>
      </c>
      <c r="BB5" s="7" t="n">
        <f aca="false">('Long Term Deals'!BB7*'Prices&amp;Fuel'!$H7+'Prices&amp;Fuel'!$H8*'Long Term Deals'!BB8+'Long Term Deals'!BB9*'Prices&amp;Fuel'!$H9+'Long Term Deals'!BB10*'Prices&amp;Fuel'!$H10+'Long Term Deals'!BB11*'Prices&amp;Fuel'!$H11+'Long Term Deals'!BB12*'Prices&amp;Fuel'!$H12+'Long Term Deals'!BB13*'Prices&amp;Fuel'!$H13+'Long Term Deals'!BB14*'Prices&amp;Fuel'!$H14+'Long Term Deals'!BB15*'Prices&amp;Fuel'!$H15+'Long Term Deals'!BB16*'Prices&amp;Fuel'!$H16+'Long Term Deals'!BB17*'Prices&amp;Fuel'!$H17+'Long Term Deals'!BB18*'Prices&amp;Fuel'!$H18)/SUM('Prices&amp;Fuel'!$H7:$H18)</f>
        <v>723.639019383364</v>
      </c>
      <c r="BC5" s="7" t="n">
        <f aca="false">('Long Term Deals'!BC7*'Prices&amp;Fuel'!$H7+'Prices&amp;Fuel'!$H8*'Long Term Deals'!BC8+'Long Term Deals'!BC9*'Prices&amp;Fuel'!$H9+'Long Term Deals'!BC10*'Prices&amp;Fuel'!$H10+'Long Term Deals'!BC11*'Prices&amp;Fuel'!$H11+'Long Term Deals'!BC12*'Prices&amp;Fuel'!$H12+'Long Term Deals'!BC13*'Prices&amp;Fuel'!$H13+'Long Term Deals'!BC14*'Prices&amp;Fuel'!$H14+'Long Term Deals'!BC15*'Prices&amp;Fuel'!$H15+'Long Term Deals'!BC16*'Prices&amp;Fuel'!$H16+'Long Term Deals'!BC17*'Prices&amp;Fuel'!$H17+'Long Term Deals'!BC18*'Prices&amp;Fuel'!$H18)/SUM('Prices&amp;Fuel'!$H7:$H18)</f>
        <v>0</v>
      </c>
      <c r="BD5" s="7" t="n">
        <f aca="false">('Long Term Deals'!BD7*'Prices&amp;Fuel'!$H7+'Prices&amp;Fuel'!$H8*'Long Term Deals'!BD8+'Long Term Deals'!BD9*'Prices&amp;Fuel'!$H9+'Long Term Deals'!BD10*'Prices&amp;Fuel'!$H10+'Long Term Deals'!BD11*'Prices&amp;Fuel'!$H11+'Long Term Deals'!BD12*'Prices&amp;Fuel'!$H12+'Long Term Deals'!BD13*'Prices&amp;Fuel'!$H13+'Long Term Deals'!BD14*'Prices&amp;Fuel'!$H14+'Long Term Deals'!BD15*'Prices&amp;Fuel'!$H15+'Long Term Deals'!BD16*'Prices&amp;Fuel'!$H16+'Long Term Deals'!BD17*'Prices&amp;Fuel'!$H17+'Long Term Deals'!BD18*'Prices&amp;Fuel'!$H18)/SUM('Prices&amp;Fuel'!$H7:$H18)</f>
        <v>0</v>
      </c>
      <c r="BE5" s="7" t="n">
        <f aca="false">('Long Term Deals'!BE7*'Prices&amp;Fuel'!$H7+'Prices&amp;Fuel'!$H8*'Long Term Deals'!BE8+'Long Term Deals'!BE9*'Prices&amp;Fuel'!$H9+'Long Term Deals'!BE10*'Prices&amp;Fuel'!$H10+'Long Term Deals'!BE11*'Prices&amp;Fuel'!$H11+'Long Term Deals'!BE12*'Prices&amp;Fuel'!$H12+'Long Term Deals'!BE13*'Prices&amp;Fuel'!$H13+'Long Term Deals'!BE14*'Prices&amp;Fuel'!$H14+'Long Term Deals'!BE15*'Prices&amp;Fuel'!$H15+'Long Term Deals'!BE16*'Prices&amp;Fuel'!$H16+'Long Term Deals'!BE17*'Prices&amp;Fuel'!$H17+'Long Term Deals'!BE18*'Prices&amp;Fuel'!$H18)/SUM('Prices&amp;Fuel'!$H7:$H18)</f>
        <v>440.857334604127</v>
      </c>
      <c r="BF5" s="7" t="n">
        <f aca="false">('Long Term Deals'!BF7*'Prices&amp;Fuel'!$H7+'Prices&amp;Fuel'!$H8*'Long Term Deals'!BF8+'Long Term Deals'!BF9*'Prices&amp;Fuel'!$H9+'Long Term Deals'!BF10*'Prices&amp;Fuel'!$H10+'Long Term Deals'!BF11*'Prices&amp;Fuel'!$H11+'Long Term Deals'!BF12*'Prices&amp;Fuel'!$H12+'Long Term Deals'!BF13*'Prices&amp;Fuel'!$H13+'Long Term Deals'!BF14*'Prices&amp;Fuel'!$H14+'Long Term Deals'!BF15*'Prices&amp;Fuel'!$H15+'Long Term Deals'!BF16*'Prices&amp;Fuel'!$H16+'Long Term Deals'!BF17*'Prices&amp;Fuel'!$H17+'Long Term Deals'!BF18*'Prices&amp;Fuel'!$H18)/SUM('Prices&amp;Fuel'!$H7:$H18)</f>
        <v>1334.78186139478</v>
      </c>
      <c r="BG5" s="7" t="n">
        <f aca="false">('Long Term Deals'!BG7*'Prices&amp;Fuel'!$H7+'Prices&amp;Fuel'!$H8*'Long Term Deals'!BG8+'Long Term Deals'!BG9*'Prices&amp;Fuel'!$H9+'Long Term Deals'!BG10*'Prices&amp;Fuel'!$H10+'Long Term Deals'!BG11*'Prices&amp;Fuel'!$H11+'Long Term Deals'!BG12*'Prices&amp;Fuel'!$H12+'Long Term Deals'!BG13*'Prices&amp;Fuel'!$H13+'Long Term Deals'!BG14*'Prices&amp;Fuel'!$H14+'Long Term Deals'!BG15*'Prices&amp;Fuel'!$H15+'Long Term Deals'!BG16*'Prices&amp;Fuel'!$H16+'Long Term Deals'!BG17*'Prices&amp;Fuel'!$H17+'Long Term Deals'!BG18*'Prices&amp;Fuel'!$H18)/SUM('Prices&amp;Fuel'!$H7:$H18)</f>
        <v>289.834026066311</v>
      </c>
      <c r="BH5" s="8" t="n">
        <f aca="false">(2.79*700+2.68*1000)/BF5</f>
        <v>3.47097914198411</v>
      </c>
      <c r="BK5" s="1" t="n">
        <f aca="false">2.54*(1+'Prices&amp;Fuel'!F5)</f>
        <v>2.61747</v>
      </c>
      <c r="BL5" s="7" t="n">
        <f aca="false">SUM('Long Term Deals'!BL7:BL18)</f>
        <v>2793600.54648003</v>
      </c>
      <c r="BM5" s="9"/>
      <c r="BN5" s="9"/>
      <c r="BP5" s="7" t="n">
        <f aca="false">SUM('Long Term Deals'!BP7:BP18)</f>
        <v>2606943.41975785</v>
      </c>
      <c r="BQ5" s="5" t="n">
        <f aca="false">BL5-BP5</f>
        <v>186657.126722185</v>
      </c>
      <c r="BR5" s="7" t="n">
        <f aca="false">('Long Term Deals'!BR7*'Prices&amp;Fuel'!$H7+'Prices&amp;Fuel'!$H8*'Long Term Deals'!BR8+'Long Term Deals'!BR9*'Prices&amp;Fuel'!$H9+'Long Term Deals'!BR10*'Prices&amp;Fuel'!$H10+'Long Term Deals'!BR11*'Prices&amp;Fuel'!$H11+'Long Term Deals'!BR12*'Prices&amp;Fuel'!$H12+'Long Term Deals'!BR13*'Prices&amp;Fuel'!$H13+'Long Term Deals'!BR14*'Prices&amp;Fuel'!$H14+'Long Term Deals'!BR15*'Prices&amp;Fuel'!$H15+'Long Term Deals'!BR16*'Prices&amp;Fuel'!$H16+'Long Term Deals'!BR17*'Prices&amp;Fuel'!$H17+'Long Term Deals'!BR18*'Prices&amp;Fuel'!$H18)/SUM('Prices&amp;Fuel'!$H7:$H18)</f>
        <v>1000</v>
      </c>
      <c r="BS5" s="7" t="n">
        <f aca="false">('Long Term Deals'!BS7*'Prices&amp;Fuel'!$H7+'Prices&amp;Fuel'!$H8*'Long Term Deals'!BS8+'Long Term Deals'!BS9*'Prices&amp;Fuel'!$H9+'Long Term Deals'!BS10*'Prices&amp;Fuel'!$H10+'Long Term Deals'!BS11*'Prices&amp;Fuel'!$H11+'Long Term Deals'!BS12*'Prices&amp;Fuel'!$H12+'Long Term Deals'!BS13*'Prices&amp;Fuel'!$H13+'Long Term Deals'!BS14*'Prices&amp;Fuel'!$H14+'Long Term Deals'!BS15*'Prices&amp;Fuel'!$H15+'Long Term Deals'!BS16*'Prices&amp;Fuel'!$H16+'Long Term Deals'!BS17*'Prices&amp;Fuel'!$H17+'Long Term Deals'!BS18*'Prices&amp;Fuel'!$H18)/SUM('Prices&amp;Fuel'!$H7:$H18)</f>
        <v>1232.87671232877</v>
      </c>
      <c r="BT5" s="8"/>
      <c r="BU5" s="8"/>
      <c r="BV5" s="13"/>
      <c r="BW5" s="13"/>
      <c r="BX5" s="7" t="n">
        <f aca="false">SUM('Long Term Deals'!BX7:BX18)</f>
        <v>1765698.63333333</v>
      </c>
      <c r="BY5" s="7" t="n">
        <f aca="false">SUM('Long Term Deals'!BY7:BY18)</f>
        <v>1765698.63333333</v>
      </c>
      <c r="BZ5" s="5" t="n">
        <f aca="false">BX5-BY5</f>
        <v>0</v>
      </c>
      <c r="CA5" s="7" t="n">
        <f aca="false">SUM('Long Term Deals'!CA7:CA18)</f>
        <v>663957.950017377</v>
      </c>
      <c r="CB5" s="7" t="n">
        <f aca="false">SUM('Long Term Deals'!CB7:CB18)</f>
        <v>92530.9255960986</v>
      </c>
      <c r="CC5" s="7" t="n">
        <f aca="false">SUM('Long Term Deals'!CC7:CC18)</f>
        <v>214650205.690951</v>
      </c>
      <c r="CD5" s="7" t="n">
        <f aca="false">SUM('Long Term Deals'!CD7:CD18)</f>
        <v>200109508.30701</v>
      </c>
      <c r="CE5" s="7" t="n">
        <f aca="false">SUM('Long Term Deals'!CE7:CE18)</f>
        <v>14540697.3839413</v>
      </c>
      <c r="CF5" s="7" t="n">
        <f aca="false">SUM('Long Term Deals'!CF7:CF18)</f>
        <v>5167814.61500374</v>
      </c>
      <c r="CG5" s="7" t="n">
        <f aca="false">SUM('Long Term Deals'!CG7:CG18)</f>
        <v>10186.9286666663</v>
      </c>
      <c r="CH5" s="7" t="n">
        <f aca="false">SUM('Long Term Deals'!CH7:CH18)</f>
        <v>5024866.49206373</v>
      </c>
      <c r="CI5" s="7" t="n">
        <f aca="false">SUM('Long Term Deals'!CI7:CI18)</f>
        <v>142948.12294001</v>
      </c>
      <c r="CJ5" s="7" t="n">
        <f aca="false">SUM('Long Term Deals'!CJ7:CJ18)</f>
        <v>219818020.305955</v>
      </c>
      <c r="CK5" s="7" t="n">
        <f aca="false">SUM('Long Term Deals'!CK7:CK18)</f>
        <v>205134374.799073</v>
      </c>
      <c r="CL5" s="7" t="n">
        <f aca="false">SUM('Long Term Deals'!CL7:CL18)</f>
        <v>14683645.5068813</v>
      </c>
      <c r="CM5" s="7" t="n">
        <f aca="false">SUM('Long Term Deals'!CM7:CM18)</f>
        <v>14683645.5068813</v>
      </c>
      <c r="CN5" s="7" t="n">
        <f aca="false">SUM('Long Term Deals'!CN7:CN18)</f>
        <v>12669377.6349482</v>
      </c>
      <c r="CO5" s="7" t="n">
        <f aca="false">SUM('Long Term Deals'!CO7:CO18)</f>
        <v>17269273.1486263</v>
      </c>
      <c r="CP5" s="7" t="n">
        <f aca="false">SUM('Long Term Deals'!CP7:CP18)</f>
        <v>-9595.41400056845</v>
      </c>
      <c r="CQ5" s="7" t="n">
        <f aca="false">SUM('Long Term Deals'!CQ7:CQ18)</f>
        <v>49474.5116666667</v>
      </c>
      <c r="CR5" s="7" t="n">
        <f aca="false">SUM('Long Term Deals'!CR7:CR18)</f>
        <v>716960.614560778</v>
      </c>
      <c r="CS5" s="7" t="n">
        <f aca="false">SUM('Long Term Deals'!CS7:CS18)</f>
        <v>1049072.14125787</v>
      </c>
      <c r="CT5" s="7" t="n">
        <f aca="false">SUM('Long Term Deals'!CT7:CT18)</f>
        <v>6884721.96915378</v>
      </c>
      <c r="CU5" s="7" t="n">
        <f aca="false">SUM('Long Term Deals'!CU7:CU18)</f>
        <v>2145063.72596708</v>
      </c>
      <c r="CV5" s="76" t="n">
        <f aca="false">SUM('Long Term Deals'!CV7:CV18)</f>
        <v>15592954.9186305</v>
      </c>
      <c r="CW5" s="14" t="n">
        <f aca="false">AF5+AG5+AH5</f>
        <v>203985.5146668</v>
      </c>
      <c r="CX5" s="14" t="n">
        <f aca="false">B5+C5+D5+O5+P5+Q5+X5+Y5+BB5+BC5+BD5+BE5+BF5+BG5+BR5+BS5+'Index Price Deals'!AZ18</f>
        <v>56312.5854834575</v>
      </c>
      <c r="CY5" s="14" t="n">
        <f aca="false">(CW5+CX5)*365</f>
        <v>95008806.5548441</v>
      </c>
      <c r="CZ5" s="14" t="n">
        <f aca="false">SUM(BB5:BG5)</f>
        <v>2789.11224144858</v>
      </c>
      <c r="DA5" s="14" t="n">
        <f aca="false">B5+C5+D5+O5+P5+Q5+X5+Y5+BR5+BS5</f>
        <v>47941.594520548</v>
      </c>
      <c r="DB5" s="1" t="n">
        <f aca="false">'Index Price Deals'!AZ18</f>
        <v>5581.87872146097</v>
      </c>
      <c r="DC5" s="14" t="n">
        <f aca="false">CZ5+DA5+DB5-CX5</f>
        <v>0</v>
      </c>
    </row>
    <row r="6" customFormat="false" ht="11.25" hidden="false" customHeight="false" outlineLevel="0" collapsed="false">
      <c r="A6" s="75" t="n">
        <v>36175</v>
      </c>
      <c r="B6" s="7" t="n">
        <f aca="false">('Long Term Deals'!B19*'Prices&amp;Fuel'!$H19+'Prices&amp;Fuel'!$H20*'Long Term Deals'!B20+'Long Term Deals'!B21*'Prices&amp;Fuel'!$H21+'Long Term Deals'!B22*'Prices&amp;Fuel'!$H22+'Long Term Deals'!B23*'Prices&amp;Fuel'!$H23+'Long Term Deals'!B24*'Prices&amp;Fuel'!$H24+'Long Term Deals'!B25*'Prices&amp;Fuel'!$H25+'Long Term Deals'!B26*'Prices&amp;Fuel'!$H26+'Long Term Deals'!B27*'Prices&amp;Fuel'!$H27+'Long Term Deals'!B28*'Prices&amp;Fuel'!$H28+'Long Term Deals'!B29*'Prices&amp;Fuel'!$H29+'Long Term Deals'!B30*'Prices&amp;Fuel'!$H30)/SUM('Prices&amp;Fuel'!$H19:$H30)</f>
        <v>1213.39726027397</v>
      </c>
      <c r="C6" s="7" t="n">
        <f aca="false">('Long Term Deals'!C19*'Prices&amp;Fuel'!$H19+'Prices&amp;Fuel'!$H20*'Long Term Deals'!C20+'Long Term Deals'!C21*'Prices&amp;Fuel'!$H21+'Long Term Deals'!C22*'Prices&amp;Fuel'!$H22+'Long Term Deals'!C23*'Prices&amp;Fuel'!$H23+'Long Term Deals'!C24*'Prices&amp;Fuel'!$H24+'Long Term Deals'!C25*'Prices&amp;Fuel'!$H25+'Long Term Deals'!C26*'Prices&amp;Fuel'!$H26+'Long Term Deals'!C27*'Prices&amp;Fuel'!$H27+'Long Term Deals'!C28*'Prices&amp;Fuel'!$H28+'Long Term Deals'!C29*'Prices&amp;Fuel'!$H29+'Long Term Deals'!C30*'Prices&amp;Fuel'!$H30)/SUM('Prices&amp;Fuel'!$H19:$H30)</f>
        <v>657.679452054795</v>
      </c>
      <c r="D6" s="7" t="n">
        <f aca="false">('Long Term Deals'!D19*'Prices&amp;Fuel'!$H19+'Prices&amp;Fuel'!$H20*'Long Term Deals'!D20+'Long Term Deals'!D21*'Prices&amp;Fuel'!$H21+'Long Term Deals'!D22*'Prices&amp;Fuel'!$H22+'Long Term Deals'!D23*'Prices&amp;Fuel'!$H23+'Long Term Deals'!D24*'Prices&amp;Fuel'!$H24+'Long Term Deals'!D25*'Prices&amp;Fuel'!$H25+'Long Term Deals'!D26*'Prices&amp;Fuel'!$H26+'Long Term Deals'!D27*'Prices&amp;Fuel'!$H27+'Long Term Deals'!D28*'Prices&amp;Fuel'!$H28+'Long Term Deals'!D29*'Prices&amp;Fuel'!$H29+'Long Term Deals'!D30*'Prices&amp;Fuel'!$H30)/SUM('Prices&amp;Fuel'!$H19:$H30)</f>
        <v>92.9150684931507</v>
      </c>
      <c r="E6" s="8"/>
      <c r="F6" s="8"/>
      <c r="G6" s="8"/>
      <c r="H6" s="8"/>
      <c r="I6" s="8"/>
      <c r="J6" s="8"/>
      <c r="K6" s="7" t="n">
        <f aca="false">SUM('Long Term Deals'!K19:K30)</f>
        <v>1544410.60814452</v>
      </c>
      <c r="L6" s="7" t="n">
        <f aca="false">SUM('Long Term Deals'!L19:L30)</f>
        <v>1537242.03814452</v>
      </c>
      <c r="M6" s="14" t="n">
        <f aca="false">K6-L6</f>
        <v>7168.57000000007</v>
      </c>
      <c r="O6" s="7" t="n">
        <f aca="false">('Long Term Deals'!O19*'Prices&amp;Fuel'!$H19+'Prices&amp;Fuel'!$H20*'Long Term Deals'!O20+'Long Term Deals'!O21*'Prices&amp;Fuel'!$H21+'Long Term Deals'!O22*'Prices&amp;Fuel'!$H22+'Long Term Deals'!O23*'Prices&amp;Fuel'!$H23+'Long Term Deals'!O24*'Prices&amp;Fuel'!$H24+'Long Term Deals'!O25*'Prices&amp;Fuel'!$H25+'Long Term Deals'!O26*'Prices&amp;Fuel'!$H26+'Long Term Deals'!O27*'Prices&amp;Fuel'!$H27+'Long Term Deals'!O28*'Prices&amp;Fuel'!$H28+'Long Term Deals'!O29*'Prices&amp;Fuel'!$H29+'Long Term Deals'!O30*'Prices&amp;Fuel'!$H30)/SUM('Prices&amp;Fuel'!$H19:$H30)</f>
        <v>9036</v>
      </c>
      <c r="P6" s="7" t="n">
        <f aca="false">('Long Term Deals'!P19*'Prices&amp;Fuel'!$H19+'Prices&amp;Fuel'!$H20*'Long Term Deals'!P20+'Long Term Deals'!P21*'Prices&amp;Fuel'!$H21+'Long Term Deals'!P22*'Prices&amp;Fuel'!$H22+'Long Term Deals'!P23*'Prices&amp;Fuel'!$H23+'Long Term Deals'!P24*'Prices&amp;Fuel'!$H24+'Long Term Deals'!P25*'Prices&amp;Fuel'!$H25+'Long Term Deals'!P26*'Prices&amp;Fuel'!$H26+'Long Term Deals'!P27*'Prices&amp;Fuel'!$H27+'Long Term Deals'!P28*'Prices&amp;Fuel'!$H28+'Long Term Deals'!P29*'Prices&amp;Fuel'!$H29+'Long Term Deals'!P30*'Prices&amp;Fuel'!$H30)/SUM('Prices&amp;Fuel'!$H19:$H30)</f>
        <v>10794</v>
      </c>
      <c r="Q6" s="7" t="n">
        <f aca="false">('Long Term Deals'!Q19*'Prices&amp;Fuel'!$H19+'Prices&amp;Fuel'!$H20*'Long Term Deals'!Q20+'Long Term Deals'!Q21*'Prices&amp;Fuel'!$H21+'Long Term Deals'!Q22*'Prices&amp;Fuel'!$H22+'Long Term Deals'!Q23*'Prices&amp;Fuel'!$H23+'Long Term Deals'!Q24*'Prices&amp;Fuel'!$H24+'Long Term Deals'!Q25*'Prices&amp;Fuel'!$H25+'Long Term Deals'!Q26*'Prices&amp;Fuel'!$H26+'Long Term Deals'!Q27*'Prices&amp;Fuel'!$H27+'Long Term Deals'!Q28*'Prices&amp;Fuel'!$H28+'Long Term Deals'!Q29*'Prices&amp;Fuel'!$H29+'Long Term Deals'!Q30*'Prices&amp;Fuel'!$H30)/SUM('Prices&amp;Fuel'!$H19:$H30)</f>
        <v>5270</v>
      </c>
      <c r="T6" s="7" t="n">
        <f aca="false">SUM('Long Term Deals'!T19:T30)</f>
        <v>20374084.15</v>
      </c>
      <c r="U6" s="7" t="n">
        <f aca="false">SUM('Long Term Deals'!U19:U30)</f>
        <v>20274216.27</v>
      </c>
      <c r="V6" s="14" t="n">
        <f aca="false">T6-U6</f>
        <v>99867.8800000064</v>
      </c>
      <c r="X6" s="7" t="n">
        <f aca="false">('Long Term Deals'!X19*'Prices&amp;Fuel'!$H19+'Prices&amp;Fuel'!$H20*'Long Term Deals'!X20+'Long Term Deals'!X21*'Prices&amp;Fuel'!$H21+'Long Term Deals'!X22*'Prices&amp;Fuel'!$H22+'Long Term Deals'!X23*'Prices&amp;Fuel'!$H23+'Long Term Deals'!X24*'Prices&amp;Fuel'!$H24+'Long Term Deals'!X25*'Prices&amp;Fuel'!$H25+'Long Term Deals'!X26*'Prices&amp;Fuel'!$H26+'Long Term Deals'!X27*'Prices&amp;Fuel'!$H27+'Long Term Deals'!X28*'Prices&amp;Fuel'!$H28+'Long Term Deals'!X29*'Prices&amp;Fuel'!$H29+'Long Term Deals'!X30*'Prices&amp;Fuel'!$H30)/SUM('Prices&amp;Fuel'!$H19:$H30)</f>
        <v>3500</v>
      </c>
      <c r="Y6" s="7" t="n">
        <f aca="false">('Long Term Deals'!Y19*'Prices&amp;Fuel'!$H19+'Prices&amp;Fuel'!$H20*'Long Term Deals'!Y20+'Long Term Deals'!Y21*'Prices&amp;Fuel'!$H21+'Long Term Deals'!Y22*'Prices&amp;Fuel'!$H22+'Long Term Deals'!Y23*'Prices&amp;Fuel'!$H23+'Long Term Deals'!Y24*'Prices&amp;Fuel'!$H24+'Long Term Deals'!Y25*'Prices&amp;Fuel'!$H25+'Long Term Deals'!Y26*'Prices&amp;Fuel'!$H26+'Long Term Deals'!Y27*'Prices&amp;Fuel'!$H27+'Long Term Deals'!Y28*'Prices&amp;Fuel'!$H28+'Long Term Deals'!Y29*'Prices&amp;Fuel'!$H29+'Long Term Deals'!Y30*'Prices&amp;Fuel'!$H30)/SUM('Prices&amp;Fuel'!$H19:$H30)</f>
        <v>3500</v>
      </c>
      <c r="Z6" s="27"/>
      <c r="AA6" s="27"/>
      <c r="AB6" s="7" t="n">
        <f aca="false">SUM('Long Term Deals'!AB19:AB30)</f>
        <v>5621000</v>
      </c>
      <c r="AC6" s="7" t="n">
        <f aca="false">SUM('Long Term Deals'!AC19:AC30)</f>
        <v>5569900</v>
      </c>
      <c r="AD6" s="14" t="n">
        <f aca="false">AB6-AC6</f>
        <v>51100</v>
      </c>
      <c r="AF6" s="7" t="n">
        <f aca="false">('Long Term Deals'!AF19*'Prices&amp;Fuel'!$H19+'Prices&amp;Fuel'!$H20*'Long Term Deals'!AF20+'Long Term Deals'!AF21*'Prices&amp;Fuel'!$H21+'Long Term Deals'!AF22*'Prices&amp;Fuel'!$H22+'Long Term Deals'!AF23*'Prices&amp;Fuel'!$H23+'Long Term Deals'!AF24*'Prices&amp;Fuel'!$H24+'Long Term Deals'!AF25*'Prices&amp;Fuel'!$H25+'Long Term Deals'!AF26*'Prices&amp;Fuel'!$H26+'Long Term Deals'!AF27*'Prices&amp;Fuel'!$H27+'Long Term Deals'!AF28*'Prices&amp;Fuel'!$H28+'Long Term Deals'!AF29*'Prices&amp;Fuel'!$H29+'Long Term Deals'!AF30*'Prices&amp;Fuel'!$H30)/SUM('Prices&amp;Fuel'!$H19:$H30)</f>
        <v>125756.584933174</v>
      </c>
      <c r="AG6" s="7" t="n">
        <f aca="false">('Long Term Deals'!AG19*'Prices&amp;Fuel'!$H19+'Prices&amp;Fuel'!$H20*'Long Term Deals'!AG20+'Long Term Deals'!AG21*'Prices&amp;Fuel'!$H21+'Long Term Deals'!AG22*'Prices&amp;Fuel'!$H22+'Long Term Deals'!AG23*'Prices&amp;Fuel'!$H23+'Long Term Deals'!AG24*'Prices&amp;Fuel'!$H24+'Long Term Deals'!AG25*'Prices&amp;Fuel'!$H25+'Long Term Deals'!AG26*'Prices&amp;Fuel'!$H26+'Long Term Deals'!AG27*'Prices&amp;Fuel'!$H27+'Long Term Deals'!AG28*'Prices&amp;Fuel'!$H28+'Long Term Deals'!AG29*'Prices&amp;Fuel'!$H29+'Long Term Deals'!AG30*'Prices&amp;Fuel'!$H30)/SUM('Prices&amp;Fuel'!$H19:$H30)</f>
        <v>65287.2160603131</v>
      </c>
      <c r="AH6" s="7" t="n">
        <f aca="false">('Long Term Deals'!AH19*'Prices&amp;Fuel'!$H19+'Prices&amp;Fuel'!$H20*'Long Term Deals'!AH20+'Long Term Deals'!AH21*'Prices&amp;Fuel'!$H21+'Long Term Deals'!AH22*'Prices&amp;Fuel'!$H22+'Long Term Deals'!AH23*'Prices&amp;Fuel'!$H23+'Long Term Deals'!AH24*'Prices&amp;Fuel'!$H24+'Long Term Deals'!AH25*'Prices&amp;Fuel'!$H25+'Long Term Deals'!AH26*'Prices&amp;Fuel'!$H26+'Long Term Deals'!AH27*'Prices&amp;Fuel'!$H27+'Long Term Deals'!AH28*'Prices&amp;Fuel'!$H28+'Long Term Deals'!AH29*'Prices&amp;Fuel'!$H29+'Long Term Deals'!AH30*'Prices&amp;Fuel'!$H30)/SUM('Prices&amp;Fuel'!$H19:$H30)</f>
        <v>77139.1282718347</v>
      </c>
      <c r="AI6" s="7" t="n">
        <f aca="false">('Long Term Deals'!AI19*'Prices&amp;Fuel'!$H19+'Prices&amp;Fuel'!$H20*'Long Term Deals'!AI20+'Long Term Deals'!AI21*'Prices&amp;Fuel'!$H21+'Long Term Deals'!AI22*'Prices&amp;Fuel'!$H22+'Long Term Deals'!AI23*'Prices&amp;Fuel'!$H23+'Long Term Deals'!AI24*'Prices&amp;Fuel'!$H24+'Long Term Deals'!AI25*'Prices&amp;Fuel'!$H25+'Long Term Deals'!AI26*'Prices&amp;Fuel'!$H26+'Long Term Deals'!AI27*'Prices&amp;Fuel'!$H27+'Long Term Deals'!AI28*'Prices&amp;Fuel'!$H28+'Long Term Deals'!AI29*'Prices&amp;Fuel'!$H29+'Long Term Deals'!AI30*'Prices&amp;Fuel'!$H30)/SUM('Prices&amp;Fuel'!$H19:$H30)</f>
        <v>0</v>
      </c>
      <c r="AJ6" s="7" t="n">
        <f aca="false">('Long Term Deals'!AJ19*'Prices&amp;Fuel'!$H19+'Prices&amp;Fuel'!$H20*'Long Term Deals'!AJ20+'Long Term Deals'!AJ21*'Prices&amp;Fuel'!$H21+'Long Term Deals'!AJ22*'Prices&amp;Fuel'!$H22+'Long Term Deals'!AJ23*'Prices&amp;Fuel'!$H23+'Long Term Deals'!AJ24*'Prices&amp;Fuel'!$H24+'Long Term Deals'!AJ25*'Prices&amp;Fuel'!$H25+'Long Term Deals'!AJ26*'Prices&amp;Fuel'!$H26+'Long Term Deals'!AJ27*'Prices&amp;Fuel'!$H27+'Long Term Deals'!AJ28*'Prices&amp;Fuel'!$H28+'Long Term Deals'!AJ29*'Prices&amp;Fuel'!$H29+'Long Term Deals'!AJ30*'Prices&amp;Fuel'!$H30)/SUM('Prices&amp;Fuel'!$H19:$H30)</f>
        <v>0</v>
      </c>
      <c r="AK6" s="7" t="n">
        <f aca="false">('Long Term Deals'!AK19*'Prices&amp;Fuel'!$H19+'Prices&amp;Fuel'!$H20*'Long Term Deals'!AK20+'Long Term Deals'!AK21*'Prices&amp;Fuel'!$H21+'Long Term Deals'!AK22*'Prices&amp;Fuel'!$H22+'Long Term Deals'!AK23*'Prices&amp;Fuel'!$H23+'Long Term Deals'!AK24*'Prices&amp;Fuel'!$H24+'Long Term Deals'!AK25*'Prices&amp;Fuel'!$H25+'Long Term Deals'!AK26*'Prices&amp;Fuel'!$H26+'Long Term Deals'!AK27*'Prices&amp;Fuel'!$H27+'Long Term Deals'!AK28*'Prices&amp;Fuel'!$H28+'Long Term Deals'!AK29*'Prices&amp;Fuel'!$H29+'Long Term Deals'!AK30*'Prices&amp;Fuel'!$H30)/SUM('Prices&amp;Fuel'!$H19:$H30)</f>
        <v>0</v>
      </c>
      <c r="AL6" s="7" t="n">
        <f aca="false">SUM(AI6:AK6)</f>
        <v>0</v>
      </c>
      <c r="AM6" s="7"/>
      <c r="AN6" s="7"/>
      <c r="AO6" s="7"/>
      <c r="AP6" s="7"/>
      <c r="AQ6" s="7"/>
      <c r="AR6" s="14"/>
      <c r="AS6" s="14"/>
      <c r="AT6" s="14"/>
      <c r="AU6" s="14"/>
      <c r="AW6" s="68"/>
      <c r="AX6" s="68"/>
      <c r="AY6" s="7" t="n">
        <f aca="false">SUM('Long Term Deals'!AY19:AY30)</f>
        <v>226285683.608741</v>
      </c>
      <c r="AZ6" s="7" t="n">
        <f aca="false">SUM('Long Term Deals'!AZ19:AZ30)</f>
        <v>214537127.864581</v>
      </c>
      <c r="BA6" s="5" t="n">
        <f aca="false">AY6-AZ6</f>
        <v>11748555.7441606</v>
      </c>
      <c r="BB6" s="7" t="n">
        <f aca="false">('Long Term Deals'!BB19*'Prices&amp;Fuel'!$H19+'Prices&amp;Fuel'!$H20*'Long Term Deals'!BB20+'Long Term Deals'!BB21*'Prices&amp;Fuel'!$H21+'Long Term Deals'!BB22*'Prices&amp;Fuel'!$H22+'Long Term Deals'!BB23*'Prices&amp;Fuel'!$H23+'Long Term Deals'!BB24*'Prices&amp;Fuel'!$H24+'Long Term Deals'!BB25*'Prices&amp;Fuel'!$H25+'Long Term Deals'!BB26*'Prices&amp;Fuel'!$H26+'Long Term Deals'!BB27*'Prices&amp;Fuel'!$H27+'Long Term Deals'!BB28*'Prices&amp;Fuel'!$H28+'Long Term Deals'!BB29*'Prices&amp;Fuel'!$H29+'Long Term Deals'!BB30*'Prices&amp;Fuel'!$H30)/SUM('Prices&amp;Fuel'!$H19:$H30)</f>
        <v>6825.29853586917</v>
      </c>
      <c r="BC6" s="7" t="n">
        <f aca="false">('Long Term Deals'!BC19*'Prices&amp;Fuel'!$H19+'Prices&amp;Fuel'!$H20*'Long Term Deals'!BC20+'Long Term Deals'!BC21*'Prices&amp;Fuel'!$H21+'Long Term Deals'!BC22*'Prices&amp;Fuel'!$H22+'Long Term Deals'!BC23*'Prices&amp;Fuel'!$H23+'Long Term Deals'!BC24*'Prices&amp;Fuel'!$H24+'Long Term Deals'!BC25*'Prices&amp;Fuel'!$H25+'Long Term Deals'!BC26*'Prices&amp;Fuel'!$H26+'Long Term Deals'!BC27*'Prices&amp;Fuel'!$H27+'Long Term Deals'!BC28*'Prices&amp;Fuel'!$H28+'Long Term Deals'!BC29*'Prices&amp;Fuel'!$H29+'Long Term Deals'!BC30*'Prices&amp;Fuel'!$H30)/SUM('Prices&amp;Fuel'!$H19:$H30)</f>
        <v>46.9342465752181</v>
      </c>
      <c r="BD6" s="7" t="n">
        <f aca="false">('Long Term Deals'!BD19*'Prices&amp;Fuel'!$H19+'Prices&amp;Fuel'!$H20*'Long Term Deals'!BD20+'Long Term Deals'!BD21*'Prices&amp;Fuel'!$H21+'Long Term Deals'!BD22*'Prices&amp;Fuel'!$H22+'Long Term Deals'!BD23*'Prices&amp;Fuel'!$H23+'Long Term Deals'!BD24*'Prices&amp;Fuel'!$H24+'Long Term Deals'!BD25*'Prices&amp;Fuel'!$H25+'Long Term Deals'!BD26*'Prices&amp;Fuel'!$H26+'Long Term Deals'!BD27*'Prices&amp;Fuel'!$H27+'Long Term Deals'!BD28*'Prices&amp;Fuel'!$H28+'Long Term Deals'!BD29*'Prices&amp;Fuel'!$H29+'Long Term Deals'!BD30*'Prices&amp;Fuel'!$H30)/SUM('Prices&amp;Fuel'!$H19:$H30)</f>
        <v>3018.27454991084</v>
      </c>
      <c r="BE6" s="7" t="n">
        <f aca="false">('Long Term Deals'!BE19*'Prices&amp;Fuel'!$H19+'Prices&amp;Fuel'!$H20*'Long Term Deals'!BE20+'Long Term Deals'!BE21*'Prices&amp;Fuel'!$H21+'Long Term Deals'!BE22*'Prices&amp;Fuel'!$H22+'Long Term Deals'!BE23*'Prices&amp;Fuel'!$H23+'Long Term Deals'!BE24*'Prices&amp;Fuel'!$H24+'Long Term Deals'!BE25*'Prices&amp;Fuel'!$H25+'Long Term Deals'!BE26*'Prices&amp;Fuel'!$H26+'Long Term Deals'!BE27*'Prices&amp;Fuel'!$H27+'Long Term Deals'!BE28*'Prices&amp;Fuel'!$H28+'Long Term Deals'!BE29*'Prices&amp;Fuel'!$H29+'Long Term Deals'!BE30*'Prices&amp;Fuel'!$H30)/SUM('Prices&amp;Fuel'!$H19:$H30)</f>
        <v>2306.68947644641</v>
      </c>
      <c r="BF6" s="7" t="n">
        <f aca="false">('Long Term Deals'!BF19*'Prices&amp;Fuel'!$H19+'Prices&amp;Fuel'!$H20*'Long Term Deals'!BF20+'Long Term Deals'!BF21*'Prices&amp;Fuel'!$H21+'Long Term Deals'!BF22*'Prices&amp;Fuel'!$H22+'Long Term Deals'!BF23*'Prices&amp;Fuel'!$H23+'Long Term Deals'!BF24*'Prices&amp;Fuel'!$H24+'Long Term Deals'!BF25*'Prices&amp;Fuel'!$H25+'Long Term Deals'!BF26*'Prices&amp;Fuel'!$H26+'Long Term Deals'!BF27*'Prices&amp;Fuel'!$H27+'Long Term Deals'!BF28*'Prices&amp;Fuel'!$H28+'Long Term Deals'!BF29*'Prices&amp;Fuel'!$H29+'Long Term Deals'!BF30*'Prices&amp;Fuel'!$H30)/SUM('Prices&amp;Fuel'!$H19:$H30)</f>
        <v>3418.06314050051</v>
      </c>
      <c r="BG6" s="7" t="n">
        <f aca="false">('Long Term Deals'!BG19*'Prices&amp;Fuel'!$H19+'Prices&amp;Fuel'!$H20*'Long Term Deals'!BG20+'Long Term Deals'!BG21*'Prices&amp;Fuel'!$H21+'Long Term Deals'!BG22*'Prices&amp;Fuel'!$H22+'Long Term Deals'!BG23*'Prices&amp;Fuel'!$H23+'Long Term Deals'!BG24*'Prices&amp;Fuel'!$H24+'Long Term Deals'!BG25*'Prices&amp;Fuel'!$H25+'Long Term Deals'!BG26*'Prices&amp;Fuel'!$H26+'Long Term Deals'!BG27*'Prices&amp;Fuel'!$H27+'Long Term Deals'!BG28*'Prices&amp;Fuel'!$H28+'Long Term Deals'!BG29*'Prices&amp;Fuel'!$H29+'Long Term Deals'!BG30*'Prices&amp;Fuel'!$H30)/SUM('Prices&amp;Fuel'!$H19:$H30)</f>
        <v>1402.28027013721</v>
      </c>
      <c r="BH6" s="10"/>
      <c r="BI6" s="9"/>
      <c r="BJ6" s="9"/>
      <c r="BK6" s="10"/>
      <c r="BL6" s="7" t="n">
        <f aca="false">SUM('Long Term Deals'!BL19:BL30)</f>
        <v>18841915.6109486</v>
      </c>
      <c r="BM6" s="9"/>
      <c r="BN6" s="9"/>
      <c r="BP6" s="7" t="n">
        <f aca="false">SUM('Long Term Deals'!BP19:BP30)</f>
        <v>18179854.1904843</v>
      </c>
      <c r="BQ6" s="5" t="n">
        <f aca="false">BL6-BP6</f>
        <v>662061.420464248</v>
      </c>
      <c r="BR6" s="7" t="n">
        <f aca="false">('Long Term Deals'!BR19*'Prices&amp;Fuel'!$H19+'Prices&amp;Fuel'!$H20*'Long Term Deals'!BR20+'Long Term Deals'!BR21*'Prices&amp;Fuel'!$H21+'Long Term Deals'!BR22*'Prices&amp;Fuel'!$H22+'Long Term Deals'!BR23*'Prices&amp;Fuel'!$H23+'Long Term Deals'!BR24*'Prices&amp;Fuel'!$H24+'Long Term Deals'!BR25*'Prices&amp;Fuel'!$H25+'Long Term Deals'!BR26*'Prices&amp;Fuel'!$H26+'Long Term Deals'!BR27*'Prices&amp;Fuel'!$H27+'Long Term Deals'!BR28*'Prices&amp;Fuel'!$H28+'Long Term Deals'!BR29*'Prices&amp;Fuel'!$H29+'Long Term Deals'!BR30*'Prices&amp;Fuel'!$H30)/SUM('Prices&amp;Fuel'!$H19:$H30)</f>
        <v>1000</v>
      </c>
      <c r="BS6" s="7" t="n">
        <f aca="false">('Long Term Deals'!BS19*'Prices&amp;Fuel'!$H19+'Prices&amp;Fuel'!$H20*'Long Term Deals'!BS20+'Long Term Deals'!BS21*'Prices&amp;Fuel'!$H21+'Long Term Deals'!BS22*'Prices&amp;Fuel'!$H22+'Long Term Deals'!BS23*'Prices&amp;Fuel'!$H23+'Long Term Deals'!BS24*'Prices&amp;Fuel'!$H24+'Long Term Deals'!BS25*'Prices&amp;Fuel'!$H25+'Long Term Deals'!BS26*'Prices&amp;Fuel'!$H26+'Long Term Deals'!BS27*'Prices&amp;Fuel'!$H27+'Long Term Deals'!BS28*'Prices&amp;Fuel'!$H28+'Long Term Deals'!BS29*'Prices&amp;Fuel'!$H29+'Long Term Deals'!BS30*'Prices&amp;Fuel'!$H30)/SUM('Prices&amp;Fuel'!$H19:$H30)</f>
        <v>0</v>
      </c>
      <c r="BT6" s="8"/>
      <c r="BU6" s="8"/>
      <c r="BV6" s="13"/>
      <c r="BW6" s="13"/>
      <c r="BX6" s="7" t="n">
        <f aca="false">SUM('Long Term Deals'!BX19:BX30)</f>
        <v>842629.4</v>
      </c>
      <c r="BY6" s="7" t="n">
        <f aca="false">SUM('Long Term Deals'!BY19:BY30)</f>
        <v>842629.4</v>
      </c>
      <c r="BZ6" s="5" t="n">
        <f aca="false">BX6-BY6</f>
        <v>0</v>
      </c>
      <c r="CA6" s="7" t="n">
        <f aca="false">SUM('Long Term Deals'!CA19:CA30)</f>
        <v>489433.845909212</v>
      </c>
      <c r="CB6" s="7" t="n">
        <f aca="false">SUM('Long Term Deals'!CB19:CB30)</f>
        <v>95048.7959004768</v>
      </c>
      <c r="CC6" s="7" t="n">
        <f aca="false">SUM('Long Term Deals'!CC19:CC30)</f>
        <v>273509723.377834</v>
      </c>
      <c r="CD6" s="7" t="n">
        <f aca="false">SUM('Long Term Deals'!CD19:CD30)</f>
        <v>261525452.405019</v>
      </c>
      <c r="CE6" s="7" t="n">
        <f aca="false">SUM('Long Term Deals'!CE19:CE30)</f>
        <v>11984270.9728151</v>
      </c>
      <c r="CF6" s="7" t="n">
        <f aca="false">SUM('Long Term Deals'!CF19:CF30)</f>
        <v>1130698.235</v>
      </c>
      <c r="CG6" s="7" t="n">
        <f aca="false">SUM('Long Term Deals'!CG19:CG30)</f>
        <v>2537.035</v>
      </c>
      <c r="CH6" s="7" t="n">
        <f aca="false">SUM('Long Term Deals'!CH19:CH30)</f>
        <v>1093425.84440273</v>
      </c>
      <c r="CI6" s="7" t="n">
        <f aca="false">SUM('Long Term Deals'!CI19:CI30)</f>
        <v>37272.3905972698</v>
      </c>
      <c r="CJ6" s="7" t="n">
        <f aca="false">SUM('Long Term Deals'!CJ19:CJ30)</f>
        <v>274640421.612834</v>
      </c>
      <c r="CK6" s="7" t="n">
        <f aca="false">SUM('Long Term Deals'!CK19:CK30)</f>
        <v>262618878.249422</v>
      </c>
      <c r="CL6" s="7" t="n">
        <f aca="false">SUM('Long Term Deals'!CL19:CL30)</f>
        <v>12021543.3634124</v>
      </c>
      <c r="CM6" s="7" t="n">
        <f aca="false">SUM('Long Term Deals'!CM19:CM30)</f>
        <v>12021543.3634124</v>
      </c>
      <c r="CN6" s="7" t="n">
        <f aca="false">SUM('Long Term Deals'!CN19:CN30)</f>
        <v>6097772.6626</v>
      </c>
      <c r="CO6" s="7" t="n">
        <f aca="false">SUM('Long Term Deals'!CO19:CO30)</f>
        <v>8995957.84844521</v>
      </c>
      <c r="CP6" s="7" t="n">
        <f aca="false">SUM('Long Term Deals'!CP19:CP30)</f>
        <v>0</v>
      </c>
      <c r="CQ6" s="7" t="n">
        <f aca="false">SUM('Long Term Deals'!CQ19:CQ30)</f>
        <v>42135.5775</v>
      </c>
      <c r="CR6" s="7" t="n">
        <f aca="false">SUM('Long Term Deals'!CR19:CR30)</f>
        <v>544007.088409212</v>
      </c>
      <c r="CS6" s="7" t="n">
        <f aca="false">SUM('Long Term Deals'!CS19:CS30)</f>
        <v>2093514.39</v>
      </c>
      <c r="CT6" s="7" t="n">
        <f aca="false">SUM('Long Term Deals'!CT19:CT30)</f>
        <v>4403034.51709265</v>
      </c>
      <c r="CU6" s="7" t="n">
        <f aca="false">SUM('Long Term Deals'!CU19:CU30)</f>
        <v>799467.392338939</v>
      </c>
      <c r="CV6" s="76" t="n">
        <f aca="false">SUM('Long Term Deals'!CV19:CV30)</f>
        <v>13409675.8145039</v>
      </c>
      <c r="CW6" s="14" t="n">
        <f aca="false">AF6+AG6+AH6</f>
        <v>268182.929265322</v>
      </c>
      <c r="CX6" s="14" t="n">
        <f aca="false">B6+C6+D6+O6+P6+Q6+X6+Y6+BB6+BC6+BD6+BE6+BF6+BG6+BR6+BS6+'Index Price Deals'!AZ30</f>
        <v>53471.6881646448</v>
      </c>
      <c r="CY6" s="14" t="n">
        <f aca="false">(CW6+CX6)*365</f>
        <v>117403935.361938</v>
      </c>
      <c r="CZ6" s="14" t="n">
        <f aca="false">SUM(BB6:BG6)</f>
        <v>17017.5402194394</v>
      </c>
      <c r="DA6" s="14" t="n">
        <f aca="false">B6+C6+D6+O6+P6+Q6+X6+Y6+BR6+BS6</f>
        <v>35063.9917808219</v>
      </c>
      <c r="DB6" s="1" t="n">
        <f aca="false">'Index Price Deals'!AZ30</f>
        <v>1390.15616438356</v>
      </c>
      <c r="DC6" s="14" t="n">
        <f aca="false">CZ6+DA6+DB6-CX6</f>
        <v>0</v>
      </c>
    </row>
    <row r="7" customFormat="false" ht="12.75" hidden="false" customHeight="false" outlineLevel="0" collapsed="false">
      <c r="A7" s="75" t="n">
        <v>36539.9999999999</v>
      </c>
      <c r="O7" s="7" t="n">
        <f aca="false">('Long Term Deals'!O31*'Prices&amp;Fuel'!$H31+'Prices&amp;Fuel'!$H32*'Long Term Deals'!O32+'Long Term Deals'!O33*'Prices&amp;Fuel'!$H33+'Long Term Deals'!O34*'Prices&amp;Fuel'!$H34+'Long Term Deals'!O35*'Prices&amp;Fuel'!$H35+'Long Term Deals'!O36*'Prices&amp;Fuel'!$H36+'Long Term Deals'!O37*'Prices&amp;Fuel'!$H37+'Long Term Deals'!O38*'Prices&amp;Fuel'!$H38+'Long Term Deals'!O39*'Prices&amp;Fuel'!$H39+'Long Term Deals'!O40*'Prices&amp;Fuel'!$H40+'Long Term Deals'!O41*'Prices&amp;Fuel'!$H41+'Long Term Deals'!O42*'Prices&amp;Fuel'!$H42)/SUM('Prices&amp;Fuel'!$H31:$H42)</f>
        <v>9036</v>
      </c>
      <c r="P7" s="7" t="n">
        <f aca="false">('Long Term Deals'!P31*'Prices&amp;Fuel'!$H31+'Prices&amp;Fuel'!$H32*'Long Term Deals'!P32+'Long Term Deals'!P33*'Prices&amp;Fuel'!$H33+'Long Term Deals'!P34*'Prices&amp;Fuel'!$H34+'Long Term Deals'!P35*'Prices&amp;Fuel'!$H35+'Long Term Deals'!P36*'Prices&amp;Fuel'!$H36+'Long Term Deals'!P37*'Prices&amp;Fuel'!$H37+'Long Term Deals'!P38*'Prices&amp;Fuel'!$H38+'Long Term Deals'!P39*'Prices&amp;Fuel'!$H39+'Long Term Deals'!P40*'Prices&amp;Fuel'!$H40+'Long Term Deals'!P41*'Prices&amp;Fuel'!$H41+'Long Term Deals'!P42*'Prices&amp;Fuel'!$H42)/SUM('Prices&amp;Fuel'!$H31:$H42)</f>
        <v>10794</v>
      </c>
      <c r="Q7" s="7" t="n">
        <f aca="false">('Long Term Deals'!Q31*'Prices&amp;Fuel'!$H31+'Prices&amp;Fuel'!$H32*'Long Term Deals'!Q32+'Long Term Deals'!Q33*'Prices&amp;Fuel'!$H33+'Long Term Deals'!Q34*'Prices&amp;Fuel'!$H34+'Long Term Deals'!Q35*'Prices&amp;Fuel'!$H35+'Long Term Deals'!Q36*'Prices&amp;Fuel'!$H36+'Long Term Deals'!Q37*'Prices&amp;Fuel'!$H37+'Long Term Deals'!Q38*'Prices&amp;Fuel'!$H38+'Long Term Deals'!Q39*'Prices&amp;Fuel'!$H39+'Long Term Deals'!Q40*'Prices&amp;Fuel'!$H40+'Long Term Deals'!Q41*'Prices&amp;Fuel'!$H41+'Long Term Deals'!Q42*'Prices&amp;Fuel'!$H42)/SUM('Prices&amp;Fuel'!$H31:$H42)</f>
        <v>5270</v>
      </c>
      <c r="T7" s="7" t="n">
        <f aca="false">SUM('Long Term Deals'!T31:T42)</f>
        <v>20837713.78</v>
      </c>
      <c r="U7" s="7" t="n">
        <f aca="false">SUM('Long Term Deals'!U31:U42)</f>
        <v>20735275.66</v>
      </c>
      <c r="V7" s="14" t="n">
        <f aca="false">T7-U7</f>
        <v>102438.120000001</v>
      </c>
      <c r="X7" s="7" t="n">
        <f aca="false">('Long Term Deals'!X31*'Prices&amp;Fuel'!$H31+'Prices&amp;Fuel'!$H32*'Long Term Deals'!X32+'Long Term Deals'!X33*'Prices&amp;Fuel'!$H33+'Long Term Deals'!X34*'Prices&amp;Fuel'!$H34+'Long Term Deals'!X35*'Prices&amp;Fuel'!$H35+'Long Term Deals'!X36*'Prices&amp;Fuel'!$H36+'Long Term Deals'!X37*'Prices&amp;Fuel'!$H37+'Long Term Deals'!X38*'Prices&amp;Fuel'!$H38+'Long Term Deals'!X39*'Prices&amp;Fuel'!$H39+'Long Term Deals'!X40*'Prices&amp;Fuel'!$H40+'Long Term Deals'!X41*'Prices&amp;Fuel'!$H41+'Long Term Deals'!X42*'Prices&amp;Fuel'!$H42)/SUM('Prices&amp;Fuel'!$H31:$H42)</f>
        <v>3083.33333333333</v>
      </c>
      <c r="Y7" s="7" t="n">
        <f aca="false">('Long Term Deals'!Y31*'Prices&amp;Fuel'!$H31+'Prices&amp;Fuel'!$H32*'Long Term Deals'!Y32+'Long Term Deals'!Y33*'Prices&amp;Fuel'!$H33+'Long Term Deals'!Y34*'Prices&amp;Fuel'!$H34+'Long Term Deals'!Y35*'Prices&amp;Fuel'!$H35+'Long Term Deals'!Y36*'Prices&amp;Fuel'!$H36+'Long Term Deals'!Y37*'Prices&amp;Fuel'!$H37+'Long Term Deals'!Y38*'Prices&amp;Fuel'!$H38+'Long Term Deals'!Y39*'Prices&amp;Fuel'!$H39+'Long Term Deals'!Y40*'Prices&amp;Fuel'!$H40+'Long Term Deals'!Y41*'Prices&amp;Fuel'!$H41+'Long Term Deals'!Y42*'Prices&amp;Fuel'!$H42)/SUM('Prices&amp;Fuel'!$H31:$H42)</f>
        <v>3083.33333333333</v>
      </c>
      <c r="Z7" s="27"/>
      <c r="AA7" s="27"/>
      <c r="AB7" s="7" t="n">
        <f aca="false">SUM('Long Term Deals'!AB31:AB42)</f>
        <v>4965400</v>
      </c>
      <c r="AC7" s="7" t="n">
        <f aca="false">SUM('Long Term Deals'!AC31:AC42)</f>
        <v>4920260</v>
      </c>
      <c r="AD7" s="14" t="n">
        <f aca="false">AB7-AC7</f>
        <v>45140</v>
      </c>
      <c r="AF7" s="7" t="n">
        <f aca="false">('Long Term Deals'!AF31*'Prices&amp;Fuel'!$H31+'Prices&amp;Fuel'!$H32*'Long Term Deals'!AF32+'Long Term Deals'!AF33*'Prices&amp;Fuel'!$H33+'Long Term Deals'!AF34*'Prices&amp;Fuel'!$H34+'Long Term Deals'!AF35*'Prices&amp;Fuel'!$H35+'Long Term Deals'!AF36*'Prices&amp;Fuel'!$H36+'Long Term Deals'!AF37*'Prices&amp;Fuel'!$H37+'Long Term Deals'!AF38*'Prices&amp;Fuel'!$H38+'Long Term Deals'!AF39*'Prices&amp;Fuel'!$H39+'Long Term Deals'!AF40*'Prices&amp;Fuel'!$H40+'Long Term Deals'!AF41*'Prices&amp;Fuel'!$H41+'Long Term Deals'!AF42*'Prices&amp;Fuel'!$H42)/SUM('Prices&amp;Fuel'!$H31:$H42)</f>
        <v>99236.6571621001</v>
      </c>
      <c r="AG7" s="7" t="n">
        <f aca="false">('Long Term Deals'!AG31*'Prices&amp;Fuel'!$H31+'Prices&amp;Fuel'!$H32*'Long Term Deals'!AG32+'Long Term Deals'!AG33*'Prices&amp;Fuel'!$H33+'Long Term Deals'!AG34*'Prices&amp;Fuel'!$H34+'Long Term Deals'!AG35*'Prices&amp;Fuel'!$H35+'Long Term Deals'!AG36*'Prices&amp;Fuel'!$H36+'Long Term Deals'!AG37*'Prices&amp;Fuel'!$H37+'Long Term Deals'!AG38*'Prices&amp;Fuel'!$H38+'Long Term Deals'!AG39*'Prices&amp;Fuel'!$H39+'Long Term Deals'!AG40*'Prices&amp;Fuel'!$H40+'Long Term Deals'!AG41*'Prices&amp;Fuel'!$H41+'Long Term Deals'!AG42*'Prices&amp;Fuel'!$H42)/SUM('Prices&amp;Fuel'!$H31:$H42)</f>
        <v>0</v>
      </c>
      <c r="AH7" s="7" t="n">
        <f aca="false">('Long Term Deals'!AH31*'Prices&amp;Fuel'!$H31+'Prices&amp;Fuel'!$H32*'Long Term Deals'!AH32+'Long Term Deals'!AH33*'Prices&amp;Fuel'!$H33+'Long Term Deals'!AH34*'Prices&amp;Fuel'!$H34+'Long Term Deals'!AH35*'Prices&amp;Fuel'!$H35+'Long Term Deals'!AH36*'Prices&amp;Fuel'!$H36+'Long Term Deals'!AH37*'Prices&amp;Fuel'!$H37+'Long Term Deals'!AH38*'Prices&amp;Fuel'!$H38+'Long Term Deals'!AH39*'Prices&amp;Fuel'!$H39+'Long Term Deals'!AH40*'Prices&amp;Fuel'!$H40+'Long Term Deals'!AH41*'Prices&amp;Fuel'!$H41+'Long Term Deals'!AH42*'Prices&amp;Fuel'!$H42)/SUM('Prices&amp;Fuel'!$H31:$H42)</f>
        <v>77275.7805040609</v>
      </c>
      <c r="AI7" s="7" t="n">
        <f aca="false">('Long Term Deals'!AI31*'Prices&amp;Fuel'!$H31+'Prices&amp;Fuel'!$H32*'Long Term Deals'!AI32+'Long Term Deals'!AI33*'Prices&amp;Fuel'!$H33+'Long Term Deals'!AI34*'Prices&amp;Fuel'!$H34+'Long Term Deals'!AI35*'Prices&amp;Fuel'!$H35+'Long Term Deals'!AI36*'Prices&amp;Fuel'!$H36+'Long Term Deals'!AI37*'Prices&amp;Fuel'!$H37+'Long Term Deals'!AI38*'Prices&amp;Fuel'!$H38+'Long Term Deals'!AI39*'Prices&amp;Fuel'!$H39+'Long Term Deals'!AI40*'Prices&amp;Fuel'!$H40+'Long Term Deals'!AI41*'Prices&amp;Fuel'!$H41+'Long Term Deals'!AI42*'Prices&amp;Fuel'!$H42)/SUM('Prices&amp;Fuel'!$H31:$H42)</f>
        <v>0</v>
      </c>
      <c r="AJ7" s="7" t="n">
        <f aca="false">('Long Term Deals'!AJ31*'Prices&amp;Fuel'!$H31+'Prices&amp;Fuel'!$H32*'Long Term Deals'!AJ32+'Long Term Deals'!AJ33*'Prices&amp;Fuel'!$H33+'Long Term Deals'!AJ34*'Prices&amp;Fuel'!$H34+'Long Term Deals'!AJ35*'Prices&amp;Fuel'!$H35+'Long Term Deals'!AJ36*'Prices&amp;Fuel'!$H36+'Long Term Deals'!AJ37*'Prices&amp;Fuel'!$H37+'Long Term Deals'!AJ38*'Prices&amp;Fuel'!$H38+'Long Term Deals'!AJ39*'Prices&amp;Fuel'!$H39+'Long Term Deals'!AJ40*'Prices&amp;Fuel'!$H40+'Long Term Deals'!AJ41*'Prices&amp;Fuel'!$H41+'Long Term Deals'!AJ42*'Prices&amp;Fuel'!$H42)/SUM('Prices&amp;Fuel'!$H31:$H42)</f>
        <v>0</v>
      </c>
      <c r="AK7" s="7" t="n">
        <f aca="false">('Long Term Deals'!AK31*'Prices&amp;Fuel'!$H31+'Prices&amp;Fuel'!$H32*'Long Term Deals'!AK32+'Long Term Deals'!AK33*'Prices&amp;Fuel'!$H33+'Long Term Deals'!AK34*'Prices&amp;Fuel'!$H34+'Long Term Deals'!AK35*'Prices&amp;Fuel'!$H35+'Long Term Deals'!AK36*'Prices&amp;Fuel'!$H36+'Long Term Deals'!AK37*'Prices&amp;Fuel'!$H37+'Long Term Deals'!AK38*'Prices&amp;Fuel'!$H38+'Long Term Deals'!AK39*'Prices&amp;Fuel'!$H39+'Long Term Deals'!AK40*'Prices&amp;Fuel'!$H40+'Long Term Deals'!AK41*'Prices&amp;Fuel'!$H41+'Long Term Deals'!AK42*'Prices&amp;Fuel'!$H42)/SUM('Prices&amp;Fuel'!$H31:$H42)</f>
        <v>0</v>
      </c>
      <c r="AL7" s="7" t="n">
        <f aca="false">SUM(AI7:AK7)</f>
        <v>0</v>
      </c>
      <c r="AM7" s="7"/>
      <c r="AN7" s="7"/>
      <c r="AO7" s="7"/>
      <c r="AP7" s="7"/>
      <c r="AQ7" s="7"/>
      <c r="AR7" s="7"/>
      <c r="AS7" s="14"/>
      <c r="AT7" s="14"/>
      <c r="AU7" s="14"/>
      <c r="AW7" s="68"/>
      <c r="AX7" s="68"/>
      <c r="AY7" s="7" t="n">
        <f aca="false">SUM('Long Term Deals'!AY31:AY42)</f>
        <v>241929721.653842</v>
      </c>
      <c r="AZ7" s="7" t="n">
        <f aca="false">SUM('Long Term Deals'!AZ31:AZ42)</f>
        <v>233822328.833253</v>
      </c>
      <c r="BA7" s="5" t="n">
        <f aca="false">AY7-AZ7</f>
        <v>8107392.82058883</v>
      </c>
      <c r="BB7" s="7" t="n">
        <f aca="false">('Long Term Deals'!BB31*'Prices&amp;Fuel'!$H31+'Prices&amp;Fuel'!$H32*'Long Term Deals'!BB32+'Long Term Deals'!BB33*'Prices&amp;Fuel'!$H33+'Long Term Deals'!BB34*'Prices&amp;Fuel'!$H34+'Long Term Deals'!BB35*'Prices&amp;Fuel'!$H35+'Long Term Deals'!BB36*'Prices&amp;Fuel'!$H36+'Long Term Deals'!BB37*'Prices&amp;Fuel'!$H37+'Long Term Deals'!BB38*'Prices&amp;Fuel'!$H38+'Long Term Deals'!BB39*'Prices&amp;Fuel'!$H39+'Long Term Deals'!BB40*'Prices&amp;Fuel'!$H40+'Long Term Deals'!BB41*'Prices&amp;Fuel'!$H41+'Long Term Deals'!BB42*'Prices&amp;Fuel'!$H42)/SUM('Prices&amp;Fuel'!$H31:$H42)</f>
        <v>6839.70345776027</v>
      </c>
      <c r="BC7" s="7" t="n">
        <f aca="false">('Long Term Deals'!BC31*'Prices&amp;Fuel'!$H31+'Prices&amp;Fuel'!$H32*'Long Term Deals'!BC32+'Long Term Deals'!BC33*'Prices&amp;Fuel'!$H33+'Long Term Deals'!BC34*'Prices&amp;Fuel'!$H34+'Long Term Deals'!BC35*'Prices&amp;Fuel'!$H35+'Long Term Deals'!BC36*'Prices&amp;Fuel'!$H36+'Long Term Deals'!BC37*'Prices&amp;Fuel'!$H37+'Long Term Deals'!BC38*'Prices&amp;Fuel'!$H38+'Long Term Deals'!BC39*'Prices&amp;Fuel'!$H39+'Long Term Deals'!BC40*'Prices&amp;Fuel'!$H40+'Long Term Deals'!BC41*'Prices&amp;Fuel'!$H41+'Long Term Deals'!BC42*'Prices&amp;Fuel'!$H42)/SUM('Prices&amp;Fuel'!$H31:$H42)</f>
        <v>0</v>
      </c>
      <c r="BD7" s="7" t="n">
        <f aca="false">('Long Term Deals'!BD31*'Prices&amp;Fuel'!$H31+'Prices&amp;Fuel'!$H32*'Long Term Deals'!BD32+'Long Term Deals'!BD33*'Prices&amp;Fuel'!$H33+'Long Term Deals'!BD34*'Prices&amp;Fuel'!$H34+'Long Term Deals'!BD35*'Prices&amp;Fuel'!$H35+'Long Term Deals'!BD36*'Prices&amp;Fuel'!$H36+'Long Term Deals'!BD37*'Prices&amp;Fuel'!$H37+'Long Term Deals'!BD38*'Prices&amp;Fuel'!$H38+'Long Term Deals'!BD39*'Prices&amp;Fuel'!$H39+'Long Term Deals'!BD40*'Prices&amp;Fuel'!$H40+'Long Term Deals'!BD41*'Prices&amp;Fuel'!$H41+'Long Term Deals'!BD42*'Prices&amp;Fuel'!$H42)/SUM('Prices&amp;Fuel'!$H31:$H42)</f>
        <v>3046.47334062973</v>
      </c>
      <c r="BE7" s="7" t="n">
        <f aca="false">('Long Term Deals'!BE31*'Prices&amp;Fuel'!$H31+'Prices&amp;Fuel'!$H32*'Long Term Deals'!BE32+'Long Term Deals'!BE33*'Prices&amp;Fuel'!$H33+'Long Term Deals'!BE34*'Prices&amp;Fuel'!$H34+'Long Term Deals'!BE35*'Prices&amp;Fuel'!$H35+'Long Term Deals'!BE36*'Prices&amp;Fuel'!$H36+'Long Term Deals'!BE37*'Prices&amp;Fuel'!$H37+'Long Term Deals'!BE38*'Prices&amp;Fuel'!$H38+'Long Term Deals'!BE39*'Prices&amp;Fuel'!$H39+'Long Term Deals'!BE40*'Prices&amp;Fuel'!$H40+'Long Term Deals'!BE41*'Prices&amp;Fuel'!$H41+'Long Term Deals'!BE42*'Prices&amp;Fuel'!$H42)/SUM('Prices&amp;Fuel'!$H31:$H42)</f>
        <v>2312.08717112851</v>
      </c>
      <c r="BF7" s="7" t="n">
        <f aca="false">('Long Term Deals'!BF31*'Prices&amp;Fuel'!$H31+'Prices&amp;Fuel'!$H32*'Long Term Deals'!BF32+'Long Term Deals'!BF33*'Prices&amp;Fuel'!$H33+'Long Term Deals'!BF34*'Prices&amp;Fuel'!$H34+'Long Term Deals'!BF35*'Prices&amp;Fuel'!$H35+'Long Term Deals'!BF36*'Prices&amp;Fuel'!$H36+'Long Term Deals'!BF37*'Prices&amp;Fuel'!$H37+'Long Term Deals'!BF38*'Prices&amp;Fuel'!$H38+'Long Term Deals'!BF39*'Prices&amp;Fuel'!$H39+'Long Term Deals'!BF40*'Prices&amp;Fuel'!$H40+'Long Term Deals'!BF41*'Prices&amp;Fuel'!$H41+'Long Term Deals'!BF42*'Prices&amp;Fuel'!$H42)/SUM('Prices&amp;Fuel'!$H31:$H42)</f>
        <v>3425.16561215743</v>
      </c>
      <c r="BG7" s="7" t="n">
        <f aca="false">('Long Term Deals'!BG31*'Prices&amp;Fuel'!$H31+'Prices&amp;Fuel'!$H32*'Long Term Deals'!BG32+'Long Term Deals'!BG33*'Prices&amp;Fuel'!$H33+'Long Term Deals'!BG34*'Prices&amp;Fuel'!$H34+'Long Term Deals'!BG35*'Prices&amp;Fuel'!$H35+'Long Term Deals'!BG36*'Prices&amp;Fuel'!$H36+'Long Term Deals'!BG37*'Prices&amp;Fuel'!$H37+'Long Term Deals'!BG38*'Prices&amp;Fuel'!$H38+'Long Term Deals'!BG39*'Prices&amp;Fuel'!$H39+'Long Term Deals'!BG40*'Prices&amp;Fuel'!$H40+'Long Term Deals'!BG41*'Prices&amp;Fuel'!$H41+'Long Term Deals'!BG42*'Prices&amp;Fuel'!$H42)/SUM('Prices&amp;Fuel'!$H31:$H42)</f>
        <v>1406.03831692449</v>
      </c>
      <c r="BH7" s="10"/>
      <c r="BI7" s="9"/>
      <c r="BJ7" s="9"/>
      <c r="BK7" s="10"/>
      <c r="BL7" s="7" t="n">
        <f aca="false">SUM('Long Term Deals'!BL31:BL42)</f>
        <v>27605445.7608936</v>
      </c>
      <c r="BM7" s="9"/>
      <c r="BN7" s="9"/>
      <c r="BP7" s="7" t="n">
        <f aca="false">SUM('Long Term Deals'!BP31:BP42)</f>
        <v>27006750.8513835</v>
      </c>
      <c r="BQ7" s="5" t="n">
        <f aca="false">BL7-BP7</f>
        <v>598694.909510166</v>
      </c>
      <c r="BR7" s="7" t="n">
        <f aca="false">('Long Term Deals'!BR31*'Prices&amp;Fuel'!$H31+'Prices&amp;Fuel'!$H32*'Long Term Deals'!BR32+'Long Term Deals'!BR33*'Prices&amp;Fuel'!$H33+'Long Term Deals'!BR34*'Prices&amp;Fuel'!$H34+'Long Term Deals'!BR35*'Prices&amp;Fuel'!$H35+'Long Term Deals'!BR36*'Prices&amp;Fuel'!$H36+'Long Term Deals'!BR37*'Prices&amp;Fuel'!$H37+'Long Term Deals'!BR38*'Prices&amp;Fuel'!$H38+'Long Term Deals'!BR39*'Prices&amp;Fuel'!$H39+'Long Term Deals'!BR40*'Prices&amp;Fuel'!$H40+'Long Term Deals'!BR41*'Prices&amp;Fuel'!$H41+'Long Term Deals'!BR42*'Prices&amp;Fuel'!$H42)/SUM('Prices&amp;Fuel'!$H31:$H42)</f>
        <v>497.267759562842</v>
      </c>
      <c r="BS7" s="7" t="n">
        <f aca="false">('Long Term Deals'!BS31*'Prices&amp;Fuel'!$H31+'Prices&amp;Fuel'!$H32*'Long Term Deals'!BS32+'Long Term Deals'!BS33*'Prices&amp;Fuel'!$H33+'Long Term Deals'!BS34*'Prices&amp;Fuel'!$H34+'Long Term Deals'!BS35*'Prices&amp;Fuel'!$H35+'Long Term Deals'!BS36*'Prices&amp;Fuel'!$H36+'Long Term Deals'!BS37*'Prices&amp;Fuel'!$H37+'Long Term Deals'!BS38*'Prices&amp;Fuel'!$H38+'Long Term Deals'!BS39*'Prices&amp;Fuel'!$H39+'Long Term Deals'!BS40*'Prices&amp;Fuel'!$H40+'Long Term Deals'!BS41*'Prices&amp;Fuel'!$H41+'Long Term Deals'!BS42*'Prices&amp;Fuel'!$H42)/SUM('Prices&amp;Fuel'!$H31:$H42)</f>
        <v>0</v>
      </c>
      <c r="BT7" s="8"/>
      <c r="BU7" s="8"/>
      <c r="BV7" s="13"/>
      <c r="BW7" s="13"/>
      <c r="BX7" s="7" t="n">
        <f aca="false">SUM('Long Term Deals'!BX31:BX42)</f>
        <v>538158.7</v>
      </c>
      <c r="BY7" s="7" t="n">
        <f aca="false">SUM('Long Term Deals'!BY31:BY42)</f>
        <v>538158.7</v>
      </c>
      <c r="BZ7" s="5" t="n">
        <f aca="false">BX7-BY7</f>
        <v>0</v>
      </c>
      <c r="CA7" s="7" t="n">
        <f aca="false">SUM('Long Term Deals'!CA31:CA42)</f>
        <v>323017.760929075</v>
      </c>
      <c r="CB7" s="7" t="n">
        <f aca="false">SUM('Long Term Deals'!CB31:CB42)</f>
        <v>89291.9262544388</v>
      </c>
      <c r="CC7" s="7" t="n">
        <f aca="false">SUM('Long Term Deals'!CC31:CC42)</f>
        <v>295876439.894736</v>
      </c>
      <c r="CD7" s="7" t="n">
        <f aca="false">SUM('Long Term Deals'!CD31:CD42)</f>
        <v>287435083.73182</v>
      </c>
      <c r="CE7" s="7" t="n">
        <f aca="false">SUM('Long Term Deals'!CE31:CE42)</f>
        <v>8441356.16291547</v>
      </c>
      <c r="CF7" s="7" t="n">
        <f aca="false">SUM('Long Term Deals'!CF31:CF42)</f>
        <v>156089.965</v>
      </c>
      <c r="CG7" s="7" t="n">
        <f aca="false">SUM('Long Term Deals'!CG31:CG42)</f>
        <v>287.415</v>
      </c>
      <c r="CH7" s="7" t="n">
        <f aca="false">SUM('Long Term Deals'!CH31:CH42)</f>
        <v>154652.89</v>
      </c>
      <c r="CI7" s="7" t="n">
        <f aca="false">SUM('Long Term Deals'!CI31:CI42)</f>
        <v>1437.07499999997</v>
      </c>
      <c r="CJ7" s="7" t="n">
        <f aca="false">SUM('Long Term Deals'!CJ31:CJ42)</f>
        <v>296032529.859736</v>
      </c>
      <c r="CK7" s="7" t="n">
        <f aca="false">SUM('Long Term Deals'!CK31:CK42)</f>
        <v>287589736.62182</v>
      </c>
      <c r="CL7" s="7" t="n">
        <f aca="false">SUM('Long Term Deals'!CL31:CL42)</f>
        <v>8442793.23791548</v>
      </c>
      <c r="CM7" s="7" t="n">
        <f aca="false">SUM('Long Term Deals'!CM31:CM42)</f>
        <v>8442793.23791548</v>
      </c>
      <c r="CN7" s="7" t="n">
        <f aca="false">SUM('Long Term Deals'!CN31:CN42)</f>
        <v>5288132.77799998</v>
      </c>
      <c r="CO7" s="7" t="n">
        <f aca="false">SUM('Long Term Deals'!CO31:CO42)</f>
        <v>9003212.07588012</v>
      </c>
      <c r="CP7" s="7" t="n">
        <f aca="false">SUM('Long Term Deals'!CP31:CP42)</f>
        <v>0</v>
      </c>
      <c r="CQ7" s="7" t="n">
        <f aca="false">SUM('Long Term Deals'!CQ31:CQ42)</f>
        <v>39283.9150000001</v>
      </c>
      <c r="CR7" s="7" t="n">
        <f aca="false">SUM('Long Term Deals'!CR31:CR42)</f>
        <v>372389.260929075</v>
      </c>
      <c r="CS7" s="7" t="n">
        <f aca="false">SUM('Long Term Deals'!CS31:CS42)</f>
        <v>1854778.49999999</v>
      </c>
      <c r="CT7" s="7" t="n">
        <f aca="false">SUM('Long Term Deals'!CT31:CT42)</f>
        <v>1719231.55812157</v>
      </c>
      <c r="CU7" s="7" t="n">
        <f aca="false">SUM('Long Term Deals'!CU31:CU42)</f>
        <v>-456790.400023775</v>
      </c>
      <c r="CV7" s="76" t="n">
        <f aca="false">SUM('Long Term Deals'!CV31:CV42)</f>
        <v>11836629.0776503</v>
      </c>
      <c r="CW7" s="14" t="n">
        <f aca="false">AF7+AG7+AH7</f>
        <v>176512.437666161</v>
      </c>
      <c r="CX7" s="14" t="n">
        <f aca="false">B7+C7+D7+O7+P7+Q7+X7+Y7+BB7+BC7+BD7+BE7+BF7+BG7+BR7+BS7+'Index Price Deals'!AZ35</f>
        <v>48950.4597018791</v>
      </c>
      <c r="CY7" s="14" t="n">
        <f aca="false">(CW7+CX7)*365</f>
        <v>82293957.5393346</v>
      </c>
      <c r="CZ7" s="14" t="n">
        <f aca="false">SUM(BB7:BG7)</f>
        <v>17029.4678986004</v>
      </c>
      <c r="DA7" s="14" t="n">
        <f aca="false">B7+C7+D7+O7+P7+Q7+X7+Y7+BR7+BS7</f>
        <v>31763.9344262295</v>
      </c>
      <c r="DB7" s="1" t="n">
        <f aca="false">'Index Price Deals'!AZ35</f>
        <v>157.05737704918</v>
      </c>
      <c r="DC7" s="14" t="n">
        <f aca="false">CZ7+DA7+DB7-CX7</f>
        <v>0</v>
      </c>
      <c r="DD7" s="77"/>
    </row>
    <row r="8" customFormat="false" ht="12.75" hidden="false" customHeight="false" outlineLevel="0" collapsed="false">
      <c r="A8" s="75" t="n">
        <v>36904.9999999999</v>
      </c>
      <c r="O8" s="7" t="n">
        <f aca="false">('Long Term Deals'!O43*'Prices&amp;Fuel'!$H43+'Prices&amp;Fuel'!$H44*'Long Term Deals'!O44+'Long Term Deals'!O45*'Prices&amp;Fuel'!$H45+'Long Term Deals'!O46*'Prices&amp;Fuel'!$H46+'Long Term Deals'!O47*'Prices&amp;Fuel'!$H47+'Long Term Deals'!O48*'Prices&amp;Fuel'!$H48+'Long Term Deals'!O49*'Prices&amp;Fuel'!$H49+'Long Term Deals'!O50*'Prices&amp;Fuel'!$H50+'Long Term Deals'!O51*'Prices&amp;Fuel'!$H51+'Long Term Deals'!O52*'Prices&amp;Fuel'!$H52+'Long Term Deals'!O53*'Prices&amp;Fuel'!$H53+'Long Term Deals'!O54*'Prices&amp;Fuel'!$H54)/SUM('Prices&amp;Fuel'!$H43:$H54)</f>
        <v>9036</v>
      </c>
      <c r="P8" s="7" t="n">
        <f aca="false">('Long Term Deals'!P43*'Prices&amp;Fuel'!$H43+'Prices&amp;Fuel'!$H44*'Long Term Deals'!P44+'Long Term Deals'!P45*'Prices&amp;Fuel'!$H45+'Long Term Deals'!P46*'Prices&amp;Fuel'!$H46+'Long Term Deals'!P47*'Prices&amp;Fuel'!$H47+'Long Term Deals'!P48*'Prices&amp;Fuel'!$H48+'Long Term Deals'!P49*'Prices&amp;Fuel'!$H49+'Long Term Deals'!P50*'Prices&amp;Fuel'!$H50+'Long Term Deals'!P51*'Prices&amp;Fuel'!$H51+'Long Term Deals'!P52*'Prices&amp;Fuel'!$H52+'Long Term Deals'!P53*'Prices&amp;Fuel'!$H53+'Long Term Deals'!P54*'Prices&amp;Fuel'!$H54)/SUM('Prices&amp;Fuel'!$H43:$H54)</f>
        <v>10794</v>
      </c>
      <c r="Q8" s="7" t="n">
        <f aca="false">('Long Term Deals'!Q43*'Prices&amp;Fuel'!$H43+'Prices&amp;Fuel'!$H44*'Long Term Deals'!Q44+'Long Term Deals'!Q45*'Prices&amp;Fuel'!$H45+'Long Term Deals'!Q46*'Prices&amp;Fuel'!$H46+'Long Term Deals'!Q47*'Prices&amp;Fuel'!$H47+'Long Term Deals'!Q48*'Prices&amp;Fuel'!$H48+'Long Term Deals'!Q49*'Prices&amp;Fuel'!$H49+'Long Term Deals'!Q50*'Prices&amp;Fuel'!$H50+'Long Term Deals'!Q51*'Prices&amp;Fuel'!$H51+'Long Term Deals'!Q52*'Prices&amp;Fuel'!$H52+'Long Term Deals'!Q53*'Prices&amp;Fuel'!$H53+'Long Term Deals'!Q54*'Prices&amp;Fuel'!$H54)/SUM('Prices&amp;Fuel'!$H43:$H54)</f>
        <v>5270</v>
      </c>
      <c r="T8" s="7" t="n">
        <f aca="false">SUM('Long Term Deals'!T43:T54)</f>
        <v>21196854.62</v>
      </c>
      <c r="U8" s="7" t="n">
        <f aca="false">SUM('Long Term Deals'!U43:U54)</f>
        <v>21092405.99</v>
      </c>
      <c r="V8" s="14" t="n">
        <f aca="false">T8-U8</f>
        <v>104448.629999999</v>
      </c>
      <c r="X8" s="7" t="n">
        <f aca="false">('Long Term Deals'!X43*'Prices&amp;Fuel'!$H43+'Prices&amp;Fuel'!$H44*'Long Term Deals'!X44+'Long Term Deals'!X45*'Prices&amp;Fuel'!$H45+'Long Term Deals'!X46*'Prices&amp;Fuel'!$H46+'Long Term Deals'!X47*'Prices&amp;Fuel'!$H47+'Long Term Deals'!X48*'Prices&amp;Fuel'!$H48+'Long Term Deals'!X49*'Prices&amp;Fuel'!$H49+'Long Term Deals'!X50*'Prices&amp;Fuel'!$H50+'Long Term Deals'!X51*'Prices&amp;Fuel'!$H51+'Long Term Deals'!X52*'Prices&amp;Fuel'!$H52+'Long Term Deals'!X53*'Prices&amp;Fuel'!$H53+'Long Term Deals'!X54*'Prices&amp;Fuel'!$H54)/SUM('Prices&amp;Fuel'!$H43:$H54)</f>
        <v>916.438356164384</v>
      </c>
      <c r="Y8" s="7" t="n">
        <f aca="false">('Long Term Deals'!Y43*'Prices&amp;Fuel'!$H43+'Prices&amp;Fuel'!$H44*'Long Term Deals'!Y44+'Long Term Deals'!Y45*'Prices&amp;Fuel'!$H45+'Long Term Deals'!Y46*'Prices&amp;Fuel'!$H46+'Long Term Deals'!Y47*'Prices&amp;Fuel'!$H47+'Long Term Deals'!Y48*'Prices&amp;Fuel'!$H48+'Long Term Deals'!Y49*'Prices&amp;Fuel'!$H49+'Long Term Deals'!Y50*'Prices&amp;Fuel'!$H50+'Long Term Deals'!Y51*'Prices&amp;Fuel'!$H51+'Long Term Deals'!Y52*'Prices&amp;Fuel'!$H52+'Long Term Deals'!Y53*'Prices&amp;Fuel'!$H53+'Long Term Deals'!Y54*'Prices&amp;Fuel'!$H54)/SUM('Prices&amp;Fuel'!$H43:$H54)</f>
        <v>916.438356164384</v>
      </c>
      <c r="Z8" s="27"/>
      <c r="AA8" s="27"/>
      <c r="AB8" s="7" t="n">
        <f aca="false">SUM('Long Term Deals'!AB43:AB54)</f>
        <v>1471800</v>
      </c>
      <c r="AC8" s="7" t="n">
        <f aca="false">SUM('Long Term Deals'!AC43:AC54)</f>
        <v>1458420</v>
      </c>
      <c r="AD8" s="14" t="n">
        <f aca="false">AB8-AC8</f>
        <v>13380</v>
      </c>
      <c r="AF8" s="7" t="n">
        <f aca="false">('Long Term Deals'!AF43*'Prices&amp;Fuel'!$H43+'Prices&amp;Fuel'!$H44*'Long Term Deals'!AF44+'Long Term Deals'!AF45*'Prices&amp;Fuel'!$H45+'Long Term Deals'!AF46*'Prices&amp;Fuel'!$H46+'Long Term Deals'!AF47*'Prices&amp;Fuel'!$H47+'Long Term Deals'!AF48*'Prices&amp;Fuel'!$H48+'Long Term Deals'!AF49*'Prices&amp;Fuel'!$H49+'Long Term Deals'!AF50*'Prices&amp;Fuel'!$H50+'Long Term Deals'!AF51*'Prices&amp;Fuel'!$H51+'Long Term Deals'!AF52*'Prices&amp;Fuel'!$H52+'Long Term Deals'!AF53*'Prices&amp;Fuel'!$H53+'Long Term Deals'!AF54*'Prices&amp;Fuel'!$H54)/SUM('Prices&amp;Fuel'!$H43:$H54)</f>
        <v>99128.7812092827</v>
      </c>
      <c r="AG8" s="7" t="n">
        <f aca="false">('Long Term Deals'!AG43*'Prices&amp;Fuel'!$H43+'Prices&amp;Fuel'!$H44*'Long Term Deals'!AG44+'Long Term Deals'!AG45*'Prices&amp;Fuel'!$H45+'Long Term Deals'!AG46*'Prices&amp;Fuel'!$H46+'Long Term Deals'!AG47*'Prices&amp;Fuel'!$H47+'Long Term Deals'!AG48*'Prices&amp;Fuel'!$H48+'Long Term Deals'!AG49*'Prices&amp;Fuel'!$H49+'Long Term Deals'!AG50*'Prices&amp;Fuel'!$H50+'Long Term Deals'!AG51*'Prices&amp;Fuel'!$H51+'Long Term Deals'!AG52*'Prices&amp;Fuel'!$H52+'Long Term Deals'!AG53*'Prices&amp;Fuel'!$H53+'Long Term Deals'!AG54*'Prices&amp;Fuel'!$H54)/SUM('Prices&amp;Fuel'!$H43:$H54)</f>
        <v>0</v>
      </c>
      <c r="AH8" s="7" t="n">
        <f aca="false">('Long Term Deals'!AH43*'Prices&amp;Fuel'!$H43+'Prices&amp;Fuel'!$H44*'Long Term Deals'!AH44+'Long Term Deals'!AH45*'Prices&amp;Fuel'!$H45+'Long Term Deals'!AH46*'Prices&amp;Fuel'!$H46+'Long Term Deals'!AH47*'Prices&amp;Fuel'!$H47+'Long Term Deals'!AH48*'Prices&amp;Fuel'!$H48+'Long Term Deals'!AH49*'Prices&amp;Fuel'!$H49+'Long Term Deals'!AH50*'Prices&amp;Fuel'!$H50+'Long Term Deals'!AH51*'Prices&amp;Fuel'!$H51+'Long Term Deals'!AH52*'Prices&amp;Fuel'!$H52+'Long Term Deals'!AH53*'Prices&amp;Fuel'!$H53+'Long Term Deals'!AH54*'Prices&amp;Fuel'!$H54)/SUM('Prices&amp;Fuel'!$H43:$H54)</f>
        <v>77120.822622108</v>
      </c>
      <c r="AI8" s="7" t="n">
        <f aca="false">('Long Term Deals'!AI43*'Prices&amp;Fuel'!$H43+'Prices&amp;Fuel'!$H44*'Long Term Deals'!AI44+'Long Term Deals'!AI45*'Prices&amp;Fuel'!$H45+'Long Term Deals'!AI46*'Prices&amp;Fuel'!$H46+'Long Term Deals'!AI47*'Prices&amp;Fuel'!$H47+'Long Term Deals'!AI48*'Prices&amp;Fuel'!$H48+'Long Term Deals'!AI49*'Prices&amp;Fuel'!$H49+'Long Term Deals'!AI50*'Prices&amp;Fuel'!$H50+'Long Term Deals'!AI51*'Prices&amp;Fuel'!$H51+'Long Term Deals'!AI52*'Prices&amp;Fuel'!$H52+'Long Term Deals'!AI53*'Prices&amp;Fuel'!$H53+'Long Term Deals'!AI54*'Prices&amp;Fuel'!$H54)/SUM('Prices&amp;Fuel'!$H43:$H54)</f>
        <v>0</v>
      </c>
      <c r="AJ8" s="7" t="n">
        <f aca="false">('Long Term Deals'!AJ43*'Prices&amp;Fuel'!$H43+'Prices&amp;Fuel'!$H44*'Long Term Deals'!AJ44+'Long Term Deals'!AJ45*'Prices&amp;Fuel'!$H45+'Long Term Deals'!AJ46*'Prices&amp;Fuel'!$H46+'Long Term Deals'!AJ47*'Prices&amp;Fuel'!$H47+'Long Term Deals'!AJ48*'Prices&amp;Fuel'!$H48+'Long Term Deals'!AJ49*'Prices&amp;Fuel'!$H49+'Long Term Deals'!AJ50*'Prices&amp;Fuel'!$H50+'Long Term Deals'!AJ51*'Prices&amp;Fuel'!$H51+'Long Term Deals'!AJ52*'Prices&amp;Fuel'!$H52+'Long Term Deals'!AJ53*'Prices&amp;Fuel'!$H53+'Long Term Deals'!AJ54*'Prices&amp;Fuel'!$H54)/SUM('Prices&amp;Fuel'!$H43:$H54)</f>
        <v>0</v>
      </c>
      <c r="AK8" s="7" t="n">
        <f aca="false">('Long Term Deals'!AK43*'Prices&amp;Fuel'!$H43+'Prices&amp;Fuel'!$H44*'Long Term Deals'!AK44+'Long Term Deals'!AK45*'Prices&amp;Fuel'!$H45+'Long Term Deals'!AK46*'Prices&amp;Fuel'!$H46+'Long Term Deals'!AK47*'Prices&amp;Fuel'!$H47+'Long Term Deals'!AK48*'Prices&amp;Fuel'!$H48+'Long Term Deals'!AK49*'Prices&amp;Fuel'!$H49+'Long Term Deals'!AK50*'Prices&amp;Fuel'!$H50+'Long Term Deals'!AK51*'Prices&amp;Fuel'!$H51+'Long Term Deals'!AK52*'Prices&amp;Fuel'!$H52+'Long Term Deals'!AK53*'Prices&amp;Fuel'!$H53+'Long Term Deals'!AK54*'Prices&amp;Fuel'!$H54)/SUM('Prices&amp;Fuel'!$H43:$H54)</f>
        <v>0</v>
      </c>
      <c r="AL8" s="7" t="n">
        <f aca="false">SUM(AI8:AK8)</f>
        <v>0</v>
      </c>
      <c r="AM8" s="7"/>
      <c r="AO8" s="7"/>
      <c r="AP8" s="7"/>
      <c r="AR8" s="7"/>
      <c r="AT8" s="14"/>
      <c r="AU8" s="14"/>
      <c r="AW8" s="68"/>
      <c r="AX8" s="68"/>
      <c r="AY8" s="7" t="n">
        <f aca="false">SUM('Long Term Deals'!AY43:AY54)</f>
        <v>234580401.028278</v>
      </c>
      <c r="AZ8" s="7" t="n">
        <f aca="false">SUM('Long Term Deals'!AZ43:AZ54)</f>
        <v>227731470.437018</v>
      </c>
      <c r="BA8" s="5" t="n">
        <f aca="false">AY8-AZ8</f>
        <v>6848930.59125963</v>
      </c>
      <c r="BB8" s="7" t="n">
        <f aca="false">('Long Term Deals'!BB43*'Prices&amp;Fuel'!$H43+'Prices&amp;Fuel'!$H44*'Long Term Deals'!BB44+'Long Term Deals'!BB45*'Prices&amp;Fuel'!$H45+'Long Term Deals'!BB46*'Prices&amp;Fuel'!$H46+'Long Term Deals'!BB47*'Prices&amp;Fuel'!$H47+'Long Term Deals'!BB48*'Prices&amp;Fuel'!$H48+'Long Term Deals'!BB49*'Prices&amp;Fuel'!$H49+'Long Term Deals'!BB50*'Prices&amp;Fuel'!$H50+'Long Term Deals'!BB51*'Prices&amp;Fuel'!$H51+'Long Term Deals'!BB52*'Prices&amp;Fuel'!$H52+'Long Term Deals'!BB53*'Prices&amp;Fuel'!$H53+'Long Term Deals'!BB54*'Prices&amp;Fuel'!$H54)/SUM('Prices&amp;Fuel'!$H43:$H54)</f>
        <v>6831.02299538684</v>
      </c>
      <c r="BC8" s="7" t="n">
        <f aca="false">('Long Term Deals'!BC43*'Prices&amp;Fuel'!$H43+'Prices&amp;Fuel'!$H44*'Long Term Deals'!BC44+'Long Term Deals'!BC45*'Prices&amp;Fuel'!$H45+'Long Term Deals'!BC46*'Prices&amp;Fuel'!$H46+'Long Term Deals'!BC47*'Prices&amp;Fuel'!$H47+'Long Term Deals'!BC48*'Prices&amp;Fuel'!$H48+'Long Term Deals'!BC49*'Prices&amp;Fuel'!$H49+'Long Term Deals'!BC50*'Prices&amp;Fuel'!$H50+'Long Term Deals'!BC51*'Prices&amp;Fuel'!$H51+'Long Term Deals'!BC52*'Prices&amp;Fuel'!$H52+'Long Term Deals'!BC53*'Prices&amp;Fuel'!$H53+'Long Term Deals'!BC54*'Prices&amp;Fuel'!$H54)/SUM('Prices&amp;Fuel'!$H43:$H54)</f>
        <v>0</v>
      </c>
      <c r="BD8" s="7" t="n">
        <f aca="false">('Long Term Deals'!BD43*'Prices&amp;Fuel'!$H43+'Prices&amp;Fuel'!$H44*'Long Term Deals'!BD44+'Long Term Deals'!BD45*'Prices&amp;Fuel'!$H45+'Long Term Deals'!BD46*'Prices&amp;Fuel'!$H46+'Long Term Deals'!BD47*'Prices&amp;Fuel'!$H47+'Long Term Deals'!BD48*'Prices&amp;Fuel'!$H48+'Long Term Deals'!BD49*'Prices&amp;Fuel'!$H49+'Long Term Deals'!BD50*'Prices&amp;Fuel'!$H50+'Long Term Deals'!BD51*'Prices&amp;Fuel'!$H51+'Long Term Deals'!BD52*'Prices&amp;Fuel'!$H52+'Long Term Deals'!BD53*'Prices&amp;Fuel'!$H53+'Long Term Deals'!BD54*'Prices&amp;Fuel'!$H54)/SUM('Prices&amp;Fuel'!$H43:$H54)</f>
        <v>3046.76127759967</v>
      </c>
      <c r="BE8" s="7" t="n">
        <f aca="false">('Long Term Deals'!BE43*'Prices&amp;Fuel'!$H43+'Prices&amp;Fuel'!$H44*'Long Term Deals'!BE44+'Long Term Deals'!BE45*'Prices&amp;Fuel'!$H45+'Long Term Deals'!BE46*'Prices&amp;Fuel'!$H46+'Long Term Deals'!BE47*'Prices&amp;Fuel'!$H47+'Long Term Deals'!BE48*'Prices&amp;Fuel'!$H48+'Long Term Deals'!BE49*'Prices&amp;Fuel'!$H49+'Long Term Deals'!BE50*'Prices&amp;Fuel'!$H50+'Long Term Deals'!BE51*'Prices&amp;Fuel'!$H51+'Long Term Deals'!BE52*'Prices&amp;Fuel'!$H52+'Long Term Deals'!BE53*'Prices&amp;Fuel'!$H53+'Long Term Deals'!BE54*'Prices&amp;Fuel'!$H54)/SUM('Prices&amp;Fuel'!$H43:$H54)</f>
        <v>2306.6746487305</v>
      </c>
      <c r="BF8" s="7" t="n">
        <f aca="false">('Long Term Deals'!BF43*'Prices&amp;Fuel'!$H43+'Prices&amp;Fuel'!$H44*'Long Term Deals'!BF44+'Long Term Deals'!BF45*'Prices&amp;Fuel'!$H45+'Long Term Deals'!BF46*'Prices&amp;Fuel'!$H46+'Long Term Deals'!BF47*'Prices&amp;Fuel'!$H47+'Long Term Deals'!BF48*'Prices&amp;Fuel'!$H48+'Long Term Deals'!BF49*'Prices&amp;Fuel'!$H49+'Long Term Deals'!BF50*'Prices&amp;Fuel'!$H50+'Long Term Deals'!BF51*'Prices&amp;Fuel'!$H51+'Long Term Deals'!BF52*'Prices&amp;Fuel'!$H52+'Long Term Deals'!BF53*'Prices&amp;Fuel'!$H53+'Long Term Deals'!BF54*'Prices&amp;Fuel'!$H54)/SUM('Prices&amp;Fuel'!$H43:$H54)</f>
        <v>3417.65679473184</v>
      </c>
      <c r="BG8" s="7" t="n">
        <f aca="false">('Long Term Deals'!BG43*'Prices&amp;Fuel'!$H43+'Prices&amp;Fuel'!$H44*'Long Term Deals'!BG44+'Long Term Deals'!BG45*'Prices&amp;Fuel'!$H45+'Long Term Deals'!BG46*'Prices&amp;Fuel'!$H46+'Long Term Deals'!BG47*'Prices&amp;Fuel'!$H47+'Long Term Deals'!BG48*'Prices&amp;Fuel'!$H48+'Long Term Deals'!BG49*'Prices&amp;Fuel'!$H49+'Long Term Deals'!BG50*'Prices&amp;Fuel'!$H50+'Long Term Deals'!BG51*'Prices&amp;Fuel'!$H51+'Long Term Deals'!BG52*'Prices&amp;Fuel'!$H52+'Long Term Deals'!BG53*'Prices&amp;Fuel'!$H53+'Long Term Deals'!BG54*'Prices&amp;Fuel'!$H54)/SUM('Prices&amp;Fuel'!$H43:$H54)</f>
        <v>1402.49744691341</v>
      </c>
      <c r="BH8" s="10"/>
      <c r="BI8" s="9"/>
      <c r="BJ8" s="9"/>
      <c r="BK8" s="10"/>
      <c r="BL8" s="7" t="n">
        <f aca="false">SUM('Long Term Deals'!BL43:BL54)</f>
        <v>26945086.170694</v>
      </c>
      <c r="BM8" s="9"/>
      <c r="BN8" s="9"/>
      <c r="BP8" s="7" t="n">
        <f aca="false">SUM('Long Term Deals'!BP43:BP54)</f>
        <v>26352897.2553513</v>
      </c>
      <c r="BQ8" s="5" t="n">
        <f aca="false">BL8-BP8</f>
        <v>592188.91534267</v>
      </c>
      <c r="CA8" s="7" t="n">
        <f aca="false">SUM('Long Term Deals'!CA43:CA54)</f>
        <v>321655.526992288</v>
      </c>
      <c r="CB8" s="7" t="n">
        <f aca="false">SUM('Long Term Deals'!CB43:CB54)</f>
        <v>80185.9190231361</v>
      </c>
      <c r="CC8" s="7" t="n">
        <f aca="false">SUM('Long Term Deals'!CC43:CC54)</f>
        <v>284194141.818972</v>
      </c>
      <c r="CD8" s="7" t="n">
        <f aca="false">SUM('Long Term Deals'!CD43:CD54)</f>
        <v>277037035.128385</v>
      </c>
      <c r="CE8" s="7" t="n">
        <f aca="false">SUM('Long Term Deals'!CE43:CE54)</f>
        <v>7157106.69058688</v>
      </c>
      <c r="CF8" s="7" t="n">
        <f aca="false">SUM('Long Term Deals'!CF43:CF54)</f>
        <v>0</v>
      </c>
      <c r="CG8" s="7" t="n">
        <f aca="false">SUM('Long Term Deals'!CG43:CG54)</f>
        <v>0</v>
      </c>
      <c r="CH8" s="7" t="n">
        <f aca="false">SUM('Long Term Deals'!CH43:CH54)</f>
        <v>0</v>
      </c>
      <c r="CI8" s="7" t="n">
        <f aca="false">SUM('Long Term Deals'!CI43:CI54)</f>
        <v>0</v>
      </c>
      <c r="CJ8" s="7" t="n">
        <f aca="false">SUM('Long Term Deals'!CJ43:CJ54)</f>
        <v>284194141.818972</v>
      </c>
      <c r="CK8" s="7" t="n">
        <f aca="false">SUM('Long Term Deals'!CK43:CK54)</f>
        <v>277037035.128385</v>
      </c>
      <c r="CL8" s="7" t="n">
        <f aca="false">SUM('Long Term Deals'!CL43:CL54)</f>
        <v>7157106.69058688</v>
      </c>
      <c r="CM8" s="7" t="n">
        <f aca="false">SUM('Long Term Deals'!CM43:CM54)</f>
        <v>7157106.69058688</v>
      </c>
      <c r="CN8" s="7" t="n">
        <f aca="false">SUM('Long Term Deals'!CN43:CN54)</f>
        <v>1642985.19600002</v>
      </c>
      <c r="CO8" s="7" t="n">
        <f aca="false">SUM('Long Term Deals'!CO43:CO54)</f>
        <v>0</v>
      </c>
      <c r="CP8" s="7" t="n">
        <f aca="false">SUM('Long Term Deals'!CP43:CP54)</f>
        <v>0</v>
      </c>
      <c r="CQ8" s="7" t="n">
        <f aca="false">SUM('Long Term Deals'!CQ43:CQ54)</f>
        <v>37993.7499999999</v>
      </c>
      <c r="CR8" s="7" t="n">
        <f aca="false">SUM('Long Term Deals'!CR43:CR54)</f>
        <v>362994.276992288</v>
      </c>
      <c r="CS8" s="7" t="n">
        <f aca="false">SUM('Long Term Deals'!CS43:CS54)</f>
        <v>577311.3</v>
      </c>
      <c r="CT8" s="7" t="n">
        <f aca="false">SUM('Long Term Deals'!CT43:CT54)</f>
        <v>425008.373055414</v>
      </c>
      <c r="CU8" s="7" t="n">
        <f aca="false">SUM('Long Term Deals'!CU43:CU54)</f>
        <v>-455664.752831203</v>
      </c>
      <c r="CV8" s="76" t="n">
        <f aca="false">SUM('Long Term Deals'!CV43:CV54)</f>
        <v>5210759.66870024</v>
      </c>
      <c r="CW8" s="14" t="n">
        <f aca="false">AF8+AG8+AH8</f>
        <v>176249.603831391</v>
      </c>
      <c r="CX8" s="14" t="n">
        <f aca="false">B8+C8+D8+O8+P8+Q8+X8+Y8+BB8+BC8+BD8+BE8+BF8+BG8+BR8+BS8</f>
        <v>43937.489875691</v>
      </c>
      <c r="CY8" s="14" t="n">
        <f aca="false">(CW8+CX8)*365</f>
        <v>80368289.2030848</v>
      </c>
      <c r="CZ8" s="14" t="n">
        <f aca="false">SUM(BB8:BG8)</f>
        <v>17004.6131633623</v>
      </c>
      <c r="DA8" s="14" t="n">
        <f aca="false">B8+C8+D8+O8+P8+Q8+X8+Y8+BR8+BS8</f>
        <v>26932.8767123288</v>
      </c>
      <c r="DC8" s="14" t="n">
        <f aca="false">CZ8+DA8+DB8-CX8</f>
        <v>0</v>
      </c>
      <c r="DD8" s="77" t="n">
        <f aca="false">NPV(0.08,CV8:CV19)</f>
        <v>38196608.2183542</v>
      </c>
      <c r="DE8" s="14" t="n">
        <f aca="false">SUM(CV8:CV19)</f>
        <v>55944538.7163978</v>
      </c>
    </row>
    <row r="9" customFormat="false" ht="12.75" hidden="false" customHeight="false" outlineLevel="0" collapsed="false">
      <c r="A9" s="75" t="n">
        <v>37269.9999999999</v>
      </c>
      <c r="O9" s="7" t="n">
        <f aca="false">('Long Term Deals'!O55*'Prices&amp;Fuel'!$H55+'Prices&amp;Fuel'!$H56*'Long Term Deals'!O56+'Long Term Deals'!O57*'Prices&amp;Fuel'!$H57+'Long Term Deals'!O58*'Prices&amp;Fuel'!$H58+'Long Term Deals'!O59*'Prices&amp;Fuel'!$H59+'Long Term Deals'!O60*'Prices&amp;Fuel'!$H60+'Long Term Deals'!O61*'Prices&amp;Fuel'!$H61+'Long Term Deals'!O62*'Prices&amp;Fuel'!$H62+'Long Term Deals'!O63*'Prices&amp;Fuel'!$H63+'Long Term Deals'!O64*'Prices&amp;Fuel'!$H64+'Long Term Deals'!O65*'Prices&amp;Fuel'!$H65+'Long Term Deals'!O66*'Prices&amp;Fuel'!$H66)/SUM('Prices&amp;Fuel'!$H55:$H66)</f>
        <v>9036</v>
      </c>
      <c r="P9" s="7" t="n">
        <f aca="false">('Long Term Deals'!P55*'Prices&amp;Fuel'!$H55+'Prices&amp;Fuel'!$H56*'Long Term Deals'!P56+'Long Term Deals'!P57*'Prices&amp;Fuel'!$H57+'Long Term Deals'!P58*'Prices&amp;Fuel'!$H58+'Long Term Deals'!P59*'Prices&amp;Fuel'!$H59+'Long Term Deals'!P60*'Prices&amp;Fuel'!$H60+'Long Term Deals'!P61*'Prices&amp;Fuel'!$H61+'Long Term Deals'!P62*'Prices&amp;Fuel'!$H62+'Long Term Deals'!P63*'Prices&amp;Fuel'!$H63+'Long Term Deals'!P64*'Prices&amp;Fuel'!$H64+'Long Term Deals'!P65*'Prices&amp;Fuel'!$H65+'Long Term Deals'!P66*'Prices&amp;Fuel'!$H66)/SUM('Prices&amp;Fuel'!$H55:$H66)</f>
        <v>10794</v>
      </c>
      <c r="Q9" s="7" t="n">
        <f aca="false">('Long Term Deals'!Q55*'Prices&amp;Fuel'!$H55+'Prices&amp;Fuel'!$H56*'Long Term Deals'!Q56+'Long Term Deals'!Q57*'Prices&amp;Fuel'!$H57+'Long Term Deals'!Q58*'Prices&amp;Fuel'!$H58+'Long Term Deals'!Q59*'Prices&amp;Fuel'!$H59+'Long Term Deals'!Q60*'Prices&amp;Fuel'!$H60+'Long Term Deals'!Q61*'Prices&amp;Fuel'!$H61+'Long Term Deals'!Q62*'Prices&amp;Fuel'!$H62+'Long Term Deals'!Q63*'Prices&amp;Fuel'!$H63+'Long Term Deals'!Q64*'Prices&amp;Fuel'!$H64+'Long Term Deals'!Q65*'Prices&amp;Fuel'!$H65+'Long Term Deals'!Q66*'Prices&amp;Fuel'!$H66)/SUM('Prices&amp;Fuel'!$H55:$H66)</f>
        <v>5270</v>
      </c>
      <c r="T9" s="7" t="n">
        <f aca="false">SUM('Long Term Deals'!T55:T66)</f>
        <v>21621069.72</v>
      </c>
      <c r="U9" s="7" t="n">
        <f aca="false">SUM('Long Term Deals'!U55:U66)</f>
        <v>21514788.79</v>
      </c>
      <c r="V9" s="14" t="n">
        <f aca="false">T9-U9</f>
        <v>106280.93</v>
      </c>
      <c r="X9" s="7" t="n">
        <f aca="false">('Long Term Deals'!X55*'Prices&amp;Fuel'!$H55+'Prices&amp;Fuel'!$H56*'Long Term Deals'!X56+'Long Term Deals'!X57*'Prices&amp;Fuel'!$H57+'Long Term Deals'!X58*'Prices&amp;Fuel'!$H58+'Long Term Deals'!X59*'Prices&amp;Fuel'!$H59+'Long Term Deals'!X60*'Prices&amp;Fuel'!$H60+'Long Term Deals'!X61*'Prices&amp;Fuel'!$H61+'Long Term Deals'!X62*'Prices&amp;Fuel'!$H62+'Long Term Deals'!X63*'Prices&amp;Fuel'!$H63+'Long Term Deals'!X64*'Prices&amp;Fuel'!$H64+'Long Term Deals'!X65*'Prices&amp;Fuel'!$H65+'Long Term Deals'!X66*'Prices&amp;Fuel'!$H66)/SUM('Prices&amp;Fuel'!$H55:$H66)</f>
        <v>416.438356164384</v>
      </c>
      <c r="Y9" s="7" t="n">
        <f aca="false">('Long Term Deals'!Y55*'Prices&amp;Fuel'!$H55+'Prices&amp;Fuel'!$H56*'Long Term Deals'!Y56+'Long Term Deals'!Y57*'Prices&amp;Fuel'!$H57+'Long Term Deals'!Y58*'Prices&amp;Fuel'!$H58+'Long Term Deals'!Y59*'Prices&amp;Fuel'!$H59+'Long Term Deals'!Y60*'Prices&amp;Fuel'!$H60+'Long Term Deals'!Y61*'Prices&amp;Fuel'!$H61+'Long Term Deals'!Y62*'Prices&amp;Fuel'!$H62+'Long Term Deals'!Y63*'Prices&amp;Fuel'!$H63+'Long Term Deals'!Y64*'Prices&amp;Fuel'!$H64+'Long Term Deals'!Y65*'Prices&amp;Fuel'!$H65+'Long Term Deals'!Y66*'Prices&amp;Fuel'!$H66)/SUM('Prices&amp;Fuel'!$H55:$H66)</f>
        <v>416.438356164384</v>
      </c>
      <c r="Z9" s="27"/>
      <c r="AA9" s="27"/>
      <c r="AB9" s="7" t="n">
        <f aca="false">SUM('Long Term Deals'!AB55:AB66)</f>
        <v>668800</v>
      </c>
      <c r="AC9" s="7" t="n">
        <f aca="false">SUM('Long Term Deals'!AC55:AC66)</f>
        <v>662720</v>
      </c>
      <c r="AD9" s="14" t="n">
        <f aca="false">AB9-AC9</f>
        <v>6080</v>
      </c>
      <c r="AF9" s="7" t="n">
        <f aca="false">('Long Term Deals'!AF55*'Prices&amp;Fuel'!$H55+'Prices&amp;Fuel'!$H56*'Long Term Deals'!AF56+'Long Term Deals'!AF57*'Prices&amp;Fuel'!$H57+'Long Term Deals'!AF58*'Prices&amp;Fuel'!$H58+'Long Term Deals'!AF59*'Prices&amp;Fuel'!$H59+'Long Term Deals'!AF60*'Prices&amp;Fuel'!$H60+'Long Term Deals'!AF61*'Prices&amp;Fuel'!$H61+'Long Term Deals'!AF62*'Prices&amp;Fuel'!$H62+'Long Term Deals'!AF63*'Prices&amp;Fuel'!$H63+'Long Term Deals'!AF64*'Prices&amp;Fuel'!$H64+'Long Term Deals'!AF65*'Prices&amp;Fuel'!$H65+'Long Term Deals'!AF66*'Prices&amp;Fuel'!$H66)/SUM('Prices&amp;Fuel'!$H55:$H66)</f>
        <v>99128.7812092827</v>
      </c>
      <c r="AG9" s="7" t="n">
        <f aca="false">('Long Term Deals'!AG55*'Prices&amp;Fuel'!$H55+'Prices&amp;Fuel'!$H56*'Long Term Deals'!AG56+'Long Term Deals'!AG57*'Prices&amp;Fuel'!$H57+'Long Term Deals'!AG58*'Prices&amp;Fuel'!$H58+'Long Term Deals'!AG59*'Prices&amp;Fuel'!$H59+'Long Term Deals'!AG60*'Prices&amp;Fuel'!$H60+'Long Term Deals'!AG61*'Prices&amp;Fuel'!$H61+'Long Term Deals'!AG62*'Prices&amp;Fuel'!$H62+'Long Term Deals'!AG63*'Prices&amp;Fuel'!$H63+'Long Term Deals'!AG64*'Prices&amp;Fuel'!$H64+'Long Term Deals'!AG65*'Prices&amp;Fuel'!$H65+'Long Term Deals'!AG66*'Prices&amp;Fuel'!$H66)/SUM('Prices&amp;Fuel'!$H55:$H66)</f>
        <v>0</v>
      </c>
      <c r="AH9" s="7" t="n">
        <f aca="false">('Long Term Deals'!AH55*'Prices&amp;Fuel'!$H55+'Prices&amp;Fuel'!$H56*'Long Term Deals'!AH56+'Long Term Deals'!AH57*'Prices&amp;Fuel'!$H57+'Long Term Deals'!AH58*'Prices&amp;Fuel'!$H58+'Long Term Deals'!AH59*'Prices&amp;Fuel'!$H59+'Long Term Deals'!AH60*'Prices&amp;Fuel'!$H60+'Long Term Deals'!AH61*'Prices&amp;Fuel'!$H61+'Long Term Deals'!AH62*'Prices&amp;Fuel'!$H62+'Long Term Deals'!AH63*'Prices&amp;Fuel'!$H63+'Long Term Deals'!AH64*'Prices&amp;Fuel'!$H64+'Long Term Deals'!AH65*'Prices&amp;Fuel'!$H65+'Long Term Deals'!AH66*'Prices&amp;Fuel'!$H66)/SUM('Prices&amp;Fuel'!$H55:$H66)</f>
        <v>77120.822622108</v>
      </c>
      <c r="AI9" s="7" t="n">
        <f aca="false">('Long Term Deals'!AI55*'Prices&amp;Fuel'!$H55+'Prices&amp;Fuel'!$H56*'Long Term Deals'!AI56+'Long Term Deals'!AI57*'Prices&amp;Fuel'!$H57+'Long Term Deals'!AI58*'Prices&amp;Fuel'!$H58+'Long Term Deals'!AI59*'Prices&amp;Fuel'!$H59+'Long Term Deals'!AI60*'Prices&amp;Fuel'!$H60+'Long Term Deals'!AI61*'Prices&amp;Fuel'!$H61+'Long Term Deals'!AI62*'Prices&amp;Fuel'!$H62+'Long Term Deals'!AI63*'Prices&amp;Fuel'!$H63+'Long Term Deals'!AI64*'Prices&amp;Fuel'!$H64+'Long Term Deals'!AI65*'Prices&amp;Fuel'!$H65+'Long Term Deals'!AI66*'Prices&amp;Fuel'!$H66)/SUM('Prices&amp;Fuel'!$H55:$H66)</f>
        <v>0</v>
      </c>
      <c r="AJ9" s="7" t="n">
        <f aca="false">('Long Term Deals'!AJ55*'Prices&amp;Fuel'!$H55+'Prices&amp;Fuel'!$H56*'Long Term Deals'!AJ56+'Long Term Deals'!AJ57*'Prices&amp;Fuel'!$H57+'Long Term Deals'!AJ58*'Prices&amp;Fuel'!$H58+'Long Term Deals'!AJ59*'Prices&amp;Fuel'!$H59+'Long Term Deals'!AJ60*'Prices&amp;Fuel'!$H60+'Long Term Deals'!AJ61*'Prices&amp;Fuel'!$H61+'Long Term Deals'!AJ62*'Prices&amp;Fuel'!$H62+'Long Term Deals'!AJ63*'Prices&amp;Fuel'!$H63+'Long Term Deals'!AJ64*'Prices&amp;Fuel'!$H64+'Long Term Deals'!AJ65*'Prices&amp;Fuel'!$H65+'Long Term Deals'!AJ66*'Prices&amp;Fuel'!$H66)/SUM('Prices&amp;Fuel'!$H55:$H66)</f>
        <v>0</v>
      </c>
      <c r="AK9" s="7" t="n">
        <f aca="false">('Long Term Deals'!AK55*'Prices&amp;Fuel'!$H55+'Prices&amp;Fuel'!$H56*'Long Term Deals'!AK56+'Long Term Deals'!AK57*'Prices&amp;Fuel'!$H57+'Long Term Deals'!AK58*'Prices&amp;Fuel'!$H58+'Long Term Deals'!AK59*'Prices&amp;Fuel'!$H59+'Long Term Deals'!AK60*'Prices&amp;Fuel'!$H60+'Long Term Deals'!AK61*'Prices&amp;Fuel'!$H61+'Long Term Deals'!AK62*'Prices&amp;Fuel'!$H62+'Long Term Deals'!AK63*'Prices&amp;Fuel'!$H63+'Long Term Deals'!AK64*'Prices&amp;Fuel'!$H64+'Long Term Deals'!AK65*'Prices&amp;Fuel'!$H65+'Long Term Deals'!AK66*'Prices&amp;Fuel'!$H66)/SUM('Prices&amp;Fuel'!$H55:$H66)</f>
        <v>0</v>
      </c>
      <c r="AL9" s="7" t="n">
        <f aca="false">SUM(AI9:AK9)</f>
        <v>0</v>
      </c>
      <c r="AM9" s="7"/>
      <c r="AO9" s="7"/>
      <c r="AP9" s="7"/>
      <c r="AR9" s="7"/>
      <c r="AT9" s="14"/>
      <c r="AU9" s="14"/>
      <c r="AW9" s="68"/>
      <c r="AX9" s="68"/>
      <c r="AY9" s="7" t="n">
        <f aca="false">SUM('Long Term Deals'!AY55:AY66)</f>
        <v>233293778.920308</v>
      </c>
      <c r="AZ9" s="7" t="n">
        <f aca="false">SUM('Long Term Deals'!AZ55:AZ66)</f>
        <v>227088159.383033</v>
      </c>
      <c r="BA9" s="5" t="n">
        <f aca="false">AY9-AZ9</f>
        <v>6205619.53727502</v>
      </c>
      <c r="BB9" s="7" t="n">
        <f aca="false">('Long Term Deals'!BB55*'Prices&amp;Fuel'!$H55+'Prices&amp;Fuel'!$H56*'Long Term Deals'!BB56+'Long Term Deals'!BB57*'Prices&amp;Fuel'!$H57+'Long Term Deals'!BB58*'Prices&amp;Fuel'!$H58+'Long Term Deals'!BB59*'Prices&amp;Fuel'!$H59+'Long Term Deals'!BB60*'Prices&amp;Fuel'!$H60+'Long Term Deals'!BB61*'Prices&amp;Fuel'!$H61+'Long Term Deals'!BB62*'Prices&amp;Fuel'!$H62+'Long Term Deals'!BB63*'Prices&amp;Fuel'!$H63+'Long Term Deals'!BB64*'Prices&amp;Fuel'!$H64+'Long Term Deals'!BB65*'Prices&amp;Fuel'!$H65+'Long Term Deals'!BB66*'Prices&amp;Fuel'!$H66)/SUM('Prices&amp;Fuel'!$H55:$H66)</f>
        <v>6831.02299538684</v>
      </c>
      <c r="BC9" s="7" t="n">
        <f aca="false">('Long Term Deals'!BC55*'Prices&amp;Fuel'!$H55+'Prices&amp;Fuel'!$H56*'Long Term Deals'!BC56+'Long Term Deals'!BC57*'Prices&amp;Fuel'!$H57+'Long Term Deals'!BC58*'Prices&amp;Fuel'!$H58+'Long Term Deals'!BC59*'Prices&amp;Fuel'!$H59+'Long Term Deals'!BC60*'Prices&amp;Fuel'!$H60+'Long Term Deals'!BC61*'Prices&amp;Fuel'!$H61+'Long Term Deals'!BC62*'Prices&amp;Fuel'!$H62+'Long Term Deals'!BC63*'Prices&amp;Fuel'!$H63+'Long Term Deals'!BC64*'Prices&amp;Fuel'!$H64+'Long Term Deals'!BC65*'Prices&amp;Fuel'!$H65+'Long Term Deals'!BC66*'Prices&amp;Fuel'!$H66)/SUM('Prices&amp;Fuel'!$H55:$H66)</f>
        <v>0</v>
      </c>
      <c r="BD9" s="7" t="n">
        <f aca="false">('Long Term Deals'!BD55*'Prices&amp;Fuel'!$H55+'Prices&amp;Fuel'!$H56*'Long Term Deals'!BD56+'Long Term Deals'!BD57*'Prices&amp;Fuel'!$H57+'Long Term Deals'!BD58*'Prices&amp;Fuel'!$H58+'Long Term Deals'!BD59*'Prices&amp;Fuel'!$H59+'Long Term Deals'!BD60*'Prices&amp;Fuel'!$H60+'Long Term Deals'!BD61*'Prices&amp;Fuel'!$H61+'Long Term Deals'!BD62*'Prices&amp;Fuel'!$H62+'Long Term Deals'!BD63*'Prices&amp;Fuel'!$H63+'Long Term Deals'!BD64*'Prices&amp;Fuel'!$H64+'Long Term Deals'!BD65*'Prices&amp;Fuel'!$H65+'Long Term Deals'!BD66*'Prices&amp;Fuel'!$H66)/SUM('Prices&amp;Fuel'!$H55:$H66)</f>
        <v>3046.76127759967</v>
      </c>
      <c r="BE9" s="7" t="n">
        <f aca="false">('Long Term Deals'!BE55*'Prices&amp;Fuel'!$H55+'Prices&amp;Fuel'!$H56*'Long Term Deals'!BE56+'Long Term Deals'!BE57*'Prices&amp;Fuel'!$H57+'Long Term Deals'!BE58*'Prices&amp;Fuel'!$H58+'Long Term Deals'!BE59*'Prices&amp;Fuel'!$H59+'Long Term Deals'!BE60*'Prices&amp;Fuel'!$H60+'Long Term Deals'!BE61*'Prices&amp;Fuel'!$H61+'Long Term Deals'!BE62*'Prices&amp;Fuel'!$H62+'Long Term Deals'!BE63*'Prices&amp;Fuel'!$H63+'Long Term Deals'!BE64*'Prices&amp;Fuel'!$H64+'Long Term Deals'!BE65*'Prices&amp;Fuel'!$H65+'Long Term Deals'!BE66*'Prices&amp;Fuel'!$H66)/SUM('Prices&amp;Fuel'!$H55:$H66)</f>
        <v>2306.6746487305</v>
      </c>
      <c r="BF9" s="7" t="n">
        <f aca="false">('Long Term Deals'!BF55*'Prices&amp;Fuel'!$H55+'Prices&amp;Fuel'!$H56*'Long Term Deals'!BF56+'Long Term Deals'!BF57*'Prices&amp;Fuel'!$H57+'Long Term Deals'!BF58*'Prices&amp;Fuel'!$H58+'Long Term Deals'!BF59*'Prices&amp;Fuel'!$H59+'Long Term Deals'!BF60*'Prices&amp;Fuel'!$H60+'Long Term Deals'!BF61*'Prices&amp;Fuel'!$H61+'Long Term Deals'!BF62*'Prices&amp;Fuel'!$H62+'Long Term Deals'!BF63*'Prices&amp;Fuel'!$H63+'Long Term Deals'!BF64*'Prices&amp;Fuel'!$H64+'Long Term Deals'!BF65*'Prices&amp;Fuel'!$H65+'Long Term Deals'!BF66*'Prices&amp;Fuel'!$H66)/SUM('Prices&amp;Fuel'!$H55:$H66)</f>
        <v>3417.65679473184</v>
      </c>
      <c r="BG9" s="7" t="n">
        <f aca="false">('Long Term Deals'!BG55*'Prices&amp;Fuel'!$H55+'Prices&amp;Fuel'!$H56*'Long Term Deals'!BG56+'Long Term Deals'!BG57*'Prices&amp;Fuel'!$H57+'Long Term Deals'!BG58*'Prices&amp;Fuel'!$H58+'Long Term Deals'!BG59*'Prices&amp;Fuel'!$H59+'Long Term Deals'!BG60*'Prices&amp;Fuel'!$H60+'Long Term Deals'!BG61*'Prices&amp;Fuel'!$H61+'Long Term Deals'!BG62*'Prices&amp;Fuel'!$H62+'Long Term Deals'!BG63*'Prices&amp;Fuel'!$H63+'Long Term Deals'!BG64*'Prices&amp;Fuel'!$H64+'Long Term Deals'!BG65*'Prices&amp;Fuel'!$H65+'Long Term Deals'!BG66*'Prices&amp;Fuel'!$H66)/SUM('Prices&amp;Fuel'!$H55:$H66)</f>
        <v>1402.49744691341</v>
      </c>
      <c r="BH9" s="10"/>
      <c r="BI9" s="9"/>
      <c r="BJ9" s="9"/>
      <c r="BK9" s="10"/>
      <c r="BL9" s="7" t="n">
        <f aca="false">SUM('Long Term Deals'!BL55:BL66)</f>
        <v>26841259.3326477</v>
      </c>
      <c r="BM9" s="9"/>
      <c r="BN9" s="9"/>
      <c r="BP9" s="7" t="n">
        <f aca="false">SUM('Long Term Deals'!BP55:BP66)</f>
        <v>26274537.927305</v>
      </c>
      <c r="BQ9" s="5" t="n">
        <f aca="false">BL9-BP9</f>
        <v>566721.405342676</v>
      </c>
      <c r="CA9" s="7" t="n">
        <f aca="false">SUM('Long Term Deals'!CA55:CA66)</f>
        <v>321655.526992288</v>
      </c>
      <c r="CB9" s="7" t="n">
        <f aca="false">SUM('Long Term Deals'!CB55:CB66)</f>
        <v>78360.9190231361</v>
      </c>
      <c r="CC9" s="7" t="n">
        <f aca="false">SUM('Long Term Deals'!CC55:CC66)</f>
        <v>282424907.972956</v>
      </c>
      <c r="CD9" s="7" t="n">
        <f aca="false">SUM('Long Term Deals'!CD55:CD66)</f>
        <v>275940222.546354</v>
      </c>
      <c r="CE9" s="7" t="n">
        <f aca="false">SUM('Long Term Deals'!CE55:CE66)</f>
        <v>6484685.42660231</v>
      </c>
      <c r="CF9" s="7" t="n">
        <f aca="false">SUM('Long Term Deals'!CF55:CF66)</f>
        <v>0</v>
      </c>
      <c r="CG9" s="7" t="n">
        <f aca="false">SUM('Long Term Deals'!CG55:CG66)</f>
        <v>0</v>
      </c>
      <c r="CH9" s="7" t="n">
        <f aca="false">SUM('Long Term Deals'!CH55:CH66)</f>
        <v>0</v>
      </c>
      <c r="CI9" s="7" t="n">
        <f aca="false">SUM('Long Term Deals'!CI55:CI66)</f>
        <v>0</v>
      </c>
      <c r="CJ9" s="7" t="n">
        <f aca="false">SUM('Long Term Deals'!CJ55:CJ66)</f>
        <v>282424907.972956</v>
      </c>
      <c r="CK9" s="7" t="n">
        <f aca="false">SUM('Long Term Deals'!CK55:CK66)</f>
        <v>275940222.546354</v>
      </c>
      <c r="CL9" s="7" t="n">
        <f aca="false">SUM('Long Term Deals'!CL55:CL66)</f>
        <v>6484685.42660231</v>
      </c>
      <c r="CM9" s="7" t="n">
        <f aca="false">SUM('Long Term Deals'!CM55:CM66)</f>
        <v>6484685.42660231</v>
      </c>
      <c r="CN9" s="7" t="n">
        <f aca="false">SUM('Long Term Deals'!CN55:CN66)</f>
        <v>2.00587448489387E-008</v>
      </c>
      <c r="CO9" s="7" t="n">
        <f aca="false">SUM('Long Term Deals'!CO55:CO66)</f>
        <v>0</v>
      </c>
      <c r="CP9" s="7" t="n">
        <f aca="false">SUM('Long Term Deals'!CP55:CP66)</f>
        <v>0</v>
      </c>
      <c r="CQ9" s="7" t="n">
        <f aca="false">SUM('Long Term Deals'!CQ55:CQ66)</f>
        <v>37993.7499999999</v>
      </c>
      <c r="CR9" s="7" t="n">
        <f aca="false">SUM('Long Term Deals'!CR55:CR66)</f>
        <v>361169.276992288</v>
      </c>
      <c r="CS9" s="7" t="n">
        <f aca="false">SUM('Long Term Deals'!CS55:CS66)</f>
        <v>0</v>
      </c>
      <c r="CT9" s="7" t="n">
        <f aca="false">SUM('Long Term Deals'!CT55:CT66)</f>
        <v>-220293.328852787</v>
      </c>
      <c r="CU9" s="7" t="n">
        <f aca="false">SUM('Long Term Deals'!CU55:CU66)</f>
        <v>-455664.752831203</v>
      </c>
      <c r="CV9" s="76" t="n">
        <f aca="false">SUM('Long Term Deals'!CV55:CV66)</f>
        <v>6249314.00262387</v>
      </c>
      <c r="CW9" s="14" t="n">
        <f aca="false">AF9+AG9+AH9</f>
        <v>176249.603831391</v>
      </c>
      <c r="CX9" s="14" t="n">
        <f aca="false">B9+C9+D9+O9+P9+Q9+X9+Y9+BB9+BC9+BD9+BE9+BF9+BG9+BR9+BS9</f>
        <v>42937.489875691</v>
      </c>
      <c r="CY9" s="14" t="n">
        <f aca="false">(CW9+CX9)*365</f>
        <v>80003289.2030848</v>
      </c>
      <c r="CZ9" s="14" t="n">
        <f aca="false">SUM(BB9:BG9)</f>
        <v>17004.6131633623</v>
      </c>
      <c r="DA9" s="14" t="n">
        <f aca="false">B9+C9+D9+O9+P9+Q9+X9+Y9+BR9+BS9</f>
        <v>25932.8767123288</v>
      </c>
      <c r="DC9" s="14" t="n">
        <f aca="false">CZ9+DA9+DB9-CX9</f>
        <v>0</v>
      </c>
    </row>
    <row r="10" customFormat="false" ht="12.75" hidden="false" customHeight="false" outlineLevel="0" collapsed="false">
      <c r="A10" s="75" t="n">
        <v>37634.9999999999</v>
      </c>
      <c r="O10" s="7" t="n">
        <f aca="false">('Long Term Deals'!O67*'Prices&amp;Fuel'!$H67+'Prices&amp;Fuel'!$H68*'Long Term Deals'!O68+'Long Term Deals'!O69*'Prices&amp;Fuel'!$H69+'Long Term Deals'!O70*'Prices&amp;Fuel'!$H70+'Long Term Deals'!O71*'Prices&amp;Fuel'!$H71+'Long Term Deals'!O72*'Prices&amp;Fuel'!$H72+'Long Term Deals'!O73*'Prices&amp;Fuel'!$H73+'Long Term Deals'!O74*'Prices&amp;Fuel'!$H74+'Long Term Deals'!O75*'Prices&amp;Fuel'!$H75+'Long Term Deals'!O76*'Prices&amp;Fuel'!$H76+'Long Term Deals'!O77*'Prices&amp;Fuel'!$H77+'Long Term Deals'!O78*'Prices&amp;Fuel'!$H78)/SUM('Prices&amp;Fuel'!$H67:$H78)</f>
        <v>9036</v>
      </c>
      <c r="P10" s="7" t="n">
        <f aca="false">('Long Term Deals'!P67*'Prices&amp;Fuel'!$H67+'Prices&amp;Fuel'!$H68*'Long Term Deals'!P68+'Long Term Deals'!P69*'Prices&amp;Fuel'!$H69+'Long Term Deals'!P70*'Prices&amp;Fuel'!$H70+'Long Term Deals'!P71*'Prices&amp;Fuel'!$H71+'Long Term Deals'!P72*'Prices&amp;Fuel'!$H72+'Long Term Deals'!P73*'Prices&amp;Fuel'!$H73+'Long Term Deals'!P74*'Prices&amp;Fuel'!$H74+'Long Term Deals'!P75*'Prices&amp;Fuel'!$H75+'Long Term Deals'!P76*'Prices&amp;Fuel'!$H76+'Long Term Deals'!P77*'Prices&amp;Fuel'!$H77+'Long Term Deals'!P78*'Prices&amp;Fuel'!$H78)/SUM('Prices&amp;Fuel'!$H67:$H78)</f>
        <v>10794</v>
      </c>
      <c r="Q10" s="7" t="n">
        <f aca="false">('Long Term Deals'!Q67*'Prices&amp;Fuel'!$H67+'Prices&amp;Fuel'!$H68*'Long Term Deals'!Q68+'Long Term Deals'!Q69*'Prices&amp;Fuel'!$H69+'Long Term Deals'!Q70*'Prices&amp;Fuel'!$H70+'Long Term Deals'!Q71*'Prices&amp;Fuel'!$H71+'Long Term Deals'!Q72*'Prices&amp;Fuel'!$H72+'Long Term Deals'!Q73*'Prices&amp;Fuel'!$H73+'Long Term Deals'!Q74*'Prices&amp;Fuel'!$H74+'Long Term Deals'!Q75*'Prices&amp;Fuel'!$H75+'Long Term Deals'!Q76*'Prices&amp;Fuel'!$H76+'Long Term Deals'!Q77*'Prices&amp;Fuel'!$H77+'Long Term Deals'!Q78*'Prices&amp;Fuel'!$H78)/SUM('Prices&amp;Fuel'!$H67:$H78)</f>
        <v>5270</v>
      </c>
      <c r="T10" s="7" t="n">
        <f aca="false">SUM('Long Term Deals'!T67:T78)</f>
        <v>22053522.64</v>
      </c>
      <c r="U10" s="7" t="n">
        <f aca="false">SUM('Long Term Deals'!U67:U78)</f>
        <v>21944947.57</v>
      </c>
      <c r="V10" s="14" t="n">
        <f aca="false">T10-U10</f>
        <v>108575.069999997</v>
      </c>
      <c r="X10" s="7"/>
      <c r="AD10" s="7"/>
      <c r="AF10" s="7" t="n">
        <f aca="false">('Long Term Deals'!AF67*'Prices&amp;Fuel'!$H67+'Prices&amp;Fuel'!$H68*'Long Term Deals'!AF68+'Long Term Deals'!AF69*'Prices&amp;Fuel'!$H69+'Long Term Deals'!AF70*'Prices&amp;Fuel'!$H70+'Long Term Deals'!AF71*'Prices&amp;Fuel'!$H71+'Long Term Deals'!AF72*'Prices&amp;Fuel'!$H72+'Long Term Deals'!AF73*'Prices&amp;Fuel'!$H73+'Long Term Deals'!AF74*'Prices&amp;Fuel'!$H74+'Long Term Deals'!AF75*'Prices&amp;Fuel'!$H75+'Long Term Deals'!AF76*'Prices&amp;Fuel'!$H76+'Long Term Deals'!AF77*'Prices&amp;Fuel'!$H77+'Long Term Deals'!AF78*'Prices&amp;Fuel'!$H78)/SUM('Prices&amp;Fuel'!$H67:$H78)</f>
        <v>99128.7812092827</v>
      </c>
      <c r="AG10" s="7" t="n">
        <f aca="false">('Long Term Deals'!AG67*'Prices&amp;Fuel'!$H67+'Prices&amp;Fuel'!$H68*'Long Term Deals'!AG68+'Long Term Deals'!AG69*'Prices&amp;Fuel'!$H69+'Long Term Deals'!AG70*'Prices&amp;Fuel'!$H70+'Long Term Deals'!AG71*'Prices&amp;Fuel'!$H71+'Long Term Deals'!AG72*'Prices&amp;Fuel'!$H72+'Long Term Deals'!AG73*'Prices&amp;Fuel'!$H73+'Long Term Deals'!AG74*'Prices&amp;Fuel'!$H74+'Long Term Deals'!AG75*'Prices&amp;Fuel'!$H75+'Long Term Deals'!AG76*'Prices&amp;Fuel'!$H76+'Long Term Deals'!AG77*'Prices&amp;Fuel'!$H77+'Long Term Deals'!AG78*'Prices&amp;Fuel'!$H78)/SUM('Prices&amp;Fuel'!$H67:$H78)</f>
        <v>0</v>
      </c>
      <c r="AH10" s="7" t="n">
        <f aca="false">('Long Term Deals'!AH67*'Prices&amp;Fuel'!$H67+'Prices&amp;Fuel'!$H68*'Long Term Deals'!AH68+'Long Term Deals'!AH69*'Prices&amp;Fuel'!$H69+'Long Term Deals'!AH70*'Prices&amp;Fuel'!$H70+'Long Term Deals'!AH71*'Prices&amp;Fuel'!$H71+'Long Term Deals'!AH72*'Prices&amp;Fuel'!$H72+'Long Term Deals'!AH73*'Prices&amp;Fuel'!$H73+'Long Term Deals'!AH74*'Prices&amp;Fuel'!$H74+'Long Term Deals'!AH75*'Prices&amp;Fuel'!$H75+'Long Term Deals'!AH76*'Prices&amp;Fuel'!$H76+'Long Term Deals'!AH77*'Prices&amp;Fuel'!$H77+'Long Term Deals'!AH78*'Prices&amp;Fuel'!$H78)/SUM('Prices&amp;Fuel'!$H67:$H78)</f>
        <v>77120.822622108</v>
      </c>
      <c r="AI10" s="7" t="n">
        <f aca="false">('Long Term Deals'!AI67*'Prices&amp;Fuel'!$H67+'Prices&amp;Fuel'!$H68*'Long Term Deals'!AI68+'Long Term Deals'!AI69*'Prices&amp;Fuel'!$H69+'Long Term Deals'!AI70*'Prices&amp;Fuel'!$H70+'Long Term Deals'!AI71*'Prices&amp;Fuel'!$H71+'Long Term Deals'!AI72*'Prices&amp;Fuel'!$H72+'Long Term Deals'!AI73*'Prices&amp;Fuel'!$H73+'Long Term Deals'!AI74*'Prices&amp;Fuel'!$H74+'Long Term Deals'!AI75*'Prices&amp;Fuel'!$H75+'Long Term Deals'!AI76*'Prices&amp;Fuel'!$H76+'Long Term Deals'!AI77*'Prices&amp;Fuel'!$H77+'Long Term Deals'!AI78*'Prices&amp;Fuel'!$H78)/SUM('Prices&amp;Fuel'!$H67:$H78)</f>
        <v>0</v>
      </c>
      <c r="AJ10" s="7" t="n">
        <f aca="false">('Long Term Deals'!AJ67*'Prices&amp;Fuel'!$H67+'Prices&amp;Fuel'!$H68*'Long Term Deals'!AJ68+'Long Term Deals'!AJ69*'Prices&amp;Fuel'!$H69+'Long Term Deals'!AJ70*'Prices&amp;Fuel'!$H70+'Long Term Deals'!AJ71*'Prices&amp;Fuel'!$H71+'Long Term Deals'!AJ72*'Prices&amp;Fuel'!$H72+'Long Term Deals'!AJ73*'Prices&amp;Fuel'!$H73+'Long Term Deals'!AJ74*'Prices&amp;Fuel'!$H74+'Long Term Deals'!AJ75*'Prices&amp;Fuel'!$H75+'Long Term Deals'!AJ76*'Prices&amp;Fuel'!$H76+'Long Term Deals'!AJ77*'Prices&amp;Fuel'!$H77+'Long Term Deals'!AJ78*'Prices&amp;Fuel'!$H78)/SUM('Prices&amp;Fuel'!$H67:$H78)</f>
        <v>0</v>
      </c>
      <c r="AK10" s="7" t="n">
        <f aca="false">('Long Term Deals'!AK67*'Prices&amp;Fuel'!$H67+'Prices&amp;Fuel'!$H68*'Long Term Deals'!AK68+'Long Term Deals'!AK69*'Prices&amp;Fuel'!$H69+'Long Term Deals'!AK70*'Prices&amp;Fuel'!$H70+'Long Term Deals'!AK71*'Prices&amp;Fuel'!$H71+'Long Term Deals'!AK72*'Prices&amp;Fuel'!$H72+'Long Term Deals'!AK73*'Prices&amp;Fuel'!$H73+'Long Term Deals'!AK74*'Prices&amp;Fuel'!$H74+'Long Term Deals'!AK75*'Prices&amp;Fuel'!$H75+'Long Term Deals'!AK76*'Prices&amp;Fuel'!$H76+'Long Term Deals'!AK77*'Prices&amp;Fuel'!$H77+'Long Term Deals'!AK78*'Prices&amp;Fuel'!$H78)/SUM('Prices&amp;Fuel'!$H67:$H78)</f>
        <v>0</v>
      </c>
      <c r="AL10" s="7" t="n">
        <f aca="false">SUM(AI10:AK10)</f>
        <v>0</v>
      </c>
      <c r="AM10" s="7"/>
      <c r="AO10" s="7"/>
      <c r="AP10" s="7"/>
      <c r="AR10" s="7"/>
      <c r="AT10" s="14"/>
      <c r="AU10" s="14"/>
      <c r="AW10" s="68"/>
      <c r="AX10" s="68"/>
      <c r="AY10" s="7" t="n">
        <f aca="false">SUM('Long Term Deals'!AY67:AY78)</f>
        <v>234947216.863753</v>
      </c>
      <c r="AZ10" s="7" t="n">
        <f aca="false">SUM('Long Term Deals'!AZ67:AZ78)</f>
        <v>229384908.380463</v>
      </c>
      <c r="BA10" s="5" t="n">
        <f aca="false">AY10-AZ10</f>
        <v>5562308.48329046</v>
      </c>
      <c r="BB10" s="7" t="n">
        <f aca="false">('Long Term Deals'!BB67*'Prices&amp;Fuel'!$H67+'Prices&amp;Fuel'!$H68*'Long Term Deals'!BB68+'Long Term Deals'!BB69*'Prices&amp;Fuel'!$H69+'Long Term Deals'!BB70*'Prices&amp;Fuel'!$H70+'Long Term Deals'!BB71*'Prices&amp;Fuel'!$H71+'Long Term Deals'!BB72*'Prices&amp;Fuel'!$H72+'Long Term Deals'!BB73*'Prices&amp;Fuel'!$H73+'Long Term Deals'!BB74*'Prices&amp;Fuel'!$H74+'Long Term Deals'!BB75*'Prices&amp;Fuel'!$H75+'Long Term Deals'!BB76*'Prices&amp;Fuel'!$H76+'Long Term Deals'!BB77*'Prices&amp;Fuel'!$H77+'Long Term Deals'!BB78*'Prices&amp;Fuel'!$H78)/SUM('Prices&amp;Fuel'!$H67:$H78)</f>
        <v>6831.02299538684</v>
      </c>
      <c r="BC10" s="7" t="n">
        <f aca="false">('Long Term Deals'!BC67*'Prices&amp;Fuel'!$H67+'Prices&amp;Fuel'!$H68*'Long Term Deals'!BC68+'Long Term Deals'!BC69*'Prices&amp;Fuel'!$H69+'Long Term Deals'!BC70*'Prices&amp;Fuel'!$H70+'Long Term Deals'!BC71*'Prices&amp;Fuel'!$H71+'Long Term Deals'!BC72*'Prices&amp;Fuel'!$H72+'Long Term Deals'!BC73*'Prices&amp;Fuel'!$H73+'Long Term Deals'!BC74*'Prices&amp;Fuel'!$H74+'Long Term Deals'!BC75*'Prices&amp;Fuel'!$H75+'Long Term Deals'!BC76*'Prices&amp;Fuel'!$H76+'Long Term Deals'!BC77*'Prices&amp;Fuel'!$H77+'Long Term Deals'!BC78*'Prices&amp;Fuel'!$H78)/SUM('Prices&amp;Fuel'!$H67:$H78)</f>
        <v>0</v>
      </c>
      <c r="BD10" s="7" t="n">
        <f aca="false">('Long Term Deals'!BD67*'Prices&amp;Fuel'!$H67+'Prices&amp;Fuel'!$H68*'Long Term Deals'!BD68+'Long Term Deals'!BD69*'Prices&amp;Fuel'!$H69+'Long Term Deals'!BD70*'Prices&amp;Fuel'!$H70+'Long Term Deals'!BD71*'Prices&amp;Fuel'!$H71+'Long Term Deals'!BD72*'Prices&amp;Fuel'!$H72+'Long Term Deals'!BD73*'Prices&amp;Fuel'!$H73+'Long Term Deals'!BD74*'Prices&amp;Fuel'!$H74+'Long Term Deals'!BD75*'Prices&amp;Fuel'!$H75+'Long Term Deals'!BD76*'Prices&amp;Fuel'!$H76+'Long Term Deals'!BD77*'Prices&amp;Fuel'!$H77+'Long Term Deals'!BD78*'Prices&amp;Fuel'!$H78)/SUM('Prices&amp;Fuel'!$H67:$H78)</f>
        <v>3046.76127759967</v>
      </c>
      <c r="BE10" s="7" t="n">
        <f aca="false">('Long Term Deals'!BE67*'Prices&amp;Fuel'!$H67+'Prices&amp;Fuel'!$H68*'Long Term Deals'!BE68+'Long Term Deals'!BE69*'Prices&amp;Fuel'!$H69+'Long Term Deals'!BE70*'Prices&amp;Fuel'!$H70+'Long Term Deals'!BE71*'Prices&amp;Fuel'!$H71+'Long Term Deals'!BE72*'Prices&amp;Fuel'!$H72+'Long Term Deals'!BE73*'Prices&amp;Fuel'!$H73+'Long Term Deals'!BE74*'Prices&amp;Fuel'!$H74+'Long Term Deals'!BE75*'Prices&amp;Fuel'!$H75+'Long Term Deals'!BE76*'Prices&amp;Fuel'!$H76+'Long Term Deals'!BE77*'Prices&amp;Fuel'!$H77+'Long Term Deals'!BE78*'Prices&amp;Fuel'!$H78)/SUM('Prices&amp;Fuel'!$H67:$H78)</f>
        <v>2306.6746487305</v>
      </c>
      <c r="BF10" s="7" t="n">
        <f aca="false">('Long Term Deals'!BF67*'Prices&amp;Fuel'!$H67+'Prices&amp;Fuel'!$H68*'Long Term Deals'!BF68+'Long Term Deals'!BF69*'Prices&amp;Fuel'!$H69+'Long Term Deals'!BF70*'Prices&amp;Fuel'!$H70+'Long Term Deals'!BF71*'Prices&amp;Fuel'!$H71+'Long Term Deals'!BF72*'Prices&amp;Fuel'!$H72+'Long Term Deals'!BF73*'Prices&amp;Fuel'!$H73+'Long Term Deals'!BF74*'Prices&amp;Fuel'!$H74+'Long Term Deals'!BF75*'Prices&amp;Fuel'!$H75+'Long Term Deals'!BF76*'Prices&amp;Fuel'!$H76+'Long Term Deals'!BF77*'Prices&amp;Fuel'!$H77+'Long Term Deals'!BF78*'Prices&amp;Fuel'!$H78)/SUM('Prices&amp;Fuel'!$H67:$H78)</f>
        <v>3417.65679473184</v>
      </c>
      <c r="BG10" s="7" t="n">
        <f aca="false">('Long Term Deals'!BG67*'Prices&amp;Fuel'!$H67+'Prices&amp;Fuel'!$H68*'Long Term Deals'!BG68+'Long Term Deals'!BG69*'Prices&amp;Fuel'!$H69+'Long Term Deals'!BG70*'Prices&amp;Fuel'!$H70+'Long Term Deals'!BG71*'Prices&amp;Fuel'!$H71+'Long Term Deals'!BG72*'Prices&amp;Fuel'!$H72+'Long Term Deals'!BG73*'Prices&amp;Fuel'!$H73+'Long Term Deals'!BG74*'Prices&amp;Fuel'!$H74+'Long Term Deals'!BG75*'Prices&amp;Fuel'!$H75+'Long Term Deals'!BG76*'Prices&amp;Fuel'!$H76+'Long Term Deals'!BG77*'Prices&amp;Fuel'!$H77+'Long Term Deals'!BG78*'Prices&amp;Fuel'!$H78)/SUM('Prices&amp;Fuel'!$H67:$H78)</f>
        <v>1402.49744691341</v>
      </c>
      <c r="BH10" s="10"/>
      <c r="BI10" s="9"/>
      <c r="BJ10" s="9"/>
      <c r="BK10" s="10"/>
      <c r="BL10" s="7" t="n">
        <f aca="false">SUM('Long Term Deals'!BL67:BL78)</f>
        <v>27067843.7028276</v>
      </c>
      <c r="BM10" s="9"/>
      <c r="BN10" s="9"/>
      <c r="BP10" s="7" t="n">
        <f aca="false">SUM('Long Term Deals'!BP67:BP78)</f>
        <v>26495415.3118026</v>
      </c>
      <c r="BQ10" s="5" t="n">
        <f aca="false">BL10-BP10</f>
        <v>572428.391025052</v>
      </c>
      <c r="CA10" s="7" t="n">
        <f aca="false">SUM('Long Term Deals'!CA67:CA78)</f>
        <v>321655.526992288</v>
      </c>
      <c r="CB10" s="7" t="n">
        <f aca="false">SUM('Long Term Deals'!CB67:CB78)</f>
        <v>76840.9190231361</v>
      </c>
      <c r="CC10" s="7" t="n">
        <f aca="false">SUM('Long Term Deals'!CC67:CC78)</f>
        <v>284068583.206581</v>
      </c>
      <c r="CD10" s="7" t="n">
        <f aca="false">SUM('Long Term Deals'!CD67:CD78)</f>
        <v>278223767.708281</v>
      </c>
      <c r="CE10" s="7" t="n">
        <f aca="false">SUM('Long Term Deals'!CE67:CE78)</f>
        <v>5844815.49830012</v>
      </c>
      <c r="CF10" s="7" t="n">
        <f aca="false">SUM('Long Term Deals'!CF67:CF78)</f>
        <v>0</v>
      </c>
      <c r="CG10" s="7" t="n">
        <f aca="false">SUM('Long Term Deals'!CG67:CG78)</f>
        <v>0</v>
      </c>
      <c r="CH10" s="7" t="n">
        <f aca="false">SUM('Long Term Deals'!CH67:CH78)</f>
        <v>0</v>
      </c>
      <c r="CI10" s="7" t="n">
        <f aca="false">SUM('Long Term Deals'!CI67:CI78)</f>
        <v>0</v>
      </c>
      <c r="CJ10" s="7" t="n">
        <f aca="false">SUM('Long Term Deals'!CJ67:CJ78)</f>
        <v>284068583.206581</v>
      </c>
      <c r="CK10" s="7" t="n">
        <f aca="false">SUM('Long Term Deals'!CK67:CK78)</f>
        <v>278223767.708281</v>
      </c>
      <c r="CL10" s="7" t="n">
        <f aca="false">SUM('Long Term Deals'!CL67:CL78)</f>
        <v>5844815.49830012</v>
      </c>
      <c r="CM10" s="7" t="n">
        <f aca="false">SUM('Long Term Deals'!CM67:CM78)</f>
        <v>5844815.49830012</v>
      </c>
      <c r="CN10" s="7" t="n">
        <f aca="false">SUM('Long Term Deals'!CN67:CN78)</f>
        <v>2.00587448489387E-008</v>
      </c>
      <c r="CO10" s="7" t="n">
        <f aca="false">SUM('Long Term Deals'!CO67:CO78)</f>
        <v>0</v>
      </c>
      <c r="CP10" s="7" t="n">
        <f aca="false">SUM('Long Term Deals'!CP67:CP78)</f>
        <v>0</v>
      </c>
      <c r="CQ10" s="7" t="n">
        <f aca="false">SUM('Long Term Deals'!CQ67:CQ78)</f>
        <v>37993.7499999999</v>
      </c>
      <c r="CR10" s="7" t="n">
        <f aca="false">SUM('Long Term Deals'!CR67:CR78)</f>
        <v>359649.276992288</v>
      </c>
      <c r="CS10" s="7" t="n">
        <f aca="false">SUM('Long Term Deals'!CS67:CS78)</f>
        <v>0</v>
      </c>
      <c r="CT10" s="7" t="n">
        <f aca="false">SUM('Long Term Deals'!CT67:CT78)</f>
        <v>-865595.030760986</v>
      </c>
      <c r="CU10" s="7" t="n">
        <f aca="false">SUM('Long Term Deals'!CU67:CU78)</f>
        <v>-455664.752831203</v>
      </c>
      <c r="CV10" s="76" t="n">
        <f aca="false">SUM('Long Term Deals'!CV67:CV78)</f>
        <v>6254745.77622988</v>
      </c>
      <c r="CW10" s="14" t="n">
        <f aca="false">AF10+AG10+AH10</f>
        <v>176249.603831391</v>
      </c>
      <c r="CX10" s="14" t="n">
        <f aca="false">B10+C10+D10+O10+P10+Q10+X10+Y10+BB10+BC10+BD10+BE10+BF10+BG10+BR10+BS10</f>
        <v>42104.6131633623</v>
      </c>
      <c r="CY10" s="14" t="n">
        <f aca="false">(CW10+CX10)*365</f>
        <v>79699289.2030848</v>
      </c>
      <c r="CZ10" s="14" t="n">
        <f aca="false">SUM(BB10:BG10)</f>
        <v>17004.6131633623</v>
      </c>
      <c r="DA10" s="14" t="n">
        <f aca="false">B10+C10+D10+O10+P10+Q10+X10+Y10+BR10+BS10</f>
        <v>25100</v>
      </c>
      <c r="DC10" s="14" t="n">
        <f aca="false">CZ10+DA10+DB10-CX10</f>
        <v>0</v>
      </c>
    </row>
    <row r="11" customFormat="false" ht="12.75" hidden="false" customHeight="false" outlineLevel="0" collapsed="false">
      <c r="A11" s="75" t="n">
        <v>37999.9999999998</v>
      </c>
      <c r="O11" s="7" t="n">
        <f aca="false">('Long Term Deals'!O79*'Prices&amp;Fuel'!$H79+'Prices&amp;Fuel'!$H80*'Long Term Deals'!O80+'Long Term Deals'!O81*'Prices&amp;Fuel'!$H81+'Long Term Deals'!O82*'Prices&amp;Fuel'!$H82+'Long Term Deals'!O83*'Prices&amp;Fuel'!$H83+'Long Term Deals'!O84*'Prices&amp;Fuel'!$H84+'Long Term Deals'!O85*'Prices&amp;Fuel'!$H85+'Long Term Deals'!O86*'Prices&amp;Fuel'!$H86+'Long Term Deals'!O87*'Prices&amp;Fuel'!$H87+'Long Term Deals'!O88*'Prices&amp;Fuel'!$H88+'Long Term Deals'!O89*'Prices&amp;Fuel'!$H89+'Long Term Deals'!O90*'Prices&amp;Fuel'!$H90)/SUM('Prices&amp;Fuel'!$H79:$H90)</f>
        <v>9036</v>
      </c>
      <c r="P11" s="7" t="n">
        <f aca="false">('Long Term Deals'!P79*'Prices&amp;Fuel'!$H79+'Prices&amp;Fuel'!$H80*'Long Term Deals'!P80+'Long Term Deals'!P81*'Prices&amp;Fuel'!$H81+'Long Term Deals'!P82*'Prices&amp;Fuel'!$H82+'Long Term Deals'!P83*'Prices&amp;Fuel'!$H83+'Long Term Deals'!P84*'Prices&amp;Fuel'!$H84+'Long Term Deals'!P85*'Prices&amp;Fuel'!$H85+'Long Term Deals'!P86*'Prices&amp;Fuel'!$H86+'Long Term Deals'!P87*'Prices&amp;Fuel'!$H87+'Long Term Deals'!P88*'Prices&amp;Fuel'!$H88+'Long Term Deals'!P89*'Prices&amp;Fuel'!$H89+'Long Term Deals'!P90*'Prices&amp;Fuel'!$H90)/SUM('Prices&amp;Fuel'!$H79:$H90)</f>
        <v>10794</v>
      </c>
      <c r="Q11" s="7" t="n">
        <f aca="false">('Long Term Deals'!Q79*'Prices&amp;Fuel'!$H79+'Prices&amp;Fuel'!$H80*'Long Term Deals'!Q80+'Long Term Deals'!Q81*'Prices&amp;Fuel'!$H81+'Long Term Deals'!Q82*'Prices&amp;Fuel'!$H82+'Long Term Deals'!Q83*'Prices&amp;Fuel'!$H83+'Long Term Deals'!Q84*'Prices&amp;Fuel'!$H84+'Long Term Deals'!Q85*'Prices&amp;Fuel'!$H85+'Long Term Deals'!Q86*'Prices&amp;Fuel'!$H86+'Long Term Deals'!Q87*'Prices&amp;Fuel'!$H87+'Long Term Deals'!Q88*'Prices&amp;Fuel'!$H88+'Long Term Deals'!Q89*'Prices&amp;Fuel'!$H89+'Long Term Deals'!Q90*'Prices&amp;Fuel'!$H90)/SUM('Prices&amp;Fuel'!$H79:$H90)</f>
        <v>5270</v>
      </c>
      <c r="T11" s="7" t="n">
        <f aca="false">SUM('Long Term Deals'!T79:T90)</f>
        <v>25305960.56</v>
      </c>
      <c r="U11" s="7" t="n">
        <f aca="false">SUM('Long Term Deals'!U79:U90)</f>
        <v>25194797.68</v>
      </c>
      <c r="V11" s="14" t="n">
        <f aca="false">T11-U11</f>
        <v>111162.879999999</v>
      </c>
      <c r="X11" s="7"/>
      <c r="AF11" s="7" t="n">
        <f aca="false">('Long Term Deals'!AF79*'Prices&amp;Fuel'!$H79+'Prices&amp;Fuel'!$H80*'Long Term Deals'!AF80+'Long Term Deals'!AF81*'Prices&amp;Fuel'!$H81+'Long Term Deals'!AF82*'Prices&amp;Fuel'!$H82+'Long Term Deals'!AF83*'Prices&amp;Fuel'!$H83+'Long Term Deals'!AF84*'Prices&amp;Fuel'!$H84+'Long Term Deals'!AF85*'Prices&amp;Fuel'!$H85+'Long Term Deals'!AF86*'Prices&amp;Fuel'!$H86+'Long Term Deals'!AF87*'Prices&amp;Fuel'!$H87+'Long Term Deals'!AF88*'Prices&amp;Fuel'!$H88+'Long Term Deals'!AF89*'Prices&amp;Fuel'!$H89+'Long Term Deals'!AF90*'Prices&amp;Fuel'!$H90)/SUM('Prices&amp;Fuel'!$H79:$H90)</f>
        <v>99018.0791436639</v>
      </c>
      <c r="AG11" s="7" t="n">
        <f aca="false">('Long Term Deals'!AG79*'Prices&amp;Fuel'!$H79+'Prices&amp;Fuel'!$H80*'Long Term Deals'!AG80+'Long Term Deals'!AG81*'Prices&amp;Fuel'!$H81+'Long Term Deals'!AG82*'Prices&amp;Fuel'!$H82+'Long Term Deals'!AG83*'Prices&amp;Fuel'!$H83+'Long Term Deals'!AG84*'Prices&amp;Fuel'!$H84+'Long Term Deals'!AG85*'Prices&amp;Fuel'!$H85+'Long Term Deals'!AG86*'Prices&amp;Fuel'!$H86+'Long Term Deals'!AG87*'Prices&amp;Fuel'!$H87+'Long Term Deals'!AG88*'Prices&amp;Fuel'!$H88+'Long Term Deals'!AG89*'Prices&amp;Fuel'!$H89+'Long Term Deals'!AG90*'Prices&amp;Fuel'!$H90)/SUM('Prices&amp;Fuel'!$H79:$H90)</f>
        <v>0</v>
      </c>
      <c r="AH11" s="7" t="n">
        <f aca="false">('Long Term Deals'!AH79*'Prices&amp;Fuel'!$H79+'Prices&amp;Fuel'!$H80*'Long Term Deals'!AH80+'Long Term Deals'!AH81*'Prices&amp;Fuel'!$H81+'Long Term Deals'!AH82*'Prices&amp;Fuel'!$H82+'Long Term Deals'!AH83*'Prices&amp;Fuel'!$H83+'Long Term Deals'!AH84*'Prices&amp;Fuel'!$H84+'Long Term Deals'!AH85*'Prices&amp;Fuel'!$H85+'Long Term Deals'!AH86*'Prices&amp;Fuel'!$H86+'Long Term Deals'!AH87*'Prices&amp;Fuel'!$H87+'Long Term Deals'!AH88*'Prices&amp;Fuel'!$H88+'Long Term Deals'!AH89*'Prices&amp;Fuel'!$H89+'Long Term Deals'!AH90*'Prices&amp;Fuel'!$H90)/SUM('Prices&amp;Fuel'!$H79:$H90)</f>
        <v>77120.822622108</v>
      </c>
      <c r="AI11" s="7" t="n">
        <f aca="false">('Long Term Deals'!AI79*'Prices&amp;Fuel'!$H79+'Prices&amp;Fuel'!$H80*'Long Term Deals'!AI80+'Long Term Deals'!AI81*'Prices&amp;Fuel'!$H81+'Long Term Deals'!AI82*'Prices&amp;Fuel'!$H82+'Long Term Deals'!AI83*'Prices&amp;Fuel'!$H83+'Long Term Deals'!AI84*'Prices&amp;Fuel'!$H84+'Long Term Deals'!AI85*'Prices&amp;Fuel'!$H85+'Long Term Deals'!AI86*'Prices&amp;Fuel'!$H86+'Long Term Deals'!AI87*'Prices&amp;Fuel'!$H87+'Long Term Deals'!AI88*'Prices&amp;Fuel'!$H88+'Long Term Deals'!AI89*'Prices&amp;Fuel'!$H89+'Long Term Deals'!AI90*'Prices&amp;Fuel'!$H90)/SUM('Prices&amp;Fuel'!$H79:$H90)</f>
        <v>0</v>
      </c>
      <c r="AJ11" s="7" t="n">
        <f aca="false">('Long Term Deals'!AJ79*'Prices&amp;Fuel'!$H79+'Prices&amp;Fuel'!$H80*'Long Term Deals'!AJ80+'Long Term Deals'!AJ81*'Prices&amp;Fuel'!$H81+'Long Term Deals'!AJ82*'Prices&amp;Fuel'!$H82+'Long Term Deals'!AJ83*'Prices&amp;Fuel'!$H83+'Long Term Deals'!AJ84*'Prices&amp;Fuel'!$H84+'Long Term Deals'!AJ85*'Prices&amp;Fuel'!$H85+'Long Term Deals'!AJ86*'Prices&amp;Fuel'!$H86+'Long Term Deals'!AJ87*'Prices&amp;Fuel'!$H87+'Long Term Deals'!AJ88*'Prices&amp;Fuel'!$H88+'Long Term Deals'!AJ89*'Prices&amp;Fuel'!$H89+'Long Term Deals'!AJ90*'Prices&amp;Fuel'!$H90)/SUM('Prices&amp;Fuel'!$H79:$H90)</f>
        <v>0</v>
      </c>
      <c r="AK11" s="7" t="n">
        <f aca="false">('Long Term Deals'!AK79*'Prices&amp;Fuel'!$H79+'Prices&amp;Fuel'!$H80*'Long Term Deals'!AK80+'Long Term Deals'!AK81*'Prices&amp;Fuel'!$H81+'Long Term Deals'!AK82*'Prices&amp;Fuel'!$H82+'Long Term Deals'!AK83*'Prices&amp;Fuel'!$H83+'Long Term Deals'!AK84*'Prices&amp;Fuel'!$H84+'Long Term Deals'!AK85*'Prices&amp;Fuel'!$H85+'Long Term Deals'!AK86*'Prices&amp;Fuel'!$H86+'Long Term Deals'!AK87*'Prices&amp;Fuel'!$H87+'Long Term Deals'!AK88*'Prices&amp;Fuel'!$H88+'Long Term Deals'!AK89*'Prices&amp;Fuel'!$H89+'Long Term Deals'!AK90*'Prices&amp;Fuel'!$H90)/SUM('Prices&amp;Fuel'!$H79:$H90)</f>
        <v>0</v>
      </c>
      <c r="AL11" s="7" t="n">
        <f aca="false">SUM(AI11:AK11)</f>
        <v>0</v>
      </c>
      <c r="AM11" s="7"/>
      <c r="AO11" s="7"/>
      <c r="AP11" s="7"/>
      <c r="AR11" s="7"/>
      <c r="AT11" s="14"/>
      <c r="AU11" s="14"/>
      <c r="AW11" s="68"/>
      <c r="AX11" s="68"/>
      <c r="AY11" s="7" t="n">
        <f aca="false">SUM('Long Term Deals'!AY79:AY90)</f>
        <v>236981297.493059</v>
      </c>
      <c r="AZ11" s="7" t="n">
        <f aca="false">SUM('Long Term Deals'!AZ79:AZ90)</f>
        <v>232050870.757841</v>
      </c>
      <c r="BA11" s="5" t="n">
        <f aca="false">AY11-AZ11</f>
        <v>4930426.73521853</v>
      </c>
      <c r="BB11" s="7" t="n">
        <f aca="false">('Long Term Deals'!BB79*'Prices&amp;Fuel'!$H79+'Prices&amp;Fuel'!$H80*'Long Term Deals'!BB80+'Long Term Deals'!BB81*'Prices&amp;Fuel'!$H81+'Long Term Deals'!BB82*'Prices&amp;Fuel'!$H82+'Long Term Deals'!BB83*'Prices&amp;Fuel'!$H83+'Long Term Deals'!BB84*'Prices&amp;Fuel'!$H84+'Long Term Deals'!BB85*'Prices&amp;Fuel'!$H85+'Long Term Deals'!BB86*'Prices&amp;Fuel'!$H86+'Long Term Deals'!BB87*'Prices&amp;Fuel'!$H87+'Long Term Deals'!BB88*'Prices&amp;Fuel'!$H88+'Long Term Deals'!BB89*'Prices&amp;Fuel'!$H89+'Long Term Deals'!BB90*'Prices&amp;Fuel'!$H90)/SUM('Prices&amp;Fuel'!$H79:$H90)</f>
        <v>6824.17857193027</v>
      </c>
      <c r="BC11" s="7" t="n">
        <f aca="false">('Long Term Deals'!BC79*'Prices&amp;Fuel'!$H79+'Prices&amp;Fuel'!$H80*'Long Term Deals'!BC80+'Long Term Deals'!BC81*'Prices&amp;Fuel'!$H81+'Long Term Deals'!BC82*'Prices&amp;Fuel'!$H82+'Long Term Deals'!BC83*'Prices&amp;Fuel'!$H83+'Long Term Deals'!BC84*'Prices&amp;Fuel'!$H84+'Long Term Deals'!BC85*'Prices&amp;Fuel'!$H85+'Long Term Deals'!BC86*'Prices&amp;Fuel'!$H86+'Long Term Deals'!BC87*'Prices&amp;Fuel'!$H87+'Long Term Deals'!BC88*'Prices&amp;Fuel'!$H88+'Long Term Deals'!BC89*'Prices&amp;Fuel'!$H89+'Long Term Deals'!BC90*'Prices&amp;Fuel'!$H90)/SUM('Prices&amp;Fuel'!$H79:$H90)</f>
        <v>0</v>
      </c>
      <c r="BD11" s="7" t="n">
        <f aca="false">('Long Term Deals'!BD79*'Prices&amp;Fuel'!$H79+'Prices&amp;Fuel'!$H80*'Long Term Deals'!BD80+'Long Term Deals'!BD81*'Prices&amp;Fuel'!$H81+'Long Term Deals'!BD82*'Prices&amp;Fuel'!$H82+'Long Term Deals'!BD83*'Prices&amp;Fuel'!$H83+'Long Term Deals'!BD84*'Prices&amp;Fuel'!$H84+'Long Term Deals'!BD85*'Prices&amp;Fuel'!$H85+'Long Term Deals'!BD86*'Prices&amp;Fuel'!$H86+'Long Term Deals'!BD87*'Prices&amp;Fuel'!$H87+'Long Term Deals'!BD88*'Prices&amp;Fuel'!$H88+'Long Term Deals'!BD89*'Prices&amp;Fuel'!$H89+'Long Term Deals'!BD90*'Prices&amp;Fuel'!$H90)/SUM('Prices&amp;Fuel'!$H79:$H90)</f>
        <v>3038.43679323465</v>
      </c>
      <c r="BE11" s="7" t="n">
        <f aca="false">('Long Term Deals'!BE79*'Prices&amp;Fuel'!$H79+'Prices&amp;Fuel'!$H80*'Long Term Deals'!BE80+'Long Term Deals'!BE81*'Prices&amp;Fuel'!$H81+'Long Term Deals'!BE82*'Prices&amp;Fuel'!$H82+'Long Term Deals'!BE83*'Prices&amp;Fuel'!$H83+'Long Term Deals'!BE84*'Prices&amp;Fuel'!$H84+'Long Term Deals'!BE85*'Prices&amp;Fuel'!$H85+'Long Term Deals'!BE86*'Prices&amp;Fuel'!$H86+'Long Term Deals'!BE87*'Prices&amp;Fuel'!$H87+'Long Term Deals'!BE88*'Prices&amp;Fuel'!$H88+'Long Term Deals'!BE89*'Prices&amp;Fuel'!$H89+'Long Term Deals'!BE90*'Prices&amp;Fuel'!$H90)/SUM('Prices&amp;Fuel'!$H79:$H90)</f>
        <v>2307.57301192634</v>
      </c>
      <c r="BF11" s="7" t="n">
        <f aca="false">('Long Term Deals'!BF79*'Prices&amp;Fuel'!$H79+'Prices&amp;Fuel'!$H80*'Long Term Deals'!BF80+'Long Term Deals'!BF81*'Prices&amp;Fuel'!$H81+'Long Term Deals'!BF82*'Prices&amp;Fuel'!$H82+'Long Term Deals'!BF83*'Prices&amp;Fuel'!$H83+'Long Term Deals'!BF84*'Prices&amp;Fuel'!$H84+'Long Term Deals'!BF85*'Prices&amp;Fuel'!$H85+'Long Term Deals'!BF86*'Prices&amp;Fuel'!$H86+'Long Term Deals'!BF87*'Prices&amp;Fuel'!$H87+'Long Term Deals'!BF88*'Prices&amp;Fuel'!$H88+'Long Term Deals'!BF89*'Prices&amp;Fuel'!$H89+'Long Term Deals'!BF90*'Prices&amp;Fuel'!$H90)/SUM('Prices&amp;Fuel'!$H79:$H90)</f>
        <v>3418.27861828705</v>
      </c>
      <c r="BG11" s="7" t="n">
        <f aca="false">('Long Term Deals'!BG79*'Prices&amp;Fuel'!$H79+'Prices&amp;Fuel'!$H80*'Long Term Deals'!BG80+'Long Term Deals'!BG81*'Prices&amp;Fuel'!$H81+'Long Term Deals'!BG82*'Prices&amp;Fuel'!$H82+'Long Term Deals'!BG83*'Prices&amp;Fuel'!$H83+'Long Term Deals'!BG84*'Prices&amp;Fuel'!$H84+'Long Term Deals'!BG85*'Prices&amp;Fuel'!$H85+'Long Term Deals'!BG86*'Prices&amp;Fuel'!$H86+'Long Term Deals'!BG87*'Prices&amp;Fuel'!$H87+'Long Term Deals'!BG88*'Prices&amp;Fuel'!$H88+'Long Term Deals'!BG89*'Prices&amp;Fuel'!$H89+'Long Term Deals'!BG90*'Prices&amp;Fuel'!$H90)/SUM('Prices&amp;Fuel'!$H79:$H90)</f>
        <v>1403.39949709919</v>
      </c>
      <c r="BH11" s="10"/>
      <c r="BI11" s="9"/>
      <c r="BJ11" s="9"/>
      <c r="BK11" s="10"/>
      <c r="BL11" s="7" t="n">
        <f aca="false">SUM('Long Term Deals'!BL79:BL90)</f>
        <v>27309160.741388</v>
      </c>
      <c r="BM11" s="9"/>
      <c r="BN11" s="9"/>
      <c r="BP11" s="7" t="n">
        <f aca="false">SUM('Long Term Deals'!BP79:BP90)</f>
        <v>26746304.0148007</v>
      </c>
      <c r="BQ11" s="5" t="n">
        <f aca="false">BL11-BP11</f>
        <v>562856.726587329</v>
      </c>
      <c r="CA11" s="7" t="n">
        <f aca="false">SUM('Long Term Deals'!CA79:CA90)</f>
        <v>322334.190231363</v>
      </c>
      <c r="CB11" s="7" t="n">
        <f aca="false">SUM('Long Term Deals'!CB79:CB90)</f>
        <v>77028.1156812338</v>
      </c>
      <c r="CC11" s="7" t="n">
        <f aca="false">SUM('Long Term Deals'!CC79:CC90)</f>
        <v>289596418.794447</v>
      </c>
      <c r="CD11" s="7" t="n">
        <f aca="false">SUM('Long Term Deals'!CD79:CD90)</f>
        <v>284391334.758554</v>
      </c>
      <c r="CE11" s="7" t="n">
        <f aca="false">SUM('Long Term Deals'!CE79:CE90)</f>
        <v>5205084.03589322</v>
      </c>
      <c r="CF11" s="7" t="n">
        <f aca="false">SUM('Long Term Deals'!CF79:CF90)</f>
        <v>0</v>
      </c>
      <c r="CG11" s="7" t="n">
        <f aca="false">SUM('Long Term Deals'!CG79:CG90)</f>
        <v>0</v>
      </c>
      <c r="CH11" s="7" t="n">
        <f aca="false">SUM('Long Term Deals'!CH79:CH90)</f>
        <v>0</v>
      </c>
      <c r="CI11" s="7" t="n">
        <f aca="false">SUM('Long Term Deals'!CI79:CI90)</f>
        <v>0</v>
      </c>
      <c r="CJ11" s="7" t="n">
        <f aca="false">SUM('Long Term Deals'!CJ79:CJ90)</f>
        <v>289596418.794447</v>
      </c>
      <c r="CK11" s="7" t="n">
        <f aca="false">SUM('Long Term Deals'!CK79:CK90)</f>
        <v>284391334.758554</v>
      </c>
      <c r="CL11" s="7" t="n">
        <f aca="false">SUM('Long Term Deals'!CL79:CL90)</f>
        <v>5205084.03589322</v>
      </c>
      <c r="CM11" s="7" t="n">
        <f aca="false">SUM('Long Term Deals'!CM79:CM90)</f>
        <v>5205084.03589322</v>
      </c>
      <c r="CN11" s="7" t="n">
        <f aca="false">SUM('Long Term Deals'!CN79:CN90)</f>
        <v>1.9933954172302E-008</v>
      </c>
      <c r="CO11" s="7" t="n">
        <f aca="false">SUM('Long Term Deals'!CO79:CO90)</f>
        <v>0</v>
      </c>
      <c r="CP11" s="7" t="n">
        <f aca="false">SUM('Long Term Deals'!CP79:CP90)</f>
        <v>0</v>
      </c>
      <c r="CQ11" s="7" t="n">
        <f aca="false">SUM('Long Term Deals'!CQ79:CQ90)</f>
        <v>38086.4999999999</v>
      </c>
      <c r="CR11" s="7" t="n">
        <f aca="false">SUM('Long Term Deals'!CR79:CR90)</f>
        <v>360420.690231362</v>
      </c>
      <c r="CS11" s="7" t="n">
        <f aca="false">SUM('Long Term Deals'!CS79:CS90)</f>
        <v>0</v>
      </c>
      <c r="CT11" s="7" t="n">
        <f aca="false">SUM('Long Term Deals'!CT79:CT90)</f>
        <v>-1514084.58421985</v>
      </c>
      <c r="CU11" s="7" t="n">
        <f aca="false">SUM('Long Term Deals'!CU79:CU90)</f>
        <v>-456790.400023775</v>
      </c>
      <c r="CV11" s="76" t="n">
        <f aca="false">SUM('Long Term Deals'!CV79:CV90)</f>
        <v>6262378.22008927</v>
      </c>
      <c r="CW11" s="14" t="n">
        <f aca="false">AF11+AG11+AH11</f>
        <v>176138.901765772</v>
      </c>
      <c r="CX11" s="14" t="n">
        <f aca="false">B11+C11+D11+O11+P11+Q11+X11+Y11+BB11+BC11+BD11+BE11+BF11+BG11+BR11+BS11</f>
        <v>42091.8664924775</v>
      </c>
      <c r="CY11" s="14" t="n">
        <f aca="false">(CW11+CX11)*365</f>
        <v>79654230.414261</v>
      </c>
      <c r="CZ11" s="14" t="n">
        <f aca="false">SUM(BB11:BG11)</f>
        <v>16991.8664924775</v>
      </c>
      <c r="DA11" s="14" t="n">
        <f aca="false">B11+C11+D11+O11+P11+Q11+X11+Y11+BR11+BS11</f>
        <v>25100</v>
      </c>
      <c r="DC11" s="14" t="n">
        <f aca="false">CZ11+DA11+DB11-CX11</f>
        <v>0</v>
      </c>
    </row>
    <row r="12" customFormat="false" ht="12.75" hidden="false" customHeight="false" outlineLevel="0" collapsed="false">
      <c r="A12" s="75" t="n">
        <v>38364.9999999998</v>
      </c>
      <c r="O12" s="7" t="n">
        <f aca="false">('Long Term Deals'!O91*'Prices&amp;Fuel'!$H91+'Prices&amp;Fuel'!$H92*'Long Term Deals'!O92+'Long Term Deals'!O93*'Prices&amp;Fuel'!$H93+'Long Term Deals'!O94*'Prices&amp;Fuel'!$H94+'Long Term Deals'!O95*'Prices&amp;Fuel'!$H95+'Long Term Deals'!O96*'Prices&amp;Fuel'!$H96+'Long Term Deals'!O97*'Prices&amp;Fuel'!$H97+'Long Term Deals'!O98*'Prices&amp;Fuel'!$H98+'Long Term Deals'!O99*'Prices&amp;Fuel'!$H99+'Long Term Deals'!O100*'Prices&amp;Fuel'!$H100+'Long Term Deals'!O101*'Prices&amp;Fuel'!$H101+'Long Term Deals'!O102*'Prices&amp;Fuel'!$H102)/SUM('Prices&amp;Fuel'!$H91:$H102)</f>
        <v>9036</v>
      </c>
      <c r="P12" s="7" t="n">
        <f aca="false">('Long Term Deals'!P91*'Prices&amp;Fuel'!$H91+'Prices&amp;Fuel'!$H92*'Long Term Deals'!P92+'Long Term Deals'!P93*'Prices&amp;Fuel'!$H93+'Long Term Deals'!P94*'Prices&amp;Fuel'!$H94+'Long Term Deals'!P95*'Prices&amp;Fuel'!$H95+'Long Term Deals'!P96*'Prices&amp;Fuel'!$H96+'Long Term Deals'!P97*'Prices&amp;Fuel'!$H97+'Long Term Deals'!P98*'Prices&amp;Fuel'!$H98+'Long Term Deals'!P99*'Prices&amp;Fuel'!$H99+'Long Term Deals'!P100*'Prices&amp;Fuel'!$H100+'Long Term Deals'!P101*'Prices&amp;Fuel'!$H101+'Long Term Deals'!P102*'Prices&amp;Fuel'!$H102)/SUM('Prices&amp;Fuel'!$H91:$H102)</f>
        <v>10794</v>
      </c>
      <c r="Q12" s="7" t="n">
        <f aca="false">('Long Term Deals'!Q91*'Prices&amp;Fuel'!$H91+'Prices&amp;Fuel'!$H92*'Long Term Deals'!Q92+'Long Term Deals'!Q93*'Prices&amp;Fuel'!$H93+'Long Term Deals'!Q94*'Prices&amp;Fuel'!$H94+'Long Term Deals'!Q95*'Prices&amp;Fuel'!$H95+'Long Term Deals'!Q96*'Prices&amp;Fuel'!$H96+'Long Term Deals'!Q97*'Prices&amp;Fuel'!$H97+'Long Term Deals'!Q98*'Prices&amp;Fuel'!$H98+'Long Term Deals'!Q99*'Prices&amp;Fuel'!$H99+'Long Term Deals'!Q100*'Prices&amp;Fuel'!$H100+'Long Term Deals'!Q101*'Prices&amp;Fuel'!$H101+'Long Term Deals'!Q102*'Prices&amp;Fuel'!$H102)/SUM('Prices&amp;Fuel'!$H91:$H102)</f>
        <v>5270</v>
      </c>
      <c r="T12" s="7" t="n">
        <f aca="false">SUM('Long Term Deals'!T91:T102)</f>
        <v>28739675.7</v>
      </c>
      <c r="U12" s="7" t="n">
        <f aca="false">SUM('Long Term Deals'!U91:U102)</f>
        <v>28626981.72</v>
      </c>
      <c r="V12" s="14" t="n">
        <f aca="false">T12-U12</f>
        <v>112693.98</v>
      </c>
      <c r="AF12" s="7" t="n">
        <f aca="false">('Long Term Deals'!AF91*'Prices&amp;Fuel'!$H91+'Prices&amp;Fuel'!$H92*'Long Term Deals'!AF92+'Long Term Deals'!AF93*'Prices&amp;Fuel'!$H93+'Long Term Deals'!AF94*'Prices&amp;Fuel'!$H94+'Long Term Deals'!AF95*'Prices&amp;Fuel'!$H95+'Long Term Deals'!AF96*'Prices&amp;Fuel'!$H96+'Long Term Deals'!AF97*'Prices&amp;Fuel'!$H97+'Long Term Deals'!AF98*'Prices&amp;Fuel'!$H98+'Long Term Deals'!AF99*'Prices&amp;Fuel'!$H99+'Long Term Deals'!AF100*'Prices&amp;Fuel'!$H100+'Long Term Deals'!AF101*'Prices&amp;Fuel'!$H101+'Long Term Deals'!AF102*'Prices&amp;Fuel'!$H102)/SUM('Prices&amp;Fuel'!$H91:$H102)</f>
        <v>94660.7035954502</v>
      </c>
      <c r="AG12" s="7" t="n">
        <f aca="false">('Long Term Deals'!AG91*'Prices&amp;Fuel'!$H91+'Prices&amp;Fuel'!$H92*'Long Term Deals'!AG92+'Long Term Deals'!AG93*'Prices&amp;Fuel'!$H93+'Long Term Deals'!AG94*'Prices&amp;Fuel'!$H94+'Long Term Deals'!AG95*'Prices&amp;Fuel'!$H95+'Long Term Deals'!AG96*'Prices&amp;Fuel'!$H96+'Long Term Deals'!AG97*'Prices&amp;Fuel'!$H97+'Long Term Deals'!AG98*'Prices&amp;Fuel'!$H98+'Long Term Deals'!AG99*'Prices&amp;Fuel'!$H99+'Long Term Deals'!AG100*'Prices&amp;Fuel'!$H100+'Long Term Deals'!AG101*'Prices&amp;Fuel'!$H101+'Long Term Deals'!AG102*'Prices&amp;Fuel'!$H102)/SUM('Prices&amp;Fuel'!$H91:$H102)</f>
        <v>0</v>
      </c>
      <c r="AH12" s="7" t="n">
        <f aca="false">('Long Term Deals'!AH91*'Prices&amp;Fuel'!$H91+'Prices&amp;Fuel'!$H92*'Long Term Deals'!AH92+'Long Term Deals'!AH93*'Prices&amp;Fuel'!$H93+'Long Term Deals'!AH94*'Prices&amp;Fuel'!$H94+'Long Term Deals'!AH95*'Prices&amp;Fuel'!$H95+'Long Term Deals'!AH96*'Prices&amp;Fuel'!$H96+'Long Term Deals'!AH97*'Prices&amp;Fuel'!$H97+'Long Term Deals'!AH98*'Prices&amp;Fuel'!$H98+'Long Term Deals'!AH99*'Prices&amp;Fuel'!$H99+'Long Term Deals'!AH100*'Prices&amp;Fuel'!$H100+'Long Term Deals'!AH101*'Prices&amp;Fuel'!$H101+'Long Term Deals'!AH102*'Prices&amp;Fuel'!$H102)/SUM('Prices&amp;Fuel'!$H91:$H102)</f>
        <v>77120.822622108</v>
      </c>
      <c r="AI12" s="7" t="n">
        <f aca="false">('Long Term Deals'!AI91*'Prices&amp;Fuel'!$H91+'Prices&amp;Fuel'!$H92*'Long Term Deals'!AI92+'Long Term Deals'!AI93*'Prices&amp;Fuel'!$H93+'Long Term Deals'!AI94*'Prices&amp;Fuel'!$H94+'Long Term Deals'!AI95*'Prices&amp;Fuel'!$H95+'Long Term Deals'!AI96*'Prices&amp;Fuel'!$H96+'Long Term Deals'!AI97*'Prices&amp;Fuel'!$H97+'Long Term Deals'!AI98*'Prices&amp;Fuel'!$H98+'Long Term Deals'!AI99*'Prices&amp;Fuel'!$H99+'Long Term Deals'!AI100*'Prices&amp;Fuel'!$H100+'Long Term Deals'!AI101*'Prices&amp;Fuel'!$H101+'Long Term Deals'!AI102*'Prices&amp;Fuel'!$H102)/SUM('Prices&amp;Fuel'!$H91:$H102)</f>
        <v>0</v>
      </c>
      <c r="AJ12" s="7" t="n">
        <f aca="false">('Long Term Deals'!AJ91*'Prices&amp;Fuel'!$H91+'Prices&amp;Fuel'!$H92*'Long Term Deals'!AJ92+'Long Term Deals'!AJ93*'Prices&amp;Fuel'!$H93+'Long Term Deals'!AJ94*'Prices&amp;Fuel'!$H94+'Long Term Deals'!AJ95*'Prices&amp;Fuel'!$H95+'Long Term Deals'!AJ96*'Prices&amp;Fuel'!$H96+'Long Term Deals'!AJ97*'Prices&amp;Fuel'!$H97+'Long Term Deals'!AJ98*'Prices&amp;Fuel'!$H98+'Long Term Deals'!AJ99*'Prices&amp;Fuel'!$H99+'Long Term Deals'!AJ100*'Prices&amp;Fuel'!$H100+'Long Term Deals'!AJ101*'Prices&amp;Fuel'!$H101+'Long Term Deals'!AJ102*'Prices&amp;Fuel'!$H102)/SUM('Prices&amp;Fuel'!$H91:$H102)</f>
        <v>0</v>
      </c>
      <c r="AK12" s="7" t="n">
        <f aca="false">('Long Term Deals'!AK91*'Prices&amp;Fuel'!$H91+'Prices&amp;Fuel'!$H92*'Long Term Deals'!AK92+'Long Term Deals'!AK93*'Prices&amp;Fuel'!$H93+'Long Term Deals'!AK94*'Prices&amp;Fuel'!$H94+'Long Term Deals'!AK95*'Prices&amp;Fuel'!$H95+'Long Term Deals'!AK96*'Prices&amp;Fuel'!$H96+'Long Term Deals'!AK97*'Prices&amp;Fuel'!$H97+'Long Term Deals'!AK98*'Prices&amp;Fuel'!$H98+'Long Term Deals'!AK99*'Prices&amp;Fuel'!$H99+'Long Term Deals'!AK100*'Prices&amp;Fuel'!$H100+'Long Term Deals'!AK101*'Prices&amp;Fuel'!$H101+'Long Term Deals'!AK102*'Prices&amp;Fuel'!$H102)/SUM('Prices&amp;Fuel'!$H91:$H102)</f>
        <v>0</v>
      </c>
      <c r="AL12" s="7" t="n">
        <f aca="false">SUM(AI12:AK12)</f>
        <v>0</v>
      </c>
      <c r="AM12" s="7"/>
      <c r="AO12" s="7"/>
      <c r="AP12" s="7"/>
      <c r="AR12" s="7"/>
      <c r="AT12" s="14"/>
      <c r="AU12" s="14"/>
      <c r="AW12" s="68"/>
      <c r="AX12" s="68"/>
      <c r="AY12" s="7" t="n">
        <f aca="false">SUM('Long Term Deals'!AY91:AY102)</f>
        <v>231369132.811188</v>
      </c>
      <c r="AZ12" s="7" t="n">
        <f aca="false">SUM('Long Term Deals'!AZ91:AZ102)</f>
        <v>227345333.325327</v>
      </c>
      <c r="BA12" s="5" t="n">
        <f aca="false">AY12-AZ12</f>
        <v>4023799.48586118</v>
      </c>
      <c r="BB12" s="7" t="n">
        <f aca="false">('Long Term Deals'!BB91*'Prices&amp;Fuel'!$H91+'Prices&amp;Fuel'!$H92*'Long Term Deals'!BB92+'Long Term Deals'!BB93*'Prices&amp;Fuel'!$H93+'Long Term Deals'!BB94*'Prices&amp;Fuel'!$H94+'Long Term Deals'!BB95*'Prices&amp;Fuel'!$H95+'Long Term Deals'!BB96*'Prices&amp;Fuel'!$H96+'Long Term Deals'!BB97*'Prices&amp;Fuel'!$H97+'Long Term Deals'!BB98*'Prices&amp;Fuel'!$H98+'Long Term Deals'!BB99*'Prices&amp;Fuel'!$H99+'Long Term Deals'!BB100*'Prices&amp;Fuel'!$H100+'Long Term Deals'!BB101*'Prices&amp;Fuel'!$H101+'Long Term Deals'!BB102*'Prices&amp;Fuel'!$H102)/SUM('Prices&amp;Fuel'!$H91:$H102)</f>
        <v>6831.02299538684</v>
      </c>
      <c r="BC12" s="7" t="n">
        <f aca="false">('Long Term Deals'!BC91*'Prices&amp;Fuel'!$H91+'Prices&amp;Fuel'!$H92*'Long Term Deals'!BC92+'Long Term Deals'!BC93*'Prices&amp;Fuel'!$H93+'Long Term Deals'!BC94*'Prices&amp;Fuel'!$H94+'Long Term Deals'!BC95*'Prices&amp;Fuel'!$H95+'Long Term Deals'!BC96*'Prices&amp;Fuel'!$H96+'Long Term Deals'!BC97*'Prices&amp;Fuel'!$H97+'Long Term Deals'!BC98*'Prices&amp;Fuel'!$H98+'Long Term Deals'!BC99*'Prices&amp;Fuel'!$H99+'Long Term Deals'!BC100*'Prices&amp;Fuel'!$H100+'Long Term Deals'!BC101*'Prices&amp;Fuel'!$H101+'Long Term Deals'!BC102*'Prices&amp;Fuel'!$H102)/SUM('Prices&amp;Fuel'!$H91:$H102)</f>
        <v>0</v>
      </c>
      <c r="BD12" s="7" t="n">
        <f aca="false">('Long Term Deals'!BD91*'Prices&amp;Fuel'!$H91+'Prices&amp;Fuel'!$H92*'Long Term Deals'!BD92+'Long Term Deals'!BD93*'Prices&amp;Fuel'!$H93+'Long Term Deals'!BD94*'Prices&amp;Fuel'!$H94+'Long Term Deals'!BD95*'Prices&amp;Fuel'!$H95+'Long Term Deals'!BD96*'Prices&amp;Fuel'!$H96+'Long Term Deals'!BD97*'Prices&amp;Fuel'!$H97+'Long Term Deals'!BD98*'Prices&amp;Fuel'!$H98+'Long Term Deals'!BD99*'Prices&amp;Fuel'!$H99+'Long Term Deals'!BD100*'Prices&amp;Fuel'!$H100+'Long Term Deals'!BD101*'Prices&amp;Fuel'!$H101+'Long Term Deals'!BD102*'Prices&amp;Fuel'!$H102)/SUM('Prices&amp;Fuel'!$H91:$H102)</f>
        <v>3046.76127759967</v>
      </c>
      <c r="BE12" s="7" t="n">
        <f aca="false">('Long Term Deals'!BE91*'Prices&amp;Fuel'!$H91+'Prices&amp;Fuel'!$H92*'Long Term Deals'!BE92+'Long Term Deals'!BE93*'Prices&amp;Fuel'!$H93+'Long Term Deals'!BE94*'Prices&amp;Fuel'!$H94+'Long Term Deals'!BE95*'Prices&amp;Fuel'!$H95+'Long Term Deals'!BE96*'Prices&amp;Fuel'!$H96+'Long Term Deals'!BE97*'Prices&amp;Fuel'!$H97+'Long Term Deals'!BE98*'Prices&amp;Fuel'!$H98+'Long Term Deals'!BE99*'Prices&amp;Fuel'!$H99+'Long Term Deals'!BE100*'Prices&amp;Fuel'!$H100+'Long Term Deals'!BE101*'Prices&amp;Fuel'!$H101+'Long Term Deals'!BE102*'Prices&amp;Fuel'!$H102)/SUM('Prices&amp;Fuel'!$H91:$H102)</f>
        <v>2306.6746487305</v>
      </c>
      <c r="BF12" s="7" t="n">
        <f aca="false">('Long Term Deals'!BF91*'Prices&amp;Fuel'!$H91+'Prices&amp;Fuel'!$H92*'Long Term Deals'!BF92+'Long Term Deals'!BF93*'Prices&amp;Fuel'!$H93+'Long Term Deals'!BF94*'Prices&amp;Fuel'!$H94+'Long Term Deals'!BF95*'Prices&amp;Fuel'!$H95+'Long Term Deals'!BF96*'Prices&amp;Fuel'!$H96+'Long Term Deals'!BF97*'Prices&amp;Fuel'!$H97+'Long Term Deals'!BF98*'Prices&amp;Fuel'!$H98+'Long Term Deals'!BF99*'Prices&amp;Fuel'!$H99+'Long Term Deals'!BF100*'Prices&amp;Fuel'!$H100+'Long Term Deals'!BF101*'Prices&amp;Fuel'!$H101+'Long Term Deals'!BF102*'Prices&amp;Fuel'!$H102)/SUM('Prices&amp;Fuel'!$H91:$H102)</f>
        <v>3417.65679473184</v>
      </c>
      <c r="BG12" s="7" t="n">
        <f aca="false">('Long Term Deals'!BG91*'Prices&amp;Fuel'!$H91+'Prices&amp;Fuel'!$H92*'Long Term Deals'!BG92+'Long Term Deals'!BG93*'Prices&amp;Fuel'!$H93+'Long Term Deals'!BG94*'Prices&amp;Fuel'!$H94+'Long Term Deals'!BG95*'Prices&amp;Fuel'!$H95+'Long Term Deals'!BG96*'Prices&amp;Fuel'!$H96+'Long Term Deals'!BG97*'Prices&amp;Fuel'!$H97+'Long Term Deals'!BG98*'Prices&amp;Fuel'!$H98+'Long Term Deals'!BG99*'Prices&amp;Fuel'!$H99+'Long Term Deals'!BG100*'Prices&amp;Fuel'!$H100+'Long Term Deals'!BG101*'Prices&amp;Fuel'!$H101+'Long Term Deals'!BG102*'Prices&amp;Fuel'!$H102)/SUM('Prices&amp;Fuel'!$H91:$H102)</f>
        <v>1402.49744691341</v>
      </c>
      <c r="BH12" s="10"/>
      <c r="BI12" s="9"/>
      <c r="BJ12" s="9"/>
      <c r="BK12" s="10"/>
      <c r="BL12" s="7" t="n">
        <f aca="false">SUM('Long Term Deals'!BL91:BL102)</f>
        <v>27500067.0327299</v>
      </c>
      <c r="BM12" s="9"/>
      <c r="BN12" s="9"/>
      <c r="BP12" s="7" t="n">
        <f aca="false">SUM('Long Term Deals'!BP91:BP102)</f>
        <v>27016181.3224463</v>
      </c>
      <c r="BQ12" s="5" t="n">
        <f aca="false">BL12-BP12</f>
        <v>483885.7102836</v>
      </c>
      <c r="CA12" s="7" t="n">
        <f aca="false">SUM('Long Term Deals'!CA91:CA102)</f>
        <v>313501.285347044</v>
      </c>
      <c r="CB12" s="7" t="n">
        <f aca="false">SUM('Long Term Deals'!CB91:CB102)</f>
        <v>76840.9190231361</v>
      </c>
      <c r="CC12" s="7" t="n">
        <f aca="false">SUM('Long Term Deals'!CC91:CC102)</f>
        <v>287608875.543918</v>
      </c>
      <c r="CD12" s="7" t="n">
        <f aca="false">SUM('Long Term Deals'!CD91:CD102)</f>
        <v>283378838.572143</v>
      </c>
      <c r="CE12" s="7" t="n">
        <f aca="false">SUM('Long Term Deals'!CE91:CE102)</f>
        <v>4230036.9717746</v>
      </c>
      <c r="CF12" s="7" t="n">
        <f aca="false">SUM('Long Term Deals'!CF91:CF102)</f>
        <v>0</v>
      </c>
      <c r="CG12" s="7" t="n">
        <f aca="false">SUM('Long Term Deals'!CG91:CG102)</f>
        <v>0</v>
      </c>
      <c r="CH12" s="7" t="n">
        <f aca="false">SUM('Long Term Deals'!CH91:CH102)</f>
        <v>0</v>
      </c>
      <c r="CI12" s="7" t="n">
        <f aca="false">SUM('Long Term Deals'!CI91:CI102)</f>
        <v>0</v>
      </c>
      <c r="CJ12" s="7" t="n">
        <f aca="false">SUM('Long Term Deals'!CJ91:CJ102)</f>
        <v>287608875.543918</v>
      </c>
      <c r="CK12" s="7" t="n">
        <f aca="false">SUM('Long Term Deals'!CK91:CK102)</f>
        <v>283378838.572143</v>
      </c>
      <c r="CL12" s="7" t="n">
        <f aca="false">SUM('Long Term Deals'!CL91:CL102)</f>
        <v>4230036.9717746</v>
      </c>
      <c r="CM12" s="7" t="n">
        <f aca="false">SUM('Long Term Deals'!CM91:CM102)</f>
        <v>4230036.9717746</v>
      </c>
      <c r="CN12" s="7" t="n">
        <f aca="false">SUM('Long Term Deals'!CN91:CN102)</f>
        <v>1.9933954172302E-008</v>
      </c>
      <c r="CO12" s="7" t="n">
        <f aca="false">SUM('Long Term Deals'!CO91:CO102)</f>
        <v>0</v>
      </c>
      <c r="CP12" s="7" t="n">
        <f aca="false">SUM('Long Term Deals'!CP91:CP102)</f>
        <v>0</v>
      </c>
      <c r="CQ12" s="7" t="n">
        <f aca="false">SUM('Long Term Deals'!CQ91:CQ102)</f>
        <v>37993.7499999999</v>
      </c>
      <c r="CR12" s="7" t="n">
        <f aca="false">SUM('Long Term Deals'!CR91:CR102)</f>
        <v>351495.035347044</v>
      </c>
      <c r="CS12" s="7" t="n">
        <f aca="false">SUM('Long Term Deals'!CS91:CS102)</f>
        <v>0</v>
      </c>
      <c r="CT12" s="7" t="n">
        <f aca="false">SUM('Long Term Deals'!CT91:CT102)</f>
        <v>-2101536.96727711</v>
      </c>
      <c r="CU12" s="7" t="n">
        <f aca="false">SUM('Long Term Deals'!CU91:CU102)</f>
        <v>-260857.554887759</v>
      </c>
      <c r="CV12" s="76" t="n">
        <f aca="false">SUM('Long Term Deals'!CV91:CV102)</f>
        <v>6070716.38416393</v>
      </c>
      <c r="CW12" s="14" t="n">
        <f aca="false">AF12+AG12+AH12</f>
        <v>171781.526217558</v>
      </c>
      <c r="CX12" s="14" t="n">
        <f aca="false">B12+C12+D12+O12+P12+Q12+X12+Y12+BB12+BC12+BD12+BE12+BF12+BG12+BR12+BS12</f>
        <v>42104.6131633623</v>
      </c>
      <c r="CY12" s="14" t="n">
        <f aca="false">(CW12+CX12)*365</f>
        <v>78068440.874036</v>
      </c>
      <c r="CZ12" s="14" t="n">
        <f aca="false">SUM(BB12:BG12)</f>
        <v>17004.6131633623</v>
      </c>
      <c r="DA12" s="14" t="n">
        <f aca="false">B12+C12+D12+O12+P12+Q12+X12+Y12+BR12+BS12</f>
        <v>25100</v>
      </c>
      <c r="DC12" s="14" t="n">
        <f aca="false">CZ12+DA12+DB12-CX12</f>
        <v>0</v>
      </c>
    </row>
    <row r="13" customFormat="false" ht="12.75" hidden="false" customHeight="false" outlineLevel="0" collapsed="false">
      <c r="A13" s="75" t="n">
        <v>38729.9999999998</v>
      </c>
      <c r="O13" s="7" t="n">
        <f aca="false">('Long Term Deals'!O103*'Prices&amp;Fuel'!$H103+'Prices&amp;Fuel'!$H104*'Long Term Deals'!O104+'Long Term Deals'!O105*'Prices&amp;Fuel'!$H105+'Long Term Deals'!O106*'Prices&amp;Fuel'!$H106+'Long Term Deals'!O107*'Prices&amp;Fuel'!$H107+'Long Term Deals'!O108*'Prices&amp;Fuel'!$H108+'Long Term Deals'!O109*'Prices&amp;Fuel'!$H109+'Long Term Deals'!O110*'Prices&amp;Fuel'!$H110+'Long Term Deals'!O111*'Prices&amp;Fuel'!$H111+'Long Term Deals'!O112*'Prices&amp;Fuel'!$H112+'Long Term Deals'!O113*'Prices&amp;Fuel'!$H113+'Long Term Deals'!O114*'Prices&amp;Fuel'!$H114)/SUM('Prices&amp;Fuel'!$H103:$H114)</f>
        <v>9036</v>
      </c>
      <c r="P13" s="7" t="n">
        <f aca="false">('Long Term Deals'!P103*'Prices&amp;Fuel'!$H103+'Prices&amp;Fuel'!$H104*'Long Term Deals'!P104+'Long Term Deals'!P105*'Prices&amp;Fuel'!$H105+'Long Term Deals'!P106*'Prices&amp;Fuel'!$H106+'Long Term Deals'!P107*'Prices&amp;Fuel'!$H107+'Long Term Deals'!P108*'Prices&amp;Fuel'!$H108+'Long Term Deals'!P109*'Prices&amp;Fuel'!$H109+'Long Term Deals'!P110*'Prices&amp;Fuel'!$H110+'Long Term Deals'!P111*'Prices&amp;Fuel'!$H111+'Long Term Deals'!P112*'Prices&amp;Fuel'!$H112+'Long Term Deals'!P113*'Prices&amp;Fuel'!$H113+'Long Term Deals'!P114*'Prices&amp;Fuel'!$H114)/SUM('Prices&amp;Fuel'!$H103:$H114)</f>
        <v>10794</v>
      </c>
      <c r="Q13" s="7" t="n">
        <f aca="false">('Long Term Deals'!Q103*'Prices&amp;Fuel'!$H103+'Prices&amp;Fuel'!$H104*'Long Term Deals'!Q104+'Long Term Deals'!Q105*'Prices&amp;Fuel'!$H105+'Long Term Deals'!Q106*'Prices&amp;Fuel'!$H106+'Long Term Deals'!Q107*'Prices&amp;Fuel'!$H107+'Long Term Deals'!Q108*'Prices&amp;Fuel'!$H108+'Long Term Deals'!Q109*'Prices&amp;Fuel'!$H109+'Long Term Deals'!Q110*'Prices&amp;Fuel'!$H110+'Long Term Deals'!Q111*'Prices&amp;Fuel'!$H111+'Long Term Deals'!Q112*'Prices&amp;Fuel'!$H112+'Long Term Deals'!Q113*'Prices&amp;Fuel'!$H113+'Long Term Deals'!Q114*'Prices&amp;Fuel'!$H114)/SUM('Prices&amp;Fuel'!$H103:$H114)</f>
        <v>5270</v>
      </c>
      <c r="T13" s="7" t="n">
        <f aca="false">SUM('Long Term Deals'!T103:T114)</f>
        <v>29889170.36</v>
      </c>
      <c r="U13" s="7" t="n">
        <f aca="false">SUM('Long Term Deals'!U103:U114)</f>
        <v>29774182.24</v>
      </c>
      <c r="V13" s="14" t="n">
        <f aca="false">T13-U13</f>
        <v>114988.120000001</v>
      </c>
      <c r="AF13" s="7" t="n">
        <f aca="false">('Long Term Deals'!AF103*'Prices&amp;Fuel'!$H103+'Prices&amp;Fuel'!$H104*'Long Term Deals'!AF104+'Long Term Deals'!AF105*'Prices&amp;Fuel'!$H105+'Long Term Deals'!AF106*'Prices&amp;Fuel'!$H106+'Long Term Deals'!AF107*'Prices&amp;Fuel'!$H107+'Long Term Deals'!AF108*'Prices&amp;Fuel'!$H108+'Long Term Deals'!AF109*'Prices&amp;Fuel'!$H109+'Long Term Deals'!AF110*'Prices&amp;Fuel'!$H110+'Long Term Deals'!AF111*'Prices&amp;Fuel'!$H111+'Long Term Deals'!AF112*'Prices&amp;Fuel'!$H112+'Long Term Deals'!AF113*'Prices&amp;Fuel'!$H113+'Long Term Deals'!AF114*'Prices&amp;Fuel'!$H114)/SUM('Prices&amp;Fuel'!$H103:$H114)</f>
        <v>87921.9635877029</v>
      </c>
      <c r="AG13" s="7" t="n">
        <f aca="false">('Long Term Deals'!AG103*'Prices&amp;Fuel'!$H103+'Prices&amp;Fuel'!$H104*'Long Term Deals'!AG104+'Long Term Deals'!AG105*'Prices&amp;Fuel'!$H105+'Long Term Deals'!AG106*'Prices&amp;Fuel'!$H106+'Long Term Deals'!AG107*'Prices&amp;Fuel'!$H107+'Long Term Deals'!AG108*'Prices&amp;Fuel'!$H108+'Long Term Deals'!AG109*'Prices&amp;Fuel'!$H109+'Long Term Deals'!AG110*'Prices&amp;Fuel'!$H110+'Long Term Deals'!AG111*'Prices&amp;Fuel'!$H111+'Long Term Deals'!AG112*'Prices&amp;Fuel'!$H112+'Long Term Deals'!AG113*'Prices&amp;Fuel'!$H113+'Long Term Deals'!AG114*'Prices&amp;Fuel'!$H114)/SUM('Prices&amp;Fuel'!$H103:$H114)</f>
        <v>0</v>
      </c>
      <c r="AH13" s="7" t="n">
        <f aca="false">('Long Term Deals'!AH103*'Prices&amp;Fuel'!$H103+'Prices&amp;Fuel'!$H104*'Long Term Deals'!AH104+'Long Term Deals'!AH105*'Prices&amp;Fuel'!$H105+'Long Term Deals'!AH106*'Prices&amp;Fuel'!$H106+'Long Term Deals'!AH107*'Prices&amp;Fuel'!$H107+'Long Term Deals'!AH108*'Prices&amp;Fuel'!$H108+'Long Term Deals'!AH109*'Prices&amp;Fuel'!$H109+'Long Term Deals'!AH110*'Prices&amp;Fuel'!$H110+'Long Term Deals'!AH111*'Prices&amp;Fuel'!$H111+'Long Term Deals'!AH112*'Prices&amp;Fuel'!$H112+'Long Term Deals'!AH113*'Prices&amp;Fuel'!$H113+'Long Term Deals'!AH114*'Prices&amp;Fuel'!$H114)/SUM('Prices&amp;Fuel'!$H103:$H114)</f>
        <v>77120.822622108</v>
      </c>
      <c r="AI13" s="7" t="n">
        <f aca="false">('Long Term Deals'!AI103*'Prices&amp;Fuel'!$H103+'Prices&amp;Fuel'!$H104*'Long Term Deals'!AI104+'Long Term Deals'!AI105*'Prices&amp;Fuel'!$H105+'Long Term Deals'!AI106*'Prices&amp;Fuel'!$H106+'Long Term Deals'!AI107*'Prices&amp;Fuel'!$H107+'Long Term Deals'!AI108*'Prices&amp;Fuel'!$H108+'Long Term Deals'!AI109*'Prices&amp;Fuel'!$H109+'Long Term Deals'!AI110*'Prices&amp;Fuel'!$H110+'Long Term Deals'!AI111*'Prices&amp;Fuel'!$H111+'Long Term Deals'!AI112*'Prices&amp;Fuel'!$H112+'Long Term Deals'!AI113*'Prices&amp;Fuel'!$H113+'Long Term Deals'!AI114*'Prices&amp;Fuel'!$H114)/SUM('Prices&amp;Fuel'!$H103:$H114)</f>
        <v>0</v>
      </c>
      <c r="AJ13" s="7" t="n">
        <f aca="false">('Long Term Deals'!AJ103*'Prices&amp;Fuel'!$H103+'Prices&amp;Fuel'!$H104*'Long Term Deals'!AJ104+'Long Term Deals'!AJ105*'Prices&amp;Fuel'!$H105+'Long Term Deals'!AJ106*'Prices&amp;Fuel'!$H106+'Long Term Deals'!AJ107*'Prices&amp;Fuel'!$H107+'Long Term Deals'!AJ108*'Prices&amp;Fuel'!$H108+'Long Term Deals'!AJ109*'Prices&amp;Fuel'!$H109+'Long Term Deals'!AJ110*'Prices&amp;Fuel'!$H110+'Long Term Deals'!AJ111*'Prices&amp;Fuel'!$H111+'Long Term Deals'!AJ112*'Prices&amp;Fuel'!$H112+'Long Term Deals'!AJ113*'Prices&amp;Fuel'!$H113+'Long Term Deals'!AJ114*'Prices&amp;Fuel'!$H114)/SUM('Prices&amp;Fuel'!$H103:$H114)</f>
        <v>0</v>
      </c>
      <c r="AK13" s="7" t="n">
        <f aca="false">('Long Term Deals'!AK103*'Prices&amp;Fuel'!$H103+'Prices&amp;Fuel'!$H104*'Long Term Deals'!AK104+'Long Term Deals'!AK105*'Prices&amp;Fuel'!$H105+'Long Term Deals'!AK106*'Prices&amp;Fuel'!$H106+'Long Term Deals'!AK107*'Prices&amp;Fuel'!$H107+'Long Term Deals'!AK108*'Prices&amp;Fuel'!$H108+'Long Term Deals'!AK109*'Prices&amp;Fuel'!$H109+'Long Term Deals'!AK110*'Prices&amp;Fuel'!$H110+'Long Term Deals'!AK111*'Prices&amp;Fuel'!$H111+'Long Term Deals'!AK112*'Prices&amp;Fuel'!$H112+'Long Term Deals'!AK113*'Prices&amp;Fuel'!$H113+'Long Term Deals'!AK114*'Prices&amp;Fuel'!$H114)/SUM('Prices&amp;Fuel'!$H103:$H114)</f>
        <v>0</v>
      </c>
      <c r="AL13" s="7" t="n">
        <f aca="false">SUM(AI13:AK13)</f>
        <v>0</v>
      </c>
      <c r="AM13" s="7"/>
      <c r="AO13" s="7"/>
      <c r="AR13" s="7"/>
      <c r="AT13" s="14"/>
      <c r="AU13" s="14"/>
      <c r="AW13" s="68"/>
      <c r="AX13" s="68"/>
      <c r="AY13" s="7" t="n">
        <f aca="false">SUM('Long Term Deals'!AY103:AY114)</f>
        <v>223170460.710142</v>
      </c>
      <c r="AZ13" s="7" t="n">
        <f aca="false">SUM('Long Term Deals'!AZ103:AZ114)</f>
        <v>220256990.273124</v>
      </c>
      <c r="BA13" s="5" t="n">
        <f aca="false">AY13-AZ13</f>
        <v>2913470.43701798</v>
      </c>
      <c r="BB13" s="7" t="n">
        <f aca="false">('Long Term Deals'!BB103*'Prices&amp;Fuel'!$H103+'Prices&amp;Fuel'!$H104*'Long Term Deals'!BB104+'Long Term Deals'!BB105*'Prices&amp;Fuel'!$H105+'Long Term Deals'!BB106*'Prices&amp;Fuel'!$H106+'Long Term Deals'!BB107*'Prices&amp;Fuel'!$H107+'Long Term Deals'!BB108*'Prices&amp;Fuel'!$H108+'Long Term Deals'!BB109*'Prices&amp;Fuel'!$H109+'Long Term Deals'!BB110*'Prices&amp;Fuel'!$H110+'Long Term Deals'!BB111*'Prices&amp;Fuel'!$H111+'Long Term Deals'!BB112*'Prices&amp;Fuel'!$H112+'Long Term Deals'!BB113*'Prices&amp;Fuel'!$H113+'Long Term Deals'!BB114*'Prices&amp;Fuel'!$H114)/SUM('Prices&amp;Fuel'!$H103:$H114)</f>
        <v>6831.02299538684</v>
      </c>
      <c r="BC13" s="7" t="n">
        <f aca="false">('Long Term Deals'!BC103*'Prices&amp;Fuel'!$H103+'Prices&amp;Fuel'!$H104*'Long Term Deals'!BC104+'Long Term Deals'!BC105*'Prices&amp;Fuel'!$H105+'Long Term Deals'!BC106*'Prices&amp;Fuel'!$H106+'Long Term Deals'!BC107*'Prices&amp;Fuel'!$H107+'Long Term Deals'!BC108*'Prices&amp;Fuel'!$H108+'Long Term Deals'!BC109*'Prices&amp;Fuel'!$H109+'Long Term Deals'!BC110*'Prices&amp;Fuel'!$H110+'Long Term Deals'!BC111*'Prices&amp;Fuel'!$H111+'Long Term Deals'!BC112*'Prices&amp;Fuel'!$H112+'Long Term Deals'!BC113*'Prices&amp;Fuel'!$H113+'Long Term Deals'!BC114*'Prices&amp;Fuel'!$H114)/SUM('Prices&amp;Fuel'!$H103:$H114)</f>
        <v>0</v>
      </c>
      <c r="BD13" s="7" t="n">
        <f aca="false">('Long Term Deals'!BD103*'Prices&amp;Fuel'!$H103+'Prices&amp;Fuel'!$H104*'Long Term Deals'!BD104+'Long Term Deals'!BD105*'Prices&amp;Fuel'!$H105+'Long Term Deals'!BD106*'Prices&amp;Fuel'!$H106+'Long Term Deals'!BD107*'Prices&amp;Fuel'!$H107+'Long Term Deals'!BD108*'Prices&amp;Fuel'!$H108+'Long Term Deals'!BD109*'Prices&amp;Fuel'!$H109+'Long Term Deals'!BD110*'Prices&amp;Fuel'!$H110+'Long Term Deals'!BD111*'Prices&amp;Fuel'!$H111+'Long Term Deals'!BD112*'Prices&amp;Fuel'!$H112+'Long Term Deals'!BD113*'Prices&amp;Fuel'!$H113+'Long Term Deals'!BD114*'Prices&amp;Fuel'!$H114)/SUM('Prices&amp;Fuel'!$H103:$H114)</f>
        <v>3046.76127759967</v>
      </c>
      <c r="BE13" s="7" t="n">
        <f aca="false">('Long Term Deals'!BE103*'Prices&amp;Fuel'!$H103+'Prices&amp;Fuel'!$H104*'Long Term Deals'!BE104+'Long Term Deals'!BE105*'Prices&amp;Fuel'!$H105+'Long Term Deals'!BE106*'Prices&amp;Fuel'!$H106+'Long Term Deals'!BE107*'Prices&amp;Fuel'!$H107+'Long Term Deals'!BE108*'Prices&amp;Fuel'!$H108+'Long Term Deals'!BE109*'Prices&amp;Fuel'!$H109+'Long Term Deals'!BE110*'Prices&amp;Fuel'!$H110+'Long Term Deals'!BE111*'Prices&amp;Fuel'!$H111+'Long Term Deals'!BE112*'Prices&amp;Fuel'!$H112+'Long Term Deals'!BE113*'Prices&amp;Fuel'!$H113+'Long Term Deals'!BE114*'Prices&amp;Fuel'!$H114)/SUM('Prices&amp;Fuel'!$H103:$H114)</f>
        <v>2306.6746487305</v>
      </c>
      <c r="BF13" s="7" t="n">
        <f aca="false">('Long Term Deals'!BF103*'Prices&amp;Fuel'!$H103+'Prices&amp;Fuel'!$H104*'Long Term Deals'!BF104+'Long Term Deals'!BF105*'Prices&amp;Fuel'!$H105+'Long Term Deals'!BF106*'Prices&amp;Fuel'!$H106+'Long Term Deals'!BF107*'Prices&amp;Fuel'!$H107+'Long Term Deals'!BF108*'Prices&amp;Fuel'!$H108+'Long Term Deals'!BF109*'Prices&amp;Fuel'!$H109+'Long Term Deals'!BF110*'Prices&amp;Fuel'!$H110+'Long Term Deals'!BF111*'Prices&amp;Fuel'!$H111+'Long Term Deals'!BF112*'Prices&amp;Fuel'!$H112+'Long Term Deals'!BF113*'Prices&amp;Fuel'!$H113+'Long Term Deals'!BF114*'Prices&amp;Fuel'!$H114)/SUM('Prices&amp;Fuel'!$H103:$H114)</f>
        <v>3417.65679473184</v>
      </c>
      <c r="BG13" s="7" t="n">
        <f aca="false">('Long Term Deals'!BG103*'Prices&amp;Fuel'!$H103+'Prices&amp;Fuel'!$H104*'Long Term Deals'!BG104+'Long Term Deals'!BG105*'Prices&amp;Fuel'!$H105+'Long Term Deals'!BG106*'Prices&amp;Fuel'!$H106+'Long Term Deals'!BG107*'Prices&amp;Fuel'!$H107+'Long Term Deals'!BG108*'Prices&amp;Fuel'!$H108+'Long Term Deals'!BG109*'Prices&amp;Fuel'!$H109+'Long Term Deals'!BG110*'Prices&amp;Fuel'!$H110+'Long Term Deals'!BG111*'Prices&amp;Fuel'!$H111+'Long Term Deals'!BG112*'Prices&amp;Fuel'!$H112+'Long Term Deals'!BG113*'Prices&amp;Fuel'!$H113+'Long Term Deals'!BG114*'Prices&amp;Fuel'!$H114)/SUM('Prices&amp;Fuel'!$H103:$H114)</f>
        <v>1402.49744691341</v>
      </c>
      <c r="BH13" s="10"/>
      <c r="BI13" s="9"/>
      <c r="BJ13" s="9"/>
      <c r="BK13" s="10"/>
      <c r="BL13" s="7" t="n">
        <f aca="false">SUM('Long Term Deals'!BL103:BL114)</f>
        <v>27733517.1359107</v>
      </c>
      <c r="BM13" s="9"/>
      <c r="BN13" s="9"/>
      <c r="BP13" s="7" t="n">
        <f aca="false">SUM('Long Term Deals'!BP103:BP114)</f>
        <v>27264073.8420796</v>
      </c>
      <c r="BQ13" s="5" t="n">
        <f aca="false">BL13-BP13</f>
        <v>469443.293831151</v>
      </c>
      <c r="CA13" s="7" t="n">
        <f aca="false">SUM('Long Term Deals'!CA103:CA114)</f>
        <v>301203.084832905</v>
      </c>
      <c r="CB13" s="7" t="n">
        <f aca="false">SUM('Long Term Deals'!CB103:CB114)</f>
        <v>76840.9190231361</v>
      </c>
      <c r="CC13" s="7" t="n">
        <f aca="false">SUM('Long Term Deals'!CC103:CC114)</f>
        <v>280793148.206052</v>
      </c>
      <c r="CD13" s="7" t="n">
        <f aca="false">SUM('Long Term Deals'!CD103:CD114)</f>
        <v>277673290.359059</v>
      </c>
      <c r="CE13" s="7" t="n">
        <f aca="false">SUM('Long Term Deals'!CE103:CE114)</f>
        <v>3119857.84699308</v>
      </c>
      <c r="CF13" s="7" t="n">
        <f aca="false">SUM('Long Term Deals'!CF103:CF114)</f>
        <v>0</v>
      </c>
      <c r="CG13" s="7" t="n">
        <f aca="false">SUM('Long Term Deals'!CG103:CG114)</f>
        <v>0</v>
      </c>
      <c r="CH13" s="7" t="n">
        <f aca="false">SUM('Long Term Deals'!CH103:CH114)</f>
        <v>0</v>
      </c>
      <c r="CI13" s="7" t="n">
        <f aca="false">SUM('Long Term Deals'!CI103:CI114)</f>
        <v>0</v>
      </c>
      <c r="CJ13" s="7" t="n">
        <f aca="false">SUM('Long Term Deals'!CJ103:CJ114)</f>
        <v>280793148.206052</v>
      </c>
      <c r="CK13" s="7" t="n">
        <f aca="false">SUM('Long Term Deals'!CK103:CK114)</f>
        <v>277673290.359059</v>
      </c>
      <c r="CL13" s="7" t="n">
        <f aca="false">SUM('Long Term Deals'!CL103:CL114)</f>
        <v>3119857.84699308</v>
      </c>
      <c r="CM13" s="7" t="n">
        <f aca="false">SUM('Long Term Deals'!CM103:CM114)</f>
        <v>3119857.84699308</v>
      </c>
      <c r="CN13" s="7" t="n">
        <f aca="false">SUM('Long Term Deals'!CN103:CN114)</f>
        <v>1.9933954172302E-008</v>
      </c>
      <c r="CO13" s="7" t="n">
        <f aca="false">SUM('Long Term Deals'!CO103:CO114)</f>
        <v>0</v>
      </c>
      <c r="CP13" s="7" t="n">
        <f aca="false">SUM('Long Term Deals'!CP103:CP114)</f>
        <v>0</v>
      </c>
      <c r="CQ13" s="7" t="n">
        <f aca="false">SUM('Long Term Deals'!CQ103:CQ114)</f>
        <v>37993.7499999999</v>
      </c>
      <c r="CR13" s="7" t="n">
        <f aca="false">SUM('Long Term Deals'!CR103:CR114)</f>
        <v>339196.834832905</v>
      </c>
      <c r="CS13" s="7" t="n">
        <f aca="false">SUM('Long Term Deals'!CS103:CS114)</f>
        <v>0</v>
      </c>
      <c r="CT13" s="7" t="n">
        <f aca="false">SUM('Long Term Deals'!CT103:CT114)</f>
        <v>-2623366.96390575</v>
      </c>
      <c r="CU13" s="7" t="n">
        <f aca="false">SUM('Long Term Deals'!CU103:CU114)</f>
        <v>150742.151877194</v>
      </c>
      <c r="CV13" s="76" t="n">
        <f aca="false">SUM('Long Term Deals'!CV103:CV114)</f>
        <v>5893966.962776</v>
      </c>
      <c r="CW13" s="14" t="n">
        <f aca="false">AF13+AG13+AH13</f>
        <v>165042.786209811</v>
      </c>
      <c r="CX13" s="14" t="n">
        <f aca="false">B13+C13+D13+O13+P13+Q13+X13+Y13+BB13+BC13+BD13+BE13+BF13+BG13+BR13+BS13</f>
        <v>42104.6131633623</v>
      </c>
      <c r="CY13" s="14" t="n">
        <f aca="false">(CW13+CX13)*365</f>
        <v>75608800.7712082</v>
      </c>
      <c r="CZ13" s="14" t="n">
        <f aca="false">SUM(BB13:BG13)</f>
        <v>17004.6131633623</v>
      </c>
      <c r="DA13" s="14" t="n">
        <f aca="false">B13+C13+D13+O13+P13+Q13+X13+Y13+BR13+BS13</f>
        <v>25100</v>
      </c>
    </row>
    <row r="14" customFormat="false" ht="12.75" hidden="false" customHeight="false" outlineLevel="0" collapsed="false">
      <c r="A14" s="75" t="n">
        <v>39094.9999999997</v>
      </c>
      <c r="O14" s="7" t="n">
        <f aca="false">('Long Term Deals'!O115*'Prices&amp;Fuel'!$H115+'Prices&amp;Fuel'!$H116*'Long Term Deals'!O116+'Long Term Deals'!O117*'Prices&amp;Fuel'!$H117+'Long Term Deals'!O118*'Prices&amp;Fuel'!$H118+'Long Term Deals'!O119*'Prices&amp;Fuel'!$H119+'Long Term Deals'!O120*'Prices&amp;Fuel'!$H120+'Long Term Deals'!O121*'Prices&amp;Fuel'!$H121+'Long Term Deals'!O122*'Prices&amp;Fuel'!$H122+'Long Term Deals'!O123*'Prices&amp;Fuel'!$H123+'Long Term Deals'!O124*'Prices&amp;Fuel'!$H124+'Long Term Deals'!O125*'Prices&amp;Fuel'!$H125+'Long Term Deals'!O126*'Prices&amp;Fuel'!$H126)/SUM('Prices&amp;Fuel'!$H115:$H126)</f>
        <v>9036</v>
      </c>
      <c r="P14" s="7" t="n">
        <f aca="false">('Long Term Deals'!P115*'Prices&amp;Fuel'!$H115+'Prices&amp;Fuel'!$H116*'Long Term Deals'!P116+'Long Term Deals'!P117*'Prices&amp;Fuel'!$H117+'Long Term Deals'!P118*'Prices&amp;Fuel'!$H118+'Long Term Deals'!P119*'Prices&amp;Fuel'!$H119+'Long Term Deals'!P120*'Prices&amp;Fuel'!$H120+'Long Term Deals'!P121*'Prices&amp;Fuel'!$H121+'Long Term Deals'!P122*'Prices&amp;Fuel'!$H122+'Long Term Deals'!P123*'Prices&amp;Fuel'!$H123+'Long Term Deals'!P124*'Prices&amp;Fuel'!$H124+'Long Term Deals'!P125*'Prices&amp;Fuel'!$H125+'Long Term Deals'!P126*'Prices&amp;Fuel'!$H126)/SUM('Prices&amp;Fuel'!$H115:$H126)</f>
        <v>10794</v>
      </c>
      <c r="Q14" s="7" t="n">
        <f aca="false">('Long Term Deals'!Q115*'Prices&amp;Fuel'!$H115+'Prices&amp;Fuel'!$H116*'Long Term Deals'!Q116+'Long Term Deals'!Q117*'Prices&amp;Fuel'!$H117+'Long Term Deals'!Q118*'Prices&amp;Fuel'!$H118+'Long Term Deals'!Q119*'Prices&amp;Fuel'!$H119+'Long Term Deals'!Q120*'Prices&amp;Fuel'!$H120+'Long Term Deals'!Q121*'Prices&amp;Fuel'!$H121+'Long Term Deals'!Q122*'Prices&amp;Fuel'!$H122+'Long Term Deals'!Q123*'Prices&amp;Fuel'!$H123+'Long Term Deals'!Q124*'Prices&amp;Fuel'!$H124+'Long Term Deals'!Q125*'Prices&amp;Fuel'!$H125+'Long Term Deals'!Q126*'Prices&amp;Fuel'!$H126)/SUM('Prices&amp;Fuel'!$H115:$H126)</f>
        <v>5270</v>
      </c>
      <c r="T14" s="7" t="n">
        <f aca="false">SUM('Long Term Deals'!T115:T126)</f>
        <v>31084941.89</v>
      </c>
      <c r="U14" s="7" t="n">
        <f aca="false">SUM('Long Term Deals'!U115:U126)</f>
        <v>30967667.16</v>
      </c>
      <c r="V14" s="14" t="n">
        <f aca="false">T14-U14</f>
        <v>117274.729999997</v>
      </c>
      <c r="AF14" s="7" t="n">
        <f aca="false">('Long Term Deals'!AF115*'Prices&amp;Fuel'!$H115+'Prices&amp;Fuel'!$H116*'Long Term Deals'!AF116+'Long Term Deals'!AF117*'Prices&amp;Fuel'!$H117+'Long Term Deals'!AF118*'Prices&amp;Fuel'!$H118+'Long Term Deals'!AF119*'Prices&amp;Fuel'!$H119+'Long Term Deals'!AF120*'Prices&amp;Fuel'!$H120+'Long Term Deals'!AF121*'Prices&amp;Fuel'!$H121+'Long Term Deals'!AF122*'Prices&amp;Fuel'!$H122+'Long Term Deals'!AF123*'Prices&amp;Fuel'!$H123+'Long Term Deals'!AF124*'Prices&amp;Fuel'!$H124+'Long Term Deals'!AF125*'Prices&amp;Fuel'!$H125+'Long Term Deals'!AF126*'Prices&amp;Fuel'!$H126)/SUM('Prices&amp;Fuel'!$H115:$H126)</f>
        <v>87921.9635877029</v>
      </c>
      <c r="AG14" s="7" t="n">
        <f aca="false">('Long Term Deals'!AG115*'Prices&amp;Fuel'!$H115+'Prices&amp;Fuel'!$H116*'Long Term Deals'!AG116+'Long Term Deals'!AG117*'Prices&amp;Fuel'!$H117+'Long Term Deals'!AG118*'Prices&amp;Fuel'!$H118+'Long Term Deals'!AG119*'Prices&amp;Fuel'!$H119+'Long Term Deals'!AG120*'Prices&amp;Fuel'!$H120+'Long Term Deals'!AG121*'Prices&amp;Fuel'!$H121+'Long Term Deals'!AG122*'Prices&amp;Fuel'!$H122+'Long Term Deals'!AG123*'Prices&amp;Fuel'!$H123+'Long Term Deals'!AG124*'Prices&amp;Fuel'!$H124+'Long Term Deals'!AG125*'Prices&amp;Fuel'!$H125+'Long Term Deals'!AG126*'Prices&amp;Fuel'!$H126)/SUM('Prices&amp;Fuel'!$H115:$H126)</f>
        <v>0</v>
      </c>
      <c r="AH14" s="7" t="n">
        <f aca="false">('Long Term Deals'!AH115*'Prices&amp;Fuel'!$H115+'Prices&amp;Fuel'!$H116*'Long Term Deals'!AH116+'Long Term Deals'!AH117*'Prices&amp;Fuel'!$H117+'Long Term Deals'!AH118*'Prices&amp;Fuel'!$H118+'Long Term Deals'!AH119*'Prices&amp;Fuel'!$H119+'Long Term Deals'!AH120*'Prices&amp;Fuel'!$H120+'Long Term Deals'!AH121*'Prices&amp;Fuel'!$H121+'Long Term Deals'!AH122*'Prices&amp;Fuel'!$H122+'Long Term Deals'!AH123*'Prices&amp;Fuel'!$H123+'Long Term Deals'!AH124*'Prices&amp;Fuel'!$H124+'Long Term Deals'!AH125*'Prices&amp;Fuel'!$H125+'Long Term Deals'!AH126*'Prices&amp;Fuel'!$H126)/SUM('Prices&amp;Fuel'!$H115:$H126)</f>
        <v>77120.822622108</v>
      </c>
      <c r="AI14" s="7" t="n">
        <f aca="false">('Long Term Deals'!AI115*'Prices&amp;Fuel'!$H115+'Prices&amp;Fuel'!$H116*'Long Term Deals'!AI116+'Long Term Deals'!AI117*'Prices&amp;Fuel'!$H117+'Long Term Deals'!AI118*'Prices&amp;Fuel'!$H118+'Long Term Deals'!AI119*'Prices&amp;Fuel'!$H119+'Long Term Deals'!AI120*'Prices&amp;Fuel'!$H120+'Long Term Deals'!AI121*'Prices&amp;Fuel'!$H121+'Long Term Deals'!AI122*'Prices&amp;Fuel'!$H122+'Long Term Deals'!AI123*'Prices&amp;Fuel'!$H123+'Long Term Deals'!AI124*'Prices&amp;Fuel'!$H124+'Long Term Deals'!AI125*'Prices&amp;Fuel'!$H125+'Long Term Deals'!AI126*'Prices&amp;Fuel'!$H126)/SUM('Prices&amp;Fuel'!$H115:$H126)</f>
        <v>0</v>
      </c>
      <c r="AJ14" s="7" t="n">
        <f aca="false">('Long Term Deals'!AJ115*'Prices&amp;Fuel'!$H115+'Prices&amp;Fuel'!$H116*'Long Term Deals'!AJ116+'Long Term Deals'!AJ117*'Prices&amp;Fuel'!$H117+'Long Term Deals'!AJ118*'Prices&amp;Fuel'!$H118+'Long Term Deals'!AJ119*'Prices&amp;Fuel'!$H119+'Long Term Deals'!AJ120*'Prices&amp;Fuel'!$H120+'Long Term Deals'!AJ121*'Prices&amp;Fuel'!$H121+'Long Term Deals'!AJ122*'Prices&amp;Fuel'!$H122+'Long Term Deals'!AJ123*'Prices&amp;Fuel'!$H123+'Long Term Deals'!AJ124*'Prices&amp;Fuel'!$H124+'Long Term Deals'!AJ125*'Prices&amp;Fuel'!$H125+'Long Term Deals'!AJ126*'Prices&amp;Fuel'!$H126)/SUM('Prices&amp;Fuel'!$H115:$H126)</f>
        <v>0</v>
      </c>
      <c r="AK14" s="7" t="n">
        <f aca="false">('Long Term Deals'!AK115*'Prices&amp;Fuel'!$H115+'Prices&amp;Fuel'!$H116*'Long Term Deals'!AK116+'Long Term Deals'!AK117*'Prices&amp;Fuel'!$H117+'Long Term Deals'!AK118*'Prices&amp;Fuel'!$H118+'Long Term Deals'!AK119*'Prices&amp;Fuel'!$H119+'Long Term Deals'!AK120*'Prices&amp;Fuel'!$H120+'Long Term Deals'!AK121*'Prices&amp;Fuel'!$H121+'Long Term Deals'!AK122*'Prices&amp;Fuel'!$H122+'Long Term Deals'!AK123*'Prices&amp;Fuel'!$H123+'Long Term Deals'!AK124*'Prices&amp;Fuel'!$H124+'Long Term Deals'!AK125*'Prices&amp;Fuel'!$H125+'Long Term Deals'!AK126*'Prices&amp;Fuel'!$H126)/SUM('Prices&amp;Fuel'!$H115:$H126)</f>
        <v>0</v>
      </c>
      <c r="AL14" s="7" t="n">
        <f aca="false">SUM(AI14:AK14)</f>
        <v>0</v>
      </c>
      <c r="AM14" s="7"/>
      <c r="AO14" s="7"/>
      <c r="AR14" s="7"/>
      <c r="AT14" s="14"/>
      <c r="AU14" s="14"/>
      <c r="AW14" s="68"/>
      <c r="AX14" s="68"/>
      <c r="AY14" s="7" t="n">
        <f aca="false">SUM('Long Term Deals'!AY115:AY126)</f>
        <v>224788893.74912</v>
      </c>
      <c r="AZ14" s="7" t="n">
        <f aca="false">SUM('Long Term Deals'!AZ115:AZ126)</f>
        <v>222477829.481768</v>
      </c>
      <c r="BA14" s="5" t="n">
        <f aca="false">AY14-AZ14</f>
        <v>2311064.26735216</v>
      </c>
      <c r="BB14" s="7" t="n">
        <f aca="false">('Long Term Deals'!BB115*'Prices&amp;Fuel'!$H115+'Prices&amp;Fuel'!$H116*'Long Term Deals'!BB116+'Long Term Deals'!BB117*'Prices&amp;Fuel'!$H117+'Long Term Deals'!BB118*'Prices&amp;Fuel'!$H118+'Long Term Deals'!BB119*'Prices&amp;Fuel'!$H119+'Long Term Deals'!BB120*'Prices&amp;Fuel'!$H120+'Long Term Deals'!BB121*'Prices&amp;Fuel'!$H121+'Long Term Deals'!BB122*'Prices&amp;Fuel'!$H122+'Long Term Deals'!BB123*'Prices&amp;Fuel'!$H123+'Long Term Deals'!BB124*'Prices&amp;Fuel'!$H124+'Long Term Deals'!BB125*'Prices&amp;Fuel'!$H125+'Long Term Deals'!BB126*'Prices&amp;Fuel'!$H126)/SUM('Prices&amp;Fuel'!$H115:$H126)</f>
        <v>6831.02299538684</v>
      </c>
      <c r="BC14" s="7" t="n">
        <f aca="false">('Long Term Deals'!BC115*'Prices&amp;Fuel'!$H115+'Prices&amp;Fuel'!$H116*'Long Term Deals'!BC116+'Long Term Deals'!BC117*'Prices&amp;Fuel'!$H117+'Long Term Deals'!BC118*'Prices&amp;Fuel'!$H118+'Long Term Deals'!BC119*'Prices&amp;Fuel'!$H119+'Long Term Deals'!BC120*'Prices&amp;Fuel'!$H120+'Long Term Deals'!BC121*'Prices&amp;Fuel'!$H121+'Long Term Deals'!BC122*'Prices&amp;Fuel'!$H122+'Long Term Deals'!BC123*'Prices&amp;Fuel'!$H123+'Long Term Deals'!BC124*'Prices&amp;Fuel'!$H124+'Long Term Deals'!BC125*'Prices&amp;Fuel'!$H125+'Long Term Deals'!BC126*'Prices&amp;Fuel'!$H126)/SUM('Prices&amp;Fuel'!$H115:$H126)</f>
        <v>0</v>
      </c>
      <c r="BD14" s="7" t="n">
        <f aca="false">('Long Term Deals'!BD115*'Prices&amp;Fuel'!$H115+'Prices&amp;Fuel'!$H116*'Long Term Deals'!BD116+'Long Term Deals'!BD117*'Prices&amp;Fuel'!$H117+'Long Term Deals'!BD118*'Prices&amp;Fuel'!$H118+'Long Term Deals'!BD119*'Prices&amp;Fuel'!$H119+'Long Term Deals'!BD120*'Prices&amp;Fuel'!$H120+'Long Term Deals'!BD121*'Prices&amp;Fuel'!$H121+'Long Term Deals'!BD122*'Prices&amp;Fuel'!$H122+'Long Term Deals'!BD123*'Prices&amp;Fuel'!$H123+'Long Term Deals'!BD124*'Prices&amp;Fuel'!$H124+'Long Term Deals'!BD125*'Prices&amp;Fuel'!$H125+'Long Term Deals'!BD126*'Prices&amp;Fuel'!$H126)/SUM('Prices&amp;Fuel'!$H115:$H126)</f>
        <v>3046.76127759967</v>
      </c>
      <c r="BE14" s="7" t="n">
        <f aca="false">('Long Term Deals'!BE115*'Prices&amp;Fuel'!$H115+'Prices&amp;Fuel'!$H116*'Long Term Deals'!BE116+'Long Term Deals'!BE117*'Prices&amp;Fuel'!$H117+'Long Term Deals'!BE118*'Prices&amp;Fuel'!$H118+'Long Term Deals'!BE119*'Prices&amp;Fuel'!$H119+'Long Term Deals'!BE120*'Prices&amp;Fuel'!$H120+'Long Term Deals'!BE121*'Prices&amp;Fuel'!$H121+'Long Term Deals'!BE122*'Prices&amp;Fuel'!$H122+'Long Term Deals'!BE123*'Prices&amp;Fuel'!$H123+'Long Term Deals'!BE124*'Prices&amp;Fuel'!$H124+'Long Term Deals'!BE125*'Prices&amp;Fuel'!$H125+'Long Term Deals'!BE126*'Prices&amp;Fuel'!$H126)/SUM('Prices&amp;Fuel'!$H115:$H126)</f>
        <v>2306.6746487305</v>
      </c>
      <c r="BF14" s="7" t="n">
        <f aca="false">('Long Term Deals'!BF115*'Prices&amp;Fuel'!$H115+'Prices&amp;Fuel'!$H116*'Long Term Deals'!BF116+'Long Term Deals'!BF117*'Prices&amp;Fuel'!$H117+'Long Term Deals'!BF118*'Prices&amp;Fuel'!$H118+'Long Term Deals'!BF119*'Prices&amp;Fuel'!$H119+'Long Term Deals'!BF120*'Prices&amp;Fuel'!$H120+'Long Term Deals'!BF121*'Prices&amp;Fuel'!$H121+'Long Term Deals'!BF122*'Prices&amp;Fuel'!$H122+'Long Term Deals'!BF123*'Prices&amp;Fuel'!$H123+'Long Term Deals'!BF124*'Prices&amp;Fuel'!$H124+'Long Term Deals'!BF125*'Prices&amp;Fuel'!$H125+'Long Term Deals'!BF126*'Prices&amp;Fuel'!$H126)/SUM('Prices&amp;Fuel'!$H115:$H126)</f>
        <v>3417.65679473184</v>
      </c>
      <c r="BG14" s="7" t="n">
        <f aca="false">('Long Term Deals'!BG115*'Prices&amp;Fuel'!$H115+'Prices&amp;Fuel'!$H116*'Long Term Deals'!BG116+'Long Term Deals'!BG117*'Prices&amp;Fuel'!$H117+'Long Term Deals'!BG118*'Prices&amp;Fuel'!$H118+'Long Term Deals'!BG119*'Prices&amp;Fuel'!$H119+'Long Term Deals'!BG120*'Prices&amp;Fuel'!$H120+'Long Term Deals'!BG121*'Prices&amp;Fuel'!$H121+'Long Term Deals'!BG122*'Prices&amp;Fuel'!$H122+'Long Term Deals'!BG123*'Prices&amp;Fuel'!$H123+'Long Term Deals'!BG124*'Prices&amp;Fuel'!$H124+'Long Term Deals'!BG125*'Prices&amp;Fuel'!$H125+'Long Term Deals'!BG126*'Prices&amp;Fuel'!$H126)/SUM('Prices&amp;Fuel'!$H115:$H126)</f>
        <v>1402.49744691341</v>
      </c>
      <c r="BH14" s="10"/>
      <c r="BI14" s="10"/>
      <c r="BJ14" s="10"/>
      <c r="BK14" s="10"/>
      <c r="BL14" s="7" t="n">
        <f aca="false">SUM('Long Term Deals'!BL115:BL126)</f>
        <v>27969301.7401233</v>
      </c>
      <c r="BM14" s="9"/>
      <c r="BN14" s="9"/>
      <c r="BP14" s="7" t="n">
        <f aca="false">SUM('Long Term Deals'!BP115:BP126)</f>
        <v>27499858.4462921</v>
      </c>
      <c r="BQ14" s="5" t="n">
        <f aca="false">BL14-BP14</f>
        <v>469443.293831158</v>
      </c>
      <c r="CA14" s="7" t="n">
        <f aca="false">SUM('Long Term Deals'!CA115:CA126)</f>
        <v>301203.084832905</v>
      </c>
      <c r="CB14" s="7" t="n">
        <f aca="false">SUM('Long Term Deals'!CB115:CB126)</f>
        <v>76840.9190231361</v>
      </c>
      <c r="CC14" s="7" t="n">
        <f aca="false">SUM('Long Term Deals'!CC115:CC126)</f>
        <v>283843137.379243</v>
      </c>
      <c r="CD14" s="7" t="n">
        <f aca="false">SUM('Long Term Deals'!CD115:CD126)</f>
        <v>281323399.091916</v>
      </c>
      <c r="CE14" s="7" t="n">
        <f aca="false">SUM('Long Term Deals'!CE115:CE126)</f>
        <v>2519738.28732728</v>
      </c>
      <c r="CF14" s="7" t="n">
        <f aca="false">SUM('Long Term Deals'!CF115:CF126)</f>
        <v>0</v>
      </c>
      <c r="CG14" s="7" t="n">
        <f aca="false">SUM('Long Term Deals'!CG115:CG126)</f>
        <v>0</v>
      </c>
      <c r="CH14" s="7" t="n">
        <f aca="false">SUM('Long Term Deals'!CH115:CH126)</f>
        <v>0</v>
      </c>
      <c r="CI14" s="7" t="n">
        <f aca="false">SUM('Long Term Deals'!CI115:CI126)</f>
        <v>0</v>
      </c>
      <c r="CJ14" s="7" t="n">
        <f aca="false">SUM('Long Term Deals'!CJ115:CJ126)</f>
        <v>283843137.379243</v>
      </c>
      <c r="CK14" s="7" t="n">
        <f aca="false">SUM('Long Term Deals'!CK115:CK126)</f>
        <v>281323399.091916</v>
      </c>
      <c r="CL14" s="7" t="n">
        <f aca="false">SUM('Long Term Deals'!CL115:CL126)</f>
        <v>2519738.28732728</v>
      </c>
      <c r="CM14" s="7" t="n">
        <f aca="false">SUM('Long Term Deals'!CM115:CM126)</f>
        <v>2519738.28732728</v>
      </c>
      <c r="CN14" s="7" t="n">
        <f aca="false">SUM('Long Term Deals'!CN115:CN126)</f>
        <v>1.9933954172302E-008</v>
      </c>
      <c r="CO14" s="7" t="n">
        <f aca="false">SUM('Long Term Deals'!CO115:CO126)</f>
        <v>0</v>
      </c>
      <c r="CP14" s="7" t="n">
        <f aca="false">SUM('Long Term Deals'!CP115:CP126)</f>
        <v>0</v>
      </c>
      <c r="CQ14" s="7" t="n">
        <f aca="false">SUM('Long Term Deals'!CQ115:CQ126)</f>
        <v>37993.7499999999</v>
      </c>
      <c r="CR14" s="7" t="n">
        <f aca="false">SUM('Long Term Deals'!CR115:CR126)</f>
        <v>339196.834832905</v>
      </c>
      <c r="CS14" s="7" t="n">
        <f aca="false">SUM('Long Term Deals'!CS115:CS126)</f>
        <v>0</v>
      </c>
      <c r="CT14" s="7" t="n">
        <f aca="false">SUM('Long Term Deals'!CT115:CT126)</f>
        <v>-3227637.20629874</v>
      </c>
      <c r="CU14" s="7" t="n">
        <f aca="false">SUM('Long Term Deals'!CU115:CU126)</f>
        <v>150742.151877194</v>
      </c>
      <c r="CV14" s="76" t="n">
        <f aca="false">SUM('Long Term Deals'!CV115:CV126)</f>
        <v>5898117.6455032</v>
      </c>
      <c r="CW14" s="14" t="n">
        <f aca="false">AF14+AG14+AH14</f>
        <v>165042.786209811</v>
      </c>
      <c r="CX14" s="14" t="n">
        <f aca="false">B14+C14+D14+O14+P14+Q14+X14+Y14+BB14+BC14+BD14+BE14+BF14+BG14+BR14+BS14</f>
        <v>42104.6131633623</v>
      </c>
      <c r="CY14" s="14" t="n">
        <f aca="false">(CW14+CX14)*365</f>
        <v>75608800.7712082</v>
      </c>
      <c r="CZ14" s="14" t="n">
        <f aca="false">SUM(BB14:BG14)</f>
        <v>17004.6131633623</v>
      </c>
      <c r="DA14" s="14" t="n">
        <f aca="false">B14+C14+D14+O14+P14+Q14+X14+Y14+BR14+BS14</f>
        <v>25100</v>
      </c>
    </row>
    <row r="15" customFormat="false" ht="12.75" hidden="false" customHeight="false" outlineLevel="0" collapsed="false">
      <c r="A15" s="75" t="n">
        <v>39459.9999999997</v>
      </c>
      <c r="O15" s="7" t="n">
        <f aca="false">('Long Term Deals'!O127*'Prices&amp;Fuel'!$H127+'Prices&amp;Fuel'!$H128*'Long Term Deals'!O128+'Long Term Deals'!O129*'Prices&amp;Fuel'!$H129+'Long Term Deals'!O130*'Prices&amp;Fuel'!$H130+'Long Term Deals'!O131*'Prices&amp;Fuel'!$H131+'Long Term Deals'!O132*'Prices&amp;Fuel'!$H132+'Long Term Deals'!O133*'Prices&amp;Fuel'!$H133+'Long Term Deals'!O134*'Prices&amp;Fuel'!$H134+'Long Term Deals'!O135*'Prices&amp;Fuel'!$H135+'Long Term Deals'!O136*'Prices&amp;Fuel'!$H136+'Long Term Deals'!O137*'Prices&amp;Fuel'!$H137+'Long Term Deals'!O138*'Prices&amp;Fuel'!$H138)/SUM('Prices&amp;Fuel'!$H127:$H138)</f>
        <v>9036</v>
      </c>
      <c r="P15" s="7" t="n">
        <f aca="false">('Long Term Deals'!P127*'Prices&amp;Fuel'!$H127+'Prices&amp;Fuel'!$H128*'Long Term Deals'!P128+'Long Term Deals'!P129*'Prices&amp;Fuel'!$H129+'Long Term Deals'!P130*'Prices&amp;Fuel'!$H130+'Long Term Deals'!P131*'Prices&amp;Fuel'!$H131+'Long Term Deals'!P132*'Prices&amp;Fuel'!$H132+'Long Term Deals'!P133*'Prices&amp;Fuel'!$H133+'Long Term Deals'!P134*'Prices&amp;Fuel'!$H134+'Long Term Deals'!P135*'Prices&amp;Fuel'!$H135+'Long Term Deals'!P136*'Prices&amp;Fuel'!$H136+'Long Term Deals'!P137*'Prices&amp;Fuel'!$H137+'Long Term Deals'!P138*'Prices&amp;Fuel'!$H138)/SUM('Prices&amp;Fuel'!$H127:$H138)</f>
        <v>10794</v>
      </c>
      <c r="Q15" s="7" t="n">
        <f aca="false">('Long Term Deals'!Q127*'Prices&amp;Fuel'!$H127+'Prices&amp;Fuel'!$H128*'Long Term Deals'!Q128+'Long Term Deals'!Q129*'Prices&amp;Fuel'!$H129+'Long Term Deals'!Q130*'Prices&amp;Fuel'!$H130+'Long Term Deals'!Q131*'Prices&amp;Fuel'!$H131+'Long Term Deals'!Q132*'Prices&amp;Fuel'!$H132+'Long Term Deals'!Q133*'Prices&amp;Fuel'!$H133+'Long Term Deals'!Q134*'Prices&amp;Fuel'!$H134+'Long Term Deals'!Q135*'Prices&amp;Fuel'!$H135+'Long Term Deals'!Q136*'Prices&amp;Fuel'!$H136+'Long Term Deals'!Q137*'Prices&amp;Fuel'!$H137+'Long Term Deals'!Q138*'Prices&amp;Fuel'!$H138)/SUM('Prices&amp;Fuel'!$H127:$H138)</f>
        <v>5270</v>
      </c>
      <c r="T15" s="7" t="n">
        <f aca="false">SUM('Long Term Deals'!T127:T138)</f>
        <v>32415174.12</v>
      </c>
      <c r="U15" s="7" t="n">
        <f aca="false">SUM('Long Term Deals'!U127:U138)</f>
        <v>32295281.46</v>
      </c>
      <c r="V15" s="14" t="n">
        <f aca="false">T15-U15</f>
        <v>119892.66</v>
      </c>
      <c r="AF15" s="7" t="n">
        <f aca="false">('Long Term Deals'!AF127*'Prices&amp;Fuel'!$H127+'Prices&amp;Fuel'!$H128*'Long Term Deals'!AF128+'Long Term Deals'!AF129*'Prices&amp;Fuel'!$H129+'Long Term Deals'!AF130*'Prices&amp;Fuel'!$H130+'Long Term Deals'!AF131*'Prices&amp;Fuel'!$H131+'Long Term Deals'!AF132*'Prices&amp;Fuel'!$H132+'Long Term Deals'!AF133*'Prices&amp;Fuel'!$H133+'Long Term Deals'!AF134*'Prices&amp;Fuel'!$H134+'Long Term Deals'!AF135*'Prices&amp;Fuel'!$H135+'Long Term Deals'!AF136*'Prices&amp;Fuel'!$H136+'Long Term Deals'!AF137*'Prices&amp;Fuel'!$H137+'Long Term Deals'!AF138*'Prices&amp;Fuel'!$H138)/SUM('Prices&amp;Fuel'!$H127:$H138)</f>
        <v>87841.8812423617</v>
      </c>
      <c r="AG15" s="7" t="n">
        <f aca="false">('Long Term Deals'!AG127*'Prices&amp;Fuel'!$H127+'Prices&amp;Fuel'!$H128*'Long Term Deals'!AG128+'Long Term Deals'!AG129*'Prices&amp;Fuel'!$H129+'Long Term Deals'!AG130*'Prices&amp;Fuel'!$H130+'Long Term Deals'!AG131*'Prices&amp;Fuel'!$H131+'Long Term Deals'!AG132*'Prices&amp;Fuel'!$H132+'Long Term Deals'!AG133*'Prices&amp;Fuel'!$H133+'Long Term Deals'!AG134*'Prices&amp;Fuel'!$H134+'Long Term Deals'!AG135*'Prices&amp;Fuel'!$H135+'Long Term Deals'!AG136*'Prices&amp;Fuel'!$H136+'Long Term Deals'!AG137*'Prices&amp;Fuel'!$H137+'Long Term Deals'!AG138*'Prices&amp;Fuel'!$H138)/SUM('Prices&amp;Fuel'!$H127:$H138)</f>
        <v>0</v>
      </c>
      <c r="AH15" s="7" t="n">
        <f aca="false">('Long Term Deals'!AH127*'Prices&amp;Fuel'!$H127+'Prices&amp;Fuel'!$H128*'Long Term Deals'!AH128+'Long Term Deals'!AH129*'Prices&amp;Fuel'!$H129+'Long Term Deals'!AH130*'Prices&amp;Fuel'!$H130+'Long Term Deals'!AH131*'Prices&amp;Fuel'!$H131+'Long Term Deals'!AH132*'Prices&amp;Fuel'!$H132+'Long Term Deals'!AH133*'Prices&amp;Fuel'!$H133+'Long Term Deals'!AH134*'Prices&amp;Fuel'!$H134+'Long Term Deals'!AH135*'Prices&amp;Fuel'!$H135+'Long Term Deals'!AH136*'Prices&amp;Fuel'!$H136+'Long Term Deals'!AH137*'Prices&amp;Fuel'!$H137+'Long Term Deals'!AH138*'Prices&amp;Fuel'!$H138)/SUM('Prices&amp;Fuel'!$H127:$H138)</f>
        <v>77120.822622108</v>
      </c>
      <c r="AI15" s="7" t="n">
        <f aca="false">('Long Term Deals'!AI127*'Prices&amp;Fuel'!$H127+'Prices&amp;Fuel'!$H128*'Long Term Deals'!AI128+'Long Term Deals'!AI129*'Prices&amp;Fuel'!$H129+'Long Term Deals'!AI130*'Prices&amp;Fuel'!$H130+'Long Term Deals'!AI131*'Prices&amp;Fuel'!$H131+'Long Term Deals'!AI132*'Prices&amp;Fuel'!$H132+'Long Term Deals'!AI133*'Prices&amp;Fuel'!$H133+'Long Term Deals'!AI134*'Prices&amp;Fuel'!$H134+'Long Term Deals'!AI135*'Prices&amp;Fuel'!$H135+'Long Term Deals'!AI136*'Prices&amp;Fuel'!$H136+'Long Term Deals'!AI137*'Prices&amp;Fuel'!$H137+'Long Term Deals'!AI138*'Prices&amp;Fuel'!$H138)/SUM('Prices&amp;Fuel'!$H127:$H138)</f>
        <v>0</v>
      </c>
      <c r="AJ15" s="7" t="n">
        <f aca="false">('Long Term Deals'!AJ127*'Prices&amp;Fuel'!$H127+'Prices&amp;Fuel'!$H128*'Long Term Deals'!AJ128+'Long Term Deals'!AJ129*'Prices&amp;Fuel'!$H129+'Long Term Deals'!AJ130*'Prices&amp;Fuel'!$H130+'Long Term Deals'!AJ131*'Prices&amp;Fuel'!$H131+'Long Term Deals'!AJ132*'Prices&amp;Fuel'!$H132+'Long Term Deals'!AJ133*'Prices&amp;Fuel'!$H133+'Long Term Deals'!AJ134*'Prices&amp;Fuel'!$H134+'Long Term Deals'!AJ135*'Prices&amp;Fuel'!$H135+'Long Term Deals'!AJ136*'Prices&amp;Fuel'!$H136+'Long Term Deals'!AJ137*'Prices&amp;Fuel'!$H137+'Long Term Deals'!AJ138*'Prices&amp;Fuel'!$H138)/SUM('Prices&amp;Fuel'!$H127:$H138)</f>
        <v>0</v>
      </c>
      <c r="AK15" s="7" t="n">
        <f aca="false">('Long Term Deals'!AK127*'Prices&amp;Fuel'!$H127+'Prices&amp;Fuel'!$H128*'Long Term Deals'!AK128+'Long Term Deals'!AK129*'Prices&amp;Fuel'!$H129+'Long Term Deals'!AK130*'Prices&amp;Fuel'!$H130+'Long Term Deals'!AK131*'Prices&amp;Fuel'!$H131+'Long Term Deals'!AK132*'Prices&amp;Fuel'!$H132+'Long Term Deals'!AK133*'Prices&amp;Fuel'!$H133+'Long Term Deals'!AK134*'Prices&amp;Fuel'!$H134+'Long Term Deals'!AK135*'Prices&amp;Fuel'!$H135+'Long Term Deals'!AK136*'Prices&amp;Fuel'!$H136+'Long Term Deals'!AK137*'Prices&amp;Fuel'!$H137+'Long Term Deals'!AK138*'Prices&amp;Fuel'!$H138)/SUM('Prices&amp;Fuel'!$H127:$H138)</f>
        <v>0</v>
      </c>
      <c r="AL15" s="7" t="n">
        <f aca="false">SUM(AI15:AK15)</f>
        <v>0</v>
      </c>
      <c r="AM15" s="7"/>
      <c r="AO15" s="7"/>
      <c r="AR15" s="7"/>
      <c r="AT15" s="14"/>
      <c r="AU15" s="14"/>
      <c r="AW15" s="68"/>
      <c r="AX15" s="68"/>
      <c r="AY15" s="7" t="n">
        <f aca="false">SUM('Long Term Deals'!AY127:AY138)</f>
        <v>226796061.119612</v>
      </c>
      <c r="AZ15" s="7" t="n">
        <f aca="false">SUM('Long Term Deals'!AZ127:AZ138)</f>
        <v>224479104.821411</v>
      </c>
      <c r="BA15" s="5" t="n">
        <f aca="false">AY15-AZ15</f>
        <v>2316956.29820052</v>
      </c>
      <c r="BB15" s="7" t="n">
        <f aca="false">('Long Term Deals'!BB127*'Prices&amp;Fuel'!$H127+'Prices&amp;Fuel'!$H128*'Long Term Deals'!BB128+'Long Term Deals'!BB129*'Prices&amp;Fuel'!$H129+'Long Term Deals'!BB130*'Prices&amp;Fuel'!$H130+'Long Term Deals'!BB131*'Prices&amp;Fuel'!$H131+'Long Term Deals'!BB132*'Prices&amp;Fuel'!$H132+'Long Term Deals'!BB133*'Prices&amp;Fuel'!$H133+'Long Term Deals'!BB134*'Prices&amp;Fuel'!$H134+'Long Term Deals'!BB135*'Prices&amp;Fuel'!$H135+'Long Term Deals'!BB136*'Prices&amp;Fuel'!$H136+'Long Term Deals'!BB137*'Prices&amp;Fuel'!$H137+'Long Term Deals'!BB138*'Prices&amp;Fuel'!$H138)/SUM('Prices&amp;Fuel'!$H127:$H138)</f>
        <v>6824.17857193027</v>
      </c>
      <c r="BC15" s="7" t="n">
        <f aca="false">('Long Term Deals'!BC127*'Prices&amp;Fuel'!$H127+'Prices&amp;Fuel'!$H128*'Long Term Deals'!BC128+'Long Term Deals'!BC129*'Prices&amp;Fuel'!$H129+'Long Term Deals'!BC130*'Prices&amp;Fuel'!$H130+'Long Term Deals'!BC131*'Prices&amp;Fuel'!$H131+'Long Term Deals'!BC132*'Prices&amp;Fuel'!$H132+'Long Term Deals'!BC133*'Prices&amp;Fuel'!$H133+'Long Term Deals'!BC134*'Prices&amp;Fuel'!$H134+'Long Term Deals'!BC135*'Prices&amp;Fuel'!$H135+'Long Term Deals'!BC136*'Prices&amp;Fuel'!$H136+'Long Term Deals'!BC137*'Prices&amp;Fuel'!$H137+'Long Term Deals'!BC138*'Prices&amp;Fuel'!$H138)/SUM('Prices&amp;Fuel'!$H127:$H138)</f>
        <v>0</v>
      </c>
      <c r="BD15" s="7" t="n">
        <f aca="false">('Long Term Deals'!BD127*'Prices&amp;Fuel'!$H127+'Prices&amp;Fuel'!$H128*'Long Term Deals'!BD128+'Long Term Deals'!BD129*'Prices&amp;Fuel'!$H129+'Long Term Deals'!BD130*'Prices&amp;Fuel'!$H130+'Long Term Deals'!BD131*'Prices&amp;Fuel'!$H131+'Long Term Deals'!BD132*'Prices&amp;Fuel'!$H132+'Long Term Deals'!BD133*'Prices&amp;Fuel'!$H133+'Long Term Deals'!BD134*'Prices&amp;Fuel'!$H134+'Long Term Deals'!BD135*'Prices&amp;Fuel'!$H135+'Long Term Deals'!BD136*'Prices&amp;Fuel'!$H136+'Long Term Deals'!BD137*'Prices&amp;Fuel'!$H137+'Long Term Deals'!BD138*'Prices&amp;Fuel'!$H138)/SUM('Prices&amp;Fuel'!$H127:$H138)</f>
        <v>3038.43679323465</v>
      </c>
      <c r="BE15" s="7" t="n">
        <f aca="false">('Long Term Deals'!BE127*'Prices&amp;Fuel'!$H127+'Prices&amp;Fuel'!$H128*'Long Term Deals'!BE128+'Long Term Deals'!BE129*'Prices&amp;Fuel'!$H129+'Long Term Deals'!BE130*'Prices&amp;Fuel'!$H130+'Long Term Deals'!BE131*'Prices&amp;Fuel'!$H131+'Long Term Deals'!BE132*'Prices&amp;Fuel'!$H132+'Long Term Deals'!BE133*'Prices&amp;Fuel'!$H133+'Long Term Deals'!BE134*'Prices&amp;Fuel'!$H134+'Long Term Deals'!BE135*'Prices&amp;Fuel'!$H135+'Long Term Deals'!BE136*'Prices&amp;Fuel'!$H136+'Long Term Deals'!BE137*'Prices&amp;Fuel'!$H137+'Long Term Deals'!BE138*'Prices&amp;Fuel'!$H138)/SUM('Prices&amp;Fuel'!$H127:$H138)</f>
        <v>2307.57301192634</v>
      </c>
      <c r="BF15" s="7" t="n">
        <f aca="false">('Long Term Deals'!BF127*'Prices&amp;Fuel'!$H127+'Prices&amp;Fuel'!$H128*'Long Term Deals'!BF128+'Long Term Deals'!BF129*'Prices&amp;Fuel'!$H129+'Long Term Deals'!BF130*'Prices&amp;Fuel'!$H130+'Long Term Deals'!BF131*'Prices&amp;Fuel'!$H131+'Long Term Deals'!BF132*'Prices&amp;Fuel'!$H132+'Long Term Deals'!BF133*'Prices&amp;Fuel'!$H133+'Long Term Deals'!BF134*'Prices&amp;Fuel'!$H134+'Long Term Deals'!BF135*'Prices&amp;Fuel'!$H135+'Long Term Deals'!BF136*'Prices&amp;Fuel'!$H136+'Long Term Deals'!BF137*'Prices&amp;Fuel'!$H137+'Long Term Deals'!BF138*'Prices&amp;Fuel'!$H138)/SUM('Prices&amp;Fuel'!$H127:$H138)</f>
        <v>3418.27861828705</v>
      </c>
      <c r="BG15" s="7" t="n">
        <f aca="false">('Long Term Deals'!BG127*'Prices&amp;Fuel'!$H127+'Prices&amp;Fuel'!$H128*'Long Term Deals'!BG128+'Long Term Deals'!BG129*'Prices&amp;Fuel'!$H129+'Long Term Deals'!BG130*'Prices&amp;Fuel'!$H130+'Long Term Deals'!BG131*'Prices&amp;Fuel'!$H131+'Long Term Deals'!BG132*'Prices&amp;Fuel'!$H132+'Long Term Deals'!BG133*'Prices&amp;Fuel'!$H133+'Long Term Deals'!BG134*'Prices&amp;Fuel'!$H134+'Long Term Deals'!BG135*'Prices&amp;Fuel'!$H135+'Long Term Deals'!BG136*'Prices&amp;Fuel'!$H136+'Long Term Deals'!BG137*'Prices&amp;Fuel'!$H137+'Long Term Deals'!BG138*'Prices&amp;Fuel'!$H138)/SUM('Prices&amp;Fuel'!$H127:$H138)</f>
        <v>1403.39949709919</v>
      </c>
      <c r="BH15" s="10"/>
      <c r="BI15" s="10"/>
      <c r="BJ15" s="10"/>
      <c r="BK15" s="10"/>
      <c r="BL15" s="7" t="n">
        <f aca="false">SUM('Long Term Deals'!BL127:BL138)</f>
        <v>28248974.8013706</v>
      </c>
      <c r="BM15" s="9"/>
      <c r="BN15" s="9"/>
      <c r="BP15" s="7" t="n">
        <f aca="false">SUM('Long Term Deals'!BP127:BP138)</f>
        <v>27775009.582729</v>
      </c>
      <c r="BQ15" s="5" t="n">
        <f aca="false">BL15-BP15</f>
        <v>473965.218641657</v>
      </c>
      <c r="CA15" s="7" t="n">
        <f aca="false">SUM('Long Term Deals'!CA127:CA138)</f>
        <v>301881.748071979</v>
      </c>
      <c r="CB15" s="7" t="n">
        <f aca="false">SUM('Long Term Deals'!CB127:CB138)</f>
        <v>77028.1156812338</v>
      </c>
      <c r="CC15" s="7" t="n">
        <f aca="false">SUM('Long Term Deals'!CC127:CC138)</f>
        <v>287460210.040983</v>
      </c>
      <c r="CD15" s="7" t="n">
        <f aca="false">SUM('Long Term Deals'!CD127:CD138)</f>
        <v>284928305.727894</v>
      </c>
      <c r="CE15" s="7" t="n">
        <f aca="false">SUM('Long Term Deals'!CE127:CE138)</f>
        <v>2531904.31308893</v>
      </c>
      <c r="CF15" s="7" t="n">
        <f aca="false">SUM('Long Term Deals'!CF127:CF138)</f>
        <v>0</v>
      </c>
      <c r="CG15" s="7" t="n">
        <f aca="false">SUM('Long Term Deals'!CG127:CG138)</f>
        <v>0</v>
      </c>
      <c r="CH15" s="7" t="n">
        <f aca="false">SUM('Long Term Deals'!CH127:CH138)</f>
        <v>0</v>
      </c>
      <c r="CI15" s="7" t="n">
        <f aca="false">SUM('Long Term Deals'!CI127:CI138)</f>
        <v>0</v>
      </c>
      <c r="CJ15" s="7" t="n">
        <f aca="false">SUM('Long Term Deals'!CJ127:CJ138)</f>
        <v>287460210.040983</v>
      </c>
      <c r="CK15" s="7" t="n">
        <f aca="false">SUM('Long Term Deals'!CK127:CK138)</f>
        <v>284928305.727894</v>
      </c>
      <c r="CL15" s="7" t="n">
        <f aca="false">SUM('Long Term Deals'!CL127:CL138)</f>
        <v>2531904.31308893</v>
      </c>
      <c r="CM15" s="7" t="n">
        <f aca="false">SUM('Long Term Deals'!CM127:CM138)</f>
        <v>2531904.31308893</v>
      </c>
      <c r="CN15" s="7" t="n">
        <f aca="false">SUM('Long Term Deals'!CN127:CN138)</f>
        <v>1.9933954172302E-008</v>
      </c>
      <c r="CO15" s="7" t="n">
        <f aca="false">SUM('Long Term Deals'!CO127:CO138)</f>
        <v>0</v>
      </c>
      <c r="CP15" s="7" t="n">
        <f aca="false">SUM('Long Term Deals'!CP127:CP138)</f>
        <v>0</v>
      </c>
      <c r="CQ15" s="7" t="n">
        <f aca="false">SUM('Long Term Deals'!CQ127:CQ138)</f>
        <v>38086.4999999999</v>
      </c>
      <c r="CR15" s="7" t="n">
        <f aca="false">SUM('Long Term Deals'!CR127:CR138)</f>
        <v>339968.248071979</v>
      </c>
      <c r="CS15" s="7" t="n">
        <f aca="false">SUM('Long Term Deals'!CS127:CS138)</f>
        <v>0</v>
      </c>
      <c r="CT15" s="7" t="n">
        <f aca="false">SUM('Long Term Deals'!CT127:CT138)</f>
        <v>-3840541.40648271</v>
      </c>
      <c r="CU15" s="7" t="n">
        <f aca="false">SUM('Long Term Deals'!CU127:CU138)</f>
        <v>-452681.695829517</v>
      </c>
      <c r="CV15" s="76" t="n">
        <f aca="false">SUM('Long Term Deals'!CV127:CV138)</f>
        <v>5919764.02374211</v>
      </c>
      <c r="CW15" s="14" t="n">
        <f aca="false">AF15+AG15+AH15</f>
        <v>164962.70386447</v>
      </c>
      <c r="CX15" s="14" t="n">
        <f aca="false">B15+C15+D15+O15+P15+Q15+X15+Y15+BB15+BC15+BD15+BE15+BF15+BG15+BR15+BS15</f>
        <v>42091.8664924775</v>
      </c>
      <c r="CY15" s="14" t="n">
        <f aca="false">(CW15+CX15)*365</f>
        <v>75574918.1802857</v>
      </c>
      <c r="CZ15" s="14" t="n">
        <f aca="false">SUM(BB15:BG15)</f>
        <v>16991.8664924775</v>
      </c>
      <c r="DA15" s="14" t="n">
        <f aca="false">B15+C15+D15+O15+P15+Q15+X15+Y15+BR15+BS15</f>
        <v>25100</v>
      </c>
    </row>
    <row r="16" customFormat="false" ht="12.75" hidden="false" customHeight="false" outlineLevel="0" collapsed="false">
      <c r="A16" s="75" t="n">
        <v>39824.9999999997</v>
      </c>
      <c r="O16" s="7" t="n">
        <f aca="false">('Long Term Deals'!O139*'Prices&amp;Fuel'!$H139+'Prices&amp;Fuel'!$H140*'Long Term Deals'!O140+'Long Term Deals'!O141*'Prices&amp;Fuel'!$H141+'Long Term Deals'!O142*'Prices&amp;Fuel'!$H142+'Long Term Deals'!O143*'Prices&amp;Fuel'!$H143+'Long Term Deals'!O144*'Prices&amp;Fuel'!$H144+'Long Term Deals'!O145*'Prices&amp;Fuel'!$H145+'Long Term Deals'!O146*'Prices&amp;Fuel'!$H146+'Long Term Deals'!O147*'Prices&amp;Fuel'!$H147+'Long Term Deals'!O148*'Prices&amp;Fuel'!$H148+'Long Term Deals'!O149*'Prices&amp;Fuel'!$H149+'Long Term Deals'!O150*'Prices&amp;Fuel'!$H150)/SUM('Prices&amp;Fuel'!$H139:$H150)</f>
        <v>9036</v>
      </c>
      <c r="P16" s="7" t="n">
        <f aca="false">('Long Term Deals'!P139*'Prices&amp;Fuel'!$H139+'Prices&amp;Fuel'!$H140*'Long Term Deals'!P140+'Long Term Deals'!P141*'Prices&amp;Fuel'!$H141+'Long Term Deals'!P142*'Prices&amp;Fuel'!$H142+'Long Term Deals'!P143*'Prices&amp;Fuel'!$H143+'Long Term Deals'!P144*'Prices&amp;Fuel'!$H144+'Long Term Deals'!P145*'Prices&amp;Fuel'!$H145+'Long Term Deals'!P146*'Prices&amp;Fuel'!$H146+'Long Term Deals'!P147*'Prices&amp;Fuel'!$H147+'Long Term Deals'!P148*'Prices&amp;Fuel'!$H148+'Long Term Deals'!P149*'Prices&amp;Fuel'!$H149+'Long Term Deals'!P150*'Prices&amp;Fuel'!$H150)/SUM('Prices&amp;Fuel'!$H139:$H150)</f>
        <v>10794</v>
      </c>
      <c r="Q16" s="7" t="n">
        <f aca="false">('Long Term Deals'!Q139*'Prices&amp;Fuel'!$H139+'Prices&amp;Fuel'!$H140*'Long Term Deals'!Q140+'Long Term Deals'!Q141*'Prices&amp;Fuel'!$H141+'Long Term Deals'!Q142*'Prices&amp;Fuel'!$H142+'Long Term Deals'!Q143*'Prices&amp;Fuel'!$H143+'Long Term Deals'!Q144*'Prices&amp;Fuel'!$H144+'Long Term Deals'!Q145*'Prices&amp;Fuel'!$H145+'Long Term Deals'!Q146*'Prices&amp;Fuel'!$H146+'Long Term Deals'!Q147*'Prices&amp;Fuel'!$H147+'Long Term Deals'!Q148*'Prices&amp;Fuel'!$H148+'Long Term Deals'!Q149*'Prices&amp;Fuel'!$H149+'Long Term Deals'!Q150*'Prices&amp;Fuel'!$H150)/SUM('Prices&amp;Fuel'!$H139:$H150)</f>
        <v>5270</v>
      </c>
      <c r="T16" s="7" t="n">
        <f aca="false">SUM('Long Term Deals'!T139:T150)</f>
        <v>33621251.71</v>
      </c>
      <c r="U16" s="7" t="n">
        <f aca="false">SUM('Long Term Deals'!U139:U150)</f>
        <v>33498934.39</v>
      </c>
      <c r="V16" s="14" t="n">
        <f aca="false">T16-U16</f>
        <v>122317.32</v>
      </c>
      <c r="AF16" s="7" t="n">
        <f aca="false">('Long Term Deals'!AF139*'Prices&amp;Fuel'!$H139+'Prices&amp;Fuel'!$H140*'Long Term Deals'!AF140+'Long Term Deals'!AF141*'Prices&amp;Fuel'!$H141+'Long Term Deals'!AF142*'Prices&amp;Fuel'!$H142+'Long Term Deals'!AF143*'Prices&amp;Fuel'!$H143+'Long Term Deals'!AF144*'Prices&amp;Fuel'!$H144+'Long Term Deals'!AF145*'Prices&amp;Fuel'!$H145+'Long Term Deals'!AF146*'Prices&amp;Fuel'!$H146+'Long Term Deals'!AF147*'Prices&amp;Fuel'!$H147+'Long Term Deals'!AF148*'Prices&amp;Fuel'!$H148+'Long Term Deals'!AF149*'Prices&amp;Fuel'!$H149+'Long Term Deals'!AF150*'Prices&amp;Fuel'!$H150)/SUM('Prices&amp;Fuel'!$H139:$H150)</f>
        <v>87921.9635877029</v>
      </c>
      <c r="AG16" s="7" t="n">
        <f aca="false">('Long Term Deals'!AG139*'Prices&amp;Fuel'!$H139+'Prices&amp;Fuel'!$H140*'Long Term Deals'!AG140+'Long Term Deals'!AG141*'Prices&amp;Fuel'!$H141+'Long Term Deals'!AG142*'Prices&amp;Fuel'!$H142+'Long Term Deals'!AG143*'Prices&amp;Fuel'!$H143+'Long Term Deals'!AG144*'Prices&amp;Fuel'!$H144+'Long Term Deals'!AG145*'Prices&amp;Fuel'!$H145+'Long Term Deals'!AG146*'Prices&amp;Fuel'!$H146+'Long Term Deals'!AG147*'Prices&amp;Fuel'!$H147+'Long Term Deals'!AG148*'Prices&amp;Fuel'!$H148+'Long Term Deals'!AG149*'Prices&amp;Fuel'!$H149+'Long Term Deals'!AG150*'Prices&amp;Fuel'!$H150)/SUM('Prices&amp;Fuel'!$H139:$H150)</f>
        <v>0</v>
      </c>
      <c r="AH16" s="7" t="n">
        <f aca="false">('Long Term Deals'!AH139*'Prices&amp;Fuel'!$H139+'Prices&amp;Fuel'!$H140*'Long Term Deals'!AH140+'Long Term Deals'!AH141*'Prices&amp;Fuel'!$H141+'Long Term Deals'!AH142*'Prices&amp;Fuel'!$H142+'Long Term Deals'!AH143*'Prices&amp;Fuel'!$H143+'Long Term Deals'!AH144*'Prices&amp;Fuel'!$H144+'Long Term Deals'!AH145*'Prices&amp;Fuel'!$H145+'Long Term Deals'!AH146*'Prices&amp;Fuel'!$H146+'Long Term Deals'!AH147*'Prices&amp;Fuel'!$H147+'Long Term Deals'!AH148*'Prices&amp;Fuel'!$H148+'Long Term Deals'!AH149*'Prices&amp;Fuel'!$H149+'Long Term Deals'!AH150*'Prices&amp;Fuel'!$H150)/SUM('Prices&amp;Fuel'!$H139:$H150)</f>
        <v>77120.822622108</v>
      </c>
      <c r="AI16" s="7" t="n">
        <f aca="false">('Long Term Deals'!AI139*'Prices&amp;Fuel'!$H139+'Prices&amp;Fuel'!$H140*'Long Term Deals'!AI140+'Long Term Deals'!AI141*'Prices&amp;Fuel'!$H141+'Long Term Deals'!AI142*'Prices&amp;Fuel'!$H142+'Long Term Deals'!AI143*'Prices&amp;Fuel'!$H143+'Long Term Deals'!AI144*'Prices&amp;Fuel'!$H144+'Long Term Deals'!AI145*'Prices&amp;Fuel'!$H145+'Long Term Deals'!AI146*'Prices&amp;Fuel'!$H146+'Long Term Deals'!AI147*'Prices&amp;Fuel'!$H147+'Long Term Deals'!AI148*'Prices&amp;Fuel'!$H148+'Long Term Deals'!AI149*'Prices&amp;Fuel'!$H149+'Long Term Deals'!AI150*'Prices&amp;Fuel'!$H150)/SUM('Prices&amp;Fuel'!$H139:$H150)</f>
        <v>0</v>
      </c>
      <c r="AJ16" s="7" t="n">
        <f aca="false">('Long Term Deals'!AJ139*'Prices&amp;Fuel'!$H139+'Prices&amp;Fuel'!$H140*'Long Term Deals'!AJ140+'Long Term Deals'!AJ141*'Prices&amp;Fuel'!$H141+'Long Term Deals'!AJ142*'Prices&amp;Fuel'!$H142+'Long Term Deals'!AJ143*'Prices&amp;Fuel'!$H143+'Long Term Deals'!AJ144*'Prices&amp;Fuel'!$H144+'Long Term Deals'!AJ145*'Prices&amp;Fuel'!$H145+'Long Term Deals'!AJ146*'Prices&amp;Fuel'!$H146+'Long Term Deals'!AJ147*'Prices&amp;Fuel'!$H147+'Long Term Deals'!AJ148*'Prices&amp;Fuel'!$H148+'Long Term Deals'!AJ149*'Prices&amp;Fuel'!$H149+'Long Term Deals'!AJ150*'Prices&amp;Fuel'!$H150)/SUM('Prices&amp;Fuel'!$H139:$H150)</f>
        <v>0</v>
      </c>
      <c r="AK16" s="7" t="n">
        <f aca="false">('Long Term Deals'!AK139*'Prices&amp;Fuel'!$H139+'Prices&amp;Fuel'!$H140*'Long Term Deals'!AK140+'Long Term Deals'!AK141*'Prices&amp;Fuel'!$H141+'Long Term Deals'!AK142*'Prices&amp;Fuel'!$H142+'Long Term Deals'!AK143*'Prices&amp;Fuel'!$H143+'Long Term Deals'!AK144*'Prices&amp;Fuel'!$H144+'Long Term Deals'!AK145*'Prices&amp;Fuel'!$H145+'Long Term Deals'!AK146*'Prices&amp;Fuel'!$H146+'Long Term Deals'!AK147*'Prices&amp;Fuel'!$H147+'Long Term Deals'!AK148*'Prices&amp;Fuel'!$H148+'Long Term Deals'!AK149*'Prices&amp;Fuel'!$H149+'Long Term Deals'!AK150*'Prices&amp;Fuel'!$H150)/SUM('Prices&amp;Fuel'!$H139:$H150)</f>
        <v>0</v>
      </c>
      <c r="AL16" s="7" t="n">
        <f aca="false">SUM(AI16:AK16)</f>
        <v>0</v>
      </c>
      <c r="AM16" s="7"/>
      <c r="AO16" s="7"/>
      <c r="AR16" s="7"/>
      <c r="AT16" s="14"/>
      <c r="AU16" s="14"/>
      <c r="AW16" s="68"/>
      <c r="AX16" s="68"/>
      <c r="AY16" s="7" t="n">
        <f aca="false">SUM('Long Term Deals'!AY139:AY150)</f>
        <v>228092607.087256</v>
      </c>
      <c r="AZ16" s="7" t="n">
        <f aca="false">SUM('Long Term Deals'!AZ139:AZ150)</f>
        <v>226383948.98957</v>
      </c>
      <c r="BA16" s="5" t="n">
        <f aca="false">AY16-AZ16</f>
        <v>1708658.09768638</v>
      </c>
      <c r="BB16" s="7" t="n">
        <f aca="false">('Long Term Deals'!BB139*'Prices&amp;Fuel'!$H139+'Prices&amp;Fuel'!$H140*'Long Term Deals'!BB140+'Long Term Deals'!BB141*'Prices&amp;Fuel'!$H141+'Long Term Deals'!BB142*'Prices&amp;Fuel'!$H142+'Long Term Deals'!BB143*'Prices&amp;Fuel'!$H143+'Long Term Deals'!BB144*'Prices&amp;Fuel'!$H144+'Long Term Deals'!BB145*'Prices&amp;Fuel'!$H145+'Long Term Deals'!BB146*'Prices&amp;Fuel'!$H146+'Long Term Deals'!BB147*'Prices&amp;Fuel'!$H147+'Long Term Deals'!BB148*'Prices&amp;Fuel'!$H148+'Long Term Deals'!BB149*'Prices&amp;Fuel'!$H149+'Long Term Deals'!BB150*'Prices&amp;Fuel'!$H150)/SUM('Prices&amp;Fuel'!$H139:$H150)</f>
        <v>6831.02299538684</v>
      </c>
      <c r="BC16" s="7" t="n">
        <f aca="false">('Long Term Deals'!BC139*'Prices&amp;Fuel'!$H139+'Prices&amp;Fuel'!$H140*'Long Term Deals'!BC140+'Long Term Deals'!BC141*'Prices&amp;Fuel'!$H141+'Long Term Deals'!BC142*'Prices&amp;Fuel'!$H142+'Long Term Deals'!BC143*'Prices&amp;Fuel'!$H143+'Long Term Deals'!BC144*'Prices&amp;Fuel'!$H144+'Long Term Deals'!BC145*'Prices&amp;Fuel'!$H145+'Long Term Deals'!BC146*'Prices&amp;Fuel'!$H146+'Long Term Deals'!BC147*'Prices&amp;Fuel'!$H147+'Long Term Deals'!BC148*'Prices&amp;Fuel'!$H148+'Long Term Deals'!BC149*'Prices&amp;Fuel'!$H149+'Long Term Deals'!BC150*'Prices&amp;Fuel'!$H150)/SUM('Prices&amp;Fuel'!$H139:$H150)</f>
        <v>0</v>
      </c>
      <c r="BD16" s="7" t="n">
        <f aca="false">('Long Term Deals'!BD139*'Prices&amp;Fuel'!$H139+'Prices&amp;Fuel'!$H140*'Long Term Deals'!BD140+'Long Term Deals'!BD141*'Prices&amp;Fuel'!$H141+'Long Term Deals'!BD142*'Prices&amp;Fuel'!$H142+'Long Term Deals'!BD143*'Prices&amp;Fuel'!$H143+'Long Term Deals'!BD144*'Prices&amp;Fuel'!$H144+'Long Term Deals'!BD145*'Prices&amp;Fuel'!$H145+'Long Term Deals'!BD146*'Prices&amp;Fuel'!$H146+'Long Term Deals'!BD147*'Prices&amp;Fuel'!$H147+'Long Term Deals'!BD148*'Prices&amp;Fuel'!$H148+'Long Term Deals'!BD149*'Prices&amp;Fuel'!$H149+'Long Term Deals'!BD150*'Prices&amp;Fuel'!$H150)/SUM('Prices&amp;Fuel'!$H139:$H150)</f>
        <v>3046.76127759967</v>
      </c>
      <c r="BE16" s="7" t="n">
        <f aca="false">('Long Term Deals'!BE139*'Prices&amp;Fuel'!$H139+'Prices&amp;Fuel'!$H140*'Long Term Deals'!BE140+'Long Term Deals'!BE141*'Prices&amp;Fuel'!$H141+'Long Term Deals'!BE142*'Prices&amp;Fuel'!$H142+'Long Term Deals'!BE143*'Prices&amp;Fuel'!$H143+'Long Term Deals'!BE144*'Prices&amp;Fuel'!$H144+'Long Term Deals'!BE145*'Prices&amp;Fuel'!$H145+'Long Term Deals'!BE146*'Prices&amp;Fuel'!$H146+'Long Term Deals'!BE147*'Prices&amp;Fuel'!$H147+'Long Term Deals'!BE148*'Prices&amp;Fuel'!$H148+'Long Term Deals'!BE149*'Prices&amp;Fuel'!$H149+'Long Term Deals'!BE150*'Prices&amp;Fuel'!$H150)/SUM('Prices&amp;Fuel'!$H139:$H150)</f>
        <v>2306.6746487305</v>
      </c>
      <c r="BF16" s="7" t="n">
        <f aca="false">('Long Term Deals'!BF139*'Prices&amp;Fuel'!$H139+'Prices&amp;Fuel'!$H140*'Long Term Deals'!BF140+'Long Term Deals'!BF141*'Prices&amp;Fuel'!$H141+'Long Term Deals'!BF142*'Prices&amp;Fuel'!$H142+'Long Term Deals'!BF143*'Prices&amp;Fuel'!$H143+'Long Term Deals'!BF144*'Prices&amp;Fuel'!$H144+'Long Term Deals'!BF145*'Prices&amp;Fuel'!$H145+'Long Term Deals'!BF146*'Prices&amp;Fuel'!$H146+'Long Term Deals'!BF147*'Prices&amp;Fuel'!$H147+'Long Term Deals'!BF148*'Prices&amp;Fuel'!$H148+'Long Term Deals'!BF149*'Prices&amp;Fuel'!$H149+'Long Term Deals'!BF150*'Prices&amp;Fuel'!$H150)/SUM('Prices&amp;Fuel'!$H139:$H150)</f>
        <v>3417.65679473184</v>
      </c>
      <c r="BG16" s="7" t="n">
        <f aca="false">('Long Term Deals'!BG139*'Prices&amp;Fuel'!$H139+'Prices&amp;Fuel'!$H140*'Long Term Deals'!BG140+'Long Term Deals'!BG141*'Prices&amp;Fuel'!$H141+'Long Term Deals'!BG142*'Prices&amp;Fuel'!$H142+'Long Term Deals'!BG143*'Prices&amp;Fuel'!$H143+'Long Term Deals'!BG144*'Prices&amp;Fuel'!$H144+'Long Term Deals'!BG145*'Prices&amp;Fuel'!$H145+'Long Term Deals'!BG146*'Prices&amp;Fuel'!$H146+'Long Term Deals'!BG147*'Prices&amp;Fuel'!$H147+'Long Term Deals'!BG148*'Prices&amp;Fuel'!$H148+'Long Term Deals'!BG149*'Prices&amp;Fuel'!$H149+'Long Term Deals'!BG150*'Prices&amp;Fuel'!$H150)/SUM('Prices&amp;Fuel'!$H139:$H150)</f>
        <v>1402.49744691341</v>
      </c>
      <c r="BH16" s="10"/>
      <c r="BI16" s="10"/>
      <c r="BJ16" s="10"/>
      <c r="BK16" s="10"/>
      <c r="BL16" s="7" t="n">
        <f aca="false">SUM('Long Term Deals'!BL139:BL150)</f>
        <v>28447968.0651352</v>
      </c>
      <c r="BM16" s="9"/>
      <c r="BN16" s="9"/>
      <c r="BP16" s="7" t="n">
        <f aca="false">SUM('Long Term Deals'!BP139:BP150)</f>
        <v>27978524.7713041</v>
      </c>
      <c r="BQ16" s="5" t="n">
        <f aca="false">BL16-BP16</f>
        <v>469443.293831151</v>
      </c>
      <c r="CA16" s="7" t="n">
        <f aca="false">SUM('Long Term Deals'!CA139:CA150)</f>
        <v>301203.084832905</v>
      </c>
      <c r="CB16" s="7" t="n">
        <f aca="false">SUM('Long Term Deals'!CB139:CB150)</f>
        <v>76840.9190231361</v>
      </c>
      <c r="CC16" s="7" t="n">
        <f aca="false">SUM('Long Term Deals'!CC139:CC150)</f>
        <v>290161826.862391</v>
      </c>
      <c r="CD16" s="7" t="n">
        <f aca="false">SUM('Long Term Deals'!CD139:CD150)</f>
        <v>288239452.15473</v>
      </c>
      <c r="CE16" s="7" t="n">
        <f aca="false">SUM('Long Term Deals'!CE139:CE150)</f>
        <v>1922374.70766149</v>
      </c>
      <c r="CF16" s="7" t="n">
        <f aca="false">SUM('Long Term Deals'!CF139:CF150)</f>
        <v>0</v>
      </c>
      <c r="CG16" s="7" t="n">
        <f aca="false">SUM('Long Term Deals'!CG139:CG150)</f>
        <v>0</v>
      </c>
      <c r="CH16" s="7" t="n">
        <f aca="false">SUM('Long Term Deals'!CH139:CH150)</f>
        <v>0</v>
      </c>
      <c r="CI16" s="7" t="n">
        <f aca="false">SUM('Long Term Deals'!CI139:CI150)</f>
        <v>0</v>
      </c>
      <c r="CJ16" s="7" t="n">
        <f aca="false">SUM('Long Term Deals'!CJ139:CJ150)</f>
        <v>290161826.862391</v>
      </c>
      <c r="CK16" s="7" t="n">
        <f aca="false">SUM('Long Term Deals'!CK139:CK150)</f>
        <v>288239452.15473</v>
      </c>
      <c r="CL16" s="7" t="n">
        <f aca="false">SUM('Long Term Deals'!CL139:CL150)</f>
        <v>1922374.70766149</v>
      </c>
      <c r="CM16" s="7" t="n">
        <f aca="false">SUM('Long Term Deals'!CM139:CM150)</f>
        <v>1922374.70766149</v>
      </c>
      <c r="CN16" s="7" t="n">
        <f aca="false">SUM('Long Term Deals'!CN139:CN150)</f>
        <v>1.9933954172302E-008</v>
      </c>
      <c r="CO16" s="7" t="n">
        <f aca="false">SUM('Long Term Deals'!CO139:CO150)</f>
        <v>0</v>
      </c>
      <c r="CP16" s="7" t="n">
        <f aca="false">SUM('Long Term Deals'!CP139:CP150)</f>
        <v>0</v>
      </c>
      <c r="CQ16" s="7" t="n">
        <f aca="false">SUM('Long Term Deals'!CQ139:CQ150)</f>
        <v>37993.7499999999</v>
      </c>
      <c r="CR16" s="7" t="n">
        <f aca="false">SUM('Long Term Deals'!CR139:CR150)</f>
        <v>339196.834832905</v>
      </c>
      <c r="CS16" s="7" t="n">
        <f aca="false">SUM('Long Term Deals'!CS139:CS150)</f>
        <v>0</v>
      </c>
      <c r="CT16" s="7" t="n">
        <f aca="false">SUM('Long Term Deals'!CT139:CT150)</f>
        <v>-4436177.69108471</v>
      </c>
      <c r="CU16" s="7" t="n">
        <f aca="false">SUM('Long Term Deals'!CU139:CU150)</f>
        <v>-451664.017788617</v>
      </c>
      <c r="CV16" s="76" t="n">
        <f aca="false">SUM('Long Term Deals'!CV139:CV150)</f>
        <v>5906888.38095756</v>
      </c>
      <c r="CW16" s="14" t="n">
        <f aca="false">AF16+AG16+AH16</f>
        <v>165042.786209811</v>
      </c>
      <c r="CX16" s="14" t="n">
        <f aca="false">B16+C16+D16+O16+P16+Q16+X16+Y16+BB16+BC16+BD16+BE16+BF16+BG16+BR16+BS16</f>
        <v>42104.6131633623</v>
      </c>
      <c r="CY16" s="14" t="n">
        <f aca="false">(CW16+CX16)*365</f>
        <v>75608800.7712082</v>
      </c>
      <c r="CZ16" s="14" t="n">
        <f aca="false">SUM(BB16:BG16)</f>
        <v>17004.6131633623</v>
      </c>
      <c r="DA16" s="14" t="n">
        <f aca="false">B16+C16+D16+O16+P16+Q16+X16+Y16+BR16+BS16</f>
        <v>25100</v>
      </c>
    </row>
    <row r="17" customFormat="false" ht="12.75" hidden="false" customHeight="false" outlineLevel="0" collapsed="false">
      <c r="A17" s="75" t="n">
        <v>40189.9999999997</v>
      </c>
      <c r="O17" s="7" t="n">
        <f aca="false">('Long Term Deals'!O151*'Prices&amp;Fuel'!$H151+'Prices&amp;Fuel'!$H152*'Long Term Deals'!O152+'Long Term Deals'!O153*'Prices&amp;Fuel'!$H153+'Long Term Deals'!O154*'Prices&amp;Fuel'!$H154+'Long Term Deals'!O155*'Prices&amp;Fuel'!$H155+'Long Term Deals'!O156*'Prices&amp;Fuel'!$H156+'Long Term Deals'!O157*'Prices&amp;Fuel'!$H157+'Long Term Deals'!O158*'Prices&amp;Fuel'!$H158+'Long Term Deals'!O159*'Prices&amp;Fuel'!$H159+'Long Term Deals'!O160*'Prices&amp;Fuel'!$H160+'Long Term Deals'!O161*'Prices&amp;Fuel'!$H161+'Long Term Deals'!O162*'Prices&amp;Fuel'!$H162)/SUM('Prices&amp;Fuel'!$H151:$H162)</f>
        <v>9036</v>
      </c>
      <c r="P17" s="7" t="n">
        <f aca="false">('Long Term Deals'!P151*'Prices&amp;Fuel'!$H151+'Prices&amp;Fuel'!$H152*'Long Term Deals'!P152+'Long Term Deals'!P153*'Prices&amp;Fuel'!$H153+'Long Term Deals'!P154*'Prices&amp;Fuel'!$H154+'Long Term Deals'!P155*'Prices&amp;Fuel'!$H155+'Long Term Deals'!P156*'Prices&amp;Fuel'!$H156+'Long Term Deals'!P157*'Prices&amp;Fuel'!$H157+'Long Term Deals'!P158*'Prices&amp;Fuel'!$H158+'Long Term Deals'!P159*'Prices&amp;Fuel'!$H159+'Long Term Deals'!P160*'Prices&amp;Fuel'!$H160+'Long Term Deals'!P161*'Prices&amp;Fuel'!$H161+'Long Term Deals'!P162*'Prices&amp;Fuel'!$H162)/SUM('Prices&amp;Fuel'!$H151:$H162)</f>
        <v>10794</v>
      </c>
      <c r="Q17" s="7" t="n">
        <f aca="false">('Long Term Deals'!Q151*'Prices&amp;Fuel'!$H151+'Prices&amp;Fuel'!$H152*'Long Term Deals'!Q152+'Long Term Deals'!Q153*'Prices&amp;Fuel'!$H153+'Long Term Deals'!Q154*'Prices&amp;Fuel'!$H154+'Long Term Deals'!Q155*'Prices&amp;Fuel'!$H155+'Long Term Deals'!Q156*'Prices&amp;Fuel'!$H156+'Long Term Deals'!Q157*'Prices&amp;Fuel'!$H157+'Long Term Deals'!Q158*'Prices&amp;Fuel'!$H158+'Long Term Deals'!Q159*'Prices&amp;Fuel'!$H159+'Long Term Deals'!Q160*'Prices&amp;Fuel'!$H160+'Long Term Deals'!Q161*'Prices&amp;Fuel'!$H161+'Long Term Deals'!Q162*'Prices&amp;Fuel'!$H162)/SUM('Prices&amp;Fuel'!$H151:$H162)</f>
        <v>5270</v>
      </c>
      <c r="T17" s="7" t="n">
        <f aca="false">SUM('Long Term Deals'!T151:T162)</f>
        <v>34966378.28</v>
      </c>
      <c r="U17" s="7" t="n">
        <f aca="false">SUM('Long Term Deals'!U151:U162)</f>
        <v>34841774.35</v>
      </c>
      <c r="V17" s="14" t="n">
        <f aca="false">T17-U17</f>
        <v>124603.930000007</v>
      </c>
      <c r="AF17" s="7" t="n">
        <f aca="false">('Long Term Deals'!AF151*'Prices&amp;Fuel'!$H151+'Prices&amp;Fuel'!$H152*'Long Term Deals'!AF152+'Long Term Deals'!AF153*'Prices&amp;Fuel'!$H153+'Long Term Deals'!AF154*'Prices&amp;Fuel'!$H154+'Long Term Deals'!AF155*'Prices&amp;Fuel'!$H155+'Long Term Deals'!AF156*'Prices&amp;Fuel'!$H156+'Long Term Deals'!AF157*'Prices&amp;Fuel'!$H157+'Long Term Deals'!AF158*'Prices&amp;Fuel'!$H158+'Long Term Deals'!AF159*'Prices&amp;Fuel'!$H159+'Long Term Deals'!AF160*'Prices&amp;Fuel'!$H160+'Long Term Deals'!AF161*'Prices&amp;Fuel'!$H161+'Long Term Deals'!AF162*'Prices&amp;Fuel'!$H162)/SUM('Prices&amp;Fuel'!$H151:$H162)</f>
        <v>9474.24023664472</v>
      </c>
      <c r="AG17" s="7" t="n">
        <f aca="false">('Long Term Deals'!AG151*'Prices&amp;Fuel'!$H151+'Prices&amp;Fuel'!$H152*'Long Term Deals'!AG152+'Long Term Deals'!AG153*'Prices&amp;Fuel'!$H153+'Long Term Deals'!AG154*'Prices&amp;Fuel'!$H154+'Long Term Deals'!AG155*'Prices&amp;Fuel'!$H155+'Long Term Deals'!AG156*'Prices&amp;Fuel'!$H156+'Long Term Deals'!AG157*'Prices&amp;Fuel'!$H157+'Long Term Deals'!AG158*'Prices&amp;Fuel'!$H158+'Long Term Deals'!AG159*'Prices&amp;Fuel'!$H159+'Long Term Deals'!AG160*'Prices&amp;Fuel'!$H160+'Long Term Deals'!AG161*'Prices&amp;Fuel'!$H161+'Long Term Deals'!AG162*'Prices&amp;Fuel'!$H162)/SUM('Prices&amp;Fuel'!$H151:$H162)</f>
        <v>0</v>
      </c>
      <c r="AH17" s="7" t="n">
        <f aca="false">('Long Term Deals'!AH151*'Prices&amp;Fuel'!$H151+'Prices&amp;Fuel'!$H152*'Long Term Deals'!AH152+'Long Term Deals'!AH153*'Prices&amp;Fuel'!$H153+'Long Term Deals'!AH154*'Prices&amp;Fuel'!$H154+'Long Term Deals'!AH155*'Prices&amp;Fuel'!$H155+'Long Term Deals'!AH156*'Prices&amp;Fuel'!$H156+'Long Term Deals'!AH157*'Prices&amp;Fuel'!$H157+'Long Term Deals'!AH158*'Prices&amp;Fuel'!$H158+'Long Term Deals'!AH159*'Prices&amp;Fuel'!$H159+'Long Term Deals'!AH160*'Prices&amp;Fuel'!$H160+'Long Term Deals'!AH161*'Prices&amp;Fuel'!$H161+'Long Term Deals'!AH162*'Prices&amp;Fuel'!$H162)/SUM('Prices&amp;Fuel'!$H151:$H162)</f>
        <v>12466.1055745325</v>
      </c>
      <c r="AI17" s="7" t="n">
        <f aca="false">('Long Term Deals'!AI151*'Prices&amp;Fuel'!$H151+'Prices&amp;Fuel'!$H152*'Long Term Deals'!AI152+'Long Term Deals'!AI153*'Prices&amp;Fuel'!$H153+'Long Term Deals'!AI154*'Prices&amp;Fuel'!$H154+'Long Term Deals'!AI155*'Prices&amp;Fuel'!$H155+'Long Term Deals'!AI156*'Prices&amp;Fuel'!$H156+'Long Term Deals'!AI157*'Prices&amp;Fuel'!$H157+'Long Term Deals'!AI158*'Prices&amp;Fuel'!$H158+'Long Term Deals'!AI159*'Prices&amp;Fuel'!$H159+'Long Term Deals'!AI160*'Prices&amp;Fuel'!$H160+'Long Term Deals'!AI161*'Prices&amp;Fuel'!$H161+'Long Term Deals'!AI162*'Prices&amp;Fuel'!$H162)/SUM('Prices&amp;Fuel'!$H151:$H162)</f>
        <v>0</v>
      </c>
      <c r="AJ17" s="7" t="n">
        <f aca="false">('Long Term Deals'!AJ151*'Prices&amp;Fuel'!$H151+'Prices&amp;Fuel'!$H152*'Long Term Deals'!AJ152+'Long Term Deals'!AJ153*'Prices&amp;Fuel'!$H153+'Long Term Deals'!AJ154*'Prices&amp;Fuel'!$H154+'Long Term Deals'!AJ155*'Prices&amp;Fuel'!$H155+'Long Term Deals'!AJ156*'Prices&amp;Fuel'!$H156+'Long Term Deals'!AJ157*'Prices&amp;Fuel'!$H157+'Long Term Deals'!AJ158*'Prices&amp;Fuel'!$H158+'Long Term Deals'!AJ159*'Prices&amp;Fuel'!$H159+'Long Term Deals'!AJ160*'Prices&amp;Fuel'!$H160+'Long Term Deals'!AJ161*'Prices&amp;Fuel'!$H161+'Long Term Deals'!AJ162*'Prices&amp;Fuel'!$H162)/SUM('Prices&amp;Fuel'!$H151:$H162)</f>
        <v>0</v>
      </c>
      <c r="AK17" s="7" t="n">
        <f aca="false">('Long Term Deals'!AK151*'Prices&amp;Fuel'!$H151+'Prices&amp;Fuel'!$H152*'Long Term Deals'!AK152+'Long Term Deals'!AK153*'Prices&amp;Fuel'!$H153+'Long Term Deals'!AK154*'Prices&amp;Fuel'!$H154+'Long Term Deals'!AK155*'Prices&amp;Fuel'!$H155+'Long Term Deals'!AK156*'Prices&amp;Fuel'!$H156+'Long Term Deals'!AK157*'Prices&amp;Fuel'!$H157+'Long Term Deals'!AK158*'Prices&amp;Fuel'!$H158+'Long Term Deals'!AK159*'Prices&amp;Fuel'!$H159+'Long Term Deals'!AK160*'Prices&amp;Fuel'!$H160+'Long Term Deals'!AK161*'Prices&amp;Fuel'!$H161+'Long Term Deals'!AK162*'Prices&amp;Fuel'!$H162)/SUM('Prices&amp;Fuel'!$H151:$H162)</f>
        <v>0</v>
      </c>
      <c r="AL17" s="7" t="n">
        <f aca="false">SUM(AI17:AK17)</f>
        <v>0</v>
      </c>
      <c r="AM17" s="7"/>
      <c r="AO17" s="7"/>
      <c r="AR17" s="7"/>
      <c r="AT17" s="14"/>
      <c r="AU17" s="14"/>
      <c r="AW17" s="68"/>
      <c r="AX17" s="68"/>
      <c r="AY17" s="7" t="n">
        <f aca="false">SUM('Long Term Deals'!AY151:AY162)</f>
        <v>20748738.4852132</v>
      </c>
      <c r="AZ17" s="7" t="n">
        <f aca="false">SUM('Long Term Deals'!AZ151:AZ162)</f>
        <v>20481190.9273726</v>
      </c>
      <c r="BA17" s="5" t="n">
        <f aca="false">AY17-AZ17</f>
        <v>267547.557840616</v>
      </c>
      <c r="BB17" s="7" t="n">
        <f aca="false">('Long Term Deals'!BB151*'Prices&amp;Fuel'!$H151+'Prices&amp;Fuel'!$H152*'Long Term Deals'!BB152+'Long Term Deals'!BB153*'Prices&amp;Fuel'!$H153+'Long Term Deals'!BB154*'Prices&amp;Fuel'!$H154+'Long Term Deals'!BB155*'Prices&amp;Fuel'!$H155+'Long Term Deals'!BB156*'Prices&amp;Fuel'!$H156+'Long Term Deals'!BB157*'Prices&amp;Fuel'!$H157+'Long Term Deals'!BB158*'Prices&amp;Fuel'!$H158+'Long Term Deals'!BB159*'Prices&amp;Fuel'!$H159+'Long Term Deals'!BB160*'Prices&amp;Fuel'!$H160+'Long Term Deals'!BB161*'Prices&amp;Fuel'!$H161+'Long Term Deals'!BB162*'Prices&amp;Fuel'!$H162)/SUM('Prices&amp;Fuel'!$H151:$H162)</f>
        <v>6831.02299538684</v>
      </c>
      <c r="BC17" s="7" t="n">
        <f aca="false">('Long Term Deals'!BC151*'Prices&amp;Fuel'!$H151+'Prices&amp;Fuel'!$H152*'Long Term Deals'!BC152+'Long Term Deals'!BC153*'Prices&amp;Fuel'!$H153+'Long Term Deals'!BC154*'Prices&amp;Fuel'!$H154+'Long Term Deals'!BC155*'Prices&amp;Fuel'!$H155+'Long Term Deals'!BC156*'Prices&amp;Fuel'!$H156+'Long Term Deals'!BC157*'Prices&amp;Fuel'!$H157+'Long Term Deals'!BC158*'Prices&amp;Fuel'!$H158+'Long Term Deals'!BC159*'Prices&amp;Fuel'!$H159+'Long Term Deals'!BC160*'Prices&amp;Fuel'!$H160+'Long Term Deals'!BC161*'Prices&amp;Fuel'!$H161+'Long Term Deals'!BC162*'Prices&amp;Fuel'!$H162)/SUM('Prices&amp;Fuel'!$H151:$H162)</f>
        <v>0</v>
      </c>
      <c r="BD17" s="7" t="n">
        <f aca="false">('Long Term Deals'!BD151*'Prices&amp;Fuel'!$H151+'Prices&amp;Fuel'!$H152*'Long Term Deals'!BD152+'Long Term Deals'!BD153*'Prices&amp;Fuel'!$H153+'Long Term Deals'!BD154*'Prices&amp;Fuel'!$H154+'Long Term Deals'!BD155*'Prices&amp;Fuel'!$H155+'Long Term Deals'!BD156*'Prices&amp;Fuel'!$H156+'Long Term Deals'!BD157*'Prices&amp;Fuel'!$H157+'Long Term Deals'!BD158*'Prices&amp;Fuel'!$H158+'Long Term Deals'!BD159*'Prices&amp;Fuel'!$H159+'Long Term Deals'!BD160*'Prices&amp;Fuel'!$H160+'Long Term Deals'!BD161*'Prices&amp;Fuel'!$H161+'Long Term Deals'!BD162*'Prices&amp;Fuel'!$H162)/SUM('Prices&amp;Fuel'!$H151:$H162)</f>
        <v>3046.76127759967</v>
      </c>
      <c r="BE17" s="7" t="n">
        <f aca="false">('Long Term Deals'!BE151*'Prices&amp;Fuel'!$H151+'Prices&amp;Fuel'!$H152*'Long Term Deals'!BE152+'Long Term Deals'!BE153*'Prices&amp;Fuel'!$H153+'Long Term Deals'!BE154*'Prices&amp;Fuel'!$H154+'Long Term Deals'!BE155*'Prices&amp;Fuel'!$H155+'Long Term Deals'!BE156*'Prices&amp;Fuel'!$H156+'Long Term Deals'!BE157*'Prices&amp;Fuel'!$H157+'Long Term Deals'!BE158*'Prices&amp;Fuel'!$H158+'Long Term Deals'!BE159*'Prices&amp;Fuel'!$H159+'Long Term Deals'!BE160*'Prices&amp;Fuel'!$H160+'Long Term Deals'!BE161*'Prices&amp;Fuel'!$H161+'Long Term Deals'!BE162*'Prices&amp;Fuel'!$H162)/SUM('Prices&amp;Fuel'!$H151:$H162)</f>
        <v>2306.6746487305</v>
      </c>
      <c r="BF17" s="7" t="n">
        <f aca="false">('Long Term Deals'!BF151*'Prices&amp;Fuel'!$H151+'Prices&amp;Fuel'!$H152*'Long Term Deals'!BF152+'Long Term Deals'!BF153*'Prices&amp;Fuel'!$H153+'Long Term Deals'!BF154*'Prices&amp;Fuel'!$H154+'Long Term Deals'!BF155*'Prices&amp;Fuel'!$H155+'Long Term Deals'!BF156*'Prices&amp;Fuel'!$H156+'Long Term Deals'!BF157*'Prices&amp;Fuel'!$H157+'Long Term Deals'!BF158*'Prices&amp;Fuel'!$H158+'Long Term Deals'!BF159*'Prices&amp;Fuel'!$H159+'Long Term Deals'!BF160*'Prices&amp;Fuel'!$H160+'Long Term Deals'!BF161*'Prices&amp;Fuel'!$H161+'Long Term Deals'!BF162*'Prices&amp;Fuel'!$H162)/SUM('Prices&amp;Fuel'!$H151:$H162)</f>
        <v>3417.65679473184</v>
      </c>
      <c r="BG17" s="7" t="n">
        <f aca="false">('Long Term Deals'!BG151*'Prices&amp;Fuel'!$H151+'Prices&amp;Fuel'!$H152*'Long Term Deals'!BG152+'Long Term Deals'!BG153*'Prices&amp;Fuel'!$H153+'Long Term Deals'!BG154*'Prices&amp;Fuel'!$H154+'Long Term Deals'!BG155*'Prices&amp;Fuel'!$H155+'Long Term Deals'!BG156*'Prices&amp;Fuel'!$H156+'Long Term Deals'!BG157*'Prices&amp;Fuel'!$H157+'Long Term Deals'!BG158*'Prices&amp;Fuel'!$H158+'Long Term Deals'!BG159*'Prices&amp;Fuel'!$H159+'Long Term Deals'!BG160*'Prices&amp;Fuel'!$H160+'Long Term Deals'!BG161*'Prices&amp;Fuel'!$H161+'Long Term Deals'!BG162*'Prices&amp;Fuel'!$H162)/SUM('Prices&amp;Fuel'!$H151:$H162)</f>
        <v>1402.49744691341</v>
      </c>
      <c r="BH17" s="10"/>
      <c r="BI17" s="10"/>
      <c r="BJ17" s="10"/>
      <c r="BK17" s="10"/>
      <c r="BL17" s="7" t="n">
        <f aca="false">SUM('Long Term Deals'!BL151:BL162)</f>
        <v>28690897.1786401</v>
      </c>
      <c r="BM17" s="9"/>
      <c r="BN17" s="9"/>
      <c r="BP17" s="7" t="n">
        <f aca="false">SUM('Long Term Deals'!BP151:BP162)</f>
        <v>28221453.8848089</v>
      </c>
      <c r="BQ17" s="5" t="n">
        <f aca="false">BL17-BP17</f>
        <v>469443.293831151</v>
      </c>
      <c r="CA17" s="7" t="n">
        <f aca="false">SUM('Long Term Deals'!CA151:CA162)</f>
        <v>40041.1311053985</v>
      </c>
      <c r="CB17" s="7" t="n">
        <f aca="false">SUM('Long Term Deals'!CB151:CB162)</f>
        <v>76840.9190231361</v>
      </c>
      <c r="CC17" s="7" t="n">
        <f aca="false">SUM('Long Term Deals'!CC151:CC162)</f>
        <v>84406013.9438533</v>
      </c>
      <c r="CD17" s="7" t="n">
        <f aca="false">SUM('Long Term Deals'!CD151:CD162)</f>
        <v>83661301.21231</v>
      </c>
      <c r="CE17" s="7" t="n">
        <f aca="false">SUM('Long Term Deals'!CE151:CE162)</f>
        <v>744712.731543245</v>
      </c>
      <c r="CF17" s="7" t="n">
        <f aca="false">SUM('Long Term Deals'!CF151:CF162)</f>
        <v>0</v>
      </c>
      <c r="CG17" s="7" t="n">
        <f aca="false">SUM('Long Term Deals'!CG151:CG162)</f>
        <v>0</v>
      </c>
      <c r="CH17" s="7" t="n">
        <f aca="false">SUM('Long Term Deals'!CH151:CH162)</f>
        <v>0</v>
      </c>
      <c r="CI17" s="7" t="n">
        <f aca="false">SUM('Long Term Deals'!CI151:CI162)</f>
        <v>0</v>
      </c>
      <c r="CJ17" s="7" t="n">
        <f aca="false">SUM('Long Term Deals'!CJ151:CJ162)</f>
        <v>84406013.9438533</v>
      </c>
      <c r="CK17" s="7" t="n">
        <f aca="false">SUM('Long Term Deals'!CK151:CK162)</f>
        <v>83661301.21231</v>
      </c>
      <c r="CL17" s="7" t="n">
        <f aca="false">SUM('Long Term Deals'!CL151:CL162)</f>
        <v>744712.731543245</v>
      </c>
      <c r="CM17" s="7" t="n">
        <f aca="false">SUM('Long Term Deals'!CM151:CM162)</f>
        <v>744712.731543245</v>
      </c>
      <c r="CN17" s="7" t="n">
        <f aca="false">SUM('Long Term Deals'!CN151:CN162)</f>
        <v>1.9933954172302E-008</v>
      </c>
      <c r="CO17" s="7" t="n">
        <f aca="false">SUM('Long Term Deals'!CO151:CO162)</f>
        <v>0</v>
      </c>
      <c r="CP17" s="7" t="n">
        <f aca="false">SUM('Long Term Deals'!CP151:CP162)</f>
        <v>0</v>
      </c>
      <c r="CQ17" s="7" t="n">
        <f aca="false">SUM('Long Term Deals'!CQ151:CQ162)</f>
        <v>37993.7499999999</v>
      </c>
      <c r="CR17" s="7" t="n">
        <f aca="false">SUM('Long Term Deals'!CR151:CR162)</f>
        <v>78034.8811053984</v>
      </c>
      <c r="CS17" s="7" t="n">
        <f aca="false">SUM('Long Term Deals'!CS151:CS162)</f>
        <v>0</v>
      </c>
      <c r="CT17" s="7" t="n">
        <f aca="false">SUM('Long Term Deals'!CT151:CT162)</f>
        <v>-589733.576713227</v>
      </c>
      <c r="CU17" s="7" t="n">
        <f aca="false">SUM('Long Term Deals'!CU151:CU162)</f>
        <v>-60043.0044131119</v>
      </c>
      <c r="CV17" s="76" t="n">
        <f aca="false">SUM('Long Term Deals'!CV151:CV162)</f>
        <v>1274403.30384334</v>
      </c>
      <c r="CW17" s="14" t="n">
        <f aca="false">AF17+AG17+AH17</f>
        <v>21940.3458111772</v>
      </c>
      <c r="CX17" s="14" t="n">
        <f aca="false">B17+C17+D17+O17+P17+Q17+X17+Y17+BB17+BC17+BD17+BE17+BF17+BG17+BR17+BS17</f>
        <v>42104.6131633623</v>
      </c>
      <c r="CY17" s="14" t="n">
        <f aca="false">(CW17+CX17)*365</f>
        <v>23376410.0257069</v>
      </c>
      <c r="CZ17" s="14" t="n">
        <f aca="false">SUM(BB17:BG17)</f>
        <v>17004.6131633623</v>
      </c>
      <c r="DA17" s="14" t="n">
        <f aca="false">B17+C17+D17+O17+P17+Q17+X17+Y17+BR17+BS17</f>
        <v>25100</v>
      </c>
    </row>
    <row r="18" customFormat="false" ht="12.75" hidden="false" customHeight="false" outlineLevel="0" collapsed="false">
      <c r="A18" s="75" t="n">
        <v>40554.9999999996</v>
      </c>
      <c r="O18" s="7" t="n">
        <f aca="false">('Long Term Deals'!O163*'Prices&amp;Fuel'!$H163+'Prices&amp;Fuel'!$H164*'Long Term Deals'!O164+'Long Term Deals'!O165*'Prices&amp;Fuel'!$H165+'Long Term Deals'!O166*'Prices&amp;Fuel'!$H166+'Long Term Deals'!O167*'Prices&amp;Fuel'!$H167+'Long Term Deals'!O168*'Prices&amp;Fuel'!$H168+'Long Term Deals'!O169*'Prices&amp;Fuel'!$H169+'Long Term Deals'!O170*'Prices&amp;Fuel'!$H170+'Long Term Deals'!O171*'Prices&amp;Fuel'!$H171+'Long Term Deals'!O172*'Prices&amp;Fuel'!$H172+'Long Term Deals'!O173*'Prices&amp;Fuel'!$H173+'Long Term Deals'!O174*'Prices&amp;Fuel'!$H174)/SUM('Prices&amp;Fuel'!$H163:$H174)</f>
        <v>9036</v>
      </c>
      <c r="P18" s="7" t="n">
        <f aca="false">('Long Term Deals'!P163*'Prices&amp;Fuel'!$H163+'Prices&amp;Fuel'!$H164*'Long Term Deals'!P164+'Long Term Deals'!P165*'Prices&amp;Fuel'!$H165+'Long Term Deals'!P166*'Prices&amp;Fuel'!$H166+'Long Term Deals'!P167*'Prices&amp;Fuel'!$H167+'Long Term Deals'!P168*'Prices&amp;Fuel'!$H168+'Long Term Deals'!P169*'Prices&amp;Fuel'!$H169+'Long Term Deals'!P170*'Prices&amp;Fuel'!$H170+'Long Term Deals'!P171*'Prices&amp;Fuel'!$H171+'Long Term Deals'!P172*'Prices&amp;Fuel'!$H172+'Long Term Deals'!P173*'Prices&amp;Fuel'!$H173+'Long Term Deals'!P174*'Prices&amp;Fuel'!$H174)/SUM('Prices&amp;Fuel'!$H163:$H174)</f>
        <v>10794</v>
      </c>
      <c r="Q18" s="7" t="n">
        <f aca="false">('Long Term Deals'!Q163*'Prices&amp;Fuel'!$H163+'Prices&amp;Fuel'!$H164*'Long Term Deals'!Q164+'Long Term Deals'!Q165*'Prices&amp;Fuel'!$H165+'Long Term Deals'!Q166*'Prices&amp;Fuel'!$H166+'Long Term Deals'!Q167*'Prices&amp;Fuel'!$H167+'Long Term Deals'!Q168*'Prices&amp;Fuel'!$H168+'Long Term Deals'!Q169*'Prices&amp;Fuel'!$H169+'Long Term Deals'!Q170*'Prices&amp;Fuel'!$H170+'Long Term Deals'!Q171*'Prices&amp;Fuel'!$H171+'Long Term Deals'!Q172*'Prices&amp;Fuel'!$H172+'Long Term Deals'!Q173*'Prices&amp;Fuel'!$H173+'Long Term Deals'!Q174*'Prices&amp;Fuel'!$H174)/SUM('Prices&amp;Fuel'!$H163:$H174)</f>
        <v>5270</v>
      </c>
      <c r="T18" s="7" t="n">
        <f aca="false">SUM('Long Term Deals'!T163:T174)</f>
        <v>36365103.39</v>
      </c>
      <c r="U18" s="7" t="n">
        <f aca="false">SUM('Long Term Deals'!U163:U174)</f>
        <v>36238205.32</v>
      </c>
      <c r="V18" s="14" t="n">
        <f aca="false">T18-U18</f>
        <v>126898.070000008</v>
      </c>
      <c r="BB18" s="7" t="n">
        <f aca="false">('Long Term Deals'!BB163*'Prices&amp;Fuel'!$H163+'Prices&amp;Fuel'!$H164*'Long Term Deals'!BB164+'Long Term Deals'!BB165*'Prices&amp;Fuel'!$H165+'Long Term Deals'!BB166*'Prices&amp;Fuel'!$H166+'Long Term Deals'!BB167*'Prices&amp;Fuel'!$H167+'Long Term Deals'!BB168*'Prices&amp;Fuel'!$H168+'Long Term Deals'!BB169*'Prices&amp;Fuel'!$H169+'Long Term Deals'!BB170*'Prices&amp;Fuel'!$H170+'Long Term Deals'!BB171*'Prices&amp;Fuel'!$H171+'Long Term Deals'!BB172*'Prices&amp;Fuel'!$H172+'Long Term Deals'!BB173*'Prices&amp;Fuel'!$H173+'Long Term Deals'!BB174*'Prices&amp;Fuel'!$H174)/SUM('Prices&amp;Fuel'!$H163:$H174)</f>
        <v>6831.02299538684</v>
      </c>
      <c r="BC18" s="7" t="n">
        <f aca="false">('Long Term Deals'!BC163*'Prices&amp;Fuel'!$H163+'Prices&amp;Fuel'!$H164*'Long Term Deals'!BC164+'Long Term Deals'!BC165*'Prices&amp;Fuel'!$H165+'Long Term Deals'!BC166*'Prices&amp;Fuel'!$H166+'Long Term Deals'!BC167*'Prices&amp;Fuel'!$H167+'Long Term Deals'!BC168*'Prices&amp;Fuel'!$H168+'Long Term Deals'!BC169*'Prices&amp;Fuel'!$H169+'Long Term Deals'!BC170*'Prices&amp;Fuel'!$H170+'Long Term Deals'!BC171*'Prices&amp;Fuel'!$H171+'Long Term Deals'!BC172*'Prices&amp;Fuel'!$H172+'Long Term Deals'!BC173*'Prices&amp;Fuel'!$H173+'Long Term Deals'!BC174*'Prices&amp;Fuel'!$H174)/SUM('Prices&amp;Fuel'!$H163:$H174)</f>
        <v>0</v>
      </c>
      <c r="BD18" s="7" t="n">
        <f aca="false">('Long Term Deals'!BD163*'Prices&amp;Fuel'!$H163+'Prices&amp;Fuel'!$H164*'Long Term Deals'!BD164+'Long Term Deals'!BD165*'Prices&amp;Fuel'!$H165+'Long Term Deals'!BD166*'Prices&amp;Fuel'!$H166+'Long Term Deals'!BD167*'Prices&amp;Fuel'!$H167+'Long Term Deals'!BD168*'Prices&amp;Fuel'!$H168+'Long Term Deals'!BD169*'Prices&amp;Fuel'!$H169+'Long Term Deals'!BD170*'Prices&amp;Fuel'!$H170+'Long Term Deals'!BD171*'Prices&amp;Fuel'!$H171+'Long Term Deals'!BD172*'Prices&amp;Fuel'!$H172+'Long Term Deals'!BD173*'Prices&amp;Fuel'!$H173+'Long Term Deals'!BD174*'Prices&amp;Fuel'!$H174)/SUM('Prices&amp;Fuel'!$H163:$H174)</f>
        <v>3046.76127759967</v>
      </c>
      <c r="BE18" s="7" t="n">
        <f aca="false">('Long Term Deals'!BE163*'Prices&amp;Fuel'!$H163+'Prices&amp;Fuel'!$H164*'Long Term Deals'!BE164+'Long Term Deals'!BE165*'Prices&amp;Fuel'!$H165+'Long Term Deals'!BE166*'Prices&amp;Fuel'!$H166+'Long Term Deals'!BE167*'Prices&amp;Fuel'!$H167+'Long Term Deals'!BE168*'Prices&amp;Fuel'!$H168+'Long Term Deals'!BE169*'Prices&amp;Fuel'!$H169+'Long Term Deals'!BE170*'Prices&amp;Fuel'!$H170+'Long Term Deals'!BE171*'Prices&amp;Fuel'!$H171+'Long Term Deals'!BE172*'Prices&amp;Fuel'!$H172+'Long Term Deals'!BE173*'Prices&amp;Fuel'!$H173+'Long Term Deals'!BE174*'Prices&amp;Fuel'!$H174)/SUM('Prices&amp;Fuel'!$H163:$H174)</f>
        <v>2306.6746487305</v>
      </c>
      <c r="BF18" s="7" t="n">
        <f aca="false">('Long Term Deals'!BF163*'Prices&amp;Fuel'!$H163+'Prices&amp;Fuel'!$H164*'Long Term Deals'!BF164+'Long Term Deals'!BF165*'Prices&amp;Fuel'!$H165+'Long Term Deals'!BF166*'Prices&amp;Fuel'!$H166+'Long Term Deals'!BF167*'Prices&amp;Fuel'!$H167+'Long Term Deals'!BF168*'Prices&amp;Fuel'!$H168+'Long Term Deals'!BF169*'Prices&amp;Fuel'!$H169+'Long Term Deals'!BF170*'Prices&amp;Fuel'!$H170+'Long Term Deals'!BF171*'Prices&amp;Fuel'!$H171+'Long Term Deals'!BF172*'Prices&amp;Fuel'!$H172+'Long Term Deals'!BF173*'Prices&amp;Fuel'!$H173+'Long Term Deals'!BF174*'Prices&amp;Fuel'!$H174)/SUM('Prices&amp;Fuel'!$H163:$H174)</f>
        <v>3417.65679473184</v>
      </c>
      <c r="BG18" s="7" t="n">
        <f aca="false">('Long Term Deals'!BG163*'Prices&amp;Fuel'!$H163+'Prices&amp;Fuel'!$H164*'Long Term Deals'!BG164+'Long Term Deals'!BG165*'Prices&amp;Fuel'!$H165+'Long Term Deals'!BG166*'Prices&amp;Fuel'!$H166+'Long Term Deals'!BG167*'Prices&amp;Fuel'!$H167+'Long Term Deals'!BG168*'Prices&amp;Fuel'!$H168+'Long Term Deals'!BG169*'Prices&amp;Fuel'!$H169+'Long Term Deals'!BG170*'Prices&amp;Fuel'!$H170+'Long Term Deals'!BG171*'Prices&amp;Fuel'!$H171+'Long Term Deals'!BG172*'Prices&amp;Fuel'!$H172+'Long Term Deals'!BG173*'Prices&amp;Fuel'!$H173+'Long Term Deals'!BG174*'Prices&amp;Fuel'!$H174)/SUM('Prices&amp;Fuel'!$H163:$H174)</f>
        <v>1402.49744691341</v>
      </c>
      <c r="BH18" s="10"/>
      <c r="BI18" s="10"/>
      <c r="BJ18" s="10"/>
      <c r="BK18" s="10"/>
      <c r="BL18" s="7" t="n">
        <f aca="false">SUM('Long Term Deals'!BL163:BL174)</f>
        <v>28936255.5832799</v>
      </c>
      <c r="BM18" s="9"/>
      <c r="BN18" s="9"/>
      <c r="BP18" s="7" t="n">
        <f aca="false">SUM('Long Term Deals'!BP163:BP174)</f>
        <v>28466812.2894488</v>
      </c>
      <c r="BQ18" s="5" t="n">
        <f aca="false">BL18-BP18</f>
        <v>469443.293831155</v>
      </c>
      <c r="CA18" s="7" t="n">
        <f aca="false">SUM('Long Term Deals'!CA163:CA174)</f>
        <v>0</v>
      </c>
      <c r="CB18" s="7" t="n">
        <f aca="false">SUM('Long Term Deals'!CB163:CB174)</f>
        <v>76840.9190231361</v>
      </c>
      <c r="CC18" s="7" t="n">
        <f aca="false">SUM('Long Term Deals'!CC163:CC174)</f>
        <v>65301358.9732799</v>
      </c>
      <c r="CD18" s="7" t="n">
        <f aca="false">SUM('Long Term Deals'!CD163:CD174)</f>
        <v>64781858.5284719</v>
      </c>
      <c r="CE18" s="7" t="n">
        <f aca="false">SUM('Long Term Deals'!CE163:CE174)</f>
        <v>519500.444808022</v>
      </c>
      <c r="CF18" s="7" t="n">
        <f aca="false">SUM('Long Term Deals'!CF163:CF174)</f>
        <v>0</v>
      </c>
      <c r="CG18" s="7" t="n">
        <f aca="false">SUM('Long Term Deals'!CG163:CG174)</f>
        <v>0</v>
      </c>
      <c r="CH18" s="7" t="n">
        <f aca="false">SUM('Long Term Deals'!CH163:CH174)</f>
        <v>0</v>
      </c>
      <c r="CI18" s="7" t="n">
        <f aca="false">SUM('Long Term Deals'!CI163:CI174)</f>
        <v>0</v>
      </c>
      <c r="CJ18" s="7" t="n">
        <f aca="false">SUM('Long Term Deals'!CJ163:CJ174)</f>
        <v>65301358.9732799</v>
      </c>
      <c r="CK18" s="7" t="n">
        <f aca="false">SUM('Long Term Deals'!CK163:CK174)</f>
        <v>64781858.5284719</v>
      </c>
      <c r="CL18" s="7" t="n">
        <f aca="false">SUM('Long Term Deals'!CL163:CL174)</f>
        <v>519500.444808022</v>
      </c>
      <c r="CM18" s="7" t="n">
        <f aca="false">SUM('Long Term Deals'!CM163:CM174)</f>
        <v>519500.444808022</v>
      </c>
      <c r="CN18" s="7" t="n">
        <f aca="false">SUM('Long Term Deals'!CN163:CN174)</f>
        <v>1.9933954172302E-008</v>
      </c>
      <c r="CO18" s="7" t="n">
        <f aca="false">SUM('Long Term Deals'!CO163:CO174)</f>
        <v>0</v>
      </c>
      <c r="CP18" s="7" t="n">
        <f aca="false">SUM('Long Term Deals'!CP163:CP174)</f>
        <v>0</v>
      </c>
      <c r="CQ18" s="7" t="n">
        <f aca="false">SUM('Long Term Deals'!CQ163:CQ174)</f>
        <v>37993.7499999999</v>
      </c>
      <c r="CR18" s="7" t="n">
        <f aca="false">SUM('Long Term Deals'!CR163:CR174)</f>
        <v>37993.7499999999</v>
      </c>
      <c r="CS18" s="7" t="n">
        <f aca="false">SUM('Long Term Deals'!CS163:CS174)</f>
        <v>0</v>
      </c>
      <c r="CT18" s="7" t="n">
        <f aca="false">SUM('Long Term Deals'!CT163:CT174)</f>
        <v>0</v>
      </c>
      <c r="CU18" s="7" t="n">
        <f aca="false">SUM('Long Term Deals'!CU163:CU174)</f>
        <v>0</v>
      </c>
      <c r="CV18" s="76" t="n">
        <f aca="false">SUM('Long Term Deals'!CV163:CV174)</f>
        <v>519500.444808002</v>
      </c>
      <c r="CW18" s="14" t="n">
        <f aca="false">AF18+AG18+AH18</f>
        <v>0</v>
      </c>
      <c r="CX18" s="14" t="n">
        <f aca="false">B18+C18+D18+O18+P18+Q18+X18+Y18+BB18+BC18+BD18+BE18+BF18+BG18+BR18+BS18</f>
        <v>42104.6131633623</v>
      </c>
      <c r="CY18" s="14" t="n">
        <f aca="false">(CW18+CX18)*365</f>
        <v>15368183.8046272</v>
      </c>
      <c r="CZ18" s="14" t="n">
        <f aca="false">SUM(BB18:BG18)</f>
        <v>17004.6131633623</v>
      </c>
      <c r="DA18" s="14" t="n">
        <f aca="false">B18+C18+D18+O18+P18+Q18+X18+Y18+BR18+BS18</f>
        <v>25100</v>
      </c>
    </row>
    <row r="19" customFormat="false" ht="12.75" hidden="false" customHeight="false" outlineLevel="0" collapsed="false">
      <c r="A19" s="75" t="n">
        <v>40919.9999999996</v>
      </c>
      <c r="O19" s="7" t="n">
        <f aca="false">('Long Term Deals'!O175*'Prices&amp;Fuel'!$H175+'Prices&amp;Fuel'!$H176*'Long Term Deals'!O176+'Long Term Deals'!O177*'Prices&amp;Fuel'!$H177+'Long Term Deals'!O178*'Prices&amp;Fuel'!$H178+'Long Term Deals'!O179*'Prices&amp;Fuel'!$H179+'Long Term Deals'!O180*'Prices&amp;Fuel'!$H180+'Long Term Deals'!O181*'Prices&amp;Fuel'!$H181+'Long Term Deals'!O182*'Prices&amp;Fuel'!$H182+'Long Term Deals'!O183*'Prices&amp;Fuel'!$H183+'Long Term Deals'!O184*'Prices&amp;Fuel'!$H184+'Long Term Deals'!O185*'Prices&amp;Fuel'!$H185+'Long Term Deals'!O186*'Prices&amp;Fuel'!$H186)/SUM('Prices&amp;Fuel'!$H175:$H186)</f>
        <v>4493.31147540984</v>
      </c>
      <c r="P19" s="7" t="n">
        <f aca="false">('Long Term Deals'!P175*'Prices&amp;Fuel'!$H175+'Prices&amp;Fuel'!$H176*'Long Term Deals'!P176+'Long Term Deals'!P177*'Prices&amp;Fuel'!$H177+'Long Term Deals'!P178*'Prices&amp;Fuel'!$H178+'Long Term Deals'!P179*'Prices&amp;Fuel'!$H179+'Long Term Deals'!P180*'Prices&amp;Fuel'!$H180+'Long Term Deals'!P181*'Prices&amp;Fuel'!$H181+'Long Term Deals'!P182*'Prices&amp;Fuel'!$H182+'Long Term Deals'!P183*'Prices&amp;Fuel'!$H183+'Long Term Deals'!P184*'Prices&amp;Fuel'!$H184+'Long Term Deals'!P185*'Prices&amp;Fuel'!$H185+'Long Term Deals'!P186*'Prices&amp;Fuel'!$H186)/SUM('Prices&amp;Fuel'!$H175:$H186)</f>
        <v>5367.50819672131</v>
      </c>
      <c r="Q19" s="7" t="n">
        <f aca="false">('Long Term Deals'!Q175*'Prices&amp;Fuel'!$H175+'Prices&amp;Fuel'!$H176*'Long Term Deals'!Q176+'Long Term Deals'!Q177*'Prices&amp;Fuel'!$H177+'Long Term Deals'!Q178*'Prices&amp;Fuel'!$H178+'Long Term Deals'!Q179*'Prices&amp;Fuel'!$H179+'Long Term Deals'!Q180*'Prices&amp;Fuel'!$H180+'Long Term Deals'!Q181*'Prices&amp;Fuel'!$H181+'Long Term Deals'!Q182*'Prices&amp;Fuel'!$H182+'Long Term Deals'!Q183*'Prices&amp;Fuel'!$H183+'Long Term Deals'!Q184*'Prices&amp;Fuel'!$H184+'Long Term Deals'!Q185*'Prices&amp;Fuel'!$H185+'Long Term Deals'!Q186*'Prices&amp;Fuel'!$H186)/SUM('Prices&amp;Fuel'!$H175:$H186)</f>
        <v>2620.60109289618</v>
      </c>
      <c r="T19" s="7" t="n">
        <f aca="false">SUM('Long Term Deals'!T175:T186)</f>
        <v>18485221.3</v>
      </c>
      <c r="U19" s="7" t="n">
        <f aca="false">SUM('Long Term Deals'!U175:U186)</f>
        <v>18421266.5</v>
      </c>
      <c r="V19" s="14" t="n">
        <f aca="false">T19-U19</f>
        <v>63954.799999997</v>
      </c>
      <c r="BB19" s="7" t="n">
        <f aca="false">('Long Term Deals'!BB175*'Prices&amp;Fuel'!$H175+'Prices&amp;Fuel'!$H176*'Long Term Deals'!BB176+'Long Term Deals'!BB177*'Prices&amp;Fuel'!$H177+'Long Term Deals'!BB178*'Prices&amp;Fuel'!$H178+'Long Term Deals'!BB179*'Prices&amp;Fuel'!$H179+'Long Term Deals'!BB180*'Prices&amp;Fuel'!$H180+'Long Term Deals'!BB181*'Prices&amp;Fuel'!$H181+'Long Term Deals'!BB182*'Prices&amp;Fuel'!$H182+'Long Term Deals'!BB183*'Prices&amp;Fuel'!$H183+'Long Term Deals'!BB184*'Prices&amp;Fuel'!$H184+'Long Term Deals'!BB185*'Prices&amp;Fuel'!$H185+'Long Term Deals'!BB186*'Prices&amp;Fuel'!$H186)/SUM('Prices&amp;Fuel'!$H175:$H186)</f>
        <v>6824.17857193027</v>
      </c>
      <c r="BC19" s="7" t="n">
        <f aca="false">('Long Term Deals'!BC175*'Prices&amp;Fuel'!$H175+'Prices&amp;Fuel'!$H176*'Long Term Deals'!BC176+'Long Term Deals'!BC177*'Prices&amp;Fuel'!$H177+'Long Term Deals'!BC178*'Prices&amp;Fuel'!$H178+'Long Term Deals'!BC179*'Prices&amp;Fuel'!$H179+'Long Term Deals'!BC180*'Prices&amp;Fuel'!$H180+'Long Term Deals'!BC181*'Prices&amp;Fuel'!$H181+'Long Term Deals'!BC182*'Prices&amp;Fuel'!$H182+'Long Term Deals'!BC183*'Prices&amp;Fuel'!$H183+'Long Term Deals'!BC184*'Prices&amp;Fuel'!$H184+'Long Term Deals'!BC185*'Prices&amp;Fuel'!$H185+'Long Term Deals'!BC186*'Prices&amp;Fuel'!$H186)/SUM('Prices&amp;Fuel'!$H175:$H186)</f>
        <v>0</v>
      </c>
      <c r="BD19" s="7" t="n">
        <f aca="false">('Long Term Deals'!BD175*'Prices&amp;Fuel'!$H175+'Prices&amp;Fuel'!$H176*'Long Term Deals'!BD176+'Long Term Deals'!BD177*'Prices&amp;Fuel'!$H177+'Long Term Deals'!BD178*'Prices&amp;Fuel'!$H178+'Long Term Deals'!BD179*'Prices&amp;Fuel'!$H179+'Long Term Deals'!BD180*'Prices&amp;Fuel'!$H180+'Long Term Deals'!BD181*'Prices&amp;Fuel'!$H181+'Long Term Deals'!BD182*'Prices&amp;Fuel'!$H182+'Long Term Deals'!BD183*'Prices&amp;Fuel'!$H183+'Long Term Deals'!BD184*'Prices&amp;Fuel'!$H184+'Long Term Deals'!BD185*'Prices&amp;Fuel'!$H185+'Long Term Deals'!BD186*'Prices&amp;Fuel'!$H186)/SUM('Prices&amp;Fuel'!$H175:$H186)</f>
        <v>3038.43679323465</v>
      </c>
      <c r="BE19" s="7" t="n">
        <f aca="false">('Long Term Deals'!BE175*'Prices&amp;Fuel'!$H175+'Prices&amp;Fuel'!$H176*'Long Term Deals'!BE176+'Long Term Deals'!BE177*'Prices&amp;Fuel'!$H177+'Long Term Deals'!BE178*'Prices&amp;Fuel'!$H178+'Long Term Deals'!BE179*'Prices&amp;Fuel'!$H179+'Long Term Deals'!BE180*'Prices&amp;Fuel'!$H180+'Long Term Deals'!BE181*'Prices&amp;Fuel'!$H181+'Long Term Deals'!BE182*'Prices&amp;Fuel'!$H182+'Long Term Deals'!BE183*'Prices&amp;Fuel'!$H183+'Long Term Deals'!BE184*'Prices&amp;Fuel'!$H184+'Long Term Deals'!BE185*'Prices&amp;Fuel'!$H185+'Long Term Deals'!BE186*'Prices&amp;Fuel'!$H186)/SUM('Prices&amp;Fuel'!$H175:$H186)</f>
        <v>2307.57301192634</v>
      </c>
      <c r="BF19" s="7" t="n">
        <f aca="false">('Long Term Deals'!BF175*'Prices&amp;Fuel'!$H175+'Prices&amp;Fuel'!$H176*'Long Term Deals'!BF176+'Long Term Deals'!BF177*'Prices&amp;Fuel'!$H177+'Long Term Deals'!BF178*'Prices&amp;Fuel'!$H178+'Long Term Deals'!BF179*'Prices&amp;Fuel'!$H179+'Long Term Deals'!BF180*'Prices&amp;Fuel'!$H180+'Long Term Deals'!BF181*'Prices&amp;Fuel'!$H181+'Long Term Deals'!BF182*'Prices&amp;Fuel'!$H182+'Long Term Deals'!BF183*'Prices&amp;Fuel'!$H183+'Long Term Deals'!BF184*'Prices&amp;Fuel'!$H184+'Long Term Deals'!BF185*'Prices&amp;Fuel'!$H185+'Long Term Deals'!BF186*'Prices&amp;Fuel'!$H186)/SUM('Prices&amp;Fuel'!$H175:$H186)</f>
        <v>3418.27861828705</v>
      </c>
      <c r="BG19" s="7" t="n">
        <f aca="false">('Long Term Deals'!BG175*'Prices&amp;Fuel'!$H175+'Prices&amp;Fuel'!$H176*'Long Term Deals'!BG176+'Long Term Deals'!BG177*'Prices&amp;Fuel'!$H177+'Long Term Deals'!BG178*'Prices&amp;Fuel'!$H178+'Long Term Deals'!BG179*'Prices&amp;Fuel'!$H179+'Long Term Deals'!BG180*'Prices&amp;Fuel'!$H180+'Long Term Deals'!BG181*'Prices&amp;Fuel'!$H181+'Long Term Deals'!BG182*'Prices&amp;Fuel'!$H182+'Long Term Deals'!BG183*'Prices&amp;Fuel'!$H183+'Long Term Deals'!BG184*'Prices&amp;Fuel'!$H184+'Long Term Deals'!BG185*'Prices&amp;Fuel'!$H185+'Long Term Deals'!BG186*'Prices&amp;Fuel'!$H186)/SUM('Prices&amp;Fuel'!$H175:$H186)</f>
        <v>1403.39949709919</v>
      </c>
      <c r="BH19" s="10"/>
      <c r="BI19" s="10"/>
      <c r="BJ19" s="10"/>
      <c r="BK19" s="10"/>
      <c r="BL19" s="7" t="n">
        <f aca="false">SUM('Long Term Deals'!BL175:BL186)</f>
        <v>29226949.0808429</v>
      </c>
      <c r="BM19" s="9"/>
      <c r="BN19" s="9"/>
      <c r="BP19" s="7" t="n">
        <f aca="false">SUM('Long Term Deals'!BP175:BP186)</f>
        <v>28752983.8622012</v>
      </c>
      <c r="BQ19" s="5" t="n">
        <f aca="false">BL19-BP19</f>
        <v>473965.218641657</v>
      </c>
      <c r="CA19" s="7" t="n">
        <f aca="false">SUM('Long Term Deals'!CA175:CA186)</f>
        <v>0</v>
      </c>
      <c r="CB19" s="7" t="n">
        <f aca="false">SUM('Long Term Deals'!CB175:CB186)</f>
        <v>53936.1156812338</v>
      </c>
      <c r="CC19" s="7" t="n">
        <f aca="false">SUM('Long Term Deals'!CC175:CC186)</f>
        <v>47712170.3808429</v>
      </c>
      <c r="CD19" s="7" t="n">
        <f aca="false">SUM('Long Term Deals'!CD175:CD186)</f>
        <v>47228186.4778824</v>
      </c>
      <c r="CE19" s="7" t="n">
        <f aca="false">SUM('Long Term Deals'!CE175:CE186)</f>
        <v>483983.902960422</v>
      </c>
      <c r="CF19" s="7" t="n">
        <f aca="false">SUM('Long Term Deals'!CF175:CF186)</f>
        <v>0</v>
      </c>
      <c r="CG19" s="7" t="n">
        <f aca="false">SUM('Long Term Deals'!CG175:CG186)</f>
        <v>0</v>
      </c>
      <c r="CH19" s="7" t="n">
        <f aca="false">SUM('Long Term Deals'!CH175:CH186)</f>
        <v>0</v>
      </c>
      <c r="CI19" s="7" t="n">
        <f aca="false">SUM('Long Term Deals'!CI175:CI186)</f>
        <v>0</v>
      </c>
      <c r="CJ19" s="7" t="n">
        <f aca="false">SUM('Long Term Deals'!CJ175:CJ186)</f>
        <v>47712170.3808429</v>
      </c>
      <c r="CK19" s="7" t="n">
        <f aca="false">SUM('Long Term Deals'!CK175:CK186)</f>
        <v>47228186.4778824</v>
      </c>
      <c r="CL19" s="7" t="n">
        <f aca="false">SUM('Long Term Deals'!CL175:CL186)</f>
        <v>483983.902960422</v>
      </c>
      <c r="CM19" s="7" t="n">
        <f aca="false">SUM('Long Term Deals'!CM175:CM186)</f>
        <v>483983.902960422</v>
      </c>
      <c r="CN19" s="7" t="n">
        <f aca="false">SUM('Long Term Deals'!CN175:CN186)</f>
        <v>1.9933954172302E-008</v>
      </c>
      <c r="CO19" s="7" t="n">
        <f aca="false">SUM('Long Term Deals'!CO175:CO186)</f>
        <v>0</v>
      </c>
      <c r="CP19" s="7" t="n">
        <f aca="false">SUM('Long Term Deals'!CP175:CP186)</f>
        <v>0</v>
      </c>
      <c r="CQ19" s="7" t="n">
        <f aca="false">SUM('Long Term Deals'!CQ175:CQ186)</f>
        <v>26540.4999999999</v>
      </c>
      <c r="CR19" s="7" t="n">
        <f aca="false">SUM('Long Term Deals'!CR175:CR186)</f>
        <v>26540.4999999999</v>
      </c>
      <c r="CS19" s="7" t="n">
        <f aca="false">SUM('Long Term Deals'!CS175:CS186)</f>
        <v>0</v>
      </c>
      <c r="CT19" s="7" t="n">
        <f aca="false">SUM('Long Term Deals'!CT175:CT186)</f>
        <v>0</v>
      </c>
      <c r="CU19" s="7" t="n">
        <f aca="false">SUM('Long Term Deals'!CU175:CU186)</f>
        <v>0</v>
      </c>
      <c r="CV19" s="76" t="n">
        <f aca="false">SUM('Long Term Deals'!CV175:CV186)</f>
        <v>483983.902960402</v>
      </c>
      <c r="CW19" s="14" t="n">
        <f aca="false">AF19+AG19+AH19</f>
        <v>0</v>
      </c>
      <c r="CX19" s="14" t="n">
        <f aca="false">B19+C19+D19+O19+P19+Q19+X19+Y19+BB19+BC19+BD19+BE19+BF19+BG19+BR19+BS19</f>
        <v>29473.2872575048</v>
      </c>
      <c r="CY19" s="14" t="n">
        <f aca="false">(CW19+CX19)*365</f>
        <v>10757749.8489893</v>
      </c>
      <c r="CZ19" s="14" t="n">
        <f aca="false">SUM(BB19:BG19)</f>
        <v>16991.8664924775</v>
      </c>
      <c r="DA19" s="14" t="n">
        <f aca="false">B19+C19+D19+O19+P19+Q19+X19+Y19+BR19+BS19</f>
        <v>12481.4207650273</v>
      </c>
    </row>
    <row r="20" customFormat="false" ht="12.75" hidden="false" customHeight="false" outlineLevel="0" collapsed="false">
      <c r="A20" s="75" t="n">
        <v>41284.9999999996</v>
      </c>
      <c r="BB20" s="7" t="n">
        <f aca="false">('Long Term Deals'!BB187*'Prices&amp;Fuel'!$H187+'Prices&amp;Fuel'!$H188*'Long Term Deals'!BB188+'Long Term Deals'!BB189*'Prices&amp;Fuel'!$H189+'Long Term Deals'!BB190*'Prices&amp;Fuel'!$H190+'Long Term Deals'!BB191*'Prices&amp;Fuel'!$H191+'Long Term Deals'!BB192*'Prices&amp;Fuel'!$H192+'Long Term Deals'!BB193*'Prices&amp;Fuel'!$H193+'Long Term Deals'!BB194*'Prices&amp;Fuel'!$H194+'Long Term Deals'!BB195*'Prices&amp;Fuel'!$H195+'Long Term Deals'!BB196*'Prices&amp;Fuel'!$H196+'Long Term Deals'!BB197*'Prices&amp;Fuel'!$H197+'Long Term Deals'!BB198*'Prices&amp;Fuel'!$H198)/SUM('Prices&amp;Fuel'!$H187:$H198)</f>
        <v>6108.05366764095</v>
      </c>
      <c r="BC20" s="7" t="n">
        <f aca="false">('Long Term Deals'!BC187*'Prices&amp;Fuel'!$H187+'Prices&amp;Fuel'!$H188*'Long Term Deals'!BC188+'Long Term Deals'!BC189*'Prices&amp;Fuel'!$H189+'Long Term Deals'!BC190*'Prices&amp;Fuel'!$H190+'Long Term Deals'!BC191*'Prices&amp;Fuel'!$H191+'Long Term Deals'!BC192*'Prices&amp;Fuel'!$H192+'Long Term Deals'!BC193*'Prices&amp;Fuel'!$H193+'Long Term Deals'!BC194*'Prices&amp;Fuel'!$H194+'Long Term Deals'!BC195*'Prices&amp;Fuel'!$H195+'Long Term Deals'!BC196*'Prices&amp;Fuel'!$H196+'Long Term Deals'!BC197*'Prices&amp;Fuel'!$H197+'Long Term Deals'!BC198*'Prices&amp;Fuel'!$H198)/SUM('Prices&amp;Fuel'!$H187:$H198)</f>
        <v>0</v>
      </c>
      <c r="BD20" s="7" t="n">
        <f aca="false">('Long Term Deals'!BD187*'Prices&amp;Fuel'!$H187+'Prices&amp;Fuel'!$H188*'Long Term Deals'!BD188+'Long Term Deals'!BD189*'Prices&amp;Fuel'!$H189+'Long Term Deals'!BD190*'Prices&amp;Fuel'!$H190+'Long Term Deals'!BD191*'Prices&amp;Fuel'!$H191+'Long Term Deals'!BD192*'Prices&amp;Fuel'!$H192+'Long Term Deals'!BD193*'Prices&amp;Fuel'!$H193+'Long Term Deals'!BD194*'Prices&amp;Fuel'!$H194+'Long Term Deals'!BD195*'Prices&amp;Fuel'!$H195+'Long Term Deals'!BD196*'Prices&amp;Fuel'!$H196+'Long Term Deals'!BD197*'Prices&amp;Fuel'!$H197+'Long Term Deals'!BD198*'Prices&amp;Fuel'!$H198)/SUM('Prices&amp;Fuel'!$H187:$H198)</f>
        <v>3046.76127759967</v>
      </c>
      <c r="BE20" s="7" t="n">
        <f aca="false">('Long Term Deals'!BE187*'Prices&amp;Fuel'!$H187+'Prices&amp;Fuel'!$H188*'Long Term Deals'!BE188+'Long Term Deals'!BE189*'Prices&amp;Fuel'!$H189+'Long Term Deals'!BE190*'Prices&amp;Fuel'!$H190+'Long Term Deals'!BE191*'Prices&amp;Fuel'!$H191+'Long Term Deals'!BE192*'Prices&amp;Fuel'!$H192+'Long Term Deals'!BE193*'Prices&amp;Fuel'!$H193+'Long Term Deals'!BE194*'Prices&amp;Fuel'!$H194+'Long Term Deals'!BE195*'Prices&amp;Fuel'!$H195+'Long Term Deals'!BE196*'Prices&amp;Fuel'!$H196+'Long Term Deals'!BE197*'Prices&amp;Fuel'!$H197+'Long Term Deals'!BE198*'Prices&amp;Fuel'!$H198)/SUM('Prices&amp;Fuel'!$H187:$H198)</f>
        <v>1866.22530549002</v>
      </c>
      <c r="BF20" s="7" t="n">
        <f aca="false">('Long Term Deals'!BF187*'Prices&amp;Fuel'!$H187+'Prices&amp;Fuel'!$H188*'Long Term Deals'!BF188+'Long Term Deals'!BF189*'Prices&amp;Fuel'!$H189+'Long Term Deals'!BF190*'Prices&amp;Fuel'!$H190+'Long Term Deals'!BF191*'Prices&amp;Fuel'!$H191+'Long Term Deals'!BF192*'Prices&amp;Fuel'!$H192+'Long Term Deals'!BF193*'Prices&amp;Fuel'!$H193+'Long Term Deals'!BF194*'Prices&amp;Fuel'!$H194+'Long Term Deals'!BF195*'Prices&amp;Fuel'!$H195+'Long Term Deals'!BF196*'Prices&amp;Fuel'!$H196+'Long Term Deals'!BF197*'Prices&amp;Fuel'!$H197+'Long Term Deals'!BF198*'Prices&amp;Fuel'!$H198)/SUM('Prices&amp;Fuel'!$H187:$H198)</f>
        <v>2808.45159699968</v>
      </c>
      <c r="BG20" s="7" t="n">
        <f aca="false">('Long Term Deals'!BG187*'Prices&amp;Fuel'!$H187+'Prices&amp;Fuel'!$H188*'Long Term Deals'!BG188+'Long Term Deals'!BG189*'Prices&amp;Fuel'!$H189+'Long Term Deals'!BG190*'Prices&amp;Fuel'!$H190+'Long Term Deals'!BG191*'Prices&amp;Fuel'!$H191+'Long Term Deals'!BG192*'Prices&amp;Fuel'!$H192+'Long Term Deals'!BG193*'Prices&amp;Fuel'!$H193+'Long Term Deals'!BG194*'Prices&amp;Fuel'!$H194+'Long Term Deals'!BG195*'Prices&amp;Fuel'!$H195+'Long Term Deals'!BG196*'Prices&amp;Fuel'!$H196+'Long Term Deals'!BG197*'Prices&amp;Fuel'!$H197+'Long Term Deals'!BG198*'Prices&amp;Fuel'!$H198)/SUM('Prices&amp;Fuel'!$H187:$H198)</f>
        <v>1112.93164770927</v>
      </c>
      <c r="BH20" s="10"/>
      <c r="BI20" s="10"/>
      <c r="BJ20" s="10"/>
      <c r="BK20" s="10"/>
      <c r="BL20" s="7" t="n">
        <f aca="false">SUM('Long Term Deals'!BL187:BL198)</f>
        <v>26383642.8069177</v>
      </c>
      <c r="BM20" s="9"/>
      <c r="BN20" s="9"/>
      <c r="BP20" s="7" t="n">
        <f aca="false">SUM('Long Term Deals'!BP187:BP198)</f>
        <v>26021676.1365974</v>
      </c>
      <c r="BQ20" s="5" t="n">
        <f aca="false">BL20-BP20</f>
        <v>361966.670320354</v>
      </c>
      <c r="CA20" s="7" t="n">
        <f aca="false">SUM('Long Term Deals'!CA187:CA198)</f>
        <v>0</v>
      </c>
      <c r="CB20" s="7" t="n">
        <f aca="false">SUM('Long Term Deals'!CB187:CB198)</f>
        <v>23922.8791773778</v>
      </c>
      <c r="CC20" s="7" t="n">
        <f aca="false">SUM('Long Term Deals'!CC187:CC198)</f>
        <v>22044481.2394954</v>
      </c>
      <c r="CD20" s="7" t="n">
        <f aca="false">SUM('Long Term Deals'!CD187:CD198)</f>
        <v>21757211.3007646</v>
      </c>
      <c r="CE20" s="7" t="n">
        <f aca="false">SUM('Long Term Deals'!CE187:CE198)</f>
        <v>287269.938730818</v>
      </c>
      <c r="CF20" s="7" t="n">
        <f aca="false">SUM('Long Term Deals'!CF187:CF198)</f>
        <v>0</v>
      </c>
      <c r="CG20" s="7" t="n">
        <f aca="false">SUM('Long Term Deals'!CG187:CG198)</f>
        <v>0</v>
      </c>
      <c r="CH20" s="7" t="n">
        <f aca="false">SUM('Long Term Deals'!CH187:CH198)</f>
        <v>0</v>
      </c>
      <c r="CI20" s="7" t="n">
        <f aca="false">SUM('Long Term Deals'!CI187:CI198)</f>
        <v>0</v>
      </c>
      <c r="CJ20" s="7" t="n">
        <f aca="false">SUM('Long Term Deals'!CJ187:CJ198)</f>
        <v>22044481.2394954</v>
      </c>
      <c r="CK20" s="7" t="n">
        <f aca="false">SUM('Long Term Deals'!CK187:CK198)</f>
        <v>21757211.3007646</v>
      </c>
      <c r="CL20" s="7" t="n">
        <f aca="false">SUM('Long Term Deals'!CL187:CL198)</f>
        <v>287269.938730818</v>
      </c>
      <c r="CM20" s="7" t="n">
        <f aca="false">SUM('Long Term Deals'!CM187:CM198)</f>
        <v>0</v>
      </c>
      <c r="CN20" s="7" t="n">
        <f aca="false">SUM('Long Term Deals'!CN187:CN198)</f>
        <v>188569.51960002</v>
      </c>
      <c r="CO20" s="7" t="n">
        <f aca="false">SUM('Long Term Deals'!CO187:CO198)</f>
        <v>0</v>
      </c>
      <c r="CP20" s="7" t="n">
        <f aca="false">SUM('Long Term Deals'!CP187:CP198)</f>
        <v>0</v>
      </c>
      <c r="CQ20" s="7" t="n">
        <f aca="false">SUM('Long Term Deals'!CQ187:CQ198)</f>
        <v>11632.4999999999</v>
      </c>
      <c r="CR20" s="7" t="n">
        <f aca="false">SUM('Long Term Deals'!CR187:CR198)</f>
        <v>11632.4999999999</v>
      </c>
      <c r="CS20" s="7" t="n">
        <f aca="false">SUM('Long Term Deals'!CS187:CS198)</f>
        <v>0</v>
      </c>
      <c r="CT20" s="7" t="n">
        <f aca="false">SUM('Long Term Deals'!CT187:CT198)</f>
        <v>0</v>
      </c>
      <c r="CU20" s="7" t="n">
        <f aca="false">SUM('Long Term Deals'!CU187:CU198)</f>
        <v>0</v>
      </c>
      <c r="CV20" s="76" t="n">
        <f aca="false">SUM('Long Term Deals'!CV187:CV198)</f>
        <v>98700.4191307985</v>
      </c>
      <c r="CW20" s="14" t="n">
        <f aca="false">AF20+AG20+AH20</f>
        <v>0</v>
      </c>
      <c r="CX20" s="14" t="n">
        <f aca="false">B20+C20+D20+O20+P20+Q20+X20+Y20+BB20+BC20+BD20+BE20+BF20+BG20+BR20+BS20</f>
        <v>14942.4234954396</v>
      </c>
      <c r="CY20" s="14" t="n">
        <f aca="false">(CW20+CX20)*365</f>
        <v>5453984.57583545</v>
      </c>
      <c r="CZ20" s="14" t="n">
        <f aca="false">SUM(BB20:BG20)</f>
        <v>14942.4234954396</v>
      </c>
      <c r="DA20" s="14" t="n">
        <f aca="false">B20+C20+D20+O20+P20+Q20+X20+Y20+BR20+BS20</f>
        <v>0</v>
      </c>
    </row>
    <row r="21" customFormat="false" ht="11.25" hidden="false" customHeight="false" outlineLevel="0" collapsed="false">
      <c r="A21" s="75" t="n">
        <f aca="false">A20+365</f>
        <v>41649.9999999996</v>
      </c>
      <c r="G21" s="7"/>
      <c r="J21" s="7"/>
      <c r="K21" s="7"/>
      <c r="L21" s="7"/>
      <c r="M21" s="7"/>
      <c r="N21" s="7"/>
      <c r="O21" s="7"/>
      <c r="P21" s="7"/>
      <c r="Q21" s="7"/>
      <c r="R21" s="7"/>
      <c r="S21" s="7"/>
      <c r="T21" s="7"/>
      <c r="U21" s="7"/>
      <c r="V21" s="7"/>
      <c r="W21" s="7"/>
      <c r="X21" s="7"/>
      <c r="Y21" s="7"/>
      <c r="Z21" s="7"/>
      <c r="AA21" s="7"/>
      <c r="AB21" s="7"/>
      <c r="AC21" s="7"/>
      <c r="AD21" s="7"/>
      <c r="AE21" s="7"/>
      <c r="AF21" s="7"/>
      <c r="AH21" s="7"/>
      <c r="AI21" s="7"/>
      <c r="AJ21" s="7"/>
      <c r="AK21" s="7"/>
      <c r="AL21" s="7"/>
      <c r="AM21" s="7"/>
      <c r="AN21" s="7"/>
      <c r="AO21" s="7"/>
      <c r="AP21" s="7"/>
      <c r="AQ21" s="7"/>
      <c r="AR21" s="7"/>
      <c r="AS21" s="7"/>
      <c r="AT21" s="7"/>
      <c r="AU21" s="7"/>
      <c r="AW21" s="7"/>
      <c r="AX21" s="7"/>
      <c r="AY21" s="7"/>
      <c r="AZ21" s="7"/>
      <c r="BA21" s="7"/>
      <c r="BB21" s="5"/>
      <c r="BC21" s="9"/>
      <c r="BD21" s="9"/>
      <c r="BE21" s="9"/>
      <c r="BF21" s="9"/>
      <c r="BG21" s="9"/>
      <c r="BH21" s="7"/>
      <c r="BI21" s="7"/>
      <c r="BJ21" s="7"/>
      <c r="BK21" s="7"/>
      <c r="BL21" s="7"/>
      <c r="BM21" s="7"/>
      <c r="BN21" s="7"/>
      <c r="BO21" s="7"/>
      <c r="BP21" s="7"/>
      <c r="BQ21" s="7"/>
      <c r="BT21" s="7"/>
      <c r="BU21" s="7"/>
      <c r="BV21" s="7"/>
      <c r="BW21" s="7"/>
      <c r="BX21" s="7"/>
      <c r="BY21" s="7"/>
      <c r="BZ21" s="7"/>
      <c r="CA21" s="7"/>
      <c r="CB21" s="7"/>
      <c r="CC21" s="7"/>
      <c r="CD21" s="7"/>
      <c r="CE21" s="7"/>
      <c r="CF21" s="7"/>
      <c r="CG21" s="7"/>
      <c r="CH21" s="7"/>
      <c r="CI21" s="7"/>
      <c r="CJ21" s="7"/>
      <c r="CK21" s="7"/>
      <c r="CL21" s="7"/>
      <c r="CM21" s="7"/>
      <c r="CN21" s="7" t="n">
        <f aca="false">SUM('Long Term Deals'!CN199:CN210)</f>
        <v>2576387.3564</v>
      </c>
      <c r="CV21" s="7" t="n">
        <f aca="false">SUM('Long Term Deals'!CV199:CV210)</f>
        <v>-2576387.3564</v>
      </c>
      <c r="CZ21" s="14" t="n">
        <f aca="false">SUM(BB21:BG21)</f>
        <v>0</v>
      </c>
    </row>
    <row r="22" customFormat="false" ht="11.25" hidden="false" customHeight="false" outlineLevel="0" collapsed="false">
      <c r="A22" s="75" t="n">
        <f aca="false">A21+365</f>
        <v>42014.9999999996</v>
      </c>
      <c r="G22" s="7"/>
      <c r="J22" s="7"/>
      <c r="K22" s="7"/>
      <c r="L22" s="7"/>
      <c r="M22" s="7"/>
      <c r="N22" s="7"/>
      <c r="O22" s="7"/>
      <c r="P22" s="7"/>
      <c r="Q22" s="7"/>
      <c r="R22" s="7"/>
      <c r="S22" s="7"/>
      <c r="T22" s="7"/>
      <c r="U22" s="7"/>
      <c r="V22" s="7"/>
      <c r="W22" s="7"/>
      <c r="X22" s="7"/>
      <c r="Y22" s="7"/>
      <c r="Z22" s="7"/>
      <c r="AA22" s="7"/>
      <c r="AB22" s="7"/>
      <c r="AC22" s="7"/>
      <c r="AD22" s="7"/>
      <c r="AE22" s="7"/>
      <c r="AF22" s="7"/>
      <c r="AH22" s="7"/>
      <c r="AI22" s="7"/>
      <c r="AJ22" s="7"/>
      <c r="AK22" s="7"/>
      <c r="AL22" s="7"/>
      <c r="AM22" s="7"/>
      <c r="AN22" s="7"/>
      <c r="AO22" s="7"/>
      <c r="AP22" s="7"/>
      <c r="AQ22" s="7"/>
      <c r="AR22" s="7"/>
      <c r="AS22" s="7"/>
      <c r="AT22" s="7"/>
      <c r="AU22" s="7"/>
      <c r="AW22" s="7"/>
      <c r="AX22" s="7"/>
      <c r="AY22" s="7"/>
      <c r="AZ22" s="7"/>
      <c r="BA22" s="7"/>
      <c r="BB22" s="5"/>
      <c r="BC22" s="9"/>
      <c r="BD22" s="9"/>
      <c r="BE22" s="9"/>
      <c r="BF22" s="9"/>
      <c r="BG22" s="9"/>
      <c r="BH22" s="7"/>
      <c r="BI22" s="7"/>
      <c r="BJ22" s="7"/>
      <c r="BK22" s="7"/>
      <c r="BL22" s="7"/>
      <c r="BM22" s="7"/>
      <c r="BN22" s="7"/>
      <c r="BO22" s="7"/>
      <c r="BP22" s="7"/>
      <c r="BQ22" s="7"/>
      <c r="BT22" s="7"/>
      <c r="BU22" s="7"/>
      <c r="BV22" s="7"/>
      <c r="BW22" s="7"/>
      <c r="BX22" s="7"/>
      <c r="BY22" s="7"/>
      <c r="BZ22" s="7"/>
      <c r="CA22" s="7"/>
      <c r="CB22" s="7"/>
      <c r="CC22" s="7"/>
      <c r="CD22" s="7"/>
      <c r="CE22" s="7"/>
      <c r="CF22" s="7"/>
      <c r="CG22" s="7"/>
      <c r="CH22" s="7"/>
      <c r="CI22" s="7"/>
      <c r="CJ22" s="7"/>
      <c r="CK22" s="7"/>
      <c r="CL22" s="7"/>
      <c r="CM22" s="7"/>
      <c r="CN22" s="7" t="n">
        <f aca="false">SUM('Long Term Deals'!CN211:CN212)</f>
        <v>182386.9124</v>
      </c>
      <c r="CV22" s="7" t="n">
        <f aca="false">SUM('Long Term Deals'!CV211:CV212)</f>
        <v>-182386.9124</v>
      </c>
      <c r="CZ22" s="14" t="n">
        <f aca="false">SUM(BB22:BG22)</f>
        <v>0</v>
      </c>
    </row>
    <row r="23" customFormat="false" ht="11.25" hidden="false" customHeight="false" outlineLevel="0" collapsed="false">
      <c r="A23" s="75"/>
      <c r="G23" s="7"/>
      <c r="J23" s="7"/>
      <c r="K23" s="7"/>
      <c r="L23" s="7"/>
      <c r="M23" s="7"/>
      <c r="N23" s="7"/>
      <c r="O23" s="7"/>
      <c r="P23" s="7"/>
      <c r="Q23" s="7"/>
      <c r="R23" s="7"/>
      <c r="S23" s="7"/>
      <c r="T23" s="7"/>
      <c r="U23" s="7"/>
      <c r="V23" s="7"/>
      <c r="W23" s="7"/>
      <c r="X23" s="7"/>
      <c r="Y23" s="7"/>
      <c r="Z23" s="7"/>
      <c r="AA23" s="7"/>
      <c r="AB23" s="7"/>
      <c r="AC23" s="7"/>
      <c r="AD23" s="7"/>
      <c r="AE23" s="7"/>
      <c r="AF23" s="7"/>
      <c r="AH23" s="7"/>
      <c r="AI23" s="7"/>
      <c r="AJ23" s="7"/>
      <c r="AK23" s="7"/>
      <c r="AL23" s="7"/>
      <c r="AM23" s="7"/>
      <c r="AN23" s="7"/>
      <c r="AO23" s="7"/>
      <c r="AP23" s="7"/>
      <c r="AQ23" s="7"/>
      <c r="AR23" s="7"/>
      <c r="AS23" s="7"/>
      <c r="AT23" s="7"/>
      <c r="AU23" s="7"/>
      <c r="AW23" s="7"/>
      <c r="AX23" s="7"/>
      <c r="AY23" s="7"/>
      <c r="AZ23" s="7"/>
      <c r="BA23" s="7"/>
      <c r="BB23" s="5"/>
      <c r="BC23" s="9"/>
      <c r="BD23" s="9"/>
      <c r="BE23" s="9"/>
      <c r="BF23" s="9"/>
      <c r="BG23" s="9"/>
      <c r="BH23" s="7"/>
      <c r="BI23" s="7"/>
      <c r="BJ23" s="7"/>
      <c r="BK23" s="7"/>
      <c r="BL23" s="7"/>
      <c r="BM23" s="7"/>
      <c r="BN23" s="7"/>
      <c r="BO23" s="7"/>
      <c r="BP23" s="7"/>
      <c r="BQ23" s="7"/>
      <c r="BT23" s="7"/>
      <c r="BU23" s="7"/>
      <c r="BV23" s="7"/>
      <c r="BW23" s="7"/>
      <c r="BX23" s="7"/>
      <c r="BY23" s="7"/>
      <c r="BZ23" s="7"/>
      <c r="CA23" s="7"/>
      <c r="CB23" s="7"/>
      <c r="CC23" s="7"/>
      <c r="CD23" s="7"/>
      <c r="CE23" s="7"/>
      <c r="CF23" s="7"/>
      <c r="CG23" s="7"/>
      <c r="CH23" s="7"/>
      <c r="CI23" s="7"/>
      <c r="CJ23" s="7"/>
      <c r="CK23" s="7"/>
      <c r="CL23" s="7"/>
      <c r="CM23" s="7"/>
      <c r="CV23" s="14" t="n">
        <f aca="false">SUM(CV5:CV22)</f>
        <v>94123724.6775133</v>
      </c>
      <c r="CZ23" s="14" t="n">
        <f aca="false">SUM(BB23:BG23)</f>
        <v>0</v>
      </c>
    </row>
    <row r="24" customFormat="false" ht="12.75" hidden="false" customHeight="false" outlineLevel="0" collapsed="false">
      <c r="A24" s="75"/>
      <c r="B24" s="0"/>
      <c r="C24" s="0"/>
      <c r="D24" s="0"/>
      <c r="E24" s="0"/>
      <c r="F24" s="0"/>
      <c r="G24" s="0"/>
      <c r="H24" s="0"/>
      <c r="I24" s="0"/>
      <c r="J24" s="0"/>
      <c r="K24" s="0"/>
      <c r="N24" s="0"/>
      <c r="O24" s="0"/>
      <c r="P24" s="0"/>
      <c r="Q24" s="0"/>
      <c r="R24" s="0"/>
      <c r="S24" s="0"/>
      <c r="T24" s="0"/>
      <c r="U24" s="0"/>
      <c r="W24" s="0"/>
      <c r="X24" s="0"/>
      <c r="Y24" s="0"/>
      <c r="Z24" s="0"/>
      <c r="AA24" s="0"/>
      <c r="AB24" s="0"/>
      <c r="AC24" s="0"/>
      <c r="AD24" s="0"/>
      <c r="AE24" s="0"/>
      <c r="AF24" s="0"/>
      <c r="AG24" s="11"/>
      <c r="AH24" s="0"/>
      <c r="AI24" s="0"/>
      <c r="AJ24" s="0"/>
      <c r="AK24" s="0"/>
      <c r="AL24" s="0"/>
      <c r="AM24" s="0"/>
      <c r="AN24" s="0"/>
      <c r="AO24" s="0"/>
      <c r="AP24" s="0"/>
      <c r="AQ24" s="0"/>
      <c r="AR24" s="0"/>
      <c r="AS24" s="0"/>
      <c r="AT24" s="0"/>
      <c r="AU24" s="0"/>
      <c r="AV24" s="11"/>
      <c r="AW24" s="0"/>
      <c r="AX24" s="0"/>
      <c r="AY24" s="0"/>
      <c r="AZ24" s="0"/>
      <c r="BA24" s="0"/>
      <c r="BB24" s="5"/>
      <c r="BC24" s="9"/>
      <c r="BD24" s="9"/>
      <c r="BE24" s="9"/>
      <c r="BF24" s="9"/>
      <c r="BG24" s="9"/>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11"/>
      <c r="CR24" s="11"/>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2.75" hidden="false" customHeight="false" outlineLevel="0" collapsed="false">
      <c r="A25" s="75"/>
      <c r="B25" s="0"/>
      <c r="C25" s="0"/>
      <c r="D25" s="0"/>
      <c r="E25" s="0"/>
      <c r="F25" s="0"/>
      <c r="G25" s="0"/>
      <c r="H25" s="0"/>
      <c r="I25" s="0"/>
      <c r="J25" s="0"/>
      <c r="K25" s="0"/>
      <c r="N25" s="0"/>
      <c r="O25" s="0"/>
      <c r="P25" s="0"/>
      <c r="Q25" s="0"/>
      <c r="R25" s="0"/>
      <c r="S25" s="0"/>
      <c r="T25" s="0"/>
      <c r="U25" s="0"/>
      <c r="W25" s="0"/>
      <c r="X25" s="0"/>
      <c r="Y25" s="0"/>
      <c r="Z25" s="0"/>
      <c r="AA25" s="0"/>
      <c r="AB25" s="0"/>
      <c r="AC25" s="0"/>
      <c r="AD25" s="0"/>
      <c r="AE25" s="0"/>
      <c r="AF25" s="0"/>
      <c r="AG25" s="11"/>
      <c r="AH25" s="0"/>
      <c r="AI25" s="0"/>
      <c r="AJ25" s="0"/>
      <c r="AK25" s="0"/>
      <c r="AL25" s="0"/>
      <c r="AM25" s="0"/>
      <c r="AN25" s="0"/>
      <c r="AO25" s="0"/>
      <c r="AP25" s="0"/>
      <c r="AQ25" s="0"/>
      <c r="AR25" s="0"/>
      <c r="AS25" s="0"/>
      <c r="AT25" s="0"/>
      <c r="AU25" s="0"/>
      <c r="AV25" s="11"/>
      <c r="AW25" s="0"/>
      <c r="AX25" s="0"/>
      <c r="AY25" s="0"/>
      <c r="AZ25" s="0"/>
      <c r="BA25" s="0"/>
      <c r="BB25" s="5"/>
      <c r="BC25" s="9"/>
      <c r="BD25" s="9"/>
      <c r="BE25" s="9"/>
      <c r="BF25" s="9"/>
      <c r="BG25" s="9"/>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11"/>
      <c r="CR25" s="11"/>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2.75" hidden="false" customHeight="false" outlineLevel="0" collapsed="false">
      <c r="A26" s="75"/>
      <c r="B26" s="0"/>
      <c r="C26" s="0"/>
      <c r="D26" s="0"/>
      <c r="E26" s="0"/>
      <c r="F26" s="0"/>
      <c r="G26" s="0"/>
      <c r="H26" s="0"/>
      <c r="I26" s="0"/>
      <c r="J26" s="0"/>
      <c r="K26" s="0"/>
      <c r="N26" s="0"/>
      <c r="O26" s="0"/>
      <c r="P26" s="0"/>
      <c r="Q26" s="0"/>
      <c r="R26" s="0"/>
      <c r="S26" s="0"/>
      <c r="T26" s="0"/>
      <c r="U26" s="0"/>
      <c r="W26" s="0"/>
      <c r="X26" s="0"/>
      <c r="Y26" s="0"/>
      <c r="Z26" s="0"/>
      <c r="AA26" s="0"/>
      <c r="AB26" s="0"/>
      <c r="AC26" s="0"/>
      <c r="AD26" s="0"/>
      <c r="AE26" s="0"/>
      <c r="AF26" s="0"/>
      <c r="AG26" s="11"/>
      <c r="AH26" s="0"/>
      <c r="AI26" s="0"/>
      <c r="AJ26" s="0"/>
      <c r="AK26" s="0"/>
      <c r="AL26" s="0"/>
      <c r="AM26" s="0"/>
      <c r="AN26" s="0"/>
      <c r="AO26" s="0"/>
      <c r="AP26" s="0"/>
      <c r="AQ26" s="0"/>
      <c r="AR26" s="0"/>
      <c r="AS26" s="0"/>
      <c r="AT26" s="0"/>
      <c r="AU26" s="0"/>
      <c r="AV26" s="11"/>
      <c r="AW26" s="0"/>
      <c r="AX26" s="0"/>
      <c r="AY26" s="0"/>
      <c r="AZ26" s="0"/>
      <c r="BA26" s="0"/>
      <c r="BB26" s="5"/>
      <c r="BC26" s="9"/>
      <c r="BD26" s="9"/>
      <c r="BE26" s="9"/>
      <c r="BF26" s="9"/>
      <c r="BG26" s="9"/>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11"/>
      <c r="CR26" s="11"/>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2.75" hidden="false" customHeight="false" outlineLevel="0" collapsed="false">
      <c r="BB27" s="5"/>
      <c r="BC27" s="9"/>
      <c r="BD27" s="9"/>
      <c r="BE27" s="9"/>
      <c r="BF27" s="9"/>
      <c r="BG27" s="9"/>
      <c r="BQ27" s="14"/>
    </row>
    <row r="28" customFormat="false" ht="12.75" hidden="false" customHeight="false" outlineLevel="0" collapsed="false">
      <c r="BB28" s="5"/>
      <c r="BC28" s="9"/>
      <c r="BD28" s="9"/>
      <c r="BE28" s="9"/>
      <c r="BF28" s="9"/>
      <c r="BG28" s="9"/>
      <c r="BQ28" s="14"/>
    </row>
    <row r="29" customFormat="false" ht="12.75" hidden="false" customHeight="false" outlineLevel="0" collapsed="false">
      <c r="BB29" s="5"/>
      <c r="BC29" s="9"/>
      <c r="BD29" s="9"/>
      <c r="BE29" s="9"/>
      <c r="BF29" s="9"/>
      <c r="BG29" s="9"/>
      <c r="BQ29" s="14"/>
    </row>
    <row r="30" customFormat="false" ht="12.75" hidden="false" customHeight="false" outlineLevel="0" collapsed="false">
      <c r="BB30" s="5"/>
      <c r="BC30" s="9"/>
      <c r="BD30" s="9"/>
      <c r="BE30" s="9"/>
      <c r="BF30" s="9"/>
      <c r="BG30" s="9"/>
    </row>
    <row r="31" customFormat="false" ht="12.75" hidden="false" customHeight="false" outlineLevel="0" collapsed="false">
      <c r="BB31" s="5"/>
      <c r="BC31" s="9"/>
      <c r="BD31" s="9"/>
      <c r="BE31" s="9"/>
      <c r="BF31" s="9"/>
      <c r="BG31" s="9"/>
    </row>
    <row r="35" customFormat="false" ht="12.75" hidden="false" customHeight="false" outlineLevel="0" collapsed="false">
      <c r="BO35" s="7"/>
    </row>
  </sheetData>
  <mergeCells count="11">
    <mergeCell ref="B3:M3"/>
    <mergeCell ref="O3:U3"/>
    <mergeCell ref="X3:AD3"/>
    <mergeCell ref="AF3:BA3"/>
    <mergeCell ref="BB3:BQ3"/>
    <mergeCell ref="BR3:BZ3"/>
    <mergeCell ref="CF3:CI3"/>
    <mergeCell ref="CJ3:CL3"/>
    <mergeCell ref="BR4:BS4"/>
    <mergeCell ref="BT4:BU4"/>
    <mergeCell ref="BV4:BW4"/>
  </mergeCells>
  <printOptions headings="false" gridLines="true" gridLinesSet="true" horizontalCentered="true" verticalCentered="false"/>
  <pageMargins left="0" right="0" top="0.75" bottom="0.25" header="0.511811023622047" footer="0.511811023622047"/>
  <pageSetup paperSize="1" scale="80" fitToWidth="1" fitToHeight="1" pageOrder="downThenOver" orientation="landscape" blackAndWhite="false" draft="false" cellComments="none" horizontalDpi="300" verticalDpi="300" copies="1"/>
  <headerFooter differentFirst="false" differentOddEven="false">
    <oddHeader/>
    <oddFooter/>
  </headerFooter>
  <colBreaks count="3" manualBreakCount="3">
    <brk id="13" man="true" max="65535" min="0"/>
    <brk id="22" man="true" max="65535" min="0"/>
    <brk id="31"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W2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23" activeCellId="0" sqref="A23"/>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6.28"/>
    <col collapsed="false" customWidth="true" hidden="false" outlineLevel="0" max="3" min="3" style="1" width="5.99"/>
    <col collapsed="false" customWidth="true" hidden="false" outlineLevel="0" max="4" min="4" style="1" width="6.41"/>
    <col collapsed="false" customWidth="false" hidden="false" outlineLevel="0" max="8" min="5" style="1" width="9.14"/>
    <col collapsed="false" customWidth="true" hidden="false" outlineLevel="0" max="9" min="9" style="1" width="10.56"/>
    <col collapsed="false" customWidth="true" hidden="false" outlineLevel="0" max="10" min="10" style="1" width="6.7"/>
    <col collapsed="false" customWidth="true" hidden="false" outlineLevel="0" max="11" min="11" style="1" width="12.28"/>
    <col collapsed="false" customWidth="true" hidden="false" outlineLevel="0" max="12" min="12" style="1" width="10.41"/>
    <col collapsed="false" customWidth="false" hidden="false" outlineLevel="0" max="14" min="13" style="1" width="9.14"/>
    <col collapsed="false" customWidth="true" hidden="false" outlineLevel="0" max="16" min="15" style="1" width="11.99"/>
    <col collapsed="false" customWidth="true" hidden="false" outlineLevel="0" max="18" min="17" style="1" width="10.85"/>
    <col collapsed="false" customWidth="true" hidden="false" outlineLevel="0" max="19" min="19" style="1" width="9.85"/>
    <col collapsed="false" customWidth="false" hidden="false" outlineLevel="0" max="257" min="20" style="1" width="9.14"/>
  </cols>
  <sheetData>
    <row r="3" customFormat="false" ht="19.15" hidden="false" customHeight="true" outlineLevel="0" collapsed="false">
      <c r="B3" s="2" t="s">
        <v>0</v>
      </c>
      <c r="C3" s="2"/>
      <c r="D3" s="2"/>
      <c r="E3" s="2"/>
      <c r="F3" s="2"/>
      <c r="G3" s="2"/>
      <c r="H3" s="2"/>
      <c r="I3" s="2"/>
      <c r="J3" s="2"/>
      <c r="K3" s="2"/>
      <c r="L3" s="2"/>
      <c r="M3" s="2"/>
      <c r="N3" s="2"/>
      <c r="O3" s="2"/>
      <c r="P3" s="2"/>
      <c r="Q3" s="2"/>
      <c r="R3" s="2"/>
    </row>
    <row r="4" customFormat="false" ht="67.5" hidden="false" customHeight="false" outlineLevel="0" collapsed="false">
      <c r="A4" s="4" t="s">
        <v>1</v>
      </c>
      <c r="B4" s="4" t="s">
        <v>29</v>
      </c>
      <c r="C4" s="4" t="s">
        <v>30</v>
      </c>
      <c r="D4" s="4" t="s">
        <v>31</v>
      </c>
      <c r="E4" s="4" t="s">
        <v>5</v>
      </c>
      <c r="F4" s="4" t="s">
        <v>6</v>
      </c>
      <c r="G4" s="4" t="s">
        <v>7</v>
      </c>
      <c r="H4" s="5" t="s">
        <v>8</v>
      </c>
      <c r="I4" s="5" t="s">
        <v>9</v>
      </c>
      <c r="J4" s="5" t="s">
        <v>10</v>
      </c>
      <c r="K4" s="5" t="s">
        <v>32</v>
      </c>
      <c r="L4" s="4" t="s">
        <v>11</v>
      </c>
      <c r="M4" s="4" t="s">
        <v>18</v>
      </c>
      <c r="N4" s="4" t="s">
        <v>19</v>
      </c>
      <c r="O4" s="4" t="s">
        <v>20</v>
      </c>
      <c r="P4" s="4" t="s">
        <v>21</v>
      </c>
      <c r="Q4" s="4" t="s">
        <v>22</v>
      </c>
      <c r="R4" s="4" t="s">
        <v>23</v>
      </c>
      <c r="S4" s="4" t="s">
        <v>24</v>
      </c>
      <c r="T4" s="4" t="s">
        <v>25</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1.25" hidden="false" customHeight="false" outlineLevel="0" collapsed="false">
      <c r="A5" s="6" t="n">
        <v>35749</v>
      </c>
      <c r="B5" s="5"/>
      <c r="C5" s="5"/>
      <c r="F5" s="7" t="n">
        <f aca="false">(700+1000)/(1-'Prices&amp;Fuel'!F5)</f>
        <v>1753.48117586385</v>
      </c>
      <c r="H5" s="8" t="n">
        <f aca="false">(2.79*700+2.68*1000)/F5</f>
        <v>2.64217264705882</v>
      </c>
      <c r="K5" s="1" t="n">
        <f aca="false">2.54</f>
        <v>2.54</v>
      </c>
      <c r="L5" s="9" t="n">
        <f aca="false">(B5+C5+D5+E5+F5+G5)*H5*'Prices&amp;Fuel'!H5</f>
        <v>138990</v>
      </c>
      <c r="M5" s="9"/>
      <c r="N5" s="9"/>
      <c r="Q5" s="7" t="n">
        <f aca="false">K5*F5*'Prices&amp;Fuel'!H5</f>
        <v>133615.265600825</v>
      </c>
      <c r="R5" s="5" t="n">
        <f aca="false">L5-Q5</f>
        <v>5374.73439917484</v>
      </c>
    </row>
    <row r="6" customFormat="false" ht="11.25" hidden="false" customHeight="false" outlineLevel="0" collapsed="false">
      <c r="A6" s="6" t="n">
        <f aca="false">+A5+365/12</f>
        <v>35779.4166666667</v>
      </c>
      <c r="B6" s="5"/>
      <c r="C6" s="5"/>
      <c r="F6" s="7" t="n">
        <f aca="false">(700+1000)/(1-'Prices&amp;Fuel'!F6)</f>
        <v>1753.48117586385</v>
      </c>
      <c r="H6" s="8" t="n">
        <f aca="false">(2.79*700+2.68*1000)/F6</f>
        <v>2.64217264705882</v>
      </c>
      <c r="K6" s="1" t="n">
        <f aca="false">2.54</f>
        <v>2.54</v>
      </c>
      <c r="L6" s="9" t="n">
        <f aca="false">(B6+C6+D6+E6+F6+G6)*H6*'Prices&amp;Fuel'!H6</f>
        <v>143623</v>
      </c>
      <c r="M6" s="9"/>
      <c r="N6" s="9"/>
      <c r="Q6" s="7" t="n">
        <f aca="false">K6*F6*'Prices&amp;Fuel'!H6</f>
        <v>138069.107787519</v>
      </c>
      <c r="R6" s="5" t="n">
        <f aca="false">L6-Q6</f>
        <v>5553.89221248066</v>
      </c>
    </row>
    <row r="7" customFormat="false" ht="11.25" hidden="false" customHeight="false" outlineLevel="0" collapsed="false">
      <c r="A7" s="6" t="n">
        <f aca="false">+A6+365/12</f>
        <v>35809.8333333333</v>
      </c>
      <c r="B7" s="5"/>
      <c r="C7" s="5"/>
      <c r="F7" s="7" t="n">
        <f aca="false">(700+1000)/(1-'Prices&amp;Fuel'!F7)</f>
        <v>1753.48117586385</v>
      </c>
      <c r="H7" s="8" t="n">
        <f aca="false">(2.79*700+2.68*1000)/F7</f>
        <v>2.64217264705882</v>
      </c>
      <c r="K7" s="1" t="n">
        <f aca="false">2.54</f>
        <v>2.54</v>
      </c>
      <c r="L7" s="9" t="n">
        <f aca="false">(B7+C7+D7+E7+F7+G7)*H7*'Prices&amp;Fuel'!H7</f>
        <v>143623</v>
      </c>
      <c r="M7" s="9"/>
      <c r="N7" s="9"/>
      <c r="Q7" s="7" t="n">
        <f aca="false">K7*F7*'Prices&amp;Fuel'!H7</f>
        <v>138069.107787519</v>
      </c>
      <c r="R7" s="5" t="n">
        <f aca="false">L7-Q7</f>
        <v>5553.89221248066</v>
      </c>
    </row>
    <row r="8" customFormat="false" ht="11.25" hidden="false" customHeight="false" outlineLevel="0" collapsed="false">
      <c r="A8" s="6" t="n">
        <f aca="false">+A7+365/12</f>
        <v>35840.25</v>
      </c>
      <c r="B8" s="5"/>
      <c r="C8" s="5"/>
      <c r="F8" s="7" t="n">
        <f aca="false">(700+1000)/(1-'Prices&amp;Fuel'!F8)</f>
        <v>1748.07197943445</v>
      </c>
      <c r="H8" s="8" t="n">
        <f aca="false">(2.79*700+2.68*1000)/F8</f>
        <v>2.65034852941177</v>
      </c>
      <c r="K8" s="1" t="n">
        <f aca="false">2.54</f>
        <v>2.54</v>
      </c>
      <c r="L8" s="9" t="n">
        <f aca="false">(B8+C8+D8+E8+F8+G8)*H8*'Prices&amp;Fuel'!H8</f>
        <v>129724</v>
      </c>
      <c r="M8" s="9"/>
      <c r="N8" s="9"/>
      <c r="Q8" s="7" t="n">
        <f aca="false">K8*F8*'Prices&amp;Fuel'!H8</f>
        <v>124322.879177378</v>
      </c>
      <c r="R8" s="5" t="n">
        <f aca="false">L8-Q8</f>
        <v>5401.12082262212</v>
      </c>
    </row>
    <row r="9" customFormat="false" ht="11.25" hidden="false" customHeight="false" outlineLevel="0" collapsed="false">
      <c r="A9" s="6" t="n">
        <f aca="false">+A8+365/12</f>
        <v>35870.6666666667</v>
      </c>
      <c r="B9" s="5"/>
      <c r="C9" s="5"/>
      <c r="F9" s="7" t="n">
        <f aca="false">(700+1000)/(1-'Prices&amp;Fuel'!F9)</f>
        <v>1748.07197943445</v>
      </c>
      <c r="H9" s="8" t="n">
        <f aca="false">(2.79*700+2.68*1000)/F9</f>
        <v>2.65034852941177</v>
      </c>
      <c r="K9" s="1" t="n">
        <f aca="false">2.54</f>
        <v>2.54</v>
      </c>
      <c r="L9" s="9" t="n">
        <f aca="false">(B9+C9+D9+E9+F9+G9)*H9*'Prices&amp;Fuel'!H9</f>
        <v>143623</v>
      </c>
      <c r="M9" s="9"/>
      <c r="N9" s="9"/>
      <c r="Q9" s="7" t="n">
        <f aca="false">K9*F9*'Prices&amp;Fuel'!H9</f>
        <v>137643.187660668</v>
      </c>
      <c r="R9" s="5" t="n">
        <f aca="false">L9-Q9</f>
        <v>5979.81233933164</v>
      </c>
    </row>
    <row r="10" customFormat="false" ht="11.25" hidden="false" customHeight="false" outlineLevel="0" collapsed="false">
      <c r="A10" s="6" t="n">
        <f aca="false">+A9+365/12</f>
        <v>35901.0833333333</v>
      </c>
      <c r="B10" s="5"/>
      <c r="C10" s="5"/>
      <c r="F10" s="7" t="n">
        <f aca="false">(700+1000)/(1-'Prices&amp;Fuel'!F10)</f>
        <v>1760.9281126994</v>
      </c>
      <c r="H10" s="8" t="n">
        <f aca="false">(2.79*700+2.68*1000)/F10</f>
        <v>2.63099894117647</v>
      </c>
      <c r="K10" s="1" t="n">
        <f aca="false">2.54</f>
        <v>2.54</v>
      </c>
      <c r="L10" s="9" t="n">
        <f aca="false">(B10+C10+D10+E10+F10+G10)*H10*'Prices&amp;Fuel'!H10</f>
        <v>138990</v>
      </c>
      <c r="M10" s="9"/>
      <c r="N10" s="9"/>
      <c r="Q10" s="7" t="n">
        <f aca="false">K10*F10*'Prices&amp;Fuel'!H10</f>
        <v>134182.722187694</v>
      </c>
      <c r="R10" s="5" t="n">
        <f aca="false">L10-Q10</f>
        <v>4807.27781230578</v>
      </c>
    </row>
    <row r="11" customFormat="false" ht="11.25" hidden="false" customHeight="false" outlineLevel="0" collapsed="false">
      <c r="A11" s="6" t="n">
        <f aca="false">+A10+365/12</f>
        <v>35931.5</v>
      </c>
      <c r="B11" s="5"/>
      <c r="C11" s="5"/>
      <c r="F11" s="7" t="n">
        <f aca="false">(700+1000)/(1-'Prices&amp;Fuel'!F11)</f>
        <v>1751.85490519373</v>
      </c>
      <c r="H11" s="8" t="n">
        <f aca="false">(2.79*700+2.68*1000)/F11</f>
        <v>2.64462541176471</v>
      </c>
      <c r="K11" s="1" t="n">
        <f aca="false">2.54</f>
        <v>2.54</v>
      </c>
      <c r="L11" s="9" t="n">
        <f aca="false">(B11+C11+D11+E11+F11+G11)*H11*'Prices&amp;Fuel'!H11</f>
        <v>143623</v>
      </c>
      <c r="M11" s="9"/>
      <c r="N11" s="9"/>
      <c r="Q11" s="7" t="n">
        <f aca="false">K11*F11*'Prices&amp;Fuel'!H11</f>
        <v>137941.055234955</v>
      </c>
      <c r="R11" s="5" t="n">
        <f aca="false">L11-Q11</f>
        <v>5681.94476504534</v>
      </c>
    </row>
    <row r="12" customFormat="false" ht="11.25" hidden="false" customHeight="false" outlineLevel="0" collapsed="false">
      <c r="A12" s="6" t="n">
        <f aca="false">+A11+365/12</f>
        <v>35961.9166666667</v>
      </c>
      <c r="B12" s="5"/>
      <c r="C12" s="5"/>
    </row>
    <row r="13" customFormat="false" ht="11.25" hidden="false" customHeight="false" outlineLevel="0" collapsed="false">
      <c r="A13" s="6" t="n">
        <f aca="false">+A12+365/12</f>
        <v>35992.3333333333</v>
      </c>
      <c r="B13" s="5"/>
      <c r="C13" s="5"/>
    </row>
    <row r="14" customFormat="false" ht="11.25" hidden="false" customHeight="false" outlineLevel="0" collapsed="false">
      <c r="A14" s="6" t="n">
        <f aca="false">+A13+365/12</f>
        <v>36022.75</v>
      </c>
      <c r="B14" s="5"/>
      <c r="C14" s="5"/>
    </row>
    <row r="15" customFormat="false" ht="11.25" hidden="false" customHeight="false" outlineLevel="0" collapsed="false">
      <c r="A15" s="6" t="n">
        <f aca="false">+A14+365/12</f>
        <v>36053.1666666667</v>
      </c>
      <c r="B15" s="9"/>
      <c r="C15" s="9"/>
      <c r="D15" s="9"/>
    </row>
    <row r="16" customFormat="false" ht="11.25" hidden="false" customHeight="false" outlineLevel="0" collapsed="false">
      <c r="A16" s="6" t="n">
        <f aca="false">+A15+365/12</f>
        <v>36083.5833333333</v>
      </c>
      <c r="B16" s="5"/>
      <c r="C16" s="9"/>
      <c r="D16" s="9"/>
      <c r="E16" s="9"/>
      <c r="F16" s="9"/>
      <c r="G16" s="9"/>
      <c r="H16" s="10"/>
      <c r="I16" s="9"/>
      <c r="J16" s="9"/>
      <c r="K16" s="10"/>
      <c r="L16" s="9"/>
      <c r="M16" s="9"/>
      <c r="N16" s="9"/>
      <c r="O16" s="9"/>
      <c r="P16" s="9"/>
      <c r="Q16" s="9"/>
      <c r="R16" s="5"/>
    </row>
    <row r="17" customFormat="false" ht="11.25" hidden="false" customHeight="false" outlineLevel="0" collapsed="false">
      <c r="A17" s="6" t="n">
        <f aca="false">+A16+365/12</f>
        <v>36114</v>
      </c>
      <c r="B17" s="5" t="n">
        <f aca="false">IF(T17-((E17+F17+G17)*(1-'Prices&amp;Fuel'!F17))&lt;'Prices&amp;Fuel'!R17,(T17-(E17+F17+G17)*(1-'Prices&amp;Fuel'!F17)),'Prices&amp;Fuel'!R17)/(1-'Prices&amp;Fuel'!F17)</f>
        <v>4329.9711815562</v>
      </c>
      <c r="C17" s="9" t="n">
        <f aca="false">(T17/(1-'Prices&amp;Fuel'!F17))-D17-E17-F17-G17-B17</f>
        <v>0</v>
      </c>
      <c r="D17" s="9" t="n">
        <f aca="false">ROUND(IF(T17/(1-'Prices&amp;Fuel'!F17)-E17-F17-G17-B17&gt;'Prices&amp;Fuel'!T17,'Prices&amp;Fuel'!T17,T17/(1-'Prices&amp;Fuel'!F17)-E17-F17-G17-B17),9)</f>
        <v>0</v>
      </c>
      <c r="E17" s="9" t="n">
        <f aca="false">'Prices&amp;Fuel'!U17/(1-'Prices&amp;Fuel'!F17)</f>
        <v>2637.91683820502</v>
      </c>
      <c r="F17" s="9" t="n">
        <f aca="false">('Prices&amp;Fuel'!V17+'Prices&amp;Fuel'!X17)/(1-'Prices&amp;Fuel'!F17)</f>
        <v>3648.62083161795</v>
      </c>
      <c r="G17" s="9" t="n">
        <f aca="false">'Prices&amp;Fuel'!W17/(1-'Prices&amp;Fuel'!F17)</f>
        <v>1734.25277892137</v>
      </c>
      <c r="H17" s="10" t="n">
        <f aca="false">('Prices&amp;Fuel'!C17+'Prices&amp;Fuel'!D17)/2-0.05+(('Prices&amp;Fuel'!M17+'Prices&amp;Fuel'!P17)*(1-'Prices&amp;Fuel'!F17))</f>
        <v>2.70574788</v>
      </c>
      <c r="I17" s="9" t="n">
        <f aca="false">IF(FPL!L17=80000,0,B17)</f>
        <v>0</v>
      </c>
      <c r="J17" s="9"/>
      <c r="K17" s="10" t="n">
        <f aca="false">(((B17+E17)*('Prices&amp;Fuel'!B17+0.025))+(('Prices&amp;Fuel'!D17+0.025)*(D17+G17))+(('Prices&amp;Fuel'!C17+0.025)*(C17+F17))-(I17+J17)*0.025)/(B17+C17+D17+E17+F17+G17)</f>
        <v>1.964275</v>
      </c>
      <c r="L17" s="9" t="n">
        <f aca="false">(B17+C17+D17+E17+F17+G17)*H17*'Prices&amp;Fuel'!H17</f>
        <v>1002541.41292713</v>
      </c>
      <c r="M17" s="9" t="n">
        <f aca="false">'Prices&amp;Fuel'!X17*('Prices&amp;Fuel'!N17+'Prices&amp;Fuel'!O17)*'Prices&amp;Fuel'!H17</f>
        <v>4720.896</v>
      </c>
      <c r="N17" s="9" t="n">
        <f aca="false">('Prices&amp;Fuel'!U17+'Prices&amp;Fuel'!V17+'Prices&amp;Fuel'!W17)*('Prices&amp;Fuel'!L17+'Prices&amp;Fuel'!O17)*'Prices&amp;Fuel'!H17</f>
        <v>86941.08</v>
      </c>
      <c r="O17" s="9" t="n">
        <f aca="false">((B17+C17+D17)*(1-'Prices&amp;Fuel'!G17))*('Prices&amp;Fuel'!M17+'Prices&amp;Fuel'!P17)*'Prices&amp;Fuel'!H17</f>
        <v>104665.953</v>
      </c>
      <c r="P17" s="9" t="n">
        <f aca="false">((B17+C17+D17+E17+F17+G17)/(1-'Prices&amp;Fuel'!F17))*(1-'Prices&amp;Fuel'!F17)*'Prices&amp;Fuel'!H17*0.005</f>
        <v>1852.61424454508</v>
      </c>
      <c r="Q17" s="9" t="n">
        <f aca="false">((D17+C17+B17+E17+F17+G17)*K17*'Prices&amp;Fuel'!H17)+M17+N17+O17+P17</f>
        <v>925989.312285302</v>
      </c>
      <c r="R17" s="5" t="n">
        <f aca="false">L17-Q17</f>
        <v>76552.1006418279</v>
      </c>
      <c r="T17" s="1" t="n">
        <v>12000</v>
      </c>
    </row>
    <row r="18" customFormat="false" ht="11.25" hidden="false" customHeight="false" outlineLevel="0" collapsed="false">
      <c r="A18" s="6" t="n">
        <f aca="false">+A17+365/12</f>
        <v>36144.4166666667</v>
      </c>
      <c r="B18" s="5" t="n">
        <f aca="false">IF(T18-((E18+F18+G18)*(1-'Prices&amp;Fuel'!F18))&lt;'Prices&amp;Fuel'!R18,(T18-(E18+F18+G18)*(1-'Prices&amp;Fuel'!F18)),'Prices&amp;Fuel'!R18)/(1-'Prices&amp;Fuel'!F18)</f>
        <v>4329.9711815562</v>
      </c>
      <c r="C18" s="9" t="n">
        <f aca="false">(T18/(1-'Prices&amp;Fuel'!F18))-D18-E18-F18-G18-B18</f>
        <v>0</v>
      </c>
      <c r="D18" s="9" t="n">
        <f aca="false">ROUND(IF(T18/(1-'Prices&amp;Fuel'!F18)-E18-F18-G18-B18&gt;'Prices&amp;Fuel'!T18,'Prices&amp;Fuel'!T18,T18/(1-'Prices&amp;Fuel'!F18)-E18-F18-G18-B18),9)</f>
        <v>0</v>
      </c>
      <c r="E18" s="9" t="n">
        <f aca="false">'Prices&amp;Fuel'!U18/(1-'Prices&amp;Fuel'!F18)</f>
        <v>2637.91683820502</v>
      </c>
      <c r="F18" s="9" t="n">
        <f aca="false">('Prices&amp;Fuel'!V18+'Prices&amp;Fuel'!X18)/(1-'Prices&amp;Fuel'!F18)</f>
        <v>3648.62083161795</v>
      </c>
      <c r="G18" s="9" t="n">
        <f aca="false">'Prices&amp;Fuel'!W18/(1-'Prices&amp;Fuel'!F18)</f>
        <v>1734.25277892137</v>
      </c>
      <c r="H18" s="10" t="n">
        <f aca="false">('Prices&amp;Fuel'!C18+'Prices&amp;Fuel'!D18)/2-0.05+(('Prices&amp;Fuel'!M18+'Prices&amp;Fuel'!P18)*(1-'Prices&amp;Fuel'!F18))</f>
        <v>2.85074788</v>
      </c>
      <c r="I18" s="9" t="n">
        <f aca="false">IF(FPL!L18=80000,0,B18)</f>
        <v>0</v>
      </c>
      <c r="J18" s="9"/>
      <c r="K18" s="10" t="n">
        <f aca="false">(((B18+E18)*('Prices&amp;Fuel'!B18+0.025))+(('Prices&amp;Fuel'!D18+0.025)*(D18+G18))+(('Prices&amp;Fuel'!C18+0.025)*(C18+F18))-(I18+J18)*0.025)/(B18+C18+D18+E18+F18+G18)</f>
        <v>2.10977083333333</v>
      </c>
      <c r="L18" s="9" t="n">
        <f aca="false">(B18+C18+D18+E18+F18+G18)*H18*'Prices&amp;Fuel'!H18</f>
        <v>1091476.1335529</v>
      </c>
      <c r="M18" s="9" t="n">
        <f aca="false">'Prices&amp;Fuel'!X18*('Prices&amp;Fuel'!N18+'Prices&amp;Fuel'!O18)*'Prices&amp;Fuel'!H18</f>
        <v>4878.2592</v>
      </c>
      <c r="N18" s="9" t="n">
        <f aca="false">('Prices&amp;Fuel'!U18+'Prices&amp;Fuel'!V18+'Prices&amp;Fuel'!W18)*('Prices&amp;Fuel'!L18+'Prices&amp;Fuel'!O18)*'Prices&amp;Fuel'!H18</f>
        <v>89839.116</v>
      </c>
      <c r="O18" s="9" t="n">
        <f aca="false">((B18+C18+D18)*(1-'Prices&amp;Fuel'!G18))*('Prices&amp;Fuel'!M18+'Prices&amp;Fuel'!P18)*'Prices&amp;Fuel'!H18</f>
        <v>108154.8181</v>
      </c>
      <c r="P18" s="9" t="n">
        <f aca="false">((B18+C18+D18+E18+F18+G18)/(1-'Prices&amp;Fuel'!F18))*(1-'Prices&amp;Fuel'!F18)*'Prices&amp;Fuel'!H18*0.005</f>
        <v>1914.36805269658</v>
      </c>
      <c r="Q18" s="9" t="n">
        <f aca="false">((D18+C18+B18+E18+F18+G18)*K18*'Prices&amp;Fuel'!H18)+M18+N18+O18+P18</f>
        <v>1012562.13772157</v>
      </c>
      <c r="R18" s="5" t="n">
        <f aca="false">L18-Q18</f>
        <v>78913.9958313297</v>
      </c>
      <c r="T18" s="1" t="n">
        <f aca="false">T17</f>
        <v>12000</v>
      </c>
    </row>
    <row r="19" customFormat="false" ht="11.25" hidden="false" customHeight="false" outlineLevel="0" collapsed="false">
      <c r="A19" s="6" t="n">
        <f aca="false">+A18+365/12</f>
        <v>36174.8333333333</v>
      </c>
      <c r="B19" s="5" t="n">
        <f aca="false">IF(T19-((E19+F19+G19)*(1-'Prices&amp;Fuel'!F19))&lt;'Prices&amp;Fuel'!R19,(T19-(E19+F19+G19)*(1-'Prices&amp;Fuel'!F19)),'Prices&amp;Fuel'!R19)/(1-'Prices&amp;Fuel'!F19)</f>
        <v>4314.8717948718</v>
      </c>
      <c r="C19" s="9" t="n">
        <f aca="false">(T19/(1-'Prices&amp;Fuel'!F19))-D19-E19-F19-G19-B19</f>
        <v>0</v>
      </c>
      <c r="D19" s="9" t="n">
        <f aca="false">ROUND(IF(T19/(1-'Prices&amp;Fuel'!F19)-E19-F19-G19-B19&gt;'Prices&amp;Fuel'!T19,'Prices&amp;Fuel'!T19,T19/(1-'Prices&amp;Fuel'!F19)-E19-F19-G19-B19),9)</f>
        <v>0</v>
      </c>
      <c r="E19" s="9" t="n">
        <f aca="false">'Prices&amp;Fuel'!U19/(1-'Prices&amp;Fuel'!F19)</f>
        <v>2628.71794871795</v>
      </c>
      <c r="F19" s="9" t="n">
        <f aca="false">('Prices&amp;Fuel'!V19+'Prices&amp;Fuel'!X19)/(1-'Prices&amp;Fuel'!F19)</f>
        <v>3635.89743589744</v>
      </c>
      <c r="G19" s="9" t="n">
        <f aca="false">'Prices&amp;Fuel'!W19/(1-'Prices&amp;Fuel'!F19)</f>
        <v>1728.20512820513</v>
      </c>
      <c r="H19" s="10" t="n">
        <f aca="false">('Prices&amp;Fuel'!C19+'Prices&amp;Fuel'!D19)/2-0.05+(('Prices&amp;Fuel'!M19+'Prices&amp;Fuel'!P19)*(1-'Prices&amp;Fuel'!F19))</f>
        <v>2.5114225</v>
      </c>
      <c r="I19" s="9" t="n">
        <f aca="false">IF(FPL!L19=80000,0,B19)</f>
        <v>0</v>
      </c>
      <c r="J19" s="9"/>
      <c r="K19" s="10" t="n">
        <f aca="false">(((B19+E19)*('Prices&amp;Fuel'!B19+0.025))+(('Prices&amp;Fuel'!D19+0.025)*(D19+G19))+(('Prices&amp;Fuel'!C19+0.025)*(C19+F19))-(I19+J19)*0.025)/(B19+C19+D19+E19+F19+G19)</f>
        <v>1.76977083333333</v>
      </c>
      <c r="L19" s="9" t="n">
        <f aca="false">(B19+C19+D19+E19+F19+G19)*H19*'Prices&amp;Fuel'!H19</f>
        <v>958204.276923077</v>
      </c>
      <c r="M19" s="9" t="n">
        <f aca="false">'Prices&amp;Fuel'!X19*('Prices&amp;Fuel'!N19+'Prices&amp;Fuel'!O19)*'Prices&amp;Fuel'!H19</f>
        <v>4850.7343</v>
      </c>
      <c r="N19" s="9" t="n">
        <f aca="false">('Prices&amp;Fuel'!U19+'Prices&amp;Fuel'!V19+'Prices&amp;Fuel'!W19)*('Prices&amp;Fuel'!L19+'Prices&amp;Fuel'!O19)*'Prices&amp;Fuel'!H19</f>
        <v>89354.214</v>
      </c>
      <c r="O19" s="9" t="n">
        <f aca="false">((B19+C19+D19)*(1-'Prices&amp;Fuel'!G19))*('Prices&amp;Fuel'!M19+'Prices&amp;Fuel'!P19)*'Prices&amp;Fuel'!H19</f>
        <v>107867.9007</v>
      </c>
      <c r="P19" s="9" t="n">
        <f aca="false">((B19+C19+D19+E19+F19+G19)/(1-'Prices&amp;Fuel'!F19))*(1-'Prices&amp;Fuel'!F19)*'Prices&amp;Fuel'!H19*0.005</f>
        <v>1907.69230769231</v>
      </c>
      <c r="Q19" s="9" t="n">
        <f aca="false">((D19+C19+B19+E19+F19+G19)*K19*'Prices&amp;Fuel'!H19)+M19+N19+O19+P19</f>
        <v>879216.182333333</v>
      </c>
      <c r="R19" s="5" t="n">
        <f aca="false">L19-Q19</f>
        <v>78988.0945897437</v>
      </c>
      <c r="S19" s="12" t="n">
        <f aca="false">R19/(B19+C19+D19+E19+F19+G19)/'Prices&amp;Fuel'!H19</f>
        <v>0.207025247916667</v>
      </c>
      <c r="T19" s="1" t="n">
        <f aca="false">T18</f>
        <v>12000</v>
      </c>
    </row>
    <row r="20" customFormat="false" ht="11.25" hidden="false" customHeight="false" outlineLevel="0" collapsed="false">
      <c r="A20" s="6" t="n">
        <f aca="false">+A19+365/12</f>
        <v>36205.25</v>
      </c>
      <c r="B20" s="5" t="n">
        <f aca="false">IF(T20-((E20+F20+G20)*(1-'Prices&amp;Fuel'!F20))&lt;'Prices&amp;Fuel'!R20,(T20-(E20+F20+G20)*(1-'Prices&amp;Fuel'!F20)),'Prices&amp;Fuel'!R20)/(1-'Prices&amp;Fuel'!F20)</f>
        <v>4314.8717948718</v>
      </c>
      <c r="C20" s="9" t="n">
        <f aca="false">(T20/(1-'Prices&amp;Fuel'!F20))-D20-E20-F20-G20-B20</f>
        <v>0</v>
      </c>
      <c r="D20" s="9" t="n">
        <f aca="false">ROUND(IF(T20/(1-'Prices&amp;Fuel'!F20)-E20-F20-G20-B20&gt;'Prices&amp;Fuel'!T20,'Prices&amp;Fuel'!T20,T20/(1-'Prices&amp;Fuel'!F20)-E20-F20-G20-B20),9)</f>
        <v>0</v>
      </c>
      <c r="E20" s="9" t="n">
        <f aca="false">'Prices&amp;Fuel'!U20/(1-'Prices&amp;Fuel'!F20)</f>
        <v>2628.71794871795</v>
      </c>
      <c r="F20" s="9" t="n">
        <f aca="false">('Prices&amp;Fuel'!V20+'Prices&amp;Fuel'!X20)/(1-'Prices&amp;Fuel'!F20)</f>
        <v>3635.89743589744</v>
      </c>
      <c r="G20" s="9" t="n">
        <f aca="false">'Prices&amp;Fuel'!W20/(1-'Prices&amp;Fuel'!F20)</f>
        <v>1728.20512820513</v>
      </c>
      <c r="H20" s="10" t="n">
        <f aca="false">('Prices&amp;Fuel'!C20+'Prices&amp;Fuel'!D20)/2-0.05+(('Prices&amp;Fuel'!M20+'Prices&amp;Fuel'!P20)*(1-'Prices&amp;Fuel'!F20))</f>
        <v>2.5114225</v>
      </c>
      <c r="I20" s="9" t="n">
        <f aca="false">IF(FPL!L20=80000,0,B20)</f>
        <v>0</v>
      </c>
      <c r="J20" s="9"/>
      <c r="K20" s="10" t="n">
        <f aca="false">(((B20+E20)*('Prices&amp;Fuel'!B20+0.025))+(('Prices&amp;Fuel'!D20+0.025)*(D20+G20))+(('Prices&amp;Fuel'!C20+0.025)*(C20+F20))-(I20+J20)*0.025)/(B20+C20+D20+E20+F20+G20)</f>
        <v>1.7738625</v>
      </c>
      <c r="L20" s="9" t="n">
        <f aca="false">(B20+C20+D20+E20+F20+G20)*H20*'Prices&amp;Fuel'!H20</f>
        <v>865474.830769231</v>
      </c>
      <c r="M20" s="9" t="n">
        <f aca="false">'Prices&amp;Fuel'!X20*('Prices&amp;Fuel'!N20+'Prices&amp;Fuel'!O20)*'Prices&amp;Fuel'!H20</f>
        <v>4381.3084</v>
      </c>
      <c r="N20" s="9" t="n">
        <f aca="false">('Prices&amp;Fuel'!U20+'Prices&amp;Fuel'!V20+'Prices&amp;Fuel'!W20)*('Prices&amp;Fuel'!L20+'Prices&amp;Fuel'!O20)*'Prices&amp;Fuel'!H20</f>
        <v>80707.032</v>
      </c>
      <c r="O20" s="9" t="n">
        <f aca="false">((B20+C20+D20)*(1-'Prices&amp;Fuel'!G20))*('Prices&amp;Fuel'!M20+'Prices&amp;Fuel'!P20)*'Prices&amp;Fuel'!H20</f>
        <v>97429.0716</v>
      </c>
      <c r="P20" s="9" t="n">
        <f aca="false">((B20+C20+D20+E20+F20+G20)/(1-'Prices&amp;Fuel'!F20))*(1-'Prices&amp;Fuel'!F20)*'Prices&amp;Fuel'!H20*0.005</f>
        <v>1723.07692307692</v>
      </c>
      <c r="Q20" s="9" t="n">
        <f aca="false">((D20+C20+B20+E20+F20+G20)*K20*'Prices&amp;Fuel'!H20)+M20+N20+O20+P20</f>
        <v>795540.796615385</v>
      </c>
      <c r="R20" s="5" t="n">
        <f aca="false">L20-Q20</f>
        <v>69934.0341538461</v>
      </c>
      <c r="S20" s="12" t="n">
        <f aca="false">R20/(B20+C20+D20+E20+F20+G20)/'Prices&amp;Fuel'!H20</f>
        <v>0.20293358125</v>
      </c>
      <c r="T20" s="1" t="n">
        <f aca="false">T19</f>
        <v>12000</v>
      </c>
    </row>
    <row r="21" customFormat="false" ht="11.25" hidden="false" customHeight="false" outlineLevel="0" collapsed="false">
      <c r="A21" s="6" t="n">
        <f aca="false">+A20+365/12</f>
        <v>36235.6666666667</v>
      </c>
      <c r="B21" s="5" t="n">
        <f aca="false">IF(T21-((E21+F21+G21)*(1-'Prices&amp;Fuel'!F21))&lt;'Prices&amp;Fuel'!R21,(T21-(E21+F21+G21)*(1-'Prices&amp;Fuel'!F21)),'Prices&amp;Fuel'!R21)/(1-'Prices&amp;Fuel'!F21)</f>
        <v>4314.8717948718</v>
      </c>
      <c r="C21" s="9" t="n">
        <f aca="false">(T21/(1-'Prices&amp;Fuel'!F21))-D21-E21-F21-G21-B21</f>
        <v>0</v>
      </c>
      <c r="D21" s="9" t="n">
        <f aca="false">ROUND(IF(T21/(1-'Prices&amp;Fuel'!F21)-E21-F21-G21-B21&gt;'Prices&amp;Fuel'!T21,'Prices&amp;Fuel'!T21,T21/(1-'Prices&amp;Fuel'!F21)-E21-F21-G21-B21),9)</f>
        <v>0</v>
      </c>
      <c r="E21" s="9" t="n">
        <f aca="false">'Prices&amp;Fuel'!U21/(1-'Prices&amp;Fuel'!F21)</f>
        <v>2628.71794871795</v>
      </c>
      <c r="F21" s="9" t="n">
        <f aca="false">('Prices&amp;Fuel'!V21+'Prices&amp;Fuel'!X21)/(1-'Prices&amp;Fuel'!F21)</f>
        <v>3635.89743589744</v>
      </c>
      <c r="G21" s="9" t="n">
        <f aca="false">'Prices&amp;Fuel'!W21/(1-'Prices&amp;Fuel'!F21)</f>
        <v>1728.20512820513</v>
      </c>
      <c r="H21" s="10" t="n">
        <f aca="false">('Prices&amp;Fuel'!C21+'Prices&amp;Fuel'!D21)/2-0.05+(('Prices&amp;Fuel'!M21+'Prices&amp;Fuel'!P21)*(1-'Prices&amp;Fuel'!F21))</f>
        <v>2.3367125</v>
      </c>
      <c r="I21" s="9" t="n">
        <f aca="false">IF(FPL!L21=80000,0,B21)</f>
        <v>0</v>
      </c>
      <c r="J21" s="9"/>
      <c r="K21" s="10" t="n">
        <f aca="false">(((B21+E21)*('Prices&amp;Fuel'!B21+0.025))+(('Prices&amp;Fuel'!D21+0.025)*(D21+G21))+(('Prices&amp;Fuel'!C21+0.025)*(C21+F21))-(I21+J21)*0.025)/(B21+C21+D21+E21+F21+G21)</f>
        <v>1.62822083333333</v>
      </c>
      <c r="L21" s="9" t="n">
        <f aca="false">(B21+C21+D21+E21+F21+G21)*H21*'Prices&amp;Fuel'!H21</f>
        <v>891545.692307692</v>
      </c>
      <c r="M21" s="9" t="n">
        <f aca="false">'Prices&amp;Fuel'!X21*('Prices&amp;Fuel'!N21+'Prices&amp;Fuel'!O21)*'Prices&amp;Fuel'!H21</f>
        <v>4850.7343</v>
      </c>
      <c r="N21" s="9" t="n">
        <f aca="false">('Prices&amp;Fuel'!U21+'Prices&amp;Fuel'!V21+'Prices&amp;Fuel'!W21)*('Prices&amp;Fuel'!L21+'Prices&amp;Fuel'!O21)*'Prices&amp;Fuel'!H21</f>
        <v>89354.214</v>
      </c>
      <c r="O21" s="9" t="n">
        <f aca="false">((B21+C21+D21)*(1-'Prices&amp;Fuel'!G21))*('Prices&amp;Fuel'!M21+'Prices&amp;Fuel'!P21)*'Prices&amp;Fuel'!H21</f>
        <v>103225.0555</v>
      </c>
      <c r="P21" s="9" t="n">
        <f aca="false">((B21+C21+D21+E21+F21+G21)/(1-'Prices&amp;Fuel'!F21))*(1-'Prices&amp;Fuel'!F21)*'Prices&amp;Fuel'!H21*0.005</f>
        <v>1907.69230769231</v>
      </c>
      <c r="Q21" s="9" t="n">
        <f aca="false">((D21+C21+B21+E21+F21+G21)*K21*'Prices&amp;Fuel'!H21)+M21+N21+O21+P21</f>
        <v>820566.567902564</v>
      </c>
      <c r="R21" s="5" t="n">
        <f aca="false">L21-Q21</f>
        <v>70979.1244051282</v>
      </c>
      <c r="S21" s="12" t="n">
        <f aca="false">R21/(B21+C21+D21+E21+F21+G21)/'Prices&amp;Fuel'!H21</f>
        <v>0.186033995416667</v>
      </c>
      <c r="T21" s="1" t="n">
        <f aca="false">T20</f>
        <v>12000</v>
      </c>
    </row>
    <row r="22" customFormat="false" ht="11.25" hidden="false" customHeight="false" outlineLevel="0" collapsed="false">
      <c r="A22" s="6" t="n">
        <f aca="false">+A21+365/12</f>
        <v>36266.0833333333</v>
      </c>
      <c r="B22" s="5" t="n">
        <f aca="false">IF(T22-((E22+F22+G22)*(1-'Prices&amp;Fuel'!F22))&lt;'Prices&amp;Fuel'!R22,(T22-(E22+F22+G22)*(1-'Prices&amp;Fuel'!F22)),'Prices&amp;Fuel'!R22)/(1-'Prices&amp;Fuel'!F22)</f>
        <v>6262.5641025641</v>
      </c>
      <c r="C22" s="9" t="n">
        <f aca="false">(T22/(1-'Prices&amp;Fuel'!F22))-D22-E22-F22-G22-B22</f>
        <v>0</v>
      </c>
      <c r="D22" s="9" t="n">
        <f aca="false">ROUND(IF(T22/(1-'Prices&amp;Fuel'!F22)-E22-F22-G22-B22&gt;'Prices&amp;Fuel'!T22,'Prices&amp;Fuel'!T22,T22/(1-'Prices&amp;Fuel'!F22)-E22-F22-G22-B22),9)</f>
        <v>0</v>
      </c>
      <c r="E22" s="9" t="n">
        <f aca="false">'Prices&amp;Fuel'!U22/(1-'Prices&amp;Fuel'!F22)</f>
        <v>1928.20512820513</v>
      </c>
      <c r="F22" s="9" t="n">
        <f aca="false">('Prices&amp;Fuel'!V22+'Prices&amp;Fuel'!X22)/(1-'Prices&amp;Fuel'!F22)</f>
        <v>2826.66666666667</v>
      </c>
      <c r="G22" s="9" t="n">
        <f aca="false">'Prices&amp;Fuel'!W22/(1-'Prices&amp;Fuel'!F22)</f>
        <v>1290.25641025641</v>
      </c>
      <c r="H22" s="10" t="n">
        <f aca="false">('Prices&amp;Fuel'!C22+'Prices&amp;Fuel'!D22)/2-0.05+(('Prices&amp;Fuel'!M22+'Prices&amp;Fuel'!P22)*(1-'Prices&amp;Fuel'!F22))</f>
        <v>2.5933425</v>
      </c>
      <c r="I22" s="9" t="n">
        <f aca="false">IF(FPL!L22=80000,0,B22)</f>
        <v>0</v>
      </c>
      <c r="J22" s="9"/>
      <c r="K22" s="10" t="n">
        <f aca="false">(((B22+E22)*('Prices&amp;Fuel'!B22+0.025))+(('Prices&amp;Fuel'!D22+0.025)*(D22+G22))+(('Prices&amp;Fuel'!C22+0.025)*(C22+F22))-(I22+J22)*0.025)/(B22+C22+D22+E22+F22+G22)</f>
        <v>1.875235</v>
      </c>
      <c r="L22" s="9" t="n">
        <f aca="false">(B22+C22+D22+E22+F22+G22)*H22*'Prices&amp;Fuel'!H22</f>
        <v>957541.846153846</v>
      </c>
      <c r="M22" s="9" t="n">
        <f aca="false">'Prices&amp;Fuel'!X22*('Prices&amp;Fuel'!N22+'Prices&amp;Fuel'!O22)*'Prices&amp;Fuel'!H22</f>
        <v>4833.591</v>
      </c>
      <c r="N22" s="9" t="n">
        <f aca="false">('Prices&amp;Fuel'!U22+'Prices&amp;Fuel'!V22+'Prices&amp;Fuel'!W22)*('Prices&amp;Fuel'!L22+'Prices&amp;Fuel'!O22)*'Prices&amp;Fuel'!H22</f>
        <v>64439.226</v>
      </c>
      <c r="O22" s="9" t="n">
        <f aca="false">((B22+C22+D22)*(1-'Prices&amp;Fuel'!G22))*('Prices&amp;Fuel'!M22+'Prices&amp;Fuel'!P22)*'Prices&amp;Fuel'!H22</f>
        <v>146232.594</v>
      </c>
      <c r="P22" s="9" t="n">
        <f aca="false">((B22+C22+D22+E22+F22+G22)/(1-'Prices&amp;Fuel'!F22))*(1-'Prices&amp;Fuel'!F22)*'Prices&amp;Fuel'!H22*0.005</f>
        <v>1846.15384615385</v>
      </c>
      <c r="Q22" s="9" t="n">
        <f aca="false">((D22+C22+B22+E22+F22+G22)*K22*'Prices&amp;Fuel'!H22)+M22+N22+O22+P22</f>
        <v>909746.026384616</v>
      </c>
      <c r="R22" s="5" t="n">
        <f aca="false">L22-Q22</f>
        <v>47795.8197692306</v>
      </c>
      <c r="S22" s="12" t="n">
        <f aca="false">R22/(B22+C22+D22+E22+F22+G22)/'Prices&amp;Fuel'!H22</f>
        <v>0.129447011874999</v>
      </c>
      <c r="T22" s="1" t="n">
        <f aca="false">T21</f>
        <v>12000</v>
      </c>
    </row>
    <row r="23" customFormat="false" ht="11.25" hidden="false" customHeight="false" outlineLevel="0" collapsed="false">
      <c r="A23" s="6" t="n">
        <f aca="false">+A22+365/12</f>
        <v>36296.5</v>
      </c>
      <c r="B23" s="5" t="n">
        <f aca="false">IF(T23-((E23+F23+G23)*(1-'Prices&amp;Fuel'!F23))&lt;'Prices&amp;Fuel'!R23,(T23-(E23+F23+G23)*(1-'Prices&amp;Fuel'!F23)),'Prices&amp;Fuel'!R23)/(1-'Prices&amp;Fuel'!F23)</f>
        <v>9000</v>
      </c>
      <c r="C23" s="9" t="n">
        <f aca="false">(T23/(1-'Prices&amp;Fuel'!F23))-D23-E23-F23-G23-B23</f>
        <v>-3.38332029059529E-010</v>
      </c>
      <c r="D23" s="9" t="n">
        <f aca="false">ROUND(IF(T23/(1-'Prices&amp;Fuel'!F23)-E23-F23-G23-B23&gt;'Prices&amp;Fuel'!T23,'Prices&amp;Fuel'!T23,T23/(1-'Prices&amp;Fuel'!F23)-E23-F23-G23-B23),9)</f>
        <v>6573.195876289</v>
      </c>
      <c r="E23" s="9" t="n">
        <f aca="false">'Prices&amp;Fuel'!U23/(1-'Prices&amp;Fuel'!F23)</f>
        <v>1938.14432989691</v>
      </c>
      <c r="F23" s="9" t="n">
        <f aca="false">('Prices&amp;Fuel'!V23+'Prices&amp;Fuel'!X23)/(1-'Prices&amp;Fuel'!F23)</f>
        <v>3070.10309278351</v>
      </c>
      <c r="G23" s="9" t="n">
        <f aca="false">'Prices&amp;Fuel'!W23/(1-'Prices&amp;Fuel'!F23)</f>
        <v>1068.0412371134</v>
      </c>
      <c r="H23" s="10" t="n">
        <f aca="false">('Prices&amp;Fuel'!C23+'Prices&amp;Fuel'!D23)/2-0.05+(('Prices&amp;Fuel'!M23+'Prices&amp;Fuel'!P23)*(1-'Prices&amp;Fuel'!F23))</f>
        <v>3.049351</v>
      </c>
      <c r="I23" s="9" t="n">
        <f aca="false">IF(FPL!L23=80000,0,B23)</f>
        <v>0</v>
      </c>
      <c r="J23" s="9"/>
      <c r="K23" s="10" t="n">
        <f aca="false">(((B23+E23)*('Prices&amp;Fuel'!B23+0.025))+(('Prices&amp;Fuel'!D23+0.025)*(D23+G23))+(('Prices&amp;Fuel'!C23+0.025)*(C23+F23))-(I23+J23)*0.025)/(B23+C23+D23+E23+F23+G23)</f>
        <v>2.33209047619048</v>
      </c>
      <c r="L23" s="9" t="n">
        <f aca="false">(B23+C23+D23+E23+F23+G23)*H23*'Prices&amp;Fuel'!H23</f>
        <v>2046523.19690722</v>
      </c>
      <c r="M23" s="9" t="n">
        <f aca="false">'Prices&amp;Fuel'!X23*('Prices&amp;Fuel'!N23+'Prices&amp;Fuel'!O23)*'Prices&amp;Fuel'!H23</f>
        <v>4994.7107</v>
      </c>
      <c r="N23" s="9" t="n">
        <f aca="false">('Prices&amp;Fuel'!U23+'Prices&amp;Fuel'!V23+'Prices&amp;Fuel'!W23)*('Prices&amp;Fuel'!L23+'Prices&amp;Fuel'!O23)*'Prices&amp;Fuel'!H23</f>
        <v>66587.2002</v>
      </c>
      <c r="O23" s="9" t="n">
        <f aca="false">((B23+C23+D23)*(1-'Prices&amp;Fuel'!G23))*('Prices&amp;Fuel'!M23+'Prices&amp;Fuel'!P23)*'Prices&amp;Fuel'!H23</f>
        <v>373832.7138</v>
      </c>
      <c r="P23" s="9" t="n">
        <f aca="false">((B23+C23+D23+E23+F23+G23)/(1-'Prices&amp;Fuel'!F23))*(1-'Prices&amp;Fuel'!F23)*'Prices&amp;Fuel'!H23*0.005</f>
        <v>3355.67010309278</v>
      </c>
      <c r="Q23" s="9" t="n">
        <f aca="false">((D23+C23+B23+E23+F23+G23)*K23*'Prices&amp;Fuel'!H23)+M23+N23+O23+P23</f>
        <v>2013915.55253505</v>
      </c>
      <c r="R23" s="5" t="n">
        <f aca="false">L23-Q23</f>
        <v>32607.6443721659</v>
      </c>
      <c r="S23" s="12" t="n">
        <f aca="false">R23/(B23+C23+D23+E23+F23+G23)/'Prices&amp;Fuel'!H23</f>
        <v>0.0485858910000014</v>
      </c>
      <c r="T23" s="1" t="n">
        <v>21000</v>
      </c>
    </row>
    <row r="24" customFormat="false" ht="11.25" hidden="false" customHeight="false" outlineLevel="0" collapsed="false">
      <c r="A24" s="6" t="n">
        <f aca="false">+A23+365/12</f>
        <v>36326.9166666667</v>
      </c>
      <c r="B24" s="5" t="n">
        <f aca="false">IF(T24-((E24+F24+G24)*(1-'Prices&amp;Fuel'!F24))&lt;'Prices&amp;Fuel'!R24,(T24-(E24+F24+G24)*(1-'Prices&amp;Fuel'!F24)),'Prices&amp;Fuel'!R24)/(1-'Prices&amp;Fuel'!F24)</f>
        <v>9000</v>
      </c>
      <c r="C24" s="9" t="n">
        <f aca="false">(T24/(1-'Prices&amp;Fuel'!F24))-D24-E24-F24-G24-B24</f>
        <v>-3.38332029059529E-010</v>
      </c>
      <c r="D24" s="9" t="n">
        <f aca="false">ROUND(IF(T24/(1-'Prices&amp;Fuel'!F24)-E24-F24-G24-B24&gt;'Prices&amp;Fuel'!T24,'Prices&amp;Fuel'!T24,T24/(1-'Prices&amp;Fuel'!F24)-E24-F24-G24-B24),9)</f>
        <v>6573.195876289</v>
      </c>
      <c r="E24" s="9" t="n">
        <f aca="false">'Prices&amp;Fuel'!U24/(1-'Prices&amp;Fuel'!F24)</f>
        <v>1938.14432989691</v>
      </c>
      <c r="F24" s="9" t="n">
        <f aca="false">('Prices&amp;Fuel'!V24+'Prices&amp;Fuel'!X24)/(1-'Prices&amp;Fuel'!F24)</f>
        <v>3070.10309278351</v>
      </c>
      <c r="G24" s="9" t="n">
        <f aca="false">'Prices&amp;Fuel'!W24/(1-'Prices&amp;Fuel'!F24)</f>
        <v>1068.0412371134</v>
      </c>
      <c r="H24" s="10" t="n">
        <f aca="false">('Prices&amp;Fuel'!C24+'Prices&amp;Fuel'!D24)/2-0.05+(('Prices&amp;Fuel'!M24+'Prices&amp;Fuel'!P24)*(1-'Prices&amp;Fuel'!F24))</f>
        <v>2.944351</v>
      </c>
      <c r="I24" s="9" t="n">
        <f aca="false">IF(FPL!L24=80000,0,B24)</f>
        <v>0</v>
      </c>
      <c r="J24" s="9"/>
      <c r="K24" s="10" t="n">
        <f aca="false">(((B24+E24)*('Prices&amp;Fuel'!B24+0.025))+(('Prices&amp;Fuel'!D24+0.025)*(D24+G24))+(('Prices&amp;Fuel'!C24+0.025)*(C24+F24))-(I24+J24)*0.025)/(B24+C24+D24+E24+F24+G24)</f>
        <v>2.23278380952381</v>
      </c>
      <c r="L24" s="9" t="n">
        <f aca="false">(B24+C24+D24+E24+F24+G24)*H24*'Prices&amp;Fuel'!H24</f>
        <v>1912310.44329897</v>
      </c>
      <c r="M24" s="9" t="n">
        <f aca="false">'Prices&amp;Fuel'!X24*('Prices&amp;Fuel'!N24+'Prices&amp;Fuel'!O24)*'Prices&amp;Fuel'!H24</f>
        <v>4833.591</v>
      </c>
      <c r="N24" s="9" t="n">
        <f aca="false">('Prices&amp;Fuel'!U24+'Prices&amp;Fuel'!V24+'Prices&amp;Fuel'!W24)*('Prices&amp;Fuel'!L24+'Prices&amp;Fuel'!O24)*'Prices&amp;Fuel'!H24</f>
        <v>64439.226</v>
      </c>
      <c r="O24" s="9" t="n">
        <f aca="false">((B24+C24+D24)*(1-'Prices&amp;Fuel'!G24))*('Prices&amp;Fuel'!M24+'Prices&amp;Fuel'!P24)*'Prices&amp;Fuel'!H24</f>
        <v>361773.594</v>
      </c>
      <c r="P24" s="9" t="n">
        <f aca="false">((B24+C24+D24+E24+F24+G24)/(1-'Prices&amp;Fuel'!F24))*(1-'Prices&amp;Fuel'!F24)*'Prices&amp;Fuel'!H24*0.005</f>
        <v>3247.42268041237</v>
      </c>
      <c r="Q24" s="9" t="n">
        <f aca="false">((D24+C24+B24+E24+F24+G24)*K24*'Prices&amp;Fuel'!H24)+M24+N24+O24+P24</f>
        <v>1884452.39038144</v>
      </c>
      <c r="R24" s="5" t="n">
        <f aca="false">L24-Q24</f>
        <v>27858.0529175259</v>
      </c>
      <c r="S24" s="12" t="n">
        <f aca="false">R24/(B24+C24+D24+E24+F24+G24)/'Prices&amp;Fuel'!H24</f>
        <v>0.0428925576666668</v>
      </c>
      <c r="T24" s="1" t="n">
        <f aca="false">T23</f>
        <v>21000</v>
      </c>
    </row>
    <row r="25" customFormat="false" ht="11.25" hidden="false" customHeight="false" outlineLevel="0" collapsed="false">
      <c r="A25" s="6" t="n">
        <f aca="false">+A24+365/12</f>
        <v>36357.3333333333</v>
      </c>
      <c r="B25" s="5" t="n">
        <f aca="false">IF(T25-((E25+F25+G25)*(1-'Prices&amp;Fuel'!F25))&lt;'Prices&amp;Fuel'!R25,(T25-(E25+F25+G25)*(1-'Prices&amp;Fuel'!F25)),'Prices&amp;Fuel'!R25)/(1-'Prices&amp;Fuel'!F25)</f>
        <v>9000</v>
      </c>
      <c r="C25" s="9" t="n">
        <f aca="false">(T25/(1-'Prices&amp;Fuel'!F25))-D25-E25-F25-G25-B25</f>
        <v>-3.38332029059529E-010</v>
      </c>
      <c r="D25" s="9" t="n">
        <f aca="false">ROUND(IF(T25/(1-'Prices&amp;Fuel'!F25)-E25-F25-G25-B25&gt;'Prices&amp;Fuel'!T25,'Prices&amp;Fuel'!T25,T25/(1-'Prices&amp;Fuel'!F25)-E25-F25-G25-B25),9)</f>
        <v>6573.195876289</v>
      </c>
      <c r="E25" s="9" t="n">
        <f aca="false">'Prices&amp;Fuel'!U25/(1-'Prices&amp;Fuel'!F25)</f>
        <v>1938.14432989691</v>
      </c>
      <c r="F25" s="9" t="n">
        <f aca="false">('Prices&amp;Fuel'!V25+'Prices&amp;Fuel'!X25)/(1-'Prices&amp;Fuel'!F25)</f>
        <v>3070.10309278351</v>
      </c>
      <c r="G25" s="9" t="n">
        <f aca="false">'Prices&amp;Fuel'!W25/(1-'Prices&amp;Fuel'!F25)</f>
        <v>1068.0412371134</v>
      </c>
      <c r="H25" s="10" t="n">
        <f aca="false">('Prices&amp;Fuel'!C25+'Prices&amp;Fuel'!D25)/2-0.05+(('Prices&amp;Fuel'!M25+'Prices&amp;Fuel'!P25)*(1-'Prices&amp;Fuel'!F25))</f>
        <v>2.979351</v>
      </c>
      <c r="I25" s="9" t="n">
        <f aca="false">IF(FPL!L25=80000,0,B25)</f>
        <v>0</v>
      </c>
      <c r="J25" s="9" t="n">
        <v>217</v>
      </c>
      <c r="K25" s="10" t="n">
        <f aca="false">(((B25+E25)*('Prices&amp;Fuel'!B25+0.025))+(('Prices&amp;Fuel'!D25+0.025)*(D25+G25))+(('Prices&amp;Fuel'!C25+0.025)*(C25+F25))-(I25+J25)*0.025)/(B25+C25+D25+E25+F25+G25)</f>
        <v>2.26900370238095</v>
      </c>
      <c r="L25" s="9" t="n">
        <f aca="false">(B25+C25+D25+E25+F25+G25)*H25*'Prices&amp;Fuel'!H25</f>
        <v>1999543.81546392</v>
      </c>
      <c r="M25" s="9" t="n">
        <f aca="false">'Prices&amp;Fuel'!X25*('Prices&amp;Fuel'!N25+'Prices&amp;Fuel'!O25)*'Prices&amp;Fuel'!H25</f>
        <v>4994.7107</v>
      </c>
      <c r="N25" s="9" t="n">
        <f aca="false">('Prices&amp;Fuel'!U25+'Prices&amp;Fuel'!V25+'Prices&amp;Fuel'!W25)*('Prices&amp;Fuel'!L25+'Prices&amp;Fuel'!O25)*'Prices&amp;Fuel'!H25</f>
        <v>66587.2002</v>
      </c>
      <c r="O25" s="9" t="n">
        <f aca="false">((B25+C25+D25)*(1-'Prices&amp;Fuel'!G25))*('Prices&amp;Fuel'!M25+'Prices&amp;Fuel'!P25)*'Prices&amp;Fuel'!H25</f>
        <v>373832.7138</v>
      </c>
      <c r="P25" s="9" t="n">
        <f aca="false">((B25+C25+D25+E25+F25+G25)/(1-'Prices&amp;Fuel'!F25))*(1-'Prices&amp;Fuel'!F25)*'Prices&amp;Fuel'!H25*0.005</f>
        <v>3355.67010309278</v>
      </c>
      <c r="Q25" s="9" t="n">
        <f aca="false">((D25+C25+B25+E25+F25+G25)*K25*'Prices&amp;Fuel'!H25)+M25+N25+O25+P25</f>
        <v>1971575.87238041</v>
      </c>
      <c r="R25" s="5" t="n">
        <f aca="false">L25-Q25</f>
        <v>27967.9430835056</v>
      </c>
      <c r="S25" s="12" t="n">
        <f aca="false">R25/(B25+C25+D25+E25+F25+G25)/'Prices&amp;Fuel'!H25</f>
        <v>0.0416726648095245</v>
      </c>
      <c r="T25" s="1" t="n">
        <f aca="false">T24</f>
        <v>21000</v>
      </c>
    </row>
    <row r="26" customFormat="false" ht="11.25" hidden="false" customHeight="false" outlineLevel="0" collapsed="false">
      <c r="A26" s="6" t="n">
        <f aca="false">+A25+365/12</f>
        <v>36387.75</v>
      </c>
      <c r="B26" s="5" t="n">
        <f aca="false">IF(T26-((E26+F26+G26)*(1-'Prices&amp;Fuel'!F26))&lt;'Prices&amp;Fuel'!R26,(T26-(E26+F26+G26)*(1-'Prices&amp;Fuel'!F26)),'Prices&amp;Fuel'!R26)/(1-'Prices&amp;Fuel'!F26)</f>
        <v>9000</v>
      </c>
      <c r="C26" s="9" t="n">
        <f aca="false">(T26/(1-'Prices&amp;Fuel'!F26))-D26-E26-F26-G26-B26</f>
        <v>-3.38332029059529E-010</v>
      </c>
      <c r="D26" s="9" t="n">
        <f aca="false">ROUND(IF(T26/(1-'Prices&amp;Fuel'!F26)-E26-F26-G26-B26&gt;'Prices&amp;Fuel'!T26,'Prices&amp;Fuel'!T26,T26/(1-'Prices&amp;Fuel'!F26)-E26-F26-G26-B26),9)</f>
        <v>6573.195876289</v>
      </c>
      <c r="E26" s="9" t="n">
        <f aca="false">'Prices&amp;Fuel'!U26/(1-'Prices&amp;Fuel'!F26)</f>
        <v>1938.14432989691</v>
      </c>
      <c r="F26" s="9" t="n">
        <f aca="false">('Prices&amp;Fuel'!V26+'Prices&amp;Fuel'!X26)/(1-'Prices&amp;Fuel'!F26)</f>
        <v>3070.10309278351</v>
      </c>
      <c r="G26" s="9" t="n">
        <f aca="false">'Prices&amp;Fuel'!W26/(1-'Prices&amp;Fuel'!F26)</f>
        <v>1068.0412371134</v>
      </c>
      <c r="H26" s="10" t="n">
        <f aca="false">('Prices&amp;Fuel'!C26+'Prices&amp;Fuel'!D26)/2-0.05+(('Prices&amp;Fuel'!M26+'Prices&amp;Fuel'!P26)*(1-'Prices&amp;Fuel'!F26))</f>
        <v>3.314351</v>
      </c>
      <c r="I26" s="9" t="n">
        <f aca="false">IF(FPL!L26=80000,0,B26)</f>
        <v>0</v>
      </c>
      <c r="J26" s="9" t="n">
        <v>68</v>
      </c>
      <c r="K26" s="10" t="n">
        <f aca="false">(((B26+E26)*('Prices&amp;Fuel'!B26+0.025))+(('Prices&amp;Fuel'!D26+0.025)*(D26+G26))+(('Prices&amp;Fuel'!C26+0.025)*(C26+F26))-(I26+J26)*0.025)/(B26+C26+D26+E26+F26+G26)</f>
        <v>2.60059385714286</v>
      </c>
      <c r="L26" s="9" t="n">
        <f aca="false">(B26+C26+D26+E26+F26+G26)*H26*'Prices&amp;Fuel'!H26</f>
        <v>2224373.71237113</v>
      </c>
      <c r="M26" s="9" t="n">
        <f aca="false">'Prices&amp;Fuel'!X26*('Prices&amp;Fuel'!N26+'Prices&amp;Fuel'!O26)*'Prices&amp;Fuel'!H26</f>
        <v>4994.7107</v>
      </c>
      <c r="N26" s="9" t="n">
        <f aca="false">('Prices&amp;Fuel'!U26+'Prices&amp;Fuel'!V26+'Prices&amp;Fuel'!W26)*('Prices&amp;Fuel'!L26+'Prices&amp;Fuel'!O26)*'Prices&amp;Fuel'!H26</f>
        <v>66587.2002</v>
      </c>
      <c r="O26" s="9" t="n">
        <f aca="false">((B26+C26+D26)*(1-'Prices&amp;Fuel'!G26))*('Prices&amp;Fuel'!M26+'Prices&amp;Fuel'!P26)*'Prices&amp;Fuel'!H26</f>
        <v>373832.7138</v>
      </c>
      <c r="P26" s="9" t="n">
        <f aca="false">((B26+C26+D26+E26+F26+G26)/(1-'Prices&amp;Fuel'!F26))*(1-'Prices&amp;Fuel'!F26)*'Prices&amp;Fuel'!H26*0.005</f>
        <v>3355.67010309278</v>
      </c>
      <c r="Q26" s="9" t="n">
        <f aca="false">((D26+C26+B26+E26+F26+G26)*K26*'Prices&amp;Fuel'!H26)+M26+N26+O26+P26</f>
        <v>2194117.3061433</v>
      </c>
      <c r="R26" s="5" t="n">
        <f aca="false">L26-Q26</f>
        <v>30256.4062278355</v>
      </c>
      <c r="S26" s="12" t="n">
        <f aca="false">R26/(B26+C26+D26+E26+F26+G26)/'Prices&amp;Fuel'!H26</f>
        <v>0.0450825100476196</v>
      </c>
      <c r="T26" s="1" t="n">
        <f aca="false">T25</f>
        <v>21000</v>
      </c>
    </row>
    <row r="27" customFormat="false" ht="11.25" hidden="false" customHeight="false" outlineLevel="0" collapsed="false">
      <c r="A27" s="6" t="n">
        <f aca="false">+A26+365/12</f>
        <v>36418.1666666667</v>
      </c>
      <c r="B27" s="5" t="n">
        <f aca="false">IF(T27-((E27+F27+G27)*(1-'Prices&amp;Fuel'!F27))&lt;'Prices&amp;Fuel'!R27,(T27-(E27+F27+G27)*(1-'Prices&amp;Fuel'!F27)),'Prices&amp;Fuel'!R27)/(1-'Prices&amp;Fuel'!F27)</f>
        <v>9000</v>
      </c>
      <c r="C27" s="9" t="n">
        <f aca="false">(T27/(1-'Prices&amp;Fuel'!F27))-D27-E27-F27-G27-B27</f>
        <v>-3.38332029059529E-010</v>
      </c>
      <c r="D27" s="9" t="n">
        <f aca="false">ROUND(IF(T27/(1-'Prices&amp;Fuel'!F27)-E27-F27-G27-B27&gt;'Prices&amp;Fuel'!T27,'Prices&amp;Fuel'!T27,T27/(1-'Prices&amp;Fuel'!F27)-E27-F27-G27-B27),9)</f>
        <v>6573.195876289</v>
      </c>
      <c r="E27" s="9" t="n">
        <f aca="false">'Prices&amp;Fuel'!U27/(1-'Prices&amp;Fuel'!F27)</f>
        <v>1938.14432989691</v>
      </c>
      <c r="F27" s="9" t="n">
        <f aca="false">('Prices&amp;Fuel'!V27+'Prices&amp;Fuel'!X27)/(1-'Prices&amp;Fuel'!F27)</f>
        <v>3070.10309278351</v>
      </c>
      <c r="G27" s="9" t="n">
        <f aca="false">'Prices&amp;Fuel'!W27/(1-'Prices&amp;Fuel'!F27)</f>
        <v>1068.0412371134</v>
      </c>
      <c r="H27" s="10" t="n">
        <f aca="false">('Prices&amp;Fuel'!C27+'Prices&amp;Fuel'!D27)/2-0.05+(('Prices&amp;Fuel'!M27+'Prices&amp;Fuel'!P27)*(1-'Prices&amp;Fuel'!F27))</f>
        <v>3.604351</v>
      </c>
      <c r="I27" s="9" t="n">
        <f aca="false">IF(FPL!L27=80000,0,B27)</f>
        <v>0</v>
      </c>
      <c r="J27" s="9" t="n">
        <v>68</v>
      </c>
      <c r="K27" s="10" t="n">
        <f aca="false">(((B27+E27)*('Prices&amp;Fuel'!B27+0.025))+(('Prices&amp;Fuel'!D27+0.025)*(D27+G27))+(('Prices&amp;Fuel'!C27+0.025)*(C27+F27))-(I27+J27)*0.025)/(B27+C27+D27+E27+F27+G27)</f>
        <v>2.89059385714286</v>
      </c>
      <c r="L27" s="9" t="n">
        <f aca="false">(B27+C27+D27+E27+F27+G27)*H27*'Prices&amp;Fuel'!H27</f>
        <v>2340970.2371134</v>
      </c>
      <c r="M27" s="9" t="n">
        <f aca="false">'Prices&amp;Fuel'!X27*('Prices&amp;Fuel'!N27+'Prices&amp;Fuel'!O27)*'Prices&amp;Fuel'!H27</f>
        <v>4833.591</v>
      </c>
      <c r="N27" s="9" t="n">
        <f aca="false">('Prices&amp;Fuel'!U27+'Prices&amp;Fuel'!V27+'Prices&amp;Fuel'!W27)*('Prices&amp;Fuel'!L27+'Prices&amp;Fuel'!O27)*'Prices&amp;Fuel'!H27</f>
        <v>64439.226</v>
      </c>
      <c r="O27" s="9" t="n">
        <f aca="false">((B27+C27+D27)*(1-'Prices&amp;Fuel'!G27))*('Prices&amp;Fuel'!M27+'Prices&amp;Fuel'!P27)*'Prices&amp;Fuel'!H27</f>
        <v>361773.594</v>
      </c>
      <c r="P27" s="9" t="n">
        <f aca="false">((B27+C27+D27+E27+F27+G27)/(1-'Prices&amp;Fuel'!F27))*(1-'Prices&amp;Fuel'!F27)*'Prices&amp;Fuel'!H27*0.005</f>
        <v>3247.42268041237</v>
      </c>
      <c r="Q27" s="9" t="n">
        <f aca="false">((D27+C27+B27+E27+F27+G27)*K27*'Prices&amp;Fuel'!H27)+M27+N27+O27+P27</f>
        <v>2311689.84398969</v>
      </c>
      <c r="R27" s="5" t="n">
        <f aca="false">L27-Q27</f>
        <v>29280.3931237115</v>
      </c>
      <c r="S27" s="12" t="n">
        <f aca="false">R27/(B27+C27+D27+E27+F27+G27)/'Prices&amp;Fuel'!H27</f>
        <v>0.0450825100476192</v>
      </c>
      <c r="T27" s="1" t="n">
        <f aca="false">T26</f>
        <v>21000</v>
      </c>
    </row>
    <row r="28" customFormat="false" ht="11.25" hidden="false" customHeight="false" outlineLevel="0" collapsed="false">
      <c r="A28" s="6" t="n">
        <f aca="false">+A27+365/12</f>
        <v>36448.5833333333</v>
      </c>
      <c r="B28" s="5" t="n">
        <f aca="false">IF(T28-((E28+F28+G28)*(1-'Prices&amp;Fuel'!F28))&lt;'Prices&amp;Fuel'!R28,(T28-(E28+F28+G28)*(1-'Prices&amp;Fuel'!F28)),'Prices&amp;Fuel'!R28)/(1-'Prices&amp;Fuel'!F28)</f>
        <v>8976.86375321337</v>
      </c>
      <c r="C28" s="9" t="n">
        <f aca="false">(T28/(1-'Prices&amp;Fuel'!F28))-D28-E28-F28-G28-B28</f>
        <v>2.0190782379359E-010</v>
      </c>
      <c r="D28" s="9" t="n">
        <f aca="false">ROUND(IF(T28/(1-'Prices&amp;Fuel'!F28)-E28-F28-G28-B28&gt;'Prices&amp;Fuel'!T28,'Prices&amp;Fuel'!T28,T28/(1-'Prices&amp;Fuel'!F28)-E28-F28-G28-B28),9)</f>
        <v>3514.652956298</v>
      </c>
      <c r="E28" s="9" t="n">
        <f aca="false">'Prices&amp;Fuel'!U28/(1-'Prices&amp;Fuel'!F28)</f>
        <v>2910.02570694087</v>
      </c>
      <c r="F28" s="9" t="n">
        <f aca="false">('Prices&amp;Fuel'!V28+'Prices&amp;Fuel'!X28)/(1-'Prices&amp;Fuel'!F28)</f>
        <v>4628.27763496144</v>
      </c>
      <c r="G28" s="9" t="n">
        <f aca="false">'Prices&amp;Fuel'!W28/(1-'Prices&amp;Fuel'!F28)</f>
        <v>1564.01028277635</v>
      </c>
      <c r="H28" s="10" t="n">
        <f aca="false">('Prices&amp;Fuel'!C28+'Prices&amp;Fuel'!D28)/2-0.05+(('Prices&amp;Fuel'!M28+'Prices&amp;Fuel'!P28)*(1-'Prices&amp;Fuel'!F28))</f>
        <v>3.24393225</v>
      </c>
      <c r="I28" s="9" t="n">
        <f aca="false">IF(FPL!L28=80000,0,B28)</f>
        <v>8976.86375321337</v>
      </c>
      <c r="J28" s="9" t="n">
        <v>68</v>
      </c>
      <c r="K28" s="10" t="n">
        <f aca="false">(((B28+E28)*('Prices&amp;Fuel'!B28+0.025))+(('Prices&amp;Fuel'!D28+0.025)*(D28+G28))+(('Prices&amp;Fuel'!C28+0.025)*(C28+F28))-(I28+J28)*0.025)/(B28+C28+D28+E28+F28+G28)</f>
        <v>2.51310175</v>
      </c>
      <c r="L28" s="9" t="n">
        <f aca="false">(B28+C28+D28+E28+F28+G28)*H28*'Prices&amp;Fuel'!H28</f>
        <v>2171516.60128535</v>
      </c>
      <c r="M28" s="9" t="n">
        <f aca="false">'Prices&amp;Fuel'!X28*('Prices&amp;Fuel'!N28+'Prices&amp;Fuel'!O28)*'Prices&amp;Fuel'!H28</f>
        <v>7562.2547</v>
      </c>
      <c r="N28" s="9" t="n">
        <f aca="false">('Prices&amp;Fuel'!U28+'Prices&amp;Fuel'!V28+'Prices&amp;Fuel'!W28)*('Prices&amp;Fuel'!L28+'Prices&amp;Fuel'!O28)*'Prices&amp;Fuel'!H28</f>
        <v>102220.02</v>
      </c>
      <c r="O28" s="9" t="n">
        <f aca="false">((B28+C28+D28)*(1-'Prices&amp;Fuel'!G28))*('Prices&amp;Fuel'!M28+'Prices&amp;Fuel'!P28)*'Prices&amp;Fuel'!H28</f>
        <v>303567.5868</v>
      </c>
      <c r="P28" s="9" t="n">
        <f aca="false">((B28+C28+D28+E28+F28+G28)/(1-'Prices&amp;Fuel'!F28))*(1-'Prices&amp;Fuel'!F28)*'Prices&amp;Fuel'!H28*0.005</f>
        <v>3347.04370179949</v>
      </c>
      <c r="Q28" s="9" t="n">
        <f aca="false">((D28+C28+B28+E28+F28+G28)*K28*'Prices&amp;Fuel'!H28)+M28+N28+O28+P28</f>
        <v>2098989.18206555</v>
      </c>
      <c r="R28" s="5" t="n">
        <f aca="false">L28-Q28</f>
        <v>72527.4192197942</v>
      </c>
      <c r="S28" s="12" t="n">
        <f aca="false">R28/(B28+C28+D28+E28+F28+G28)/'Prices&amp;Fuel'!H28</f>
        <v>0.108345491845238</v>
      </c>
      <c r="T28" s="1" t="n">
        <f aca="false">T27</f>
        <v>21000</v>
      </c>
    </row>
    <row r="29" customFormat="false" ht="11.25" hidden="false" customHeight="false" outlineLevel="0" collapsed="false">
      <c r="A29" s="6" t="n">
        <f aca="false">+A28+365/12</f>
        <v>36479</v>
      </c>
      <c r="B29" s="5" t="n">
        <f aca="false">IF(T29-((E29+F29+G29)*(1-'Prices&amp;Fuel'!F29))&lt;'Prices&amp;Fuel'!R29,(T29-(E29+F29+G29)*(1-'Prices&amp;Fuel'!F29)),'Prices&amp;Fuel'!R29)/(1-'Prices&amp;Fuel'!F29)</f>
        <v>4325.96401028278</v>
      </c>
      <c r="C29" s="9" t="n">
        <f aca="false">(T29/(1-'Prices&amp;Fuel'!F29))-D29-E29-F29-G29-B29</f>
        <v>0</v>
      </c>
      <c r="D29" s="9" t="n">
        <f aca="false">ROUND(IF(T29/(1-'Prices&amp;Fuel'!F29)-E29-F29-G29-B29&gt;'Prices&amp;Fuel'!T29,'Prices&amp;Fuel'!T29,T29/(1-'Prices&amp;Fuel'!F29)-E29-F29-G29-B29),9)</f>
        <v>0</v>
      </c>
      <c r="E29" s="9" t="n">
        <f aca="false">'Prices&amp;Fuel'!U29/(1-'Prices&amp;Fuel'!F29)</f>
        <v>2635.47557840617</v>
      </c>
      <c r="F29" s="9" t="n">
        <f aca="false">('Prices&amp;Fuel'!V29+'Prices&amp;Fuel'!X29)/(1-'Prices&amp;Fuel'!F29)</f>
        <v>3645.2442159383</v>
      </c>
      <c r="G29" s="9" t="n">
        <f aca="false">'Prices&amp;Fuel'!W29/(1-'Prices&amp;Fuel'!F29)</f>
        <v>1732.64781491003</v>
      </c>
      <c r="H29" s="10" t="n">
        <f aca="false">('Prices&amp;Fuel'!C29+'Prices&amp;Fuel'!D29)/2-0.05+(('Prices&amp;Fuel'!M29+'Prices&amp;Fuel'!P29)*(1-'Prices&amp;Fuel'!F29))</f>
        <v>3.73393225</v>
      </c>
      <c r="I29" s="9" t="n">
        <f aca="false">IF(FPL!L29=80000,0,B29)</f>
        <v>4325.96401028278</v>
      </c>
      <c r="J29" s="9" t="n">
        <v>68</v>
      </c>
      <c r="K29" s="10" t="n">
        <f aca="false">(((B29+E29)*('Prices&amp;Fuel'!B29+0.025))+(('Prices&amp;Fuel'!D29+0.025)*(D29+G29))+(('Prices&amp;Fuel'!C29+0.025)*(C29+F29))-(I29+J29)*0.025)/(B29+C29+D29+E29+F29+G29)</f>
        <v>3.0079143125</v>
      </c>
      <c r="L29" s="9" t="n">
        <f aca="false">(B29+C29+D29+E29+F29+G29)*H29*'Prices&amp;Fuel'!H29</f>
        <v>1382226.84832905</v>
      </c>
      <c r="M29" s="9" t="n">
        <f aca="false">'Prices&amp;Fuel'!X29*('Prices&amp;Fuel'!N29+'Prices&amp;Fuel'!O29)*'Prices&amp;Fuel'!H29</f>
        <v>4993.413</v>
      </c>
      <c r="N29" s="9" t="n">
        <f aca="false">('Prices&amp;Fuel'!U29+'Prices&amp;Fuel'!V29+'Prices&amp;Fuel'!W29)*('Prices&amp;Fuel'!L29+'Prices&amp;Fuel'!O29)*'Prices&amp;Fuel'!H29</f>
        <v>89586</v>
      </c>
      <c r="O29" s="9" t="n">
        <f aca="false">((B29+C29+D29)*(1-'Prices&amp;Fuel'!G29))*('Prices&amp;Fuel'!M29+'Prices&amp;Fuel'!P29)*'Prices&amp;Fuel'!H29</f>
        <v>101737.881</v>
      </c>
      <c r="P29" s="9" t="n">
        <f aca="false">((B29+C29+D29+E29+F29+G29)/(1-'Prices&amp;Fuel'!F29))*(1-'Prices&amp;Fuel'!F29)*'Prices&amp;Fuel'!H29*0.005</f>
        <v>1850.89974293059</v>
      </c>
      <c r="Q29" s="9" t="n">
        <f aca="false">((D29+C29+B29+E29+F29+G29)*K29*'Prices&amp;Fuel'!H29)+M29+N29+O29+P29</f>
        <v>1311637.75929563</v>
      </c>
      <c r="R29" s="5" t="n">
        <f aca="false">L29-Q29</f>
        <v>70589.089033419</v>
      </c>
      <c r="S29" s="12" t="n">
        <f aca="false">R29/(B29+C29+D29+E29+F29+G29)/'Prices&amp;Fuel'!H29</f>
        <v>0.190688580791667</v>
      </c>
      <c r="T29" s="1" t="n">
        <v>12000</v>
      </c>
    </row>
    <row r="30" customFormat="false" ht="11.25" hidden="false" customHeight="false" outlineLevel="0" collapsed="false">
      <c r="A30" s="6" t="n">
        <f aca="false">+A29+365/12</f>
        <v>36509.4166666667</v>
      </c>
      <c r="B30" s="5" t="n">
        <f aca="false">IF(T30-((E30+F30+G30)*(1-'Prices&amp;Fuel'!F30))&lt;'Prices&amp;Fuel'!R30,(T30-(E30+F30+G30)*(1-'Prices&amp;Fuel'!F30)),'Prices&amp;Fuel'!R30)/(1-'Prices&amp;Fuel'!F30)</f>
        <v>4325.96401028278</v>
      </c>
      <c r="C30" s="9" t="n">
        <f aca="false">(T30/(1-'Prices&amp;Fuel'!F30))-D30-E30-F30-G30-B30</f>
        <v>0</v>
      </c>
      <c r="D30" s="9" t="n">
        <f aca="false">ROUND(IF(T30/(1-'Prices&amp;Fuel'!F30)-E30-F30-G30-B30&gt;'Prices&amp;Fuel'!T30,'Prices&amp;Fuel'!T30,T30/(1-'Prices&amp;Fuel'!F30)-E30-F30-G30-B30),9)</f>
        <v>0</v>
      </c>
      <c r="E30" s="9" t="n">
        <f aca="false">'Prices&amp;Fuel'!U30/(1-'Prices&amp;Fuel'!F30)</f>
        <v>2635.47557840617</v>
      </c>
      <c r="F30" s="9" t="n">
        <f aca="false">('Prices&amp;Fuel'!V30+'Prices&amp;Fuel'!X30)/(1-'Prices&amp;Fuel'!F30)</f>
        <v>3645.2442159383</v>
      </c>
      <c r="G30" s="9" t="n">
        <f aca="false">'Prices&amp;Fuel'!W30/(1-'Prices&amp;Fuel'!F30)</f>
        <v>1732.64781491003</v>
      </c>
      <c r="H30" s="10" t="n">
        <f aca="false">('Prices&amp;Fuel'!C30+'Prices&amp;Fuel'!D30)/2-0.05+(('Prices&amp;Fuel'!M30+'Prices&amp;Fuel'!P30)*(1-'Prices&amp;Fuel'!F30))</f>
        <v>2.85393225</v>
      </c>
      <c r="I30" s="9" t="n">
        <f aca="false">IF(FPL!L30=80000,0,B30)</f>
        <v>4325.96401028278</v>
      </c>
      <c r="J30" s="9" t="n">
        <v>68</v>
      </c>
      <c r="K30" s="10" t="n">
        <f aca="false">(((B30+E30)*('Prices&amp;Fuel'!B30+0.025))+(('Prices&amp;Fuel'!D30+0.025)*(D30+G30))+(('Prices&amp;Fuel'!C30+0.025)*(C30+F30))-(I30+J30)*0.025)/(B30+C30+D30+E30+F30+G30)</f>
        <v>2.1279143125</v>
      </c>
      <c r="L30" s="9" t="n">
        <f aca="false">(B30+C30+D30+E30+F30+G30)*H30*'Prices&amp;Fuel'!H30</f>
        <v>1091684.11002571</v>
      </c>
      <c r="M30" s="9" t="n">
        <f aca="false">'Prices&amp;Fuel'!X30*('Prices&amp;Fuel'!N30+'Prices&amp;Fuel'!O30)*'Prices&amp;Fuel'!H30</f>
        <v>5159.8601</v>
      </c>
      <c r="N30" s="9" t="n">
        <f aca="false">('Prices&amp;Fuel'!U30+'Prices&amp;Fuel'!V30+'Prices&amp;Fuel'!W30)*('Prices&amp;Fuel'!L30+'Prices&amp;Fuel'!O30)*'Prices&amp;Fuel'!H30</f>
        <v>92572.2</v>
      </c>
      <c r="O30" s="9" t="n">
        <f aca="false">((B30+C30+D30)*(1-'Prices&amp;Fuel'!G30))*('Prices&amp;Fuel'!M30+'Prices&amp;Fuel'!P30)*'Prices&amp;Fuel'!H30</f>
        <v>105129.1437</v>
      </c>
      <c r="P30" s="9" t="n">
        <f aca="false">((B30+C30+D30+E30+F30+G30)/(1-'Prices&amp;Fuel'!F30))*(1-'Prices&amp;Fuel'!F30)*'Prices&amp;Fuel'!H30*0.005</f>
        <v>1912.59640102828</v>
      </c>
      <c r="Q30" s="9" t="n">
        <f aca="false">((D30+C30+B30+E30+F30+G30)*K30*'Prices&amp;Fuel'!H30)+M30+N30+O30+P30</f>
        <v>1018742.05135784</v>
      </c>
      <c r="R30" s="5" t="n">
        <f aca="false">L30-Q30</f>
        <v>72942.0586678662</v>
      </c>
      <c r="S30" s="12" t="n">
        <f aca="false">R30/(B30+C30+D30+E30+F30+G30)/'Prices&amp;Fuel'!H30</f>
        <v>0.190688580791666</v>
      </c>
      <c r="T30" s="1" t="n">
        <f aca="false">T29</f>
        <v>12000</v>
      </c>
    </row>
    <row r="31" customFormat="false" ht="11.25" hidden="false" customHeight="false" outlineLevel="0" collapsed="false">
      <c r="A31" s="6" t="n">
        <f aca="false">+A30+365/12</f>
        <v>36539.8333333333</v>
      </c>
      <c r="B31" s="5" t="n">
        <f aca="false">IF(T31-((E31+F31+G31)*(1-'Prices&amp;Fuel'!F31))&lt;'Prices&amp;Fuel'!R31,(T31-(E31+F31+G31)*(1-'Prices&amp;Fuel'!F31)),'Prices&amp;Fuel'!R31)/(1-'Prices&amp;Fuel'!F31)</f>
        <v>4325.96401028278</v>
      </c>
      <c r="C31" s="9" t="n">
        <f aca="false">(T31/(1-'Prices&amp;Fuel'!F31))-D31-E31-F31-G31-B31</f>
        <v>0</v>
      </c>
      <c r="D31" s="9" t="n">
        <f aca="false">ROUND(IF(T31/(1-'Prices&amp;Fuel'!F31)-E31-F31-G31-B31&gt;'Prices&amp;Fuel'!T31,'Prices&amp;Fuel'!T31,T31/(1-'Prices&amp;Fuel'!F31)-E31-F31-G31-B31),9)</f>
        <v>0</v>
      </c>
      <c r="E31" s="9" t="n">
        <f aca="false">'Prices&amp;Fuel'!U31/(1-'Prices&amp;Fuel'!F31)</f>
        <v>2635.47557840617</v>
      </c>
      <c r="F31" s="9" t="n">
        <f aca="false">('Prices&amp;Fuel'!V31+'Prices&amp;Fuel'!X31)/(1-'Prices&amp;Fuel'!F31)</f>
        <v>3645.2442159383</v>
      </c>
      <c r="G31" s="9" t="n">
        <f aca="false">'Prices&amp;Fuel'!W31/(1-'Prices&amp;Fuel'!F31)</f>
        <v>1732.64781491003</v>
      </c>
      <c r="H31" s="10" t="n">
        <f aca="false">('Prices&amp;Fuel'!C31+'Prices&amp;Fuel'!D31)/2-0.05+(('Prices&amp;Fuel'!M31+'Prices&amp;Fuel'!P31)*(1-'Prices&amp;Fuel'!F31))</f>
        <v>3.062668</v>
      </c>
      <c r="I31" s="9" t="n">
        <f aca="false">IF(FPL!L31=80000,0,B31)</f>
        <v>4325.96401028278</v>
      </c>
      <c r="J31" s="9"/>
      <c r="K31" s="10" t="n">
        <f aca="false">(((B31+E31)*('Prices&amp;Fuel'!B31+0.025))+(('Prices&amp;Fuel'!D31+0.025)*(D31+G31))+(('Prices&amp;Fuel'!C31+0.025)*(C31+F31))-(I31+J31)*0.025)/(B31+C31+D31+E31+F31+G31)</f>
        <v>2.33805208333333</v>
      </c>
      <c r="L31" s="9" t="n">
        <f aca="false">(B31+C31+D31+E31+F31+G31)*H31*'Prices&amp;Fuel'!H31</f>
        <v>1171529.55886889</v>
      </c>
      <c r="M31" s="9" t="n">
        <f aca="false">'Prices&amp;Fuel'!X31*('Prices&amp;Fuel'!N31+'Prices&amp;Fuel'!O31)*'Prices&amp;Fuel'!H31</f>
        <v>8865.1351</v>
      </c>
      <c r="N31" s="9" t="n">
        <f aca="false">('Prices&amp;Fuel'!U31+'Prices&amp;Fuel'!V31+'Prices&amp;Fuel'!W31)*('Prices&amp;Fuel'!L31+'Prices&amp;Fuel'!O31)*'Prices&amp;Fuel'!H31</f>
        <v>92285.667</v>
      </c>
      <c r="O31" s="9" t="n">
        <f aca="false">((B31+C31+D31)*(1-'Prices&amp;Fuel'!G31))*('Prices&amp;Fuel'!M31+'Prices&amp;Fuel'!P31)*'Prices&amp;Fuel'!H31</f>
        <v>104959.6016</v>
      </c>
      <c r="P31" s="9" t="n">
        <f aca="false">((B31+C31+D31+E31+F31+G31)/(1-'Prices&amp;Fuel'!F31))*(1-'Prices&amp;Fuel'!F31)*'Prices&amp;Fuel'!H31*0.005</f>
        <v>1912.59640102828</v>
      </c>
      <c r="Q31" s="9" t="n">
        <f aca="false">((D31+C31+B31+E31+F31+G31)*K31*'Prices&amp;Fuel'!H31)+M31+N31+O31+P31</f>
        <v>1102373.00010103</v>
      </c>
      <c r="R31" s="5" t="n">
        <f aca="false">L31-Q31</f>
        <v>69156.5587678661</v>
      </c>
      <c r="S31" s="12" t="n">
        <f aca="false">R31/(B31+C31+D31+E31+F31+G31)/'Prices&amp;Fuel'!H31</f>
        <v>0.180792347854166</v>
      </c>
      <c r="T31" s="1" t="n">
        <f aca="false">T30</f>
        <v>12000</v>
      </c>
    </row>
    <row r="32" customFormat="false" ht="11.25" hidden="false" customHeight="false" outlineLevel="0" collapsed="false">
      <c r="A32" s="6" t="n">
        <f aca="false">+A31+365/12</f>
        <v>36570.25</v>
      </c>
      <c r="B32" s="5" t="n">
        <f aca="false">IF(T32-((E32+F32+G32)*(1-'Prices&amp;Fuel'!F32))&lt;'Prices&amp;Fuel'!R32,(T32-(E32+F32+G32)*(1-'Prices&amp;Fuel'!F32)),'Prices&amp;Fuel'!R32)/(1-'Prices&amp;Fuel'!F32)</f>
        <v>4337.11340206186</v>
      </c>
      <c r="C32" s="9" t="n">
        <f aca="false">(T32/(1-'Prices&amp;Fuel'!F32))-D32-E32-F32-G32-B32</f>
        <v>0</v>
      </c>
      <c r="D32" s="9" t="n">
        <f aca="false">ROUND(IF(T32/(1-'Prices&amp;Fuel'!F32)-E32-F32-G32-B32&gt;'Prices&amp;Fuel'!T32,'Prices&amp;Fuel'!T32,T32/(1-'Prices&amp;Fuel'!F32)-E32-F32-G32-B32),9)</f>
        <v>0</v>
      </c>
      <c r="E32" s="9" t="n">
        <f aca="false">'Prices&amp;Fuel'!U32/(1-'Prices&amp;Fuel'!F32)</f>
        <v>2642.26804123711</v>
      </c>
      <c r="F32" s="9" t="n">
        <f aca="false">('Prices&amp;Fuel'!V32+'Prices&amp;Fuel'!X32)/(1-'Prices&amp;Fuel'!F32)</f>
        <v>3654.63917525773</v>
      </c>
      <c r="G32" s="9" t="n">
        <f aca="false">'Prices&amp;Fuel'!W32/(1-'Prices&amp;Fuel'!F32)</f>
        <v>1737.11340206186</v>
      </c>
      <c r="H32" s="10" t="n">
        <f aca="false">('Prices&amp;Fuel'!C32+'Prices&amp;Fuel'!D32)/2-0.05+(('Prices&amp;Fuel'!M32+'Prices&amp;Fuel'!P32)*(1-'Prices&amp;Fuel'!F32))</f>
        <v>3.330656</v>
      </c>
      <c r="I32" s="9" t="n">
        <f aca="false">IF(FPL!L32=80000,0,B32)</f>
        <v>4337.11340206186</v>
      </c>
      <c r="J32" s="9"/>
      <c r="K32" s="10" t="n">
        <f aca="false">(((B32+E32)*('Prices&amp;Fuel'!B32+0.025))+(('Prices&amp;Fuel'!D32+0.025)*(D32+G32))+(('Prices&amp;Fuel'!C32+0.025)*(C32+F32))-(I32+J32)*0.025)/(B32+C32+D32+E32+F32+G32)</f>
        <v>2.60805208333333</v>
      </c>
      <c r="L32" s="9" t="n">
        <f aca="false">(B32+C32+D32+E32+F32+G32)*H32*'Prices&amp;Fuel'!H32</f>
        <v>1194915.76082474</v>
      </c>
      <c r="M32" s="9" t="n">
        <f aca="false">'Prices&amp;Fuel'!X32*('Prices&amp;Fuel'!N32+'Prices&amp;Fuel'!O32)*'Prices&amp;Fuel'!H32</f>
        <v>8293.1909</v>
      </c>
      <c r="N32" s="9" t="n">
        <f aca="false">('Prices&amp;Fuel'!U32+'Prices&amp;Fuel'!V32+'Prices&amp;Fuel'!W32)*('Prices&amp;Fuel'!L32+'Prices&amp;Fuel'!O32)*'Prices&amp;Fuel'!H32</f>
        <v>86331.753</v>
      </c>
      <c r="O32" s="9" t="n">
        <f aca="false">((B32+C32+D32)*(1-'Prices&amp;Fuel'!G32))*('Prices&amp;Fuel'!M32+'Prices&amp;Fuel'!P32)*'Prices&amp;Fuel'!H32</f>
        <v>98188.0144</v>
      </c>
      <c r="P32" s="9" t="n">
        <f aca="false">((B32+C32+D32+E32+F32+G32)/(1-'Prices&amp;Fuel'!F32))*(1-'Prices&amp;Fuel'!F32)*'Prices&amp;Fuel'!H32*0.005</f>
        <v>1793.81443298969</v>
      </c>
      <c r="Q32" s="9" t="n">
        <f aca="false">((D32+C32+B32+E32+F32+G32)*K32*'Prices&amp;Fuel'!H32)+M32+N32+O32+P32</f>
        <v>1130279.06654742</v>
      </c>
      <c r="R32" s="5" t="n">
        <f aca="false">L32-Q32</f>
        <v>64636.6942773191</v>
      </c>
      <c r="S32" s="12" t="n">
        <f aca="false">R32/(B32+C32+D32+E32+F32+G32)/'Prices&amp;Fuel'!H32</f>
        <v>0.180165498416665</v>
      </c>
      <c r="T32" s="1" t="n">
        <f aca="false">T31</f>
        <v>12000</v>
      </c>
    </row>
    <row r="33" customFormat="false" ht="11.25" hidden="false" customHeight="false" outlineLevel="0" collapsed="false">
      <c r="A33" s="6" t="n">
        <f aca="false">+A32+365/12</f>
        <v>36600.6666666667</v>
      </c>
      <c r="B33" s="5" t="n">
        <f aca="false">IF(T33-((E33+F33+G33)*(1-'Prices&amp;Fuel'!F33))&lt;'Prices&amp;Fuel'!R33,(T33-(E33+F33+G33)*(1-'Prices&amp;Fuel'!F33)),'Prices&amp;Fuel'!R33)/(1-'Prices&amp;Fuel'!F33)</f>
        <v>4337.11340206186</v>
      </c>
      <c r="C33" s="9" t="n">
        <f aca="false">(T33/(1-'Prices&amp;Fuel'!F33))-D33-E33-F33-G33-B33</f>
        <v>0</v>
      </c>
      <c r="D33" s="9" t="n">
        <f aca="false">ROUND(IF(T33/(1-'Prices&amp;Fuel'!F33)-E33-F33-G33-B33&gt;'Prices&amp;Fuel'!T33,'Prices&amp;Fuel'!T33,T33/(1-'Prices&amp;Fuel'!F33)-E33-F33-G33-B33),9)</f>
        <v>0</v>
      </c>
      <c r="E33" s="9" t="n">
        <f aca="false">'Prices&amp;Fuel'!U33/(1-'Prices&amp;Fuel'!F33)</f>
        <v>2642.26804123711</v>
      </c>
      <c r="F33" s="9" t="n">
        <f aca="false">('Prices&amp;Fuel'!V33+'Prices&amp;Fuel'!X33)/(1-'Prices&amp;Fuel'!F33)</f>
        <v>3654.63917525773</v>
      </c>
      <c r="G33" s="9" t="n">
        <f aca="false">'Prices&amp;Fuel'!W33/(1-'Prices&amp;Fuel'!F33)</f>
        <v>1737.11340206186</v>
      </c>
      <c r="H33" s="10" t="n">
        <f aca="false">('Prices&amp;Fuel'!C33+'Prices&amp;Fuel'!D33)/2-0.05+(('Prices&amp;Fuel'!M33+'Prices&amp;Fuel'!P33)*(1-'Prices&amp;Fuel'!F33))</f>
        <v>3.315956</v>
      </c>
      <c r="I33" s="9" t="n">
        <f aca="false">IF(FPL!L33=80000,0,B33)</f>
        <v>4337.11340206186</v>
      </c>
      <c r="J33" s="9"/>
      <c r="K33" s="10" t="n">
        <f aca="false">(((B33+E33)*('Prices&amp;Fuel'!B33+0.025))+(('Prices&amp;Fuel'!D33+0.025)*(D33+G33))+(('Prices&amp;Fuel'!C33+0.025)*(C33+F33))-(I33+J33)*0.025)/(B33+C33+D33+E33+F33+G33)</f>
        <v>2.60664791666667</v>
      </c>
      <c r="L33" s="9" t="n">
        <f aca="false">(B33+C33+D33+E33+F33+G33)*H33*'Prices&amp;Fuel'!H33</f>
        <v>1271686.2185567</v>
      </c>
      <c r="M33" s="9" t="n">
        <f aca="false">'Prices&amp;Fuel'!X33*('Prices&amp;Fuel'!N33+'Prices&amp;Fuel'!O33)*'Prices&amp;Fuel'!H33</f>
        <v>8865.1351</v>
      </c>
      <c r="N33" s="9" t="n">
        <f aca="false">('Prices&amp;Fuel'!U33+'Prices&amp;Fuel'!V33+'Prices&amp;Fuel'!W33)*('Prices&amp;Fuel'!L33+'Prices&amp;Fuel'!O33)*'Prices&amp;Fuel'!H33</f>
        <v>92285.667</v>
      </c>
      <c r="O33" s="9" t="n">
        <f aca="false">((B33+C33+D33)*(1-'Prices&amp;Fuel'!G33))*('Prices&amp;Fuel'!M33+'Prices&amp;Fuel'!P33)*'Prices&amp;Fuel'!H33</f>
        <v>103655.4316</v>
      </c>
      <c r="P33" s="9" t="n">
        <f aca="false">((B33+C33+D33+E33+F33+G33)/(1-'Prices&amp;Fuel'!F33))*(1-'Prices&amp;Fuel'!F33)*'Prices&amp;Fuel'!H33*0.005</f>
        <v>1917.52577319588</v>
      </c>
      <c r="Q33" s="9" t="n">
        <f aca="false">((D33+C33+B33+E33+F33+G33)*K33*'Prices&amp;Fuel'!H33)+M33+N33+O33+P33</f>
        <v>1206386.67184433</v>
      </c>
      <c r="R33" s="5" t="n">
        <f aca="false">L33-Q33</f>
        <v>65299.5467123711</v>
      </c>
      <c r="S33" s="12" t="n">
        <f aca="false">R33/(B33+C33+D33+E33+F33+G33)/'Prices&amp;Fuel'!H33</f>
        <v>0.170270323416666</v>
      </c>
      <c r="T33" s="1" t="n">
        <f aca="false">T32</f>
        <v>12000</v>
      </c>
    </row>
    <row r="34" customFormat="false" ht="11.25" hidden="false" customHeight="false" outlineLevel="0" collapsed="false">
      <c r="A34" s="6" t="n">
        <f aca="false">+A33+365/12</f>
        <v>36631.0833333333</v>
      </c>
      <c r="B34" s="5" t="n">
        <f aca="false">IF(T34-((E34+F34+G34)*(1-'Prices&amp;Fuel'!F34))&lt;'Prices&amp;Fuel'!R34,(T34-(E34+F34+G34)*(1-'Prices&amp;Fuel'!F34)),'Prices&amp;Fuel'!R34)/(1-'Prices&amp;Fuel'!F34)</f>
        <v>6294.19647459025</v>
      </c>
      <c r="C34" s="9" t="n">
        <f aca="false">(T34/(1-'Prices&amp;Fuel'!F34))-D34-E34-F34-G34-B34</f>
        <v>0</v>
      </c>
      <c r="D34" s="9" t="n">
        <f aca="false">ROUND(IF(T34/(1-'Prices&amp;Fuel'!F34)-E34-F34-G34-B34&gt;'Prices&amp;Fuel'!T34,'Prices&amp;Fuel'!T34,T34/(1-'Prices&amp;Fuel'!F34)-E34-F34-G34-B34),9)</f>
        <v>0</v>
      </c>
      <c r="E34" s="9" t="n">
        <f aca="false">'Prices&amp;Fuel'!U34/(1-'Prices&amp;Fuel'!F34)</f>
        <v>1937.94454179981</v>
      </c>
      <c r="F34" s="9" t="n">
        <f aca="false">('Prices&amp;Fuel'!V34+'Prices&amp;Fuel'!X34)/(1-'Prices&amp;Fuel'!F34)</f>
        <v>2840.94423255335</v>
      </c>
      <c r="G34" s="9" t="n">
        <f aca="false">'Prices&amp;Fuel'!W34/(1-'Prices&amp;Fuel'!F34)</f>
        <v>1296.77352850222</v>
      </c>
      <c r="H34" s="10" t="n">
        <f aca="false">('Prices&amp;Fuel'!C34+'Prices&amp;Fuel'!D34)/2-0.05+(('Prices&amp;Fuel'!M34+'Prices&amp;Fuel'!P34)*(1-'Prices&amp;Fuel'!F34))</f>
        <v>3.58516239</v>
      </c>
      <c r="I34" s="9" t="n">
        <f aca="false">IF(FPL!L34=80000,0,B34)</f>
        <v>6294.19647459025</v>
      </c>
      <c r="J34" s="9"/>
      <c r="K34" s="10" t="n">
        <f aca="false">(((B34+E34)*('Prices&amp;Fuel'!B34+0.025))+(('Prices&amp;Fuel'!D34+0.025)*(D34+G34))+(('Prices&amp;Fuel'!C34+0.025)*(C34+F34))-(I34+J34)*0.025)/(B34+C34+D34+E34+F34+G34)</f>
        <v>2.8704175</v>
      </c>
      <c r="L34" s="9" t="n">
        <f aca="false">(B34+C34+D34+E34+F34+G34)*H34*'Prices&amp;Fuel'!H34</f>
        <v>1330438.57375528</v>
      </c>
      <c r="M34" s="9" t="n">
        <f aca="false">'Prices&amp;Fuel'!X34*('Prices&amp;Fuel'!N34+'Prices&amp;Fuel'!O34)*'Prices&amp;Fuel'!H34</f>
        <v>8560.722</v>
      </c>
      <c r="N34" s="9" t="n">
        <f aca="false">('Prices&amp;Fuel'!U34+'Prices&amp;Fuel'!V34+'Prices&amp;Fuel'!W34)*('Prices&amp;Fuel'!L34+'Prices&amp;Fuel'!O34)*'Prices&amp;Fuel'!H34</f>
        <v>65314.674</v>
      </c>
      <c r="O34" s="9" t="n">
        <f aca="false">((B34+C34+D34)*(1-'Prices&amp;Fuel'!G34))*('Prices&amp;Fuel'!M34+'Prices&amp;Fuel'!P34)*'Prices&amp;Fuel'!H34</f>
        <v>145426.602</v>
      </c>
      <c r="P34" s="9" t="n">
        <f aca="false">((B34+C34+D34+E34+F34+G34)/(1-'Prices&amp;Fuel'!F34))*(1-'Prices&amp;Fuel'!F34)*'Prices&amp;Fuel'!H34*0.005</f>
        <v>1855.47881661684</v>
      </c>
      <c r="Q34" s="9" t="n">
        <f aca="false">((D34+C34+B34+E34+F34+G34)*K34*'Prices&amp;Fuel'!H34)+M34+N34+O34+P34</f>
        <v>1286357.25003587</v>
      </c>
      <c r="R34" s="5" t="n">
        <f aca="false">L34-Q34</f>
        <v>44081.3237194102</v>
      </c>
      <c r="S34" s="12" t="n">
        <f aca="false">R34/(B34+C34+D34+E34+F34+G34)/'Prices&amp;Fuel'!H34</f>
        <v>0.118786922611666</v>
      </c>
      <c r="T34" s="1" t="n">
        <f aca="false">T33</f>
        <v>12000</v>
      </c>
    </row>
    <row r="35" customFormat="false" ht="11.25" hidden="false" customHeight="false" outlineLevel="0" collapsed="false">
      <c r="A35" s="6" t="n">
        <f aca="false">+A34+365/12</f>
        <v>36661.5</v>
      </c>
      <c r="B35" s="5" t="n">
        <f aca="false">IF(T35-((E35+F35+G35)*(1-'Prices&amp;Fuel'!F35))&lt;'Prices&amp;Fuel'!R35,(T35-(E35+F35+G35)*(1-'Prices&amp;Fuel'!F35)),'Prices&amp;Fuel'!R35)/(1-'Prices&amp;Fuel'!F35)</f>
        <v>9000</v>
      </c>
      <c r="C35" s="9" t="n">
        <f aca="false">(T35/(1-'Prices&amp;Fuel'!F35))-D35-E35-F35-G35-B35</f>
        <v>-3.38332029059529E-010</v>
      </c>
      <c r="D35" s="9" t="n">
        <f aca="false">ROUND(IF(T35/(1-'Prices&amp;Fuel'!F35)-E35-F35-G35-B35&gt;'Prices&amp;Fuel'!T35,'Prices&amp;Fuel'!T35,T35/(1-'Prices&amp;Fuel'!F35)-E35-F35-G35-B35),9)</f>
        <v>6573.195876289</v>
      </c>
      <c r="E35" s="9" t="n">
        <f aca="false">'Prices&amp;Fuel'!U35/(1-'Prices&amp;Fuel'!F35)</f>
        <v>1938.14432989691</v>
      </c>
      <c r="F35" s="9" t="n">
        <f aca="false">('Prices&amp;Fuel'!V35+'Prices&amp;Fuel'!X35)/(1-'Prices&amp;Fuel'!F35)</f>
        <v>3070.10309278351</v>
      </c>
      <c r="G35" s="9" t="n">
        <f aca="false">'Prices&amp;Fuel'!W35/(1-'Prices&amp;Fuel'!F35)</f>
        <v>1068.0412371134</v>
      </c>
      <c r="H35" s="10" t="n">
        <f aca="false">('Prices&amp;Fuel'!C35+'Prices&amp;Fuel'!D35)/2-0.05+(('Prices&amp;Fuel'!M35+'Prices&amp;Fuel'!P35)*(1-'Prices&amp;Fuel'!F35))</f>
        <v>3.785083</v>
      </c>
      <c r="I35" s="9" t="n">
        <f aca="false">IF(FPL!L35=80000,0,B35)</f>
        <v>0</v>
      </c>
      <c r="J35" s="9"/>
      <c r="K35" s="10" t="n">
        <f aca="false">(((B35+E35)*('Prices&amp;Fuel'!B35+0.025))+(('Prices&amp;Fuel'!D35+0.025)*(D35+G35))+(('Prices&amp;Fuel'!C35+0.025)*(C35+F35))-(I35+J35)*0.025)/(B35+C35+D35+E35+F35+G35)</f>
        <v>3.0742019047619</v>
      </c>
      <c r="L35" s="9" t="n">
        <f aca="false">(B35+C35+D35+E35+F35+G35)*H35*'Prices&amp;Fuel'!H35</f>
        <v>2540297.97216495</v>
      </c>
      <c r="M35" s="9" t="n">
        <f aca="false">'Prices&amp;Fuel'!X35*('Prices&amp;Fuel'!N35+'Prices&amp;Fuel'!O35)*'Prices&amp;Fuel'!H35</f>
        <v>8846.0794</v>
      </c>
      <c r="N35" s="9" t="n">
        <f aca="false">('Prices&amp;Fuel'!U35+'Prices&amp;Fuel'!V35+'Prices&amp;Fuel'!W35)*('Prices&amp;Fuel'!L35+'Prices&amp;Fuel'!O35)*'Prices&amp;Fuel'!H35</f>
        <v>67491.8298</v>
      </c>
      <c r="O35" s="9" t="n">
        <f aca="false">((B35+C35+D35)*(1-'Prices&amp;Fuel'!G35))*('Prices&amp;Fuel'!M35+'Prices&amp;Fuel'!P35)*'Prices&amp;Fuel'!H35</f>
        <v>371772.2554</v>
      </c>
      <c r="P35" s="9" t="n">
        <f aca="false">((B35+C35+D35+E35+F35+G35)/(1-'Prices&amp;Fuel'!F35))*(1-'Prices&amp;Fuel'!F35)*'Prices&amp;Fuel'!H35*0.005</f>
        <v>3355.67010309278</v>
      </c>
      <c r="Q35" s="9" t="n">
        <f aca="false">((D35+C35+B35+E35+F35+G35)*K35*'Prices&amp;Fuel'!H35)+M35+N35+O35+P35</f>
        <v>2514667.31923918</v>
      </c>
      <c r="R35" s="5" t="n">
        <f aca="false">L35-Q35</f>
        <v>25630.6529257735</v>
      </c>
      <c r="S35" s="12" t="n">
        <f aca="false">R35/(B35+C35+D35+E35+F35+G35)/'Prices&amp;Fuel'!H35</f>
        <v>0.0381900665714291</v>
      </c>
      <c r="T35" s="1" t="n">
        <v>21000</v>
      </c>
    </row>
    <row r="36" customFormat="false" ht="11.25" hidden="false" customHeight="false" outlineLevel="0" collapsed="false">
      <c r="A36" s="6" t="n">
        <f aca="false">+A35+365/12</f>
        <v>36691.9166666667</v>
      </c>
      <c r="B36" s="5" t="n">
        <f aca="false">IF(T36-((E36+F36+G36)*(1-'Prices&amp;Fuel'!F36))&lt;'Prices&amp;Fuel'!R36,(T36-(E36+F36+G36)*(1-'Prices&amp;Fuel'!F36)),'Prices&amp;Fuel'!R36)/(1-'Prices&amp;Fuel'!F36)</f>
        <v>8999.07226059169</v>
      </c>
      <c r="C36" s="9" t="n">
        <f aca="false">(T36/(1-'Prices&amp;Fuel'!F36))-D36-E36-F36-G36-B36</f>
        <v>-2.2373569663614E-010</v>
      </c>
      <c r="D36" s="9" t="n">
        <f aca="false">ROUND(IF(T36/(1-'Prices&amp;Fuel'!F36)-E36-F36-G36-B36&gt;'Prices&amp;Fuel'!T36,'Prices&amp;Fuel'!T36,T36/(1-'Prices&amp;Fuel'!F36)-E36-F36-G36-B36),9)</f>
        <v>6572.518297083</v>
      </c>
      <c r="E36" s="9" t="n">
        <f aca="false">'Prices&amp;Fuel'!U36/(1-'Prices&amp;Fuel'!F36)</f>
        <v>1937.94454179981</v>
      </c>
      <c r="F36" s="9" t="n">
        <f aca="false">('Prices&amp;Fuel'!V36+'Prices&amp;Fuel'!X36)/(1-'Prices&amp;Fuel'!F36)</f>
        <v>3069.78661993609</v>
      </c>
      <c r="G36" s="9" t="n">
        <f aca="false">'Prices&amp;Fuel'!W36/(1-'Prices&amp;Fuel'!F36)</f>
        <v>1067.93114111947</v>
      </c>
      <c r="H36" s="10" t="n">
        <f aca="false">('Prices&amp;Fuel'!C36+'Prices&amp;Fuel'!D36)/2-0.05+(('Prices&amp;Fuel'!M36+'Prices&amp;Fuel'!P36)*(1-'Prices&amp;Fuel'!F36))</f>
        <v>5.08516239</v>
      </c>
      <c r="I36" s="9" t="n">
        <f aca="false">IF(FPL!L36=80000,0,B36)</f>
        <v>0</v>
      </c>
      <c r="J36" s="9"/>
      <c r="K36" s="10" t="n">
        <f aca="false">(((B36+E36)*('Prices&amp;Fuel'!B36+0.025))+(('Prices&amp;Fuel'!D36+0.025)*(D36+G36))+(('Prices&amp;Fuel'!C36+0.025)*(C36+F36))-(I36+J36)*0.025)/(B36+C36+D36+E36+F36+G36)</f>
        <v>4.37714285714286</v>
      </c>
      <c r="L36" s="9" t="n">
        <f aca="false">(B36+C36+D36+E36+F36+G36)*H36*'Prices&amp;Fuel'!H36</f>
        <v>3302393.88279559</v>
      </c>
      <c r="M36" s="9" t="n">
        <f aca="false">'Prices&amp;Fuel'!X36*('Prices&amp;Fuel'!N36+'Prices&amp;Fuel'!O36)*'Prices&amp;Fuel'!H36</f>
        <v>8560.722</v>
      </c>
      <c r="N36" s="9" t="n">
        <f aca="false">('Prices&amp;Fuel'!U36+'Prices&amp;Fuel'!V36+'Prices&amp;Fuel'!W36)*('Prices&amp;Fuel'!L36+'Prices&amp;Fuel'!O36)*'Prices&amp;Fuel'!H36</f>
        <v>65314.674</v>
      </c>
      <c r="O36" s="9" t="n">
        <f aca="false">((B36+C36+D36)*(1-'Prices&amp;Fuel'!G36))*('Prices&amp;Fuel'!M36+'Prices&amp;Fuel'!P36)*'Prices&amp;Fuel'!H36</f>
        <v>359779.602</v>
      </c>
      <c r="P36" s="9" t="n">
        <f aca="false">((B36+C36+D36+E36+F36+G36)/(1-'Prices&amp;Fuel'!F36))*(1-'Prices&amp;Fuel'!F36)*'Prices&amp;Fuel'!H36*0.005</f>
        <v>3247.08792907948</v>
      </c>
      <c r="Q36" s="9" t="n">
        <f aca="false">((D36+C36+B36+E36+F36+G36)*K36*'Prices&amp;Fuel'!H36)+M36+N36+O36+P36</f>
        <v>3279495.63298608</v>
      </c>
      <c r="R36" s="5" t="n">
        <f aca="false">L36-Q36</f>
        <v>22898.2498095059</v>
      </c>
      <c r="S36" s="12" t="n">
        <f aca="false">R36/(B36+C36+D36+E36+F36+G36)/'Prices&amp;Fuel'!H36</f>
        <v>0.0352596700638122</v>
      </c>
      <c r="T36" s="1" t="n">
        <f aca="false">T35</f>
        <v>21000</v>
      </c>
    </row>
    <row r="37" customFormat="false" ht="11.25" hidden="false" customHeight="false" outlineLevel="0" collapsed="false">
      <c r="A37" s="6" t="n">
        <f aca="false">+A36+365/12</f>
        <v>36722.3333333333</v>
      </c>
      <c r="B37" s="5" t="n">
        <f aca="false">IF(T37-((E37+F37+G37)*(1-'Prices&amp;Fuel'!F37))&lt;'Prices&amp;Fuel'!R37,(T37-(E37+F37+G37)*(1-'Prices&amp;Fuel'!F37)),'Prices&amp;Fuel'!R37)/(1-'Prices&amp;Fuel'!F37)</f>
        <v>8999.07226059169</v>
      </c>
      <c r="C37" s="9" t="n">
        <f aca="false">(T37/(1-'Prices&amp;Fuel'!F37))-D37-E37-F37-G37-B37</f>
        <v>-2.2373569663614E-010</v>
      </c>
      <c r="D37" s="9" t="n">
        <f aca="false">ROUND(IF(T37/(1-'Prices&amp;Fuel'!F37)-E37-F37-G37-B37&gt;'Prices&amp;Fuel'!T37,'Prices&amp;Fuel'!T37,T37/(1-'Prices&amp;Fuel'!F37)-E37-F37-G37-B37),9)</f>
        <v>6572.518297083</v>
      </c>
      <c r="E37" s="9" t="n">
        <f aca="false">'Prices&amp;Fuel'!U37/(1-'Prices&amp;Fuel'!F37)</f>
        <v>1937.94454179981</v>
      </c>
      <c r="F37" s="9" t="n">
        <f aca="false">('Prices&amp;Fuel'!V37+'Prices&amp;Fuel'!X37)/(1-'Prices&amp;Fuel'!F37)</f>
        <v>3069.78661993609</v>
      </c>
      <c r="G37" s="9" t="n">
        <f aca="false">'Prices&amp;Fuel'!W37/(1-'Prices&amp;Fuel'!F37)</f>
        <v>1067.93114111947</v>
      </c>
      <c r="H37" s="10" t="n">
        <f aca="false">('Prices&amp;Fuel'!C37+'Prices&amp;Fuel'!D37)/2-0.05+(('Prices&amp;Fuel'!M37+'Prices&amp;Fuel'!P37)*(1-'Prices&amp;Fuel'!F37))</f>
        <v>5.07516239</v>
      </c>
      <c r="I37" s="9" t="n">
        <f aca="false">IF(FPL!L37=80000,0,B37)</f>
        <v>0</v>
      </c>
      <c r="J37" s="9"/>
      <c r="K37" s="10" t="n">
        <f aca="false">(((B37+E37)*('Prices&amp;Fuel'!B37+0.025))+(('Prices&amp;Fuel'!D37+0.025)*(D37+G37))+(('Prices&amp;Fuel'!C37+0.025)*(C37+F37))-(I37+J37)*0.025)/(B37+C37+D37+E37+F37+G37)</f>
        <v>4.36714285714286</v>
      </c>
      <c r="L37" s="9" t="n">
        <f aca="false">(B37+C37+D37+E37+F37+G37)*H37*'Prices&amp;Fuel'!H37</f>
        <v>3405763.03050201</v>
      </c>
      <c r="M37" s="9" t="n">
        <f aca="false">'Prices&amp;Fuel'!X37*('Prices&amp;Fuel'!N37+'Prices&amp;Fuel'!O37)*'Prices&amp;Fuel'!H37</f>
        <v>8846.0794</v>
      </c>
      <c r="N37" s="9" t="n">
        <f aca="false">('Prices&amp;Fuel'!U37+'Prices&amp;Fuel'!V37+'Prices&amp;Fuel'!W37)*('Prices&amp;Fuel'!L37+'Prices&amp;Fuel'!O37)*'Prices&amp;Fuel'!H37</f>
        <v>67491.8298</v>
      </c>
      <c r="O37" s="9" t="n">
        <f aca="false">((B37+C37+D37)*(1-'Prices&amp;Fuel'!G37))*('Prices&amp;Fuel'!M37+'Prices&amp;Fuel'!P37)*'Prices&amp;Fuel'!H37</f>
        <v>371772.2554</v>
      </c>
      <c r="P37" s="9" t="n">
        <f aca="false">((B37+C37+D37+E37+F37+G37)/(1-'Prices&amp;Fuel'!F37))*(1-'Prices&amp;Fuel'!F37)*'Prices&amp;Fuel'!H37*0.005</f>
        <v>3355.32419338213</v>
      </c>
      <c r="Q37" s="9" t="n">
        <f aca="false">((D37+C37+B37+E37+F37+G37)*K37*'Prices&amp;Fuel'!H37)+M37+N37+O37+P37</f>
        <v>3382101.50569886</v>
      </c>
      <c r="R37" s="5" t="n">
        <f aca="false">L37-Q37</f>
        <v>23661.5248031551</v>
      </c>
      <c r="S37" s="12" t="n">
        <f aca="false">R37/(B37+C37+D37+E37+F37+G37)/'Prices&amp;Fuel'!H37</f>
        <v>0.0352596700638107</v>
      </c>
      <c r="T37" s="1" t="n">
        <f aca="false">T36</f>
        <v>21000</v>
      </c>
    </row>
    <row r="38" customFormat="false" ht="11.25" hidden="false" customHeight="false" outlineLevel="0" collapsed="false">
      <c r="A38" s="6" t="n">
        <f aca="false">+A37+365/12</f>
        <v>36752.75</v>
      </c>
      <c r="B38" s="5" t="n">
        <f aca="false">IF(T38-((E38+F38+G38)*(1-'Prices&amp;Fuel'!F38))&lt;'Prices&amp;Fuel'!R38,(T38-(E38+F38+G38)*(1-'Prices&amp;Fuel'!F38)),'Prices&amp;Fuel'!R38)/(1-'Prices&amp;Fuel'!F38)</f>
        <v>8999.07226059169</v>
      </c>
      <c r="C38" s="9" t="n">
        <f aca="false">(T38/(1-'Prices&amp;Fuel'!F38))-D38-E38-F38-G38-B38</f>
        <v>-2.2373569663614E-010</v>
      </c>
      <c r="D38" s="9" t="n">
        <f aca="false">ROUND(IF(T38/(1-'Prices&amp;Fuel'!F38)-E38-F38-G38-B38&gt;'Prices&amp;Fuel'!T38,'Prices&amp;Fuel'!T38,T38/(1-'Prices&amp;Fuel'!F38)-E38-F38-G38-B38),9)</f>
        <v>6572.518297083</v>
      </c>
      <c r="E38" s="9" t="n">
        <f aca="false">'Prices&amp;Fuel'!U38/(1-'Prices&amp;Fuel'!F38)</f>
        <v>1937.94454179981</v>
      </c>
      <c r="F38" s="9" t="n">
        <f aca="false">('Prices&amp;Fuel'!V38+'Prices&amp;Fuel'!X38)/(1-'Prices&amp;Fuel'!F38)</f>
        <v>3069.78661993609</v>
      </c>
      <c r="G38" s="9" t="n">
        <f aca="false">'Prices&amp;Fuel'!W38/(1-'Prices&amp;Fuel'!F38)</f>
        <v>1067.93114111947</v>
      </c>
      <c r="H38" s="10" t="n">
        <f aca="false">('Prices&amp;Fuel'!C38+'Prices&amp;Fuel'!D38)/2-0.05+(('Prices&amp;Fuel'!M38+'Prices&amp;Fuel'!P38)*(1-'Prices&amp;Fuel'!F38))</f>
        <v>4.53516239</v>
      </c>
      <c r="I38" s="9" t="n">
        <f aca="false">IF(FPL!L38=80000,0,B38)</f>
        <v>0</v>
      </c>
      <c r="J38" s="9"/>
      <c r="K38" s="10" t="n">
        <f aca="false">(((B38+E38)*('Prices&amp;Fuel'!B38+0.025))+(('Prices&amp;Fuel'!D38+0.025)*(D38+G38))+(('Prices&amp;Fuel'!C38+0.025)*(C38+F38))-(I38+J38)*0.025)/(B38+C38+D38+E38+F38+G38)</f>
        <v>3.82714285714286</v>
      </c>
      <c r="L38" s="9" t="n">
        <f aca="false">(B38+C38+D38+E38+F38+G38)*H38*'Prices&amp;Fuel'!H38</f>
        <v>3043388.01761674</v>
      </c>
      <c r="M38" s="9" t="n">
        <f aca="false">'Prices&amp;Fuel'!X38*('Prices&amp;Fuel'!N38+'Prices&amp;Fuel'!O38)*'Prices&amp;Fuel'!H38</f>
        <v>8846.0794</v>
      </c>
      <c r="N38" s="9" t="n">
        <f aca="false">('Prices&amp;Fuel'!U38+'Prices&amp;Fuel'!V38+'Prices&amp;Fuel'!W38)*('Prices&amp;Fuel'!L38+'Prices&amp;Fuel'!O38)*'Prices&amp;Fuel'!H38</f>
        <v>67491.8298</v>
      </c>
      <c r="O38" s="9" t="n">
        <f aca="false">((B38+C38+D38)*(1-'Prices&amp;Fuel'!G38))*('Prices&amp;Fuel'!M38+'Prices&amp;Fuel'!P38)*'Prices&amp;Fuel'!H38</f>
        <v>371772.2554</v>
      </c>
      <c r="P38" s="9" t="n">
        <f aca="false">((B38+C38+D38+E38+F38+G38)/(1-'Prices&amp;Fuel'!F38))*(1-'Prices&amp;Fuel'!F38)*'Prices&amp;Fuel'!H38*0.005</f>
        <v>3355.32419338213</v>
      </c>
      <c r="Q38" s="9" t="n">
        <f aca="false">((D38+C38+B38+E38+F38+G38)*K38*'Prices&amp;Fuel'!H38)+M38+N38+O38+P38</f>
        <v>3019726.49281359</v>
      </c>
      <c r="R38" s="5" t="n">
        <f aca="false">L38-Q38</f>
        <v>23661.5248031546</v>
      </c>
      <c r="S38" s="12" t="n">
        <f aca="false">R38/(B38+C38+D38+E38+F38+G38)/'Prices&amp;Fuel'!H38</f>
        <v>0.03525967006381</v>
      </c>
      <c r="T38" s="1" t="n">
        <f aca="false">T37</f>
        <v>21000</v>
      </c>
    </row>
    <row r="39" customFormat="false" ht="11.25" hidden="false" customHeight="false" outlineLevel="0" collapsed="false">
      <c r="A39" s="6" t="n">
        <f aca="false">+A38+365/12</f>
        <v>36783.1666666667</v>
      </c>
      <c r="B39" s="5" t="n">
        <f aca="false">IF(T39-((E39+F39+G39)*(1-'Prices&amp;Fuel'!F39))&lt;'Prices&amp;Fuel'!R39,(T39-(E39+F39+G39)*(1-'Prices&amp;Fuel'!F39)),'Prices&amp;Fuel'!R39)/(1-'Prices&amp;Fuel'!F39)</f>
        <v>8999.07226059169</v>
      </c>
      <c r="C39" s="9" t="n">
        <f aca="false">(T39/(1-'Prices&amp;Fuel'!F39))-D39-E39-F39-G39-B39</f>
        <v>-2.2373569663614E-010</v>
      </c>
      <c r="D39" s="9" t="n">
        <f aca="false">ROUND(IF(T39/(1-'Prices&amp;Fuel'!F39)-E39-F39-G39-B39&gt;'Prices&amp;Fuel'!T39,'Prices&amp;Fuel'!T39,T39/(1-'Prices&amp;Fuel'!F39)-E39-F39-G39-B39),9)</f>
        <v>6572.518297083</v>
      </c>
      <c r="E39" s="9" t="n">
        <f aca="false">'Prices&amp;Fuel'!U39/(1-'Prices&amp;Fuel'!F39)</f>
        <v>1937.94454179981</v>
      </c>
      <c r="F39" s="9" t="n">
        <f aca="false">('Prices&amp;Fuel'!V39+'Prices&amp;Fuel'!X39)/(1-'Prices&amp;Fuel'!F39)</f>
        <v>3069.78661993609</v>
      </c>
      <c r="G39" s="9" t="n">
        <f aca="false">'Prices&amp;Fuel'!W39/(1-'Prices&amp;Fuel'!F39)</f>
        <v>1067.93114111947</v>
      </c>
      <c r="H39" s="10" t="n">
        <f aca="false">('Prices&amp;Fuel'!C39+'Prices&amp;Fuel'!D39)/2-0.05+(('Prices&amp;Fuel'!M39+'Prices&amp;Fuel'!P39)*(1-'Prices&amp;Fuel'!F39))</f>
        <v>5.32020691</v>
      </c>
      <c r="I39" s="9" t="n">
        <f aca="false">IF(FPL!L39=80000,0,B39)</f>
        <v>0</v>
      </c>
      <c r="J39" s="9"/>
      <c r="K39" s="10" t="n">
        <f aca="false">(((B39+E39)*('Prices&amp;Fuel'!B39+0.025))+(('Prices&amp;Fuel'!D39+0.025)*(D39+G39))+(('Prices&amp;Fuel'!C39+0.025)*(C39+F39))-(I39+J39)*0.025)/(B39+C39+D39+E39+F39+G39)</f>
        <v>4.60925428571429</v>
      </c>
      <c r="L39" s="9" t="n">
        <f aca="false">(B39+C39+D39+E39+F39+G39)*H39*'Prices&amp;Fuel'!H39</f>
        <v>3455035.92753325</v>
      </c>
      <c r="M39" s="9" t="n">
        <f aca="false">'Prices&amp;Fuel'!X39*('Prices&amp;Fuel'!N39+'Prices&amp;Fuel'!O39)*'Prices&amp;Fuel'!H39</f>
        <v>8667.27</v>
      </c>
      <c r="N39" s="9" t="n">
        <f aca="false">('Prices&amp;Fuel'!U39+'Prices&amp;Fuel'!V39+'Prices&amp;Fuel'!W39)*('Prices&amp;Fuel'!L39+'Prices&amp;Fuel'!O39)*'Prices&amp;Fuel'!H39</f>
        <v>66127.59</v>
      </c>
      <c r="O39" s="9" t="n">
        <f aca="false">((B39+C39+D39)*(1-'Prices&amp;Fuel'!G39))*('Prices&amp;Fuel'!M39+'Prices&amp;Fuel'!P39)*'Prices&amp;Fuel'!H39</f>
        <v>362136.138</v>
      </c>
      <c r="P39" s="9" t="n">
        <f aca="false">((B39+C39+D39+E39+F39+G39)/(1-'Prices&amp;Fuel'!F39))*(1-'Prices&amp;Fuel'!F39)*'Prices&amp;Fuel'!H39*0.005</f>
        <v>3247.08792907948</v>
      </c>
      <c r="Q39" s="9" t="n">
        <f aca="false">((D39+C39+B39+E39+F39+G39)*K39*'Prices&amp;Fuel'!H39)+M39+N39+O39+P39</f>
        <v>3433508.87656922</v>
      </c>
      <c r="R39" s="5" t="n">
        <f aca="false">L39-Q39</f>
        <v>21527.0509640249</v>
      </c>
      <c r="S39" s="12" t="n">
        <f aca="false">R39/(B39+C39+D39+E39+F39+G39)/'Prices&amp;Fuel'!H39</f>
        <v>0.0331482414923818</v>
      </c>
      <c r="T39" s="1" t="n">
        <f aca="false">T38</f>
        <v>21000</v>
      </c>
    </row>
    <row r="40" customFormat="false" ht="11.25" hidden="false" customHeight="false" outlineLevel="0" collapsed="false">
      <c r="A40" s="6" t="n">
        <f aca="false">+A39+365/12</f>
        <v>36813.5833333333</v>
      </c>
      <c r="B40" s="5" t="n">
        <f aca="false">IF(T40-((E40+F40+G40)*(1-'Prices&amp;Fuel'!F40))&lt;'Prices&amp;Fuel'!R40,(T40-(E40+F40+G40)*(1-'Prices&amp;Fuel'!F40)),'Prices&amp;Fuel'!R40)/(1-'Prices&amp;Fuel'!F40)</f>
        <v>9013.00846582697</v>
      </c>
      <c r="C40" s="9" t="n">
        <f aca="false">(T40/(1-'Prices&amp;Fuel'!F40))-D40-E40-F40-G40-B40</f>
        <v>4.2564352042973E-010</v>
      </c>
      <c r="D40" s="9" t="n">
        <f aca="false">ROUND(IF(T40/(1-'Prices&amp;Fuel'!F40)-E40-F40-G40-B40&gt;'Prices&amp;Fuel'!T40,'Prices&amp;Fuel'!T40,T40/(1-'Prices&amp;Fuel'!F40)-E40-F40-G40-B40),9)</f>
        <v>3528.804460045</v>
      </c>
      <c r="E40" s="9" t="n">
        <f aca="false">'Prices&amp;Fuel'!U40/(1-'Prices&amp;Fuel'!F40)</f>
        <v>2921.74272145364</v>
      </c>
      <c r="F40" s="9" t="n">
        <f aca="false">('Prices&amp;Fuel'!V40+'Prices&amp;Fuel'!X40)/(1-'Prices&amp;Fuel'!F40)</f>
        <v>4646.9130704109</v>
      </c>
      <c r="G40" s="9" t="n">
        <f aca="false">'Prices&amp;Fuel'!W40/(1-'Prices&amp;Fuel'!F40)</f>
        <v>1570.30766054099</v>
      </c>
      <c r="H40" s="10" t="n">
        <f aca="false">('Prices&amp;Fuel'!C40+'Prices&amp;Fuel'!D40)/2-0.05+(('Prices&amp;Fuel'!M40+'Prices&amp;Fuel'!P40)*(1-'Prices&amp;Fuel'!F40))</f>
        <v>5.97900826</v>
      </c>
      <c r="I40" s="9" t="n">
        <f aca="false">IF(FPL!L40=80000,0,B40)</f>
        <v>9013.00846582697</v>
      </c>
      <c r="J40" s="9"/>
      <c r="K40" s="10" t="n">
        <f aca="false">(((B40+E40)*('Prices&amp;Fuel'!B40+0.025))+(('Prices&amp;Fuel'!D40+0.025)*(D40+G40))+(('Prices&amp;Fuel'!C40+0.025)*(C40+F40))-(I40+J40)*0.025)/(B40+C40+D40+E40+F40+G40)</f>
        <v>5.24961047619048</v>
      </c>
      <c r="L40" s="9" t="n">
        <f aca="false">(B40+C40+D40+E40+F40+G40)*H40*'Prices&amp;Fuel'!H40</f>
        <v>4018515.77251704</v>
      </c>
      <c r="M40" s="9" t="n">
        <f aca="false">'Prices&amp;Fuel'!X40*('Prices&amp;Fuel'!N40+'Prices&amp;Fuel'!O40)*'Prices&amp;Fuel'!H40</f>
        <v>13126.113</v>
      </c>
      <c r="N40" s="9" t="n">
        <f aca="false">('Prices&amp;Fuel'!U40+'Prices&amp;Fuel'!V40+'Prices&amp;Fuel'!W40)*('Prices&amp;Fuel'!L40+'Prices&amp;Fuel'!O40)*'Prices&amp;Fuel'!H40</f>
        <v>102950.163</v>
      </c>
      <c r="O40" s="9" t="n">
        <f aca="false">((B40+C40+D40)*(1-'Prices&amp;Fuel'!G40))*('Prices&amp;Fuel'!M40+'Prices&amp;Fuel'!P40)*'Prices&amp;Fuel'!H40</f>
        <v>300931.4708</v>
      </c>
      <c r="P40" s="9" t="n">
        <f aca="false">((B40+C40+D40+E40+F40+G40)/(1-'Prices&amp;Fuel'!F40))*(1-'Prices&amp;Fuel'!F40)*'Prices&amp;Fuel'!H40*0.005</f>
        <v>3360.52033863308</v>
      </c>
      <c r="Q40" s="9" t="n">
        <f aca="false">((D40+C40+B40+E40+F40+G40)*K40*'Prices&amp;Fuel'!H40)+M40+N40+O40+P40</f>
        <v>3948652.82216651</v>
      </c>
      <c r="R40" s="5" t="n">
        <f aca="false">L40-Q40</f>
        <v>69862.9503505263</v>
      </c>
      <c r="S40" s="12" t="n">
        <f aca="false">R40/(B40+C40+D40+E40+F40+G40)/'Prices&amp;Fuel'!H40</f>
        <v>0.103946626281904</v>
      </c>
      <c r="T40" s="1" t="n">
        <f aca="false">T39</f>
        <v>21000</v>
      </c>
    </row>
    <row r="41" customFormat="false" ht="11.25" hidden="false" customHeight="false" outlineLevel="0" collapsed="false">
      <c r="A41" s="6" t="n">
        <f aca="false">+A40+365/12</f>
        <v>36844</v>
      </c>
      <c r="B41" s="5" t="n">
        <f aca="false">IF(T41-((E41+F41+G41)*(1-'Prices&amp;Fuel'!F41))&lt;'Prices&amp;Fuel'!R41,(T41-(E41+F41+G41)*(1-'Prices&amp;Fuel'!F41)),'Prices&amp;Fuel'!R41)/(1-'Prices&amp;Fuel'!F41)</f>
        <v>4325.96401028278</v>
      </c>
      <c r="C41" s="9" t="n">
        <f aca="false">(T41/(1-'Prices&amp;Fuel'!F41))-D41-E41-F41-G41-B41</f>
        <v>0</v>
      </c>
      <c r="D41" s="9" t="n">
        <f aca="false">ROUND(IF(T41/(1-'Prices&amp;Fuel'!F41)-E41-F41-G41-B41&gt;'Prices&amp;Fuel'!T41,'Prices&amp;Fuel'!T41,T41/(1-'Prices&amp;Fuel'!F41)-E41-F41-G41-B41),9)</f>
        <v>0</v>
      </c>
      <c r="E41" s="9" t="n">
        <f aca="false">'Prices&amp;Fuel'!U41/(1-'Prices&amp;Fuel'!F41)</f>
        <v>2635.47557840617</v>
      </c>
      <c r="F41" s="9" t="n">
        <f aca="false">('Prices&amp;Fuel'!V41+'Prices&amp;Fuel'!X41)/(1-'Prices&amp;Fuel'!F41)</f>
        <v>3645.2442159383</v>
      </c>
      <c r="G41" s="9" t="n">
        <f aca="false">'Prices&amp;Fuel'!W41/(1-'Prices&amp;Fuel'!F41)</f>
        <v>1732.64781491003</v>
      </c>
      <c r="H41" s="10" t="n">
        <f aca="false">('Prices&amp;Fuel'!C41+'Prices&amp;Fuel'!D41)/2-0.05+(('Prices&amp;Fuel'!M41+'Prices&amp;Fuel'!P41)*(1-'Prices&amp;Fuel'!F41))</f>
        <v>4.26212475</v>
      </c>
      <c r="I41" s="9" t="n">
        <f aca="false">IF(FPL!L41=80000,0,B41)</f>
        <v>4325.96401028278</v>
      </c>
      <c r="J41" s="9"/>
      <c r="K41" s="10" t="n">
        <f aca="false">(((B41+E41)*('Prices&amp;Fuel'!B41+0.025))+(('Prices&amp;Fuel'!D41+0.025)*(D41+G41))+(('Prices&amp;Fuel'!C41+0.025)*(C41+F41))-(I41+J41)*0.025)/(B41+C41+D41+E41+F41+G41)</f>
        <v>3.53536458333333</v>
      </c>
      <c r="L41" s="9" t="n">
        <f aca="false">(B41+C41+D41+E41+F41+G41)*H41*'Prices&amp;Fuel'!H41</f>
        <v>1577753.12082262</v>
      </c>
      <c r="M41" s="9" t="n">
        <f aca="false">'Prices&amp;Fuel'!X41*('Prices&amp;Fuel'!N41+'Prices&amp;Fuel'!O41)*'Prices&amp;Fuel'!H41</f>
        <v>8667.27</v>
      </c>
      <c r="N41" s="9" t="n">
        <f aca="false">('Prices&amp;Fuel'!U41+'Prices&amp;Fuel'!V41+'Prices&amp;Fuel'!W41)*('Prices&amp;Fuel'!L41+'Prices&amp;Fuel'!O41)*'Prices&amp;Fuel'!H41</f>
        <v>90225.9</v>
      </c>
      <c r="O41" s="9" t="n">
        <f aca="false">((B41+C41+D41)*(1-'Prices&amp;Fuel'!G41))*('Prices&amp;Fuel'!M41+'Prices&amp;Fuel'!P41)*'Prices&amp;Fuel'!H41</f>
        <v>100854.411</v>
      </c>
      <c r="P41" s="9" t="n">
        <f aca="false">((B41+C41+D41+E41+F41+G41)/(1-'Prices&amp;Fuel'!F41))*(1-'Prices&amp;Fuel'!F41)*'Prices&amp;Fuel'!H41*0.005</f>
        <v>1850.89974293059</v>
      </c>
      <c r="Q41" s="9" t="n">
        <f aca="false">((D41+C41+B41+E41+F41+G41)*K41*'Prices&amp;Fuel'!H41)+M41+N41+O41+P41</f>
        <v>1510319.56043445</v>
      </c>
      <c r="R41" s="5" t="n">
        <f aca="false">L41-Q41</f>
        <v>67433.5603881748</v>
      </c>
      <c r="S41" s="12" t="n">
        <f aca="false">R41/(B41+C41+D41+E41+F41+G41)/'Prices&amp;Fuel'!H41</f>
        <v>0.182164270770833</v>
      </c>
      <c r="T41" s="1" t="n">
        <v>12000</v>
      </c>
    </row>
    <row r="42" customFormat="false" ht="11.25" hidden="false" customHeight="false" outlineLevel="0" collapsed="false">
      <c r="A42" s="6" t="n">
        <f aca="false">+A41+365/12</f>
        <v>36874.4166666667</v>
      </c>
      <c r="B42" s="5" t="n">
        <f aca="false">IF(T42-((E42+F42+G42)*(1-'Prices&amp;Fuel'!F42))&lt;'Prices&amp;Fuel'!R42,(T42-(E42+F42+G42)*(1-'Prices&amp;Fuel'!F42)),'Prices&amp;Fuel'!R42)/(1-'Prices&amp;Fuel'!F42)</f>
        <v>4325.96401028278</v>
      </c>
      <c r="C42" s="9" t="n">
        <f aca="false">(T42/(1-'Prices&amp;Fuel'!F42))-D42-E42-F42-G42-B42</f>
        <v>0</v>
      </c>
      <c r="D42" s="9" t="n">
        <f aca="false">ROUND(IF(T42/(1-'Prices&amp;Fuel'!F42)-E42-F42-G42-B42&gt;'Prices&amp;Fuel'!T42,'Prices&amp;Fuel'!T42,T42/(1-'Prices&amp;Fuel'!F42)-E42-F42-G42-B42),9)</f>
        <v>0</v>
      </c>
      <c r="E42" s="9" t="n">
        <f aca="false">'Prices&amp;Fuel'!U42/(1-'Prices&amp;Fuel'!F42)</f>
        <v>2635.47557840617</v>
      </c>
      <c r="F42" s="9" t="n">
        <f aca="false">('Prices&amp;Fuel'!V42+'Prices&amp;Fuel'!X42)/(1-'Prices&amp;Fuel'!F42)</f>
        <v>3645.2442159383</v>
      </c>
      <c r="G42" s="9" t="n">
        <f aca="false">'Prices&amp;Fuel'!W42/(1-'Prices&amp;Fuel'!F42)</f>
        <v>1732.64781491003</v>
      </c>
      <c r="H42" s="10" t="n">
        <f aca="false">('Prices&amp;Fuel'!C42+'Prices&amp;Fuel'!D42)/2-0.05+(('Prices&amp;Fuel'!M42+'Prices&amp;Fuel'!P42)*(1-'Prices&amp;Fuel'!F42))</f>
        <v>3.38212475</v>
      </c>
      <c r="I42" s="9" t="n">
        <f aca="false">IF(FPL!L42=80000,0,B42)</f>
        <v>4325.96401028278</v>
      </c>
      <c r="J42" s="9"/>
      <c r="K42" s="10" t="n">
        <f aca="false">(((B42+E42)*('Prices&amp;Fuel'!B42+0.025))+(('Prices&amp;Fuel'!D42+0.025)*(D42+G42))+(('Prices&amp;Fuel'!C42+0.025)*(C42+F42))-(I42+J42)*0.025)/(B42+C42+D42+E42+F42+G42)</f>
        <v>2.65536458333333</v>
      </c>
      <c r="L42" s="9" t="n">
        <f aca="false">(B42+C42+D42+E42+F42+G42)*H42*'Prices&amp;Fuel'!H42</f>
        <v>1293727.92493573</v>
      </c>
      <c r="M42" s="9" t="n">
        <f aca="false">'Prices&amp;Fuel'!X42*('Prices&amp;Fuel'!N42+'Prices&amp;Fuel'!O42)*'Prices&amp;Fuel'!H42</f>
        <v>8956.179</v>
      </c>
      <c r="N42" s="9" t="n">
        <f aca="false">('Prices&amp;Fuel'!U42+'Prices&amp;Fuel'!V42+'Prices&amp;Fuel'!W42)*('Prices&amp;Fuel'!L42+'Prices&amp;Fuel'!O42)*'Prices&amp;Fuel'!H42</f>
        <v>93233.43</v>
      </c>
      <c r="O42" s="9" t="n">
        <f aca="false">((B42+C42+D42)*(1-'Prices&amp;Fuel'!G42))*('Prices&amp;Fuel'!M42+'Prices&amp;Fuel'!P42)*'Prices&amp;Fuel'!H42</f>
        <v>104216.2247</v>
      </c>
      <c r="P42" s="9" t="n">
        <f aca="false">((B42+C42+D42+E42+F42+G42)/(1-'Prices&amp;Fuel'!F42))*(1-'Prices&amp;Fuel'!F42)*'Prices&amp;Fuel'!H42*0.005</f>
        <v>1912.59640102828</v>
      </c>
      <c r="Q42" s="9" t="n">
        <f aca="false">((D42+C42+B42+E42+F42+G42)*K42*'Prices&amp;Fuel'!H42)+M42+N42+O42+P42</f>
        <v>1224046.57920129</v>
      </c>
      <c r="R42" s="5" t="n">
        <f aca="false">L42-Q42</f>
        <v>69681.3457344472</v>
      </c>
      <c r="S42" s="12" t="n">
        <f aca="false">R42/(B42+C42+D42+E42+F42+G42)/'Prices&amp;Fuel'!H42</f>
        <v>0.182164270770833</v>
      </c>
      <c r="T42" s="1" t="n">
        <f aca="false">T41</f>
        <v>12000</v>
      </c>
    </row>
    <row r="43" customFormat="false" ht="11.25" hidden="false" customHeight="false" outlineLevel="0" collapsed="false">
      <c r="A43" s="6" t="n">
        <f aca="false">+A42+365/12</f>
        <v>36904.8333333333</v>
      </c>
      <c r="B43" s="5" t="n">
        <f aca="false">IF(T43-((E43+F43+G43)*(1-'Prices&amp;Fuel'!F43))&lt;'Prices&amp;Fuel'!R43,(T43-(E43+F43+G43)*(1-'Prices&amp;Fuel'!F43)),'Prices&amp;Fuel'!R43)/(1-'Prices&amp;Fuel'!F43)</f>
        <v>4325.96401028278</v>
      </c>
      <c r="C43" s="9" t="n">
        <f aca="false">(T43/(1-'Prices&amp;Fuel'!F43))-D43-E43-F43-G43-B43</f>
        <v>0</v>
      </c>
      <c r="D43" s="9" t="n">
        <f aca="false">ROUND(IF(T43/(1-'Prices&amp;Fuel'!F43)-E43-F43-G43-B43&gt;'Prices&amp;Fuel'!T43,'Prices&amp;Fuel'!T43,T43/(1-'Prices&amp;Fuel'!F43)-E43-F43-G43-B43),9)</f>
        <v>0</v>
      </c>
      <c r="E43" s="9" t="n">
        <f aca="false">'Prices&amp;Fuel'!U43/(1-'Prices&amp;Fuel'!F43)</f>
        <v>2635.47557840617</v>
      </c>
      <c r="F43" s="9" t="n">
        <f aca="false">('Prices&amp;Fuel'!V43+'Prices&amp;Fuel'!X43)/(1-'Prices&amp;Fuel'!F43)</f>
        <v>3645.2442159383</v>
      </c>
      <c r="G43" s="9" t="n">
        <f aca="false">'Prices&amp;Fuel'!W43/(1-'Prices&amp;Fuel'!F43)</f>
        <v>1732.64781491003</v>
      </c>
      <c r="H43" s="10" t="n">
        <f aca="false">('Prices&amp;Fuel'!C43+'Prices&amp;Fuel'!D43)/2-0.05+(('Prices&amp;Fuel'!M43+'Prices&amp;Fuel'!P43)*(1-'Prices&amp;Fuel'!F43))</f>
        <v>2.98212475</v>
      </c>
      <c r="I43" s="9" t="n">
        <f aca="false">IF(FPL!L43=80000,0,B43)</f>
        <v>4325.96401028278</v>
      </c>
      <c r="J43" s="9"/>
      <c r="K43" s="10" t="n">
        <f aca="false">(((B43+E43)*('Prices&amp;Fuel'!B43+0.025))+(('Prices&amp;Fuel'!D43+0.025)*(D43+G43))+(('Prices&amp;Fuel'!C43+0.025)*(C43+F43))-(I43+J43)*0.025)/(B43+C43+D43+E43+F43+G43)</f>
        <v>2.25536458333333</v>
      </c>
      <c r="L43" s="9" t="n">
        <f aca="false">(B43+C43+D43+E43+F43+G43)*H43*'Prices&amp;Fuel'!H43</f>
        <v>1140720.21285347</v>
      </c>
      <c r="M43" s="9" t="n">
        <f aca="false">'Prices&amp;Fuel'!X43*('Prices&amp;Fuel'!N43+'Prices&amp;Fuel'!O43)*'Prices&amp;Fuel'!H43</f>
        <v>8956.179</v>
      </c>
      <c r="N43" s="9" t="n">
        <f aca="false">('Prices&amp;Fuel'!U43+'Prices&amp;Fuel'!V43+'Prices&amp;Fuel'!W43)*('Prices&amp;Fuel'!L43+'Prices&amp;Fuel'!O43)*'Prices&amp;Fuel'!H43</f>
        <v>93233.43</v>
      </c>
      <c r="O43" s="9" t="n">
        <f aca="false">((B43+C43+D43)*(1-'Prices&amp;Fuel'!G43))*('Prices&amp;Fuel'!M43+'Prices&amp;Fuel'!P43)*'Prices&amp;Fuel'!H43</f>
        <v>104216.2247</v>
      </c>
      <c r="P43" s="9" t="n">
        <f aca="false">((B43+C43+D43+E43+F43+G43)/(1-'Prices&amp;Fuel'!F43))*(1-'Prices&amp;Fuel'!F43)*'Prices&amp;Fuel'!H43*0.005</f>
        <v>1912.59640102828</v>
      </c>
      <c r="Q43" s="9" t="n">
        <f aca="false">((D43+C43+B43+E43+F43+G43)*K43*'Prices&amp;Fuel'!H43)+M43+N43+O43+P43</f>
        <v>1071038.86711902</v>
      </c>
      <c r="R43" s="5" t="n">
        <f aca="false">L43-Q43</f>
        <v>69681.3457344472</v>
      </c>
      <c r="S43" s="12" t="n">
        <f aca="false">R43/(B43+C43+D43+E43+F43+G43)/'Prices&amp;Fuel'!H43</f>
        <v>0.182164270770833</v>
      </c>
      <c r="T43" s="1" t="n">
        <f aca="false">T42</f>
        <v>12000</v>
      </c>
    </row>
    <row r="44" customFormat="false" ht="11.25" hidden="false" customHeight="false" outlineLevel="0" collapsed="false">
      <c r="A44" s="6" t="n">
        <f aca="false">+A43+365/12</f>
        <v>36935.25</v>
      </c>
      <c r="B44" s="5" t="n">
        <f aca="false">IF(T44-((E44+F44+G44)*(1-'Prices&amp;Fuel'!F44))&lt;'Prices&amp;Fuel'!R44,(T44-(E44+F44+G44)*(1-'Prices&amp;Fuel'!F44)),'Prices&amp;Fuel'!R44)/(1-'Prices&amp;Fuel'!F44)</f>
        <v>4325.96401028278</v>
      </c>
      <c r="C44" s="9" t="n">
        <f aca="false">(T44/(1-'Prices&amp;Fuel'!F44))-D44-E44-F44-G44-B44</f>
        <v>0</v>
      </c>
      <c r="D44" s="9" t="n">
        <f aca="false">ROUND(IF(T44/(1-'Prices&amp;Fuel'!F44)-E44-F44-G44-B44&gt;'Prices&amp;Fuel'!T44,'Prices&amp;Fuel'!T44,T44/(1-'Prices&amp;Fuel'!F44)-E44-F44-G44-B44),9)</f>
        <v>0</v>
      </c>
      <c r="E44" s="9" t="n">
        <f aca="false">'Prices&amp;Fuel'!U44/(1-'Prices&amp;Fuel'!F44)</f>
        <v>2635.47557840617</v>
      </c>
      <c r="F44" s="9" t="n">
        <f aca="false">('Prices&amp;Fuel'!V44+'Prices&amp;Fuel'!X44)/(1-'Prices&amp;Fuel'!F44)</f>
        <v>3645.2442159383</v>
      </c>
      <c r="G44" s="9" t="n">
        <f aca="false">'Prices&amp;Fuel'!W44/(1-'Prices&amp;Fuel'!F44)</f>
        <v>1732.64781491003</v>
      </c>
      <c r="H44" s="10" t="n">
        <f aca="false">('Prices&amp;Fuel'!C44+'Prices&amp;Fuel'!D44)/2-0.05+(('Prices&amp;Fuel'!M44+'Prices&amp;Fuel'!P44)*(1-'Prices&amp;Fuel'!F44))</f>
        <v>3.25212475</v>
      </c>
      <c r="I44" s="9" t="n">
        <f aca="false">IF(FPL!L44=80000,0,B44)</f>
        <v>4325.96401028278</v>
      </c>
      <c r="J44" s="9"/>
      <c r="K44" s="10" t="n">
        <f aca="false">(((B44+E44)*('Prices&amp;Fuel'!B44+0.025))+(('Prices&amp;Fuel'!D44+0.025)*(D44+G44))+(('Prices&amp;Fuel'!C44+0.025)*(C44+F44))-(I44+J44)*0.025)/(B44+C44+D44+E44+F44+G44)</f>
        <v>2.52536458333333</v>
      </c>
      <c r="L44" s="9" t="n">
        <f aca="false">(B44+C44+D44+E44+F44+G44)*H44*'Prices&amp;Fuel'!H44</f>
        <v>1123613.28123393</v>
      </c>
      <c r="M44" s="9" t="n">
        <f aca="false">'Prices&amp;Fuel'!X44*('Prices&amp;Fuel'!N44+'Prices&amp;Fuel'!O44)*'Prices&amp;Fuel'!H44</f>
        <v>8089.452</v>
      </c>
      <c r="N44" s="9" t="n">
        <f aca="false">('Prices&amp;Fuel'!U44+'Prices&amp;Fuel'!V44+'Prices&amp;Fuel'!W44)*('Prices&amp;Fuel'!L44+'Prices&amp;Fuel'!O44)*'Prices&amp;Fuel'!H44</f>
        <v>84210.84</v>
      </c>
      <c r="O44" s="9" t="n">
        <f aca="false">((B44+C44+D44)*(1-'Prices&amp;Fuel'!G44))*('Prices&amp;Fuel'!M44+'Prices&amp;Fuel'!P44)*'Prices&amp;Fuel'!H44</f>
        <v>94130.7836</v>
      </c>
      <c r="P44" s="9" t="n">
        <f aca="false">((B44+C44+D44+E44+F44+G44)/(1-'Prices&amp;Fuel'!F44))*(1-'Prices&amp;Fuel'!F44)*'Prices&amp;Fuel'!H44*0.005</f>
        <v>1727.50642673522</v>
      </c>
      <c r="Q44" s="9" t="n">
        <f aca="false">((D44+C44+B44+E44+F44+G44)*K44*'Prices&amp;Fuel'!H44)+M44+N44+O44+P44</f>
        <v>1060675.2915383</v>
      </c>
      <c r="R44" s="5" t="n">
        <f aca="false">L44-Q44</f>
        <v>62937.9896956298</v>
      </c>
      <c r="S44" s="12" t="n">
        <f aca="false">R44/(B44+C44+D44+E44+F44+G44)/'Prices&amp;Fuel'!H44</f>
        <v>0.182164270770833</v>
      </c>
      <c r="T44" s="1" t="n">
        <f aca="false">T43</f>
        <v>12000</v>
      </c>
    </row>
    <row r="45" customFormat="false" ht="11.25" hidden="false" customHeight="false" outlineLevel="0" collapsed="false">
      <c r="A45" s="6" t="n">
        <f aca="false">+A44+365/12</f>
        <v>36965.6666666667</v>
      </c>
      <c r="B45" s="5" t="n">
        <f aca="false">IF(T45-((E45+F45+G45)*(1-'Prices&amp;Fuel'!F45))&lt;'Prices&amp;Fuel'!R45,(T45-(E45+F45+G45)*(1-'Prices&amp;Fuel'!F45)),'Prices&amp;Fuel'!R45)/(1-'Prices&amp;Fuel'!F45)</f>
        <v>4325.96401028278</v>
      </c>
      <c r="C45" s="9" t="n">
        <f aca="false">(T45/(1-'Prices&amp;Fuel'!F45))-D45-E45-F45-G45-B45</f>
        <v>0</v>
      </c>
      <c r="D45" s="9" t="n">
        <f aca="false">ROUND(IF(T45/(1-'Prices&amp;Fuel'!F45)-E45-F45-G45-B45&gt;'Prices&amp;Fuel'!T45,'Prices&amp;Fuel'!T45,T45/(1-'Prices&amp;Fuel'!F45)-E45-F45-G45-B45),9)</f>
        <v>0</v>
      </c>
      <c r="E45" s="9" t="n">
        <f aca="false">'Prices&amp;Fuel'!U45/(1-'Prices&amp;Fuel'!F45)</f>
        <v>2635.47557840617</v>
      </c>
      <c r="F45" s="9" t="n">
        <f aca="false">('Prices&amp;Fuel'!V45+'Prices&amp;Fuel'!X45)/(1-'Prices&amp;Fuel'!F45)</f>
        <v>3645.2442159383</v>
      </c>
      <c r="G45" s="9" t="n">
        <f aca="false">'Prices&amp;Fuel'!W45/(1-'Prices&amp;Fuel'!F45)</f>
        <v>1732.64781491003</v>
      </c>
      <c r="H45" s="10" t="n">
        <f aca="false">('Prices&amp;Fuel'!C45+'Prices&amp;Fuel'!D45)/2-0.05+(('Prices&amp;Fuel'!M45+'Prices&amp;Fuel'!P45)*(1-'Prices&amp;Fuel'!F45))</f>
        <v>3.25212475</v>
      </c>
      <c r="I45" s="9" t="n">
        <f aca="false">IF(FPL!L45=80000,0,B45)</f>
        <v>4325.96401028278</v>
      </c>
      <c r="J45" s="9"/>
      <c r="K45" s="10" t="n">
        <f aca="false">(((B45+E45)*('Prices&amp;Fuel'!B45+0.025))+(('Prices&amp;Fuel'!D45+0.025)*(D45+G45))+(('Prices&amp;Fuel'!C45+0.025)*(C45+F45))-(I45+J45)*0.025)/(B45+C45+D45+E45+F45+G45)</f>
        <v>2.52536458333333</v>
      </c>
      <c r="L45" s="9" t="n">
        <f aca="false">(B45+C45+D45+E45+F45+G45)*H45*'Prices&amp;Fuel'!H45</f>
        <v>1244000.418509</v>
      </c>
      <c r="M45" s="9" t="n">
        <f aca="false">'Prices&amp;Fuel'!X45*('Prices&amp;Fuel'!N45+'Prices&amp;Fuel'!O45)*'Prices&amp;Fuel'!H45</f>
        <v>8956.179</v>
      </c>
      <c r="N45" s="9" t="n">
        <f aca="false">('Prices&amp;Fuel'!U45+'Prices&amp;Fuel'!V45+'Prices&amp;Fuel'!W45)*('Prices&amp;Fuel'!L45+'Prices&amp;Fuel'!O45)*'Prices&amp;Fuel'!H45</f>
        <v>93233.43</v>
      </c>
      <c r="O45" s="9" t="n">
        <f aca="false">((B45+C45+D45)*(1-'Prices&amp;Fuel'!G45))*('Prices&amp;Fuel'!M45+'Prices&amp;Fuel'!P45)*'Prices&amp;Fuel'!H45</f>
        <v>104216.2247</v>
      </c>
      <c r="P45" s="9" t="n">
        <f aca="false">((B45+C45+D45+E45+F45+G45)/(1-'Prices&amp;Fuel'!F45))*(1-'Prices&amp;Fuel'!F45)*'Prices&amp;Fuel'!H45*0.005</f>
        <v>1912.59640102828</v>
      </c>
      <c r="Q45" s="9" t="n">
        <f aca="false">((D45+C45+B45+E45+F45+G45)*K45*'Prices&amp;Fuel'!H45)+M45+N45+O45+P45</f>
        <v>1174319.07277455</v>
      </c>
      <c r="R45" s="5" t="n">
        <f aca="false">L45-Q45</f>
        <v>69681.3457344475</v>
      </c>
      <c r="S45" s="12" t="n">
        <f aca="false">R45/(B45+C45+D45+E45+F45+G45)/'Prices&amp;Fuel'!H45</f>
        <v>0.182164270770834</v>
      </c>
      <c r="T45" s="1" t="n">
        <f aca="false">T44</f>
        <v>12000</v>
      </c>
    </row>
    <row r="46" customFormat="false" ht="11.25" hidden="false" customHeight="false" outlineLevel="0" collapsed="false">
      <c r="A46" s="6" t="n">
        <f aca="false">+A45+365/12</f>
        <v>36996.0833333333</v>
      </c>
      <c r="B46" s="5" t="n">
        <f aca="false">IF(T46-((E46+F46+G46)*(1-'Prices&amp;Fuel'!F46))&lt;'Prices&amp;Fuel'!R46,(T46-(E46+F46+G46)*(1-'Prices&amp;Fuel'!F46)),'Prices&amp;Fuel'!R46)/(1-'Prices&amp;Fuel'!F46)</f>
        <v>6278.66323907455</v>
      </c>
      <c r="C46" s="9" t="n">
        <f aca="false">(T46/(1-'Prices&amp;Fuel'!F46))-D46-E46-F46-G46-B46</f>
        <v>0</v>
      </c>
      <c r="D46" s="9" t="n">
        <f aca="false">ROUND(IF(T46/(1-'Prices&amp;Fuel'!F46)-E46-F46-G46-B46&gt;'Prices&amp;Fuel'!T46,'Prices&amp;Fuel'!T46,T46/(1-'Prices&amp;Fuel'!F46)-E46-F46-G46-B46),9)</f>
        <v>0</v>
      </c>
      <c r="E46" s="9" t="n">
        <f aca="false">'Prices&amp;Fuel'!U46/(1-'Prices&amp;Fuel'!F46)</f>
        <v>1933.16195372751</v>
      </c>
      <c r="F46" s="9" t="n">
        <f aca="false">('Prices&amp;Fuel'!V46+'Prices&amp;Fuel'!X46)/(1-'Prices&amp;Fuel'!F46)</f>
        <v>2833.93316195373</v>
      </c>
      <c r="G46" s="9" t="n">
        <f aca="false">'Prices&amp;Fuel'!W46/(1-'Prices&amp;Fuel'!F46)</f>
        <v>1293.57326478149</v>
      </c>
      <c r="H46" s="10" t="n">
        <f aca="false">('Prices&amp;Fuel'!C46+'Prices&amp;Fuel'!D46)/2-0.05+(('Prices&amp;Fuel'!M46+'Prices&amp;Fuel'!P46)*(1-'Prices&amp;Fuel'!F46))</f>
        <v>3.52212475</v>
      </c>
      <c r="I46" s="9" t="n">
        <f aca="false">IF(FPL!L46=80000,0,B46)</f>
        <v>6278.66323907455</v>
      </c>
      <c r="J46" s="9"/>
      <c r="K46" s="10" t="n">
        <f aca="false">(((B46+E46)*('Prices&amp;Fuel'!B46+0.025))+(('Prices&amp;Fuel'!D46+0.025)*(D46+G46))+(('Prices&amp;Fuel'!C46+0.025)*(C46+F46))-(I46+J46)*0.025)/(B46+C46+D46+E46+F46+G46)</f>
        <v>2.7871075</v>
      </c>
      <c r="L46" s="9" t="n">
        <f aca="false">(B46+C46+D46+E46+F46+G46)*H46*'Prices&amp;Fuel'!H46</f>
        <v>1303819.95886889</v>
      </c>
      <c r="M46" s="9" t="n">
        <f aca="false">'Prices&amp;Fuel'!X46*('Prices&amp;Fuel'!N46+'Prices&amp;Fuel'!O46)*'Prices&amp;Fuel'!H46</f>
        <v>8667.27</v>
      </c>
      <c r="N46" s="9" t="n">
        <f aca="false">('Prices&amp;Fuel'!U46+'Prices&amp;Fuel'!V46+'Prices&amp;Fuel'!W46)*('Prices&amp;Fuel'!L46+'Prices&amp;Fuel'!O46)*'Prices&amp;Fuel'!H46</f>
        <v>66127.59</v>
      </c>
      <c r="O46" s="9" t="n">
        <f aca="false">((B46+C46+D46)*(1-'Prices&amp;Fuel'!G46))*('Prices&amp;Fuel'!M46+'Prices&amp;Fuel'!P46)*'Prices&amp;Fuel'!H46</f>
        <v>146379.138</v>
      </c>
      <c r="P46" s="9" t="n">
        <f aca="false">((B46+C46+D46+E46+F46+G46)/(1-'Prices&amp;Fuel'!F46))*(1-'Prices&amp;Fuel'!F46)*'Prices&amp;Fuel'!H46*0.005</f>
        <v>1850.89974293059</v>
      </c>
      <c r="Q46" s="9" t="n">
        <f aca="false">((D46+C46+B46+E46+F46+G46)*K46*'Prices&amp;Fuel'!H46)+M46+N46+O46+P46</f>
        <v>1254756.20879692</v>
      </c>
      <c r="R46" s="5" t="n">
        <f aca="false">L46-Q46</f>
        <v>49063.7500719791</v>
      </c>
      <c r="S46" s="12" t="n">
        <f aca="false">R46/(B46+C46+D46+E46+F46+G46)/'Prices&amp;Fuel'!H46</f>
        <v>0.132540269291666</v>
      </c>
      <c r="T46" s="1" t="n">
        <f aca="false">T45</f>
        <v>12000</v>
      </c>
    </row>
    <row r="47" customFormat="false" ht="11.25" hidden="false" customHeight="false" outlineLevel="0" collapsed="false">
      <c r="A47" s="6" t="n">
        <f aca="false">+A46+365/12</f>
        <v>37026.5</v>
      </c>
      <c r="B47" s="5" t="n">
        <f aca="false">IF(T47-((E47+F47+G47)*(1-'Prices&amp;Fuel'!F47))&lt;'Prices&amp;Fuel'!R47,(T47-(E47+F47+G47)*(1-'Prices&amp;Fuel'!F47)),'Prices&amp;Fuel'!R47)/(1-'Prices&amp;Fuel'!F47)</f>
        <v>8976.86375321337</v>
      </c>
      <c r="C47" s="9" t="n">
        <f aca="false">(T47/(1-'Prices&amp;Fuel'!F47))-D47-E47-F47-G47-B47</f>
        <v>1.38243194669485E-010</v>
      </c>
      <c r="D47" s="9" t="n">
        <f aca="false">ROUND(IF(T47/(1-'Prices&amp;Fuel'!F47)-E47-F47-G47-B47&gt;'Prices&amp;Fuel'!T47,'Prices&amp;Fuel'!T47,T47/(1-'Prices&amp;Fuel'!F47)-E47-F47-G47-B47),9)</f>
        <v>6556.298200514</v>
      </c>
      <c r="E47" s="9" t="n">
        <f aca="false">'Prices&amp;Fuel'!U47/(1-'Prices&amp;Fuel'!F47)</f>
        <v>1933.16195372751</v>
      </c>
      <c r="F47" s="9" t="n">
        <f aca="false">('Prices&amp;Fuel'!V47+'Prices&amp;Fuel'!X47)/(1-'Prices&amp;Fuel'!F47)</f>
        <v>3062.21079691517</v>
      </c>
      <c r="G47" s="9" t="n">
        <f aca="false">'Prices&amp;Fuel'!W47/(1-'Prices&amp;Fuel'!F47)</f>
        <v>1065.29562982005</v>
      </c>
      <c r="H47" s="10" t="n">
        <f aca="false">('Prices&amp;Fuel'!C47+'Prices&amp;Fuel'!D47)/2-0.05+(('Prices&amp;Fuel'!M47+'Prices&amp;Fuel'!P47)*(1-'Prices&amp;Fuel'!F47))</f>
        <v>3.68392225</v>
      </c>
      <c r="I47" s="9" t="n">
        <f aca="false">IF(FPL!L47=80000,0,B47)</f>
        <v>0</v>
      </c>
      <c r="J47" s="9"/>
      <c r="K47" s="10" t="n">
        <f aca="false">(((B47+E47)*('Prices&amp;Fuel'!B47+0.025))+(('Prices&amp;Fuel'!D47+0.025)*(D47+G47))+(('Prices&amp;Fuel'!C47+0.025)*(C47+F47))-(I47+J47)*0.025)/(B47+C47+D47+E47+F47+G47)</f>
        <v>2.9870380952381</v>
      </c>
      <c r="L47" s="9" t="n">
        <f aca="false">(B47+C47+D47+E47+F47+G47)*H47*'Prices&amp;Fuel'!H47</f>
        <v>2466049.7529563</v>
      </c>
      <c r="M47" s="9" t="n">
        <f aca="false">'Prices&amp;Fuel'!X47*('Prices&amp;Fuel'!N47+'Prices&amp;Fuel'!O47)*'Prices&amp;Fuel'!H47</f>
        <v>8956.179</v>
      </c>
      <c r="N47" s="9" t="n">
        <f aca="false">('Prices&amp;Fuel'!U47+'Prices&amp;Fuel'!V47+'Prices&amp;Fuel'!W47)*('Prices&amp;Fuel'!L47+'Prices&amp;Fuel'!O47)*'Prices&amp;Fuel'!H47</f>
        <v>68331.843</v>
      </c>
      <c r="O47" s="9" t="n">
        <f aca="false">((B47+C47+D47)*(1-'Prices&amp;Fuel'!G47))*('Prices&amp;Fuel'!M47+'Prices&amp;Fuel'!P47)*'Prices&amp;Fuel'!H47</f>
        <v>360627.0486</v>
      </c>
      <c r="P47" s="9" t="n">
        <f aca="false">((B47+C47+D47+E47+F47+G47)/(1-'Prices&amp;Fuel'!F47))*(1-'Prices&amp;Fuel'!F47)*'Prices&amp;Fuel'!H47*0.005</f>
        <v>3347.04370179949</v>
      </c>
      <c r="Q47" s="9" t="n">
        <f aca="false">((D47+C47+B47+E47+F47+G47)*K47*'Prices&amp;Fuel'!H47)+M47+N47+O47+P47</f>
        <v>2440811.52304216</v>
      </c>
      <c r="R47" s="5" t="n">
        <f aca="false">L47-Q47</f>
        <v>25238.2299141381</v>
      </c>
      <c r="S47" s="12" t="n">
        <f aca="false">R47/(B47+C47+D47+E47+F47+G47)/'Prices&amp;Fuel'!H47</f>
        <v>0.0377022712619037</v>
      </c>
      <c r="T47" s="1" t="n">
        <v>21000</v>
      </c>
    </row>
    <row r="48" customFormat="false" ht="11.25" hidden="false" customHeight="false" outlineLevel="0" collapsed="false">
      <c r="A48" s="6" t="n">
        <f aca="false">+A47+365/12</f>
        <v>37056.9166666667</v>
      </c>
      <c r="B48" s="5" t="n">
        <f aca="false">IF(T48-((E48+F48+G48)*(1-'Prices&amp;Fuel'!F48))&lt;'Prices&amp;Fuel'!R48,(T48-(E48+F48+G48)*(1-'Prices&amp;Fuel'!F48)),'Prices&amp;Fuel'!R48)/(1-'Prices&amp;Fuel'!F48)</f>
        <v>8976.86375321337</v>
      </c>
      <c r="C48" s="9" t="n">
        <f aca="false">(T48/(1-'Prices&amp;Fuel'!F48))-D48-E48-F48-G48-B48</f>
        <v>1.38243194669485E-010</v>
      </c>
      <c r="D48" s="9" t="n">
        <f aca="false">ROUND(IF(T48/(1-'Prices&amp;Fuel'!F48)-E48-F48-G48-B48&gt;'Prices&amp;Fuel'!T48,'Prices&amp;Fuel'!T48,T48/(1-'Prices&amp;Fuel'!F48)-E48-F48-G48-B48),9)</f>
        <v>6556.298200514</v>
      </c>
      <c r="E48" s="9" t="n">
        <f aca="false">'Prices&amp;Fuel'!U48/(1-'Prices&amp;Fuel'!F48)</f>
        <v>1933.16195372751</v>
      </c>
      <c r="F48" s="9" t="n">
        <f aca="false">('Prices&amp;Fuel'!V48+'Prices&amp;Fuel'!X48)/(1-'Prices&amp;Fuel'!F48)</f>
        <v>3062.21079691517</v>
      </c>
      <c r="G48" s="9" t="n">
        <f aca="false">'Prices&amp;Fuel'!W48/(1-'Prices&amp;Fuel'!F48)</f>
        <v>1065.29562982005</v>
      </c>
      <c r="H48" s="10" t="n">
        <f aca="false">('Prices&amp;Fuel'!C48+'Prices&amp;Fuel'!D48)/2-0.05+(('Prices&amp;Fuel'!M48+'Prices&amp;Fuel'!P48)*(1-'Prices&amp;Fuel'!F48))</f>
        <v>4.99392225</v>
      </c>
      <c r="I48" s="9" t="n">
        <f aca="false">IF(FPL!L48=80000,0,B48)</f>
        <v>0</v>
      </c>
      <c r="J48" s="9"/>
      <c r="K48" s="10" t="n">
        <f aca="false">(((B48+E48)*('Prices&amp;Fuel'!B48+0.025))+(('Prices&amp;Fuel'!D48+0.025)*(D48+G48))+(('Prices&amp;Fuel'!C48+0.025)*(C48+F48))-(I48+J48)*0.025)/(B48+C48+D48+E48+F48+G48)</f>
        <v>4.2970380952381</v>
      </c>
      <c r="L48" s="9" t="n">
        <f aca="false">(B48+C48+D48+E48+F48+G48)*H48*'Prices&amp;Fuel'!H48</f>
        <v>3235137.29305913</v>
      </c>
      <c r="M48" s="9" t="n">
        <f aca="false">'Prices&amp;Fuel'!X48*('Prices&amp;Fuel'!N48+'Prices&amp;Fuel'!O48)*'Prices&amp;Fuel'!H48</f>
        <v>8667.27</v>
      </c>
      <c r="N48" s="9" t="n">
        <f aca="false">('Prices&amp;Fuel'!U48+'Prices&amp;Fuel'!V48+'Prices&amp;Fuel'!W48)*('Prices&amp;Fuel'!L48+'Prices&amp;Fuel'!O48)*'Prices&amp;Fuel'!H48</f>
        <v>66127.59</v>
      </c>
      <c r="O48" s="9" t="n">
        <f aca="false">((B48+C48+D48)*(1-'Prices&amp;Fuel'!G48))*('Prices&amp;Fuel'!M48+'Prices&amp;Fuel'!P48)*'Prices&amp;Fuel'!H48</f>
        <v>348993.918</v>
      </c>
      <c r="P48" s="9" t="n">
        <f aca="false">((B48+C48+D48+E48+F48+G48)/(1-'Prices&amp;Fuel'!F48))*(1-'Prices&amp;Fuel'!F48)*'Prices&amp;Fuel'!H48*0.005</f>
        <v>3239.07455012853</v>
      </c>
      <c r="Q48" s="9" t="n">
        <f aca="false">((D48+C48+B48+E48+F48+G48)*K48*'Prices&amp;Fuel'!H48)+M48+N48+O48+P48</f>
        <v>3210713.19959383</v>
      </c>
      <c r="R48" s="5" t="n">
        <f aca="false">L48-Q48</f>
        <v>24424.0934652952</v>
      </c>
      <c r="S48" s="12" t="n">
        <f aca="false">R48/(B48+C48+D48+E48+F48+G48)/'Prices&amp;Fuel'!H48</f>
        <v>0.037702271261904</v>
      </c>
      <c r="T48" s="1" t="n">
        <f aca="false">T47</f>
        <v>21000</v>
      </c>
    </row>
    <row r="49" customFormat="false" ht="11.25" hidden="false" customHeight="false" outlineLevel="0" collapsed="false">
      <c r="A49" s="6" t="n">
        <f aca="false">+A48+365/12</f>
        <v>37087.3333333333</v>
      </c>
      <c r="B49" s="5" t="n">
        <f aca="false">IF(T49-((E49+F49+G49)*(1-'Prices&amp;Fuel'!F49))&lt;'Prices&amp;Fuel'!R49,(T49-(E49+F49+G49)*(1-'Prices&amp;Fuel'!F49)),'Prices&amp;Fuel'!R49)/(1-'Prices&amp;Fuel'!F49)</f>
        <v>8976.86375321337</v>
      </c>
      <c r="C49" s="9" t="n">
        <f aca="false">(T49/(1-'Prices&amp;Fuel'!F49))-D49-E49-F49-G49-B49</f>
        <v>1.38243194669485E-010</v>
      </c>
      <c r="D49" s="9" t="n">
        <f aca="false">ROUND(IF(T49/(1-'Prices&amp;Fuel'!F49)-E49-F49-G49-B49&gt;'Prices&amp;Fuel'!T49,'Prices&amp;Fuel'!T49,T49/(1-'Prices&amp;Fuel'!F49)-E49-F49-G49-B49),9)</f>
        <v>6556.298200514</v>
      </c>
      <c r="E49" s="9" t="n">
        <f aca="false">'Prices&amp;Fuel'!U49/(1-'Prices&amp;Fuel'!F49)</f>
        <v>1933.16195372751</v>
      </c>
      <c r="F49" s="9" t="n">
        <f aca="false">('Prices&amp;Fuel'!V49+'Prices&amp;Fuel'!X49)/(1-'Prices&amp;Fuel'!F49)</f>
        <v>3062.21079691517</v>
      </c>
      <c r="G49" s="9" t="n">
        <f aca="false">'Prices&amp;Fuel'!W49/(1-'Prices&amp;Fuel'!F49)</f>
        <v>1065.29562982005</v>
      </c>
      <c r="H49" s="10" t="n">
        <f aca="false">('Prices&amp;Fuel'!C49+'Prices&amp;Fuel'!D49)/2-0.05+(('Prices&amp;Fuel'!M49+'Prices&amp;Fuel'!P49)*(1-'Prices&amp;Fuel'!F49))</f>
        <v>4.98392225</v>
      </c>
      <c r="I49" s="9" t="n">
        <f aca="false">IF(FPL!L49=80000,0,B49)</f>
        <v>0</v>
      </c>
      <c r="J49" s="9"/>
      <c r="K49" s="10" t="n">
        <f aca="false">(((B49+E49)*('Prices&amp;Fuel'!B49+0.025))+(('Prices&amp;Fuel'!D49+0.025)*(D49+G49))+(('Prices&amp;Fuel'!C49+0.025)*(C49+F49))-(I49+J49)*0.025)/(B49+C49+D49+E49+F49+G49)</f>
        <v>4.2870380952381</v>
      </c>
      <c r="L49" s="9" t="n">
        <f aca="false">(B49+C49+D49+E49+F49+G49)*H49*'Prices&amp;Fuel'!H49</f>
        <v>3336281.11542416</v>
      </c>
      <c r="M49" s="9" t="n">
        <f aca="false">'Prices&amp;Fuel'!X49*('Prices&amp;Fuel'!N49+'Prices&amp;Fuel'!O49)*'Prices&amp;Fuel'!H49</f>
        <v>8956.179</v>
      </c>
      <c r="N49" s="9" t="n">
        <f aca="false">('Prices&amp;Fuel'!U49+'Prices&amp;Fuel'!V49+'Prices&amp;Fuel'!W49)*('Prices&amp;Fuel'!L49+'Prices&amp;Fuel'!O49)*'Prices&amp;Fuel'!H49</f>
        <v>68331.843</v>
      </c>
      <c r="O49" s="9" t="n">
        <f aca="false">((B49+C49+D49)*(1-'Prices&amp;Fuel'!G49))*('Prices&amp;Fuel'!M49+'Prices&amp;Fuel'!P49)*'Prices&amp;Fuel'!H49</f>
        <v>360627.0486</v>
      </c>
      <c r="P49" s="9" t="n">
        <f aca="false">((B49+C49+D49+E49+F49+G49)/(1-'Prices&amp;Fuel'!F49))*(1-'Prices&amp;Fuel'!F49)*'Prices&amp;Fuel'!H49*0.005</f>
        <v>3347.04370179949</v>
      </c>
      <c r="Q49" s="9" t="n">
        <f aca="false">((D49+C49+B49+E49+F49+G49)*K49*'Prices&amp;Fuel'!H49)+M49+N49+O49+P49</f>
        <v>3311042.88551003</v>
      </c>
      <c r="R49" s="5" t="n">
        <f aca="false">L49-Q49</f>
        <v>25238.2299141386</v>
      </c>
      <c r="S49" s="12" t="n">
        <f aca="false">R49/(B49+C49+D49+E49+F49+G49)/'Prices&amp;Fuel'!H49</f>
        <v>0.0377022712619044</v>
      </c>
      <c r="T49" s="1" t="n">
        <f aca="false">T48</f>
        <v>21000</v>
      </c>
    </row>
    <row r="50" customFormat="false" ht="11.25" hidden="false" customHeight="false" outlineLevel="0" collapsed="false">
      <c r="A50" s="6" t="n">
        <f aca="false">+A49+365/12</f>
        <v>37117.75</v>
      </c>
      <c r="B50" s="5" t="n">
        <f aca="false">IF(T50-((E50+F50+G50)*(1-'Prices&amp;Fuel'!F50))&lt;'Prices&amp;Fuel'!R50,(T50-(E50+F50+G50)*(1-'Prices&amp;Fuel'!F50)),'Prices&amp;Fuel'!R50)/(1-'Prices&amp;Fuel'!F50)</f>
        <v>8976.86375321337</v>
      </c>
      <c r="C50" s="9" t="n">
        <f aca="false">(T50/(1-'Prices&amp;Fuel'!F50))-D50-E50-F50-G50-B50</f>
        <v>1.38243194669485E-010</v>
      </c>
      <c r="D50" s="9" t="n">
        <f aca="false">ROUND(IF(T50/(1-'Prices&amp;Fuel'!F50)-E50-F50-G50-B50&gt;'Prices&amp;Fuel'!T50,'Prices&amp;Fuel'!T50,T50/(1-'Prices&amp;Fuel'!F50)-E50-F50-G50-B50),9)</f>
        <v>6556.298200514</v>
      </c>
      <c r="E50" s="9" t="n">
        <f aca="false">'Prices&amp;Fuel'!U50/(1-'Prices&amp;Fuel'!F50)</f>
        <v>1933.16195372751</v>
      </c>
      <c r="F50" s="9" t="n">
        <f aca="false">('Prices&amp;Fuel'!V50+'Prices&amp;Fuel'!X50)/(1-'Prices&amp;Fuel'!F50)</f>
        <v>3062.21079691517</v>
      </c>
      <c r="G50" s="9" t="n">
        <f aca="false">'Prices&amp;Fuel'!W50/(1-'Prices&amp;Fuel'!F50)</f>
        <v>1065.29562982005</v>
      </c>
      <c r="H50" s="10" t="n">
        <f aca="false">('Prices&amp;Fuel'!C50+'Prices&amp;Fuel'!D50)/2-0.05+(('Prices&amp;Fuel'!M50+'Prices&amp;Fuel'!P50)*(1-'Prices&amp;Fuel'!F50))</f>
        <v>4.44392225</v>
      </c>
      <c r="I50" s="9" t="n">
        <f aca="false">IF(FPL!L50=80000,0,B50)</f>
        <v>0</v>
      </c>
      <c r="J50" s="9"/>
      <c r="K50" s="10" t="n">
        <f aca="false">(((B50+E50)*('Prices&amp;Fuel'!B50+0.025))+(('Prices&amp;Fuel'!D50+0.025)*(D50+G50))+(('Prices&amp;Fuel'!C50+0.025)*(C50+F50))-(I50+J50)*0.025)/(B50+C50+D50+E50+F50+G50)</f>
        <v>3.7470380952381</v>
      </c>
      <c r="L50" s="9" t="n">
        <f aca="false">(B50+C50+D50+E50+F50+G50)*H50*'Prices&amp;Fuel'!H50</f>
        <v>2974800.39562982</v>
      </c>
      <c r="M50" s="9" t="n">
        <f aca="false">'Prices&amp;Fuel'!X50*('Prices&amp;Fuel'!N50+'Prices&amp;Fuel'!O50)*'Prices&amp;Fuel'!H50</f>
        <v>8956.179</v>
      </c>
      <c r="N50" s="9" t="n">
        <f aca="false">('Prices&amp;Fuel'!U50+'Prices&amp;Fuel'!V50+'Prices&amp;Fuel'!W50)*('Prices&amp;Fuel'!L50+'Prices&amp;Fuel'!O50)*'Prices&amp;Fuel'!H50</f>
        <v>68331.843</v>
      </c>
      <c r="O50" s="9" t="n">
        <f aca="false">((B50+C50+D50)*(1-'Prices&amp;Fuel'!G50))*('Prices&amp;Fuel'!M50+'Prices&amp;Fuel'!P50)*'Prices&amp;Fuel'!H50</f>
        <v>360627.0486</v>
      </c>
      <c r="P50" s="9" t="n">
        <f aca="false">((B50+C50+D50+E50+F50+G50)/(1-'Prices&amp;Fuel'!F50))*(1-'Prices&amp;Fuel'!F50)*'Prices&amp;Fuel'!H50*0.005</f>
        <v>3347.04370179949</v>
      </c>
      <c r="Q50" s="9" t="n">
        <f aca="false">((D50+C50+B50+E50+F50+G50)*K50*'Prices&amp;Fuel'!H50)+M50+N50+O50+P50</f>
        <v>2949562.16571568</v>
      </c>
      <c r="R50" s="5" t="n">
        <f aca="false">L50-Q50</f>
        <v>25238.2299141381</v>
      </c>
      <c r="S50" s="12" t="n">
        <f aca="false">R50/(B50+C50+D50+E50+F50+G50)/'Prices&amp;Fuel'!H50</f>
        <v>0.0377022712619037</v>
      </c>
      <c r="T50" s="1" t="n">
        <f aca="false">T49</f>
        <v>21000</v>
      </c>
    </row>
    <row r="51" customFormat="false" ht="11.25" hidden="false" customHeight="false" outlineLevel="0" collapsed="false">
      <c r="A51" s="6" t="n">
        <f aca="false">+A50+365/12</f>
        <v>37148.1666666667</v>
      </c>
      <c r="B51" s="5" t="n">
        <f aca="false">IF(T51-((E51+F51+G51)*(1-'Prices&amp;Fuel'!F51))&lt;'Prices&amp;Fuel'!R51,(T51-(E51+F51+G51)*(1-'Prices&amp;Fuel'!F51)),'Prices&amp;Fuel'!R51)/(1-'Prices&amp;Fuel'!F51)</f>
        <v>8976.86375321337</v>
      </c>
      <c r="C51" s="9" t="n">
        <f aca="false">(T51/(1-'Prices&amp;Fuel'!F51))-D51-E51-F51-G51-B51</f>
        <v>1.38243194669485E-010</v>
      </c>
      <c r="D51" s="9" t="n">
        <f aca="false">ROUND(IF(T51/(1-'Prices&amp;Fuel'!F51)-E51-F51-G51-B51&gt;'Prices&amp;Fuel'!T51,'Prices&amp;Fuel'!T51,T51/(1-'Prices&amp;Fuel'!F51)-E51-F51-G51-B51),9)</f>
        <v>6556.298200514</v>
      </c>
      <c r="E51" s="9" t="n">
        <f aca="false">'Prices&amp;Fuel'!U51/(1-'Prices&amp;Fuel'!F51)</f>
        <v>1933.16195372751</v>
      </c>
      <c r="F51" s="9" t="n">
        <f aca="false">('Prices&amp;Fuel'!V51+'Prices&amp;Fuel'!X51)/(1-'Prices&amp;Fuel'!F51)</f>
        <v>3062.21079691517</v>
      </c>
      <c r="G51" s="9" t="n">
        <f aca="false">'Prices&amp;Fuel'!W51/(1-'Prices&amp;Fuel'!F51)</f>
        <v>1065.29562982005</v>
      </c>
      <c r="H51" s="10" t="n">
        <f aca="false">('Prices&amp;Fuel'!C51+'Prices&amp;Fuel'!D51)/2-0.05+(('Prices&amp;Fuel'!M51+'Prices&amp;Fuel'!P51)*(1-'Prices&amp;Fuel'!F51))</f>
        <v>5.21392225</v>
      </c>
      <c r="I51" s="9" t="n">
        <f aca="false">IF(FPL!L51=80000,0,B51)</f>
        <v>0</v>
      </c>
      <c r="J51" s="9"/>
      <c r="K51" s="10" t="n">
        <f aca="false">(((B51+E51)*('Prices&amp;Fuel'!B51+0.025))+(('Prices&amp;Fuel'!D51+0.025)*(D51+G51))+(('Prices&amp;Fuel'!C51+0.025)*(C51+F51))-(I51+J51)*0.025)/(B51+C51+D51+E51+F51+G51)</f>
        <v>4.5170380952381</v>
      </c>
      <c r="L51" s="9" t="n">
        <f aca="false">(B51+C51+D51+E51+F51+G51)*H51*'Prices&amp;Fuel'!H51</f>
        <v>3377656.57326478</v>
      </c>
      <c r="M51" s="9" t="n">
        <f aca="false">'Prices&amp;Fuel'!X51*('Prices&amp;Fuel'!N51+'Prices&amp;Fuel'!O51)*'Prices&amp;Fuel'!H51</f>
        <v>8667.27</v>
      </c>
      <c r="N51" s="9" t="n">
        <f aca="false">('Prices&amp;Fuel'!U51+'Prices&amp;Fuel'!V51+'Prices&amp;Fuel'!W51)*('Prices&amp;Fuel'!L51+'Prices&amp;Fuel'!O51)*'Prices&amp;Fuel'!H51</f>
        <v>66127.59</v>
      </c>
      <c r="O51" s="9" t="n">
        <f aca="false">((B51+C51+D51)*(1-'Prices&amp;Fuel'!G51))*('Prices&amp;Fuel'!M51+'Prices&amp;Fuel'!P51)*'Prices&amp;Fuel'!H51</f>
        <v>348993.918</v>
      </c>
      <c r="P51" s="9" t="n">
        <f aca="false">((B51+C51+D51+E51+F51+G51)/(1-'Prices&amp;Fuel'!F51))*(1-'Prices&amp;Fuel'!F51)*'Prices&amp;Fuel'!H51*0.005</f>
        <v>3239.07455012853</v>
      </c>
      <c r="Q51" s="9" t="n">
        <f aca="false">((D51+C51+B51+E51+F51+G51)*K51*'Prices&amp;Fuel'!H51)+M51+N51+O51+P51</f>
        <v>3353232.47979949</v>
      </c>
      <c r="R51" s="5" t="n">
        <f aca="false">L51-Q51</f>
        <v>24424.0934652947</v>
      </c>
      <c r="S51" s="12" t="n">
        <f aca="false">R51/(B51+C51+D51+E51+F51+G51)/'Prices&amp;Fuel'!H51</f>
        <v>0.0377022712619033</v>
      </c>
      <c r="T51" s="1" t="n">
        <f aca="false">T50</f>
        <v>21000</v>
      </c>
    </row>
    <row r="52" customFormat="false" ht="11.25" hidden="false" customHeight="false" outlineLevel="0" collapsed="false">
      <c r="A52" s="6" t="n">
        <f aca="false">+A51+365/12</f>
        <v>37178.5833333333</v>
      </c>
      <c r="B52" s="5" t="n">
        <f aca="false">IF(T52-((E52+F52+G52)*(1-'Prices&amp;Fuel'!F52))&lt;'Prices&amp;Fuel'!R52,(T52-(E52+F52+G52)*(1-'Prices&amp;Fuel'!F52)),'Prices&amp;Fuel'!R52)/(1-'Prices&amp;Fuel'!F52)</f>
        <v>8976.86375321337</v>
      </c>
      <c r="C52" s="9" t="n">
        <f aca="false">(T52/(1-'Prices&amp;Fuel'!F52))-D52-E52-F52-G52-B52</f>
        <v>2.0190782379359E-010</v>
      </c>
      <c r="D52" s="9" t="n">
        <f aca="false">ROUND(IF(T52/(1-'Prices&amp;Fuel'!F52)-E52-F52-G52-B52&gt;'Prices&amp;Fuel'!T52,'Prices&amp;Fuel'!T52,T52/(1-'Prices&amp;Fuel'!F52)-E52-F52-G52-B52),9)</f>
        <v>3514.652956298</v>
      </c>
      <c r="E52" s="9" t="n">
        <f aca="false">'Prices&amp;Fuel'!U52/(1-'Prices&amp;Fuel'!F52)</f>
        <v>2910.02570694087</v>
      </c>
      <c r="F52" s="9" t="n">
        <f aca="false">('Prices&amp;Fuel'!V52+'Prices&amp;Fuel'!X52)/(1-'Prices&amp;Fuel'!F52)</f>
        <v>4628.27763496144</v>
      </c>
      <c r="G52" s="9" t="n">
        <f aca="false">'Prices&amp;Fuel'!W52/(1-'Prices&amp;Fuel'!F52)</f>
        <v>1564.01028277635</v>
      </c>
      <c r="H52" s="10" t="n">
        <f aca="false">('Prices&amp;Fuel'!C52+'Prices&amp;Fuel'!D52)/2-0.05+(('Prices&amp;Fuel'!M52+'Prices&amp;Fuel'!P52)*(1-'Prices&amp;Fuel'!F52))</f>
        <v>5.89392225</v>
      </c>
      <c r="I52" s="9" t="n">
        <f aca="false">IF(FPL!L52=80000,0,B52)</f>
        <v>8976.86375321337</v>
      </c>
      <c r="J52" s="9"/>
      <c r="K52" s="10" t="n">
        <f aca="false">(((B52+E52)*('Prices&amp;Fuel'!B52+0.025))+(('Prices&amp;Fuel'!D52+0.025)*(D52+G52))+(('Prices&amp;Fuel'!C52+0.025)*(C52+F52))-(I52+J52)*0.025)/(B52+C52+D52+E52+F52+G52)</f>
        <v>5.18981904761905</v>
      </c>
      <c r="L52" s="9" t="n">
        <f aca="false">(B52+C52+D52+E52+F52+G52)*H52*'Prices&amp;Fuel'!H52</f>
        <v>3945443.06915167</v>
      </c>
      <c r="M52" s="9" t="n">
        <f aca="false">'Prices&amp;Fuel'!X52*('Prices&amp;Fuel'!N52+'Prices&amp;Fuel'!O52)*'Prices&amp;Fuel'!H52</f>
        <v>13126.113</v>
      </c>
      <c r="N52" s="9" t="n">
        <f aca="false">('Prices&amp;Fuel'!U52+'Prices&amp;Fuel'!V52+'Prices&amp;Fuel'!W52)*('Prices&amp;Fuel'!L52+'Prices&amp;Fuel'!O52)*'Prices&amp;Fuel'!H52</f>
        <v>102950.163</v>
      </c>
      <c r="O52" s="9" t="n">
        <f aca="false">((B52+C52+D52)*(1-'Prices&amp;Fuel'!G52))*('Prices&amp;Fuel'!M52+'Prices&amp;Fuel'!P52)*'Prices&amp;Fuel'!H52</f>
        <v>290010.4188</v>
      </c>
      <c r="P52" s="9" t="n">
        <f aca="false">((B52+C52+D52+E52+F52+G52)/(1-'Prices&amp;Fuel'!F52))*(1-'Prices&amp;Fuel'!F52)*'Prices&amp;Fuel'!H52*0.005</f>
        <v>3347.04370179949</v>
      </c>
      <c r="Q52" s="9" t="n">
        <f aca="false">((D52+C52+B52+E52+F52+G52)*K52*'Prices&amp;Fuel'!H52)+M52+N52+O52+P52</f>
        <v>3883543.96986427</v>
      </c>
      <c r="R52" s="5" t="n">
        <f aca="false">L52-Q52</f>
        <v>61899.0992874033</v>
      </c>
      <c r="S52" s="12" t="n">
        <f aca="false">R52/(B52+C52+D52+E52+F52+G52)/'Prices&amp;Fuel'!H52</f>
        <v>0.0924683165238091</v>
      </c>
      <c r="T52" s="1" t="n">
        <f aca="false">T51</f>
        <v>21000</v>
      </c>
    </row>
    <row r="53" customFormat="false" ht="11.25" hidden="false" customHeight="false" outlineLevel="0" collapsed="false">
      <c r="A53" s="6" t="n">
        <f aca="false">+A52+365/12</f>
        <v>37209</v>
      </c>
      <c r="B53" s="5" t="n">
        <f aca="false">IF(T53-((E53+F53+G53)*(1-'Prices&amp;Fuel'!F53))&lt;'Prices&amp;Fuel'!R53,(T53-(E53+F53+G53)*(1-'Prices&amp;Fuel'!F53)),'Prices&amp;Fuel'!R53)/(1-'Prices&amp;Fuel'!F53)</f>
        <v>4325.96401028278</v>
      </c>
      <c r="C53" s="9" t="n">
        <f aca="false">(T53/(1-'Prices&amp;Fuel'!F53))-D53-E53-F53-G53-B53</f>
        <v>0</v>
      </c>
      <c r="D53" s="9" t="n">
        <f aca="false">ROUND(IF(T53/(1-'Prices&amp;Fuel'!F53)-E53-F53-G53-B53&gt;'Prices&amp;Fuel'!T53,'Prices&amp;Fuel'!T53,T53/(1-'Prices&amp;Fuel'!F53)-E53-F53-G53-B53),9)</f>
        <v>0</v>
      </c>
      <c r="E53" s="9" t="n">
        <f aca="false">'Prices&amp;Fuel'!U53/(1-'Prices&amp;Fuel'!F53)</f>
        <v>2635.47557840617</v>
      </c>
      <c r="F53" s="9" t="n">
        <f aca="false">('Prices&amp;Fuel'!V53+'Prices&amp;Fuel'!X53)/(1-'Prices&amp;Fuel'!F53)</f>
        <v>3645.2442159383</v>
      </c>
      <c r="G53" s="9" t="n">
        <f aca="false">'Prices&amp;Fuel'!W53/(1-'Prices&amp;Fuel'!F53)</f>
        <v>1732.64781491003</v>
      </c>
      <c r="H53" s="10" t="n">
        <f aca="false">('Prices&amp;Fuel'!C53+'Prices&amp;Fuel'!D53)/2-0.05+(('Prices&amp;Fuel'!M53+'Prices&amp;Fuel'!P53)*(1-'Prices&amp;Fuel'!F53))</f>
        <v>4.16392225</v>
      </c>
      <c r="I53" s="9" t="n">
        <f aca="false">IF(FPL!L53=80000,0,B53)</f>
        <v>4325.96401028278</v>
      </c>
      <c r="J53" s="9"/>
      <c r="K53" s="10" t="n">
        <f aca="false">(((B53+E53)*('Prices&amp;Fuel'!B53+0.025))+(('Prices&amp;Fuel'!D53+0.025)*(D53+G53))+(('Prices&amp;Fuel'!C53+0.025)*(C53+F53))-(I53+J53)*0.025)/(B53+C53+D53+E53+F53+G53)</f>
        <v>3.46536458333333</v>
      </c>
      <c r="L53" s="9" t="n">
        <f aca="false">(B53+C53+D53+E53+F53+G53)*H53*'Prices&amp;Fuel'!H53</f>
        <v>1541400.52442159</v>
      </c>
      <c r="M53" s="9" t="n">
        <f aca="false">'Prices&amp;Fuel'!X53*('Prices&amp;Fuel'!N53+'Prices&amp;Fuel'!O53)*'Prices&amp;Fuel'!H53</f>
        <v>8667.27</v>
      </c>
      <c r="N53" s="9" t="n">
        <f aca="false">('Prices&amp;Fuel'!U53+'Prices&amp;Fuel'!V53+'Prices&amp;Fuel'!W53)*('Prices&amp;Fuel'!L53+'Prices&amp;Fuel'!O53)*'Prices&amp;Fuel'!H53</f>
        <v>90225.9</v>
      </c>
      <c r="O53" s="9" t="n">
        <f aca="false">((B53+C53+D53)*(1-'Prices&amp;Fuel'!G53))*('Prices&amp;Fuel'!M53+'Prices&amp;Fuel'!P53)*'Prices&amp;Fuel'!H53</f>
        <v>97194.321</v>
      </c>
      <c r="P53" s="9" t="n">
        <f aca="false">((B53+C53+D53+E53+F53+G53)/(1-'Prices&amp;Fuel'!F53))*(1-'Prices&amp;Fuel'!F53)*'Prices&amp;Fuel'!H53*0.005</f>
        <v>1850.89974293059</v>
      </c>
      <c r="Q53" s="9" t="n">
        <f aca="false">((D53+C53+B53+E53+F53+G53)*K53*'Prices&amp;Fuel'!H53)+M53+N53+O53+P53</f>
        <v>1480746.87403342</v>
      </c>
      <c r="R53" s="5" t="n">
        <f aca="false">L53-Q53</f>
        <v>60653.6503881749</v>
      </c>
      <c r="S53" s="12" t="n">
        <f aca="false">R53/(B53+C53+D53+E53+F53+G53)/'Prices&amp;Fuel'!H53</f>
        <v>0.163849097229167</v>
      </c>
      <c r="T53" s="1" t="n">
        <v>12000</v>
      </c>
    </row>
    <row r="54" customFormat="false" ht="11.25" hidden="false" customHeight="false" outlineLevel="0" collapsed="false">
      <c r="A54" s="6" t="n">
        <f aca="false">+A53+365/12</f>
        <v>37239.4166666667</v>
      </c>
      <c r="B54" s="5" t="n">
        <f aca="false">IF(T54-((E54+F54+G54)*(1-'Prices&amp;Fuel'!F54))&lt;'Prices&amp;Fuel'!R54,(T54-(E54+F54+G54)*(1-'Prices&amp;Fuel'!F54)),'Prices&amp;Fuel'!R54)/(1-'Prices&amp;Fuel'!F54)</f>
        <v>4325.96401028278</v>
      </c>
      <c r="C54" s="9" t="n">
        <f aca="false">(T54/(1-'Prices&amp;Fuel'!F54))-D54-E54-F54-G54-B54</f>
        <v>0</v>
      </c>
      <c r="D54" s="9" t="n">
        <f aca="false">ROUND(IF(T54/(1-'Prices&amp;Fuel'!F54)-E54-F54-G54-B54&gt;'Prices&amp;Fuel'!T54,'Prices&amp;Fuel'!T54,T54/(1-'Prices&amp;Fuel'!F54)-E54-F54-G54-B54),9)</f>
        <v>0</v>
      </c>
      <c r="E54" s="9" t="n">
        <f aca="false">'Prices&amp;Fuel'!U54/(1-'Prices&amp;Fuel'!F54)</f>
        <v>2635.47557840617</v>
      </c>
      <c r="F54" s="9" t="n">
        <f aca="false">('Prices&amp;Fuel'!V54+'Prices&amp;Fuel'!X54)/(1-'Prices&amp;Fuel'!F54)</f>
        <v>3645.2442159383</v>
      </c>
      <c r="G54" s="9" t="n">
        <f aca="false">'Prices&amp;Fuel'!W54/(1-'Prices&amp;Fuel'!F54)</f>
        <v>1732.64781491003</v>
      </c>
      <c r="H54" s="10" t="n">
        <f aca="false">('Prices&amp;Fuel'!C54+'Prices&amp;Fuel'!D54)/2-0.05+(('Prices&amp;Fuel'!M54+'Prices&amp;Fuel'!P54)*(1-'Prices&amp;Fuel'!F54))</f>
        <v>3.28392225</v>
      </c>
      <c r="I54" s="9" t="n">
        <f aca="false">IF(FPL!L54=80000,0,B54)</f>
        <v>4325.96401028278</v>
      </c>
      <c r="J54" s="9"/>
      <c r="K54" s="10" t="n">
        <f aca="false">(((B54+E54)*('Prices&amp;Fuel'!B54+0.025))+(('Prices&amp;Fuel'!D54+0.025)*(D54+G54))+(('Prices&amp;Fuel'!C54+0.025)*(C54+F54))-(I54+J54)*0.025)/(B54+C54+D54+E54+F54+G54)</f>
        <v>2.58536458333333</v>
      </c>
      <c r="L54" s="9" t="n">
        <f aca="false">(B54+C54+D54+E54+F54+G54)*H54*'Prices&amp;Fuel'!H54</f>
        <v>1256163.57532134</v>
      </c>
      <c r="M54" s="9" t="n">
        <f aca="false">'Prices&amp;Fuel'!X54*('Prices&amp;Fuel'!N54+'Prices&amp;Fuel'!O54)*'Prices&amp;Fuel'!H54</f>
        <v>8956.179</v>
      </c>
      <c r="N54" s="9" t="n">
        <f aca="false">('Prices&amp;Fuel'!U54+'Prices&amp;Fuel'!V54+'Prices&amp;Fuel'!W54)*('Prices&amp;Fuel'!L54+'Prices&amp;Fuel'!O54)*'Prices&amp;Fuel'!H54</f>
        <v>93233.43</v>
      </c>
      <c r="O54" s="9" t="n">
        <f aca="false">((B54+C54+D54)*(1-'Prices&amp;Fuel'!G54))*('Prices&amp;Fuel'!M54+'Prices&amp;Fuel'!P54)*'Prices&amp;Fuel'!H54</f>
        <v>100434.1317</v>
      </c>
      <c r="P54" s="9" t="n">
        <f aca="false">((B54+C54+D54+E54+F54+G54)/(1-'Prices&amp;Fuel'!F54))*(1-'Prices&amp;Fuel'!F54)*'Prices&amp;Fuel'!H54*0.005</f>
        <v>1912.59640102828</v>
      </c>
      <c r="Q54" s="9" t="n">
        <f aca="false">((D54+C54+B54+E54+F54+G54)*K54*'Prices&amp;Fuel'!H54)+M54+N54+O54+P54</f>
        <v>1193488.13658689</v>
      </c>
      <c r="R54" s="5" t="n">
        <f aca="false">L54-Q54</f>
        <v>62675.4387344474</v>
      </c>
      <c r="S54" s="12" t="n">
        <f aca="false">R54/(B54+C54+D54+E54+F54+G54)/'Prices&amp;Fuel'!H54</f>
        <v>0.163849097229167</v>
      </c>
      <c r="T54" s="1" t="n">
        <f aca="false">T53</f>
        <v>12000</v>
      </c>
    </row>
    <row r="55" customFormat="false" ht="11.25" hidden="false" customHeight="false" outlineLevel="0" collapsed="false">
      <c r="A55" s="6" t="n">
        <f aca="false">+A54+365/12</f>
        <v>37269.8333333333</v>
      </c>
      <c r="B55" s="5" t="n">
        <f aca="false">IF(T55-((E55+F55+G55)*(1-'Prices&amp;Fuel'!F55))&lt;'Prices&amp;Fuel'!R55,(T55-(E55+F55+G55)*(1-'Prices&amp;Fuel'!F55)),'Prices&amp;Fuel'!R55)/(1-'Prices&amp;Fuel'!F55)</f>
        <v>4325.96401028278</v>
      </c>
      <c r="C55" s="9" t="n">
        <f aca="false">(T55/(1-'Prices&amp;Fuel'!F55))-D55-E55-F55-G55-B55</f>
        <v>0</v>
      </c>
      <c r="D55" s="9" t="n">
        <f aca="false">ROUND(IF(T55/(1-'Prices&amp;Fuel'!F55)-E55-F55-G55-B55&gt;'Prices&amp;Fuel'!T55,'Prices&amp;Fuel'!T55,T55/(1-'Prices&amp;Fuel'!F55)-E55-F55-G55-B55),9)</f>
        <v>0</v>
      </c>
      <c r="E55" s="9" t="n">
        <f aca="false">'Prices&amp;Fuel'!U55/(1-'Prices&amp;Fuel'!F55)</f>
        <v>2635.47557840617</v>
      </c>
      <c r="F55" s="9" t="n">
        <f aca="false">('Prices&amp;Fuel'!V55+'Prices&amp;Fuel'!X55)/(1-'Prices&amp;Fuel'!F55)</f>
        <v>3645.2442159383</v>
      </c>
      <c r="G55" s="9" t="n">
        <f aca="false">'Prices&amp;Fuel'!W55/(1-'Prices&amp;Fuel'!F55)</f>
        <v>1732.64781491003</v>
      </c>
      <c r="H55" s="10" t="n">
        <f aca="false">('Prices&amp;Fuel'!C55+'Prices&amp;Fuel'!D55)/2-0.05+(('Prices&amp;Fuel'!M55+'Prices&amp;Fuel'!P55)*(1-'Prices&amp;Fuel'!F55))</f>
        <v>2.94392225</v>
      </c>
      <c r="I55" s="9" t="n">
        <f aca="false">IF(FPL!L55=80000,0,B55)</f>
        <v>4325.96401028278</v>
      </c>
      <c r="J55" s="9"/>
      <c r="K55" s="10" t="n">
        <f aca="false">(((B55+E55)*('Prices&amp;Fuel'!B55+0.025))+(('Prices&amp;Fuel'!D55+0.025)*(D55+G55))+(('Prices&amp;Fuel'!C55+0.025)*(C55+F55))-(I55+J55)*0.025)/(B55+C55+D55+E55+F55+G55)</f>
        <v>2.24536458333333</v>
      </c>
      <c r="L55" s="9" t="n">
        <f aca="false">(B55+C55+D55+E55+F55+G55)*H55*'Prices&amp;Fuel'!H55</f>
        <v>1126107.02005141</v>
      </c>
      <c r="M55" s="9" t="n">
        <f aca="false">'Prices&amp;Fuel'!X55*('Prices&amp;Fuel'!N55+'Prices&amp;Fuel'!O55)*'Prices&amp;Fuel'!H55</f>
        <v>8956.179</v>
      </c>
      <c r="N55" s="9" t="n">
        <f aca="false">('Prices&amp;Fuel'!U55+'Prices&amp;Fuel'!V55+'Prices&amp;Fuel'!W55)*('Prices&amp;Fuel'!L55+'Prices&amp;Fuel'!O55)*'Prices&amp;Fuel'!H55</f>
        <v>93233.43</v>
      </c>
      <c r="O55" s="9" t="n">
        <f aca="false">((B55+C55+D55)*(1-'Prices&amp;Fuel'!G55))*('Prices&amp;Fuel'!M55+'Prices&amp;Fuel'!P55)*'Prices&amp;Fuel'!H55</f>
        <v>100434.1317</v>
      </c>
      <c r="P55" s="9" t="n">
        <f aca="false">((B55+C55+D55+E55+F55+G55)/(1-'Prices&amp;Fuel'!F55))*(1-'Prices&amp;Fuel'!F55)*'Prices&amp;Fuel'!H55*0.005</f>
        <v>1912.59640102828</v>
      </c>
      <c r="Q55" s="9" t="n">
        <f aca="false">((D55+C55+B55+E55+F55+G55)*K55*'Prices&amp;Fuel'!H55)+M55+N55+O55+P55</f>
        <v>1063431.58131697</v>
      </c>
      <c r="R55" s="5" t="n">
        <f aca="false">L55-Q55</f>
        <v>62675.4387344476</v>
      </c>
      <c r="S55" s="12" t="n">
        <f aca="false">R55/(B55+C55+D55+E55+F55+G55)/'Prices&amp;Fuel'!H55</f>
        <v>0.163849097229167</v>
      </c>
      <c r="T55" s="1" t="n">
        <f aca="false">T54</f>
        <v>12000</v>
      </c>
    </row>
    <row r="56" customFormat="false" ht="11.25" hidden="false" customHeight="false" outlineLevel="0" collapsed="false">
      <c r="A56" s="6" t="n">
        <f aca="false">+A55+365/12</f>
        <v>37300.25</v>
      </c>
      <c r="B56" s="5" t="n">
        <f aca="false">IF(T56-((E56+F56+G56)*(1-'Prices&amp;Fuel'!F56))&lt;'Prices&amp;Fuel'!R56,(T56-(E56+F56+G56)*(1-'Prices&amp;Fuel'!F56)),'Prices&amp;Fuel'!R56)/(1-'Prices&amp;Fuel'!F56)</f>
        <v>4325.96401028278</v>
      </c>
      <c r="C56" s="9" t="n">
        <f aca="false">(T56/(1-'Prices&amp;Fuel'!F56))-D56-E56-F56-G56-B56</f>
        <v>0</v>
      </c>
      <c r="D56" s="9" t="n">
        <f aca="false">ROUND(IF(T56/(1-'Prices&amp;Fuel'!F56)-E56-F56-G56-B56&gt;'Prices&amp;Fuel'!T56,'Prices&amp;Fuel'!T56,T56/(1-'Prices&amp;Fuel'!F56)-E56-F56-G56-B56),9)</f>
        <v>0</v>
      </c>
      <c r="E56" s="9" t="n">
        <f aca="false">'Prices&amp;Fuel'!U56/(1-'Prices&amp;Fuel'!F56)</f>
        <v>2635.47557840617</v>
      </c>
      <c r="F56" s="9" t="n">
        <f aca="false">('Prices&amp;Fuel'!V56+'Prices&amp;Fuel'!X56)/(1-'Prices&amp;Fuel'!F56)</f>
        <v>3645.2442159383</v>
      </c>
      <c r="G56" s="9" t="n">
        <f aca="false">'Prices&amp;Fuel'!W56/(1-'Prices&amp;Fuel'!F56)</f>
        <v>1732.64781491003</v>
      </c>
      <c r="H56" s="10" t="n">
        <f aca="false">('Prices&amp;Fuel'!C56+'Prices&amp;Fuel'!D56)/2-0.05+(('Prices&amp;Fuel'!M56+'Prices&amp;Fuel'!P56)*(1-'Prices&amp;Fuel'!F56))</f>
        <v>3.21392225</v>
      </c>
      <c r="I56" s="9" t="n">
        <f aca="false">IF(FPL!L56=80000,0,B56)</f>
        <v>4325.96401028278</v>
      </c>
      <c r="J56" s="9"/>
      <c r="K56" s="10" t="n">
        <f aca="false">(((B56+E56)*('Prices&amp;Fuel'!B56+0.025))+(('Prices&amp;Fuel'!D56+0.025)*(D56+G56))+(('Prices&amp;Fuel'!C56+0.025)*(C56+F56))-(I56+J56)*0.025)/(B56+C56+D56+E56+F56+G56)</f>
        <v>2.51536458333333</v>
      </c>
      <c r="L56" s="9" t="n">
        <f aca="false">(B56+C56+D56+E56+F56+G56)*H56*'Prices&amp;Fuel'!H56</f>
        <v>1110414.26838046</v>
      </c>
      <c r="M56" s="9" t="n">
        <f aca="false">'Prices&amp;Fuel'!X56*('Prices&amp;Fuel'!N56+'Prices&amp;Fuel'!O56)*'Prices&amp;Fuel'!H56</f>
        <v>8089.452</v>
      </c>
      <c r="N56" s="9" t="n">
        <f aca="false">('Prices&amp;Fuel'!U56+'Prices&amp;Fuel'!V56+'Prices&amp;Fuel'!W56)*('Prices&amp;Fuel'!L56+'Prices&amp;Fuel'!O56)*'Prices&amp;Fuel'!H56</f>
        <v>84210.84</v>
      </c>
      <c r="O56" s="9" t="n">
        <f aca="false">((B56+C56+D56)*(1-'Prices&amp;Fuel'!G56))*('Prices&amp;Fuel'!M56+'Prices&amp;Fuel'!P56)*'Prices&amp;Fuel'!H56</f>
        <v>90714.6996</v>
      </c>
      <c r="P56" s="9" t="n">
        <f aca="false">((B56+C56+D56+E56+F56+G56)/(1-'Prices&amp;Fuel'!F56))*(1-'Prices&amp;Fuel'!F56)*'Prices&amp;Fuel'!H56*0.005</f>
        <v>1727.50642673522</v>
      </c>
      <c r="Q56" s="9" t="n">
        <f aca="false">((D56+C56+B56+E56+F56+G56)*K56*'Prices&amp;Fuel'!H56)+M56+N56+O56+P56</f>
        <v>1053804.19468483</v>
      </c>
      <c r="R56" s="5" t="n">
        <f aca="false">L56-Q56</f>
        <v>56610.0736956298</v>
      </c>
      <c r="S56" s="12" t="n">
        <f aca="false">R56/(B56+C56+D56+E56+F56+G56)/'Prices&amp;Fuel'!H56</f>
        <v>0.163849097229167</v>
      </c>
      <c r="T56" s="1" t="n">
        <f aca="false">T55</f>
        <v>12000</v>
      </c>
    </row>
    <row r="57" customFormat="false" ht="11.25" hidden="false" customHeight="false" outlineLevel="0" collapsed="false">
      <c r="A57" s="6" t="n">
        <f aca="false">+A56+365/12</f>
        <v>37330.6666666667</v>
      </c>
      <c r="B57" s="5" t="n">
        <f aca="false">IF(T57-((E57+F57+G57)*(1-'Prices&amp;Fuel'!F57))&lt;'Prices&amp;Fuel'!R57,(T57-(E57+F57+G57)*(1-'Prices&amp;Fuel'!F57)),'Prices&amp;Fuel'!R57)/(1-'Prices&amp;Fuel'!F57)</f>
        <v>4325.96401028278</v>
      </c>
      <c r="C57" s="9" t="n">
        <f aca="false">(T57/(1-'Prices&amp;Fuel'!F57))-D57-E57-F57-G57-B57</f>
        <v>0</v>
      </c>
      <c r="D57" s="9" t="n">
        <f aca="false">ROUND(IF(T57/(1-'Prices&amp;Fuel'!F57)-E57-F57-G57-B57&gt;'Prices&amp;Fuel'!T57,'Prices&amp;Fuel'!T57,T57/(1-'Prices&amp;Fuel'!F57)-E57-F57-G57-B57),9)</f>
        <v>0</v>
      </c>
      <c r="E57" s="9" t="n">
        <f aca="false">'Prices&amp;Fuel'!U57/(1-'Prices&amp;Fuel'!F57)</f>
        <v>2635.47557840617</v>
      </c>
      <c r="F57" s="9" t="n">
        <f aca="false">('Prices&amp;Fuel'!V57+'Prices&amp;Fuel'!X57)/(1-'Prices&amp;Fuel'!F57)</f>
        <v>3645.2442159383</v>
      </c>
      <c r="G57" s="9" t="n">
        <f aca="false">'Prices&amp;Fuel'!W57/(1-'Prices&amp;Fuel'!F57)</f>
        <v>1732.64781491003</v>
      </c>
      <c r="H57" s="10" t="n">
        <f aca="false">('Prices&amp;Fuel'!C57+'Prices&amp;Fuel'!D57)/2-0.05+(('Prices&amp;Fuel'!M57+'Prices&amp;Fuel'!P57)*(1-'Prices&amp;Fuel'!F57))</f>
        <v>3.21392225</v>
      </c>
      <c r="I57" s="9" t="n">
        <f aca="false">IF(FPL!L57=80000,0,B57)</f>
        <v>4325.96401028278</v>
      </c>
      <c r="J57" s="9"/>
      <c r="K57" s="10" t="n">
        <f aca="false">(((B57+E57)*('Prices&amp;Fuel'!B57+0.025))+(('Prices&amp;Fuel'!D57+0.025)*(D57+G57))+(('Prices&amp;Fuel'!C57+0.025)*(C57+F57))-(I57+J57)*0.025)/(B57+C57+D57+E57+F57+G57)</f>
        <v>2.51536458333333</v>
      </c>
      <c r="L57" s="9" t="n">
        <f aca="false">(B57+C57+D57+E57+F57+G57)*H57*'Prices&amp;Fuel'!H57</f>
        <v>1229387.22570694</v>
      </c>
      <c r="M57" s="9" t="n">
        <f aca="false">'Prices&amp;Fuel'!X57*('Prices&amp;Fuel'!N57+'Prices&amp;Fuel'!O57)*'Prices&amp;Fuel'!H57</f>
        <v>8956.179</v>
      </c>
      <c r="N57" s="9" t="n">
        <f aca="false">('Prices&amp;Fuel'!U57+'Prices&amp;Fuel'!V57+'Prices&amp;Fuel'!W57)*('Prices&amp;Fuel'!L57+'Prices&amp;Fuel'!O57)*'Prices&amp;Fuel'!H57</f>
        <v>93233.43</v>
      </c>
      <c r="O57" s="9" t="n">
        <f aca="false">((B57+C57+D57)*(1-'Prices&amp;Fuel'!G57))*('Prices&amp;Fuel'!M57+'Prices&amp;Fuel'!P57)*'Prices&amp;Fuel'!H57</f>
        <v>100434.1317</v>
      </c>
      <c r="P57" s="9" t="n">
        <f aca="false">((B57+C57+D57+E57+F57+G57)/(1-'Prices&amp;Fuel'!F57))*(1-'Prices&amp;Fuel'!F57)*'Prices&amp;Fuel'!H57*0.005</f>
        <v>1912.59640102828</v>
      </c>
      <c r="Q57" s="9" t="n">
        <f aca="false">((D57+C57+B57+E57+F57+G57)*K57*'Prices&amp;Fuel'!H57)+M57+N57+O57+P57</f>
        <v>1166711.78697249</v>
      </c>
      <c r="R57" s="5" t="n">
        <f aca="false">L57-Q57</f>
        <v>62675.4387344474</v>
      </c>
      <c r="S57" s="12" t="n">
        <f aca="false">R57/(B57+C57+D57+E57+F57+G57)/'Prices&amp;Fuel'!H57</f>
        <v>0.163849097229167</v>
      </c>
      <c r="T57" s="1" t="n">
        <f aca="false">T56</f>
        <v>12000</v>
      </c>
    </row>
    <row r="58" customFormat="false" ht="11.25" hidden="false" customHeight="false" outlineLevel="0" collapsed="false">
      <c r="A58" s="6" t="n">
        <f aca="false">+A57+365/12</f>
        <v>37361.0833333333</v>
      </c>
      <c r="B58" s="5" t="n">
        <f aca="false">IF(T58-((E58+F58+G58)*(1-'Prices&amp;Fuel'!F58))&lt;'Prices&amp;Fuel'!R58,(T58-(E58+F58+G58)*(1-'Prices&amp;Fuel'!F58)),'Prices&amp;Fuel'!R58)/(1-'Prices&amp;Fuel'!F58)</f>
        <v>6278.66323907455</v>
      </c>
      <c r="C58" s="9" t="n">
        <f aca="false">(T58/(1-'Prices&amp;Fuel'!F58))-D58-E58-F58-G58-B58</f>
        <v>0</v>
      </c>
      <c r="D58" s="9" t="n">
        <f aca="false">ROUND(IF(T58/(1-'Prices&amp;Fuel'!F58)-E58-F58-G58-B58&gt;'Prices&amp;Fuel'!T58,'Prices&amp;Fuel'!T58,T58/(1-'Prices&amp;Fuel'!F58)-E58-F58-G58-B58),9)</f>
        <v>0</v>
      </c>
      <c r="E58" s="9" t="n">
        <f aca="false">'Prices&amp;Fuel'!U58/(1-'Prices&amp;Fuel'!F58)</f>
        <v>1933.16195372751</v>
      </c>
      <c r="F58" s="9" t="n">
        <f aca="false">('Prices&amp;Fuel'!V58+'Prices&amp;Fuel'!X58)/(1-'Prices&amp;Fuel'!F58)</f>
        <v>2833.93316195373</v>
      </c>
      <c r="G58" s="9" t="n">
        <f aca="false">'Prices&amp;Fuel'!W58/(1-'Prices&amp;Fuel'!F58)</f>
        <v>1293.57326478149</v>
      </c>
      <c r="H58" s="10" t="n">
        <f aca="false">('Prices&amp;Fuel'!C58+'Prices&amp;Fuel'!D58)/2-0.05+(('Prices&amp;Fuel'!M58+'Prices&amp;Fuel'!P58)*(1-'Prices&amp;Fuel'!F58))</f>
        <v>3.48392225</v>
      </c>
      <c r="I58" s="9" t="n">
        <f aca="false">IF(FPL!L58=80000,0,B58)</f>
        <v>6278.66323907455</v>
      </c>
      <c r="J58" s="9"/>
      <c r="K58" s="10" t="n">
        <f aca="false">(((B58+E58)*('Prices&amp;Fuel'!B58+0.025))+(('Prices&amp;Fuel'!D58+0.025)*(D58+G58))+(('Prices&amp;Fuel'!C58+0.025)*(C58+F58))-(I58+J58)*0.025)/(B58+C58+D58+E58+F58+G58)</f>
        <v>2.7771075</v>
      </c>
      <c r="L58" s="9" t="n">
        <f aca="false">(B58+C58+D58+E58+F58+G58)*H58*'Prices&amp;Fuel'!H58</f>
        <v>1289678.15938303</v>
      </c>
      <c r="M58" s="9" t="n">
        <f aca="false">'Prices&amp;Fuel'!X58*('Prices&amp;Fuel'!N58+'Prices&amp;Fuel'!O58)*'Prices&amp;Fuel'!H58</f>
        <v>8667.27</v>
      </c>
      <c r="N58" s="9" t="n">
        <f aca="false">('Prices&amp;Fuel'!U58+'Prices&amp;Fuel'!V58+'Prices&amp;Fuel'!W58)*('Prices&amp;Fuel'!L58+'Prices&amp;Fuel'!O58)*'Prices&amp;Fuel'!H58</f>
        <v>66127.59</v>
      </c>
      <c r="O58" s="9" t="n">
        <f aca="false">((B58+C58+D58)*(1-'Prices&amp;Fuel'!G58))*('Prices&amp;Fuel'!M58+'Prices&amp;Fuel'!P58)*'Prices&amp;Fuel'!H58</f>
        <v>141066.918</v>
      </c>
      <c r="P58" s="9" t="n">
        <f aca="false">((B58+C58+D58+E58+F58+G58)/(1-'Prices&amp;Fuel'!F58))*(1-'Prices&amp;Fuel'!F58)*'Prices&amp;Fuel'!H58*0.005</f>
        <v>1850.89974293059</v>
      </c>
      <c r="Q58" s="9" t="n">
        <f aca="false">((D58+C58+B58+E58+F58+G58)*K58*'Prices&amp;Fuel'!H58)+M58+N58+O58+P58</f>
        <v>1245742.18931105</v>
      </c>
      <c r="R58" s="5" t="n">
        <f aca="false">L58-Q58</f>
        <v>43935.9700719793</v>
      </c>
      <c r="S58" s="12" t="n">
        <f aca="false">R58/(B58+C58+D58+E58+F58+G58)/'Prices&amp;Fuel'!H58</f>
        <v>0.118688141375</v>
      </c>
      <c r="T58" s="1" t="n">
        <f aca="false">T57</f>
        <v>12000</v>
      </c>
    </row>
    <row r="59" customFormat="false" ht="11.25" hidden="false" customHeight="false" outlineLevel="0" collapsed="false">
      <c r="A59" s="6" t="n">
        <f aca="false">+A58+365/12</f>
        <v>37391.5</v>
      </c>
      <c r="B59" s="5" t="n">
        <f aca="false">IF(T59-((E59+F59+G59)*(1-'Prices&amp;Fuel'!F59))&lt;'Prices&amp;Fuel'!R59,(T59-(E59+F59+G59)*(1-'Prices&amp;Fuel'!F59)),'Prices&amp;Fuel'!R59)/(1-'Prices&amp;Fuel'!F59)</f>
        <v>8976.86375321337</v>
      </c>
      <c r="C59" s="9" t="n">
        <f aca="false">(T59/(1-'Prices&amp;Fuel'!F59))-D59-E59-F59-G59-B59</f>
        <v>1.38243194669485E-010</v>
      </c>
      <c r="D59" s="9" t="n">
        <f aca="false">ROUND(IF(T59/(1-'Prices&amp;Fuel'!F59)-E59-F59-G59-B59&gt;'Prices&amp;Fuel'!T59,'Prices&amp;Fuel'!T59,T59/(1-'Prices&amp;Fuel'!F59)-E59-F59-G59-B59),9)</f>
        <v>6556.298200514</v>
      </c>
      <c r="E59" s="9" t="n">
        <f aca="false">'Prices&amp;Fuel'!U59/(1-'Prices&amp;Fuel'!F59)</f>
        <v>1933.16195372751</v>
      </c>
      <c r="F59" s="9" t="n">
        <f aca="false">('Prices&amp;Fuel'!V59+'Prices&amp;Fuel'!X59)/(1-'Prices&amp;Fuel'!F59)</f>
        <v>3062.21079691517</v>
      </c>
      <c r="G59" s="9" t="n">
        <f aca="false">'Prices&amp;Fuel'!W59/(1-'Prices&amp;Fuel'!F59)</f>
        <v>1065.29562982005</v>
      </c>
      <c r="H59" s="10" t="n">
        <f aca="false">('Prices&amp;Fuel'!C59+'Prices&amp;Fuel'!D59)/2-0.05+(('Prices&amp;Fuel'!M59+'Prices&amp;Fuel'!P59)*(1-'Prices&amp;Fuel'!F59))</f>
        <v>3.67392225</v>
      </c>
      <c r="I59" s="9" t="n">
        <f aca="false">IF(FPL!L59=80000,0,B59)</f>
        <v>0</v>
      </c>
      <c r="J59" s="9"/>
      <c r="K59" s="10" t="n">
        <f aca="false">(((B59+E59)*('Prices&amp;Fuel'!B59+0.025))+(('Prices&amp;Fuel'!D59+0.025)*(D59+G59))+(('Prices&amp;Fuel'!C59+0.025)*(C59+F59))-(I59+J59)*0.025)/(B59+C59+D59+E59+F59+G59)</f>
        <v>2.9770380952381</v>
      </c>
      <c r="L59" s="9" t="n">
        <f aca="false">(B59+C59+D59+E59+F59+G59)*H59*'Prices&amp;Fuel'!H59</f>
        <v>2459355.6655527</v>
      </c>
      <c r="M59" s="9" t="n">
        <f aca="false">'Prices&amp;Fuel'!X59*('Prices&amp;Fuel'!N59+'Prices&amp;Fuel'!O59)*'Prices&amp;Fuel'!H59</f>
        <v>8956.179</v>
      </c>
      <c r="N59" s="9" t="n">
        <f aca="false">('Prices&amp;Fuel'!U59+'Prices&amp;Fuel'!V59+'Prices&amp;Fuel'!W59)*('Prices&amp;Fuel'!L59+'Prices&amp;Fuel'!O59)*'Prices&amp;Fuel'!H59</f>
        <v>68331.843</v>
      </c>
      <c r="O59" s="9" t="n">
        <f aca="false">((B59+C59+D59)*(1-'Prices&amp;Fuel'!G59))*('Prices&amp;Fuel'!M59+'Prices&amp;Fuel'!P59)*'Prices&amp;Fuel'!H59</f>
        <v>360627.0486</v>
      </c>
      <c r="P59" s="9" t="n">
        <f aca="false">((B59+C59+D59+E59+F59+G59)/(1-'Prices&amp;Fuel'!F59))*(1-'Prices&amp;Fuel'!F59)*'Prices&amp;Fuel'!H59*0.005</f>
        <v>3347.04370179949</v>
      </c>
      <c r="Q59" s="9" t="n">
        <f aca="false">((D59+C59+B59+E59+F59+G59)*K59*'Prices&amp;Fuel'!H59)+M59+N59+O59+P59</f>
        <v>2434117.43563856</v>
      </c>
      <c r="R59" s="5" t="n">
        <f aca="false">L59-Q59</f>
        <v>25238.2299141386</v>
      </c>
      <c r="S59" s="12" t="n">
        <f aca="false">R59/(B59+C59+D59+E59+F59+G59)/'Prices&amp;Fuel'!H59</f>
        <v>0.0377022712619044</v>
      </c>
      <c r="T59" s="1" t="n">
        <v>21000</v>
      </c>
    </row>
    <row r="60" customFormat="false" ht="11.25" hidden="false" customHeight="false" outlineLevel="0" collapsed="false">
      <c r="A60" s="6" t="n">
        <f aca="false">+A59+365/12</f>
        <v>37421.9166666667</v>
      </c>
      <c r="B60" s="5" t="n">
        <f aca="false">IF(T60-((E60+F60+G60)*(1-'Prices&amp;Fuel'!F60))&lt;'Prices&amp;Fuel'!R60,(T60-(E60+F60+G60)*(1-'Prices&amp;Fuel'!F60)),'Prices&amp;Fuel'!R60)/(1-'Prices&amp;Fuel'!F60)</f>
        <v>8976.86375321337</v>
      </c>
      <c r="C60" s="9" t="n">
        <f aca="false">(T60/(1-'Prices&amp;Fuel'!F60))-D60-E60-F60-G60-B60</f>
        <v>1.38243194669485E-010</v>
      </c>
      <c r="D60" s="9" t="n">
        <f aca="false">ROUND(IF(T60/(1-'Prices&amp;Fuel'!F60)-E60-F60-G60-B60&gt;'Prices&amp;Fuel'!T60,'Prices&amp;Fuel'!T60,T60/(1-'Prices&amp;Fuel'!F60)-E60-F60-G60-B60),9)</f>
        <v>6556.298200514</v>
      </c>
      <c r="E60" s="9" t="n">
        <f aca="false">'Prices&amp;Fuel'!U60/(1-'Prices&amp;Fuel'!F60)</f>
        <v>1933.16195372751</v>
      </c>
      <c r="F60" s="9" t="n">
        <f aca="false">('Prices&amp;Fuel'!V60+'Prices&amp;Fuel'!X60)/(1-'Prices&amp;Fuel'!F60)</f>
        <v>3062.21079691517</v>
      </c>
      <c r="G60" s="9" t="n">
        <f aca="false">'Prices&amp;Fuel'!W60/(1-'Prices&amp;Fuel'!F60)</f>
        <v>1065.29562982005</v>
      </c>
      <c r="H60" s="10" t="n">
        <f aca="false">('Prices&amp;Fuel'!C60+'Prices&amp;Fuel'!D60)/2-0.05+(('Prices&amp;Fuel'!M60+'Prices&amp;Fuel'!P60)*(1-'Prices&amp;Fuel'!F60))</f>
        <v>4.98392225</v>
      </c>
      <c r="I60" s="9" t="n">
        <f aca="false">IF(FPL!L60=80000,0,B60)</f>
        <v>0</v>
      </c>
      <c r="J60" s="9"/>
      <c r="K60" s="10" t="n">
        <f aca="false">(((B60+E60)*('Prices&amp;Fuel'!B60+0.025))+(('Prices&amp;Fuel'!D60+0.025)*(D60+G60))+(('Prices&amp;Fuel'!C60+0.025)*(C60+F60))-(I60+J60)*0.025)/(B60+C60+D60+E60+F60+G60)</f>
        <v>4.2870380952381</v>
      </c>
      <c r="L60" s="9" t="n">
        <f aca="false">(B60+C60+D60+E60+F60+G60)*H60*'Prices&amp;Fuel'!H60</f>
        <v>3228659.14395887</v>
      </c>
      <c r="M60" s="9" t="n">
        <f aca="false">'Prices&amp;Fuel'!X60*('Prices&amp;Fuel'!N60+'Prices&amp;Fuel'!O60)*'Prices&amp;Fuel'!H60</f>
        <v>8667.27</v>
      </c>
      <c r="N60" s="9" t="n">
        <f aca="false">('Prices&amp;Fuel'!U60+'Prices&amp;Fuel'!V60+'Prices&amp;Fuel'!W60)*('Prices&amp;Fuel'!L60+'Prices&amp;Fuel'!O60)*'Prices&amp;Fuel'!H60</f>
        <v>66127.59</v>
      </c>
      <c r="O60" s="9" t="n">
        <f aca="false">((B60+C60+D60)*(1-'Prices&amp;Fuel'!G60))*('Prices&amp;Fuel'!M60+'Prices&amp;Fuel'!P60)*'Prices&amp;Fuel'!H60</f>
        <v>348993.918</v>
      </c>
      <c r="P60" s="9" t="n">
        <f aca="false">((B60+C60+D60+E60+F60+G60)/(1-'Prices&amp;Fuel'!F60))*(1-'Prices&amp;Fuel'!F60)*'Prices&amp;Fuel'!H60*0.005</f>
        <v>3239.07455012853</v>
      </c>
      <c r="Q60" s="9" t="n">
        <f aca="false">((D60+C60+B60+E60+F60+G60)*K60*'Prices&amp;Fuel'!H60)+M60+N60+O60+P60</f>
        <v>3204235.05049357</v>
      </c>
      <c r="R60" s="5" t="n">
        <f aca="false">L60-Q60</f>
        <v>24424.0934652952</v>
      </c>
      <c r="S60" s="12" t="n">
        <f aca="false">R60/(B60+C60+D60+E60+F60+G60)/'Prices&amp;Fuel'!H60</f>
        <v>0.037702271261904</v>
      </c>
      <c r="T60" s="1" t="n">
        <f aca="false">T59</f>
        <v>21000</v>
      </c>
    </row>
    <row r="61" customFormat="false" ht="11.25" hidden="false" customHeight="false" outlineLevel="0" collapsed="false">
      <c r="A61" s="6" t="n">
        <f aca="false">+A60+365/12</f>
        <v>37452.3333333333</v>
      </c>
      <c r="B61" s="5" t="n">
        <f aca="false">IF(T61-((E61+F61+G61)*(1-'Prices&amp;Fuel'!F61))&lt;'Prices&amp;Fuel'!R61,(T61-(E61+F61+G61)*(1-'Prices&amp;Fuel'!F61)),'Prices&amp;Fuel'!R61)/(1-'Prices&amp;Fuel'!F61)</f>
        <v>8976.86375321337</v>
      </c>
      <c r="C61" s="9" t="n">
        <f aca="false">(T61/(1-'Prices&amp;Fuel'!F61))-D61-E61-F61-G61-B61</f>
        <v>1.38243194669485E-010</v>
      </c>
      <c r="D61" s="9" t="n">
        <f aca="false">ROUND(IF(T61/(1-'Prices&amp;Fuel'!F61)-E61-F61-G61-B61&gt;'Prices&amp;Fuel'!T61,'Prices&amp;Fuel'!T61,T61/(1-'Prices&amp;Fuel'!F61)-E61-F61-G61-B61),9)</f>
        <v>6556.298200514</v>
      </c>
      <c r="E61" s="9" t="n">
        <f aca="false">'Prices&amp;Fuel'!U61/(1-'Prices&amp;Fuel'!F61)</f>
        <v>1933.16195372751</v>
      </c>
      <c r="F61" s="9" t="n">
        <f aca="false">('Prices&amp;Fuel'!V61+'Prices&amp;Fuel'!X61)/(1-'Prices&amp;Fuel'!F61)</f>
        <v>3062.21079691517</v>
      </c>
      <c r="G61" s="9" t="n">
        <f aca="false">'Prices&amp;Fuel'!W61/(1-'Prices&amp;Fuel'!F61)</f>
        <v>1065.29562982005</v>
      </c>
      <c r="H61" s="10" t="n">
        <f aca="false">('Prices&amp;Fuel'!C61+'Prices&amp;Fuel'!D61)/2-0.05+(('Prices&amp;Fuel'!M61+'Prices&amp;Fuel'!P61)*(1-'Prices&amp;Fuel'!F61))</f>
        <v>4.97392225</v>
      </c>
      <c r="I61" s="9" t="n">
        <f aca="false">IF(FPL!L61=80000,0,B61)</f>
        <v>0</v>
      </c>
      <c r="J61" s="9"/>
      <c r="K61" s="10" t="n">
        <f aca="false">(((B61+E61)*('Prices&amp;Fuel'!B61+0.025))+(('Prices&amp;Fuel'!D61+0.025)*(D61+G61))+(('Prices&amp;Fuel'!C61+0.025)*(C61+F61))-(I61+J61)*0.025)/(B61+C61+D61+E61+F61+G61)</f>
        <v>4.2770380952381</v>
      </c>
      <c r="L61" s="9" t="n">
        <f aca="false">(B61+C61+D61+E61+F61+G61)*H61*'Prices&amp;Fuel'!H61</f>
        <v>3329587.02802057</v>
      </c>
      <c r="M61" s="9" t="n">
        <f aca="false">'Prices&amp;Fuel'!X61*('Prices&amp;Fuel'!N61+'Prices&amp;Fuel'!O61)*'Prices&amp;Fuel'!H61</f>
        <v>8956.179</v>
      </c>
      <c r="N61" s="9" t="n">
        <f aca="false">('Prices&amp;Fuel'!U61+'Prices&amp;Fuel'!V61+'Prices&amp;Fuel'!W61)*('Prices&amp;Fuel'!L61+'Prices&amp;Fuel'!O61)*'Prices&amp;Fuel'!H61</f>
        <v>68331.843</v>
      </c>
      <c r="O61" s="9" t="n">
        <f aca="false">((B61+C61+D61)*(1-'Prices&amp;Fuel'!G61))*('Prices&amp;Fuel'!M61+'Prices&amp;Fuel'!P61)*'Prices&amp;Fuel'!H61</f>
        <v>360627.0486</v>
      </c>
      <c r="P61" s="9" t="n">
        <f aca="false">((B61+C61+D61+E61+F61+G61)/(1-'Prices&amp;Fuel'!F61))*(1-'Prices&amp;Fuel'!F61)*'Prices&amp;Fuel'!H61*0.005</f>
        <v>3347.04370179949</v>
      </c>
      <c r="Q61" s="9" t="n">
        <f aca="false">((D61+C61+B61+E61+F61+G61)*K61*'Prices&amp;Fuel'!H61)+M61+N61+O61+P61</f>
        <v>3304348.79810643</v>
      </c>
      <c r="R61" s="5" t="n">
        <f aca="false">L61-Q61</f>
        <v>25238.2299141386</v>
      </c>
      <c r="S61" s="12" t="n">
        <f aca="false">R61/(B61+C61+D61+E61+F61+G61)/'Prices&amp;Fuel'!H61</f>
        <v>0.0377022712619044</v>
      </c>
      <c r="T61" s="1" t="n">
        <f aca="false">T60</f>
        <v>21000</v>
      </c>
    </row>
    <row r="62" customFormat="false" ht="11.25" hidden="false" customHeight="false" outlineLevel="0" collapsed="false">
      <c r="A62" s="6" t="n">
        <f aca="false">+A61+365/12</f>
        <v>37482.75</v>
      </c>
      <c r="B62" s="5" t="n">
        <f aca="false">IF(T62-((E62+F62+G62)*(1-'Prices&amp;Fuel'!F62))&lt;'Prices&amp;Fuel'!R62,(T62-(E62+F62+G62)*(1-'Prices&amp;Fuel'!F62)),'Prices&amp;Fuel'!R62)/(1-'Prices&amp;Fuel'!F62)</f>
        <v>8976.86375321337</v>
      </c>
      <c r="C62" s="9" t="n">
        <f aca="false">(T62/(1-'Prices&amp;Fuel'!F62))-D62-E62-F62-G62-B62</f>
        <v>1.38243194669485E-010</v>
      </c>
      <c r="D62" s="9" t="n">
        <f aca="false">ROUND(IF(T62/(1-'Prices&amp;Fuel'!F62)-E62-F62-G62-B62&gt;'Prices&amp;Fuel'!T62,'Prices&amp;Fuel'!T62,T62/(1-'Prices&amp;Fuel'!F62)-E62-F62-G62-B62),9)</f>
        <v>6556.298200514</v>
      </c>
      <c r="E62" s="9" t="n">
        <f aca="false">'Prices&amp;Fuel'!U62/(1-'Prices&amp;Fuel'!F62)</f>
        <v>1933.16195372751</v>
      </c>
      <c r="F62" s="9" t="n">
        <f aca="false">('Prices&amp;Fuel'!V62+'Prices&amp;Fuel'!X62)/(1-'Prices&amp;Fuel'!F62)</f>
        <v>3062.21079691517</v>
      </c>
      <c r="G62" s="9" t="n">
        <f aca="false">'Prices&amp;Fuel'!W62/(1-'Prices&amp;Fuel'!F62)</f>
        <v>1065.29562982005</v>
      </c>
      <c r="H62" s="10" t="n">
        <f aca="false">('Prices&amp;Fuel'!C62+'Prices&amp;Fuel'!D62)/2-0.05+(('Prices&amp;Fuel'!M62+'Prices&amp;Fuel'!P62)*(1-'Prices&amp;Fuel'!F62))</f>
        <v>4.43392225</v>
      </c>
      <c r="I62" s="9" t="n">
        <f aca="false">IF(FPL!L62=80000,0,B62)</f>
        <v>0</v>
      </c>
      <c r="J62" s="9"/>
      <c r="K62" s="10" t="n">
        <f aca="false">(((B62+E62)*('Prices&amp;Fuel'!B62+0.025))+(('Prices&amp;Fuel'!D62+0.025)*(D62+G62))+(('Prices&amp;Fuel'!C62+0.025)*(C62+F62))-(I62+J62)*0.025)/(B62+C62+D62+E62+F62+G62)</f>
        <v>3.7370380952381</v>
      </c>
      <c r="L62" s="9" t="n">
        <f aca="false">(B62+C62+D62+E62+F62+G62)*H62*'Prices&amp;Fuel'!H62</f>
        <v>2968106.30822622</v>
      </c>
      <c r="M62" s="9" t="n">
        <f aca="false">'Prices&amp;Fuel'!X62*('Prices&amp;Fuel'!N62+'Prices&amp;Fuel'!O62)*'Prices&amp;Fuel'!H62</f>
        <v>8956.179</v>
      </c>
      <c r="N62" s="9" t="n">
        <f aca="false">('Prices&amp;Fuel'!U62+'Prices&amp;Fuel'!V62+'Prices&amp;Fuel'!W62)*('Prices&amp;Fuel'!L62+'Prices&amp;Fuel'!O62)*'Prices&amp;Fuel'!H62</f>
        <v>68331.843</v>
      </c>
      <c r="O62" s="9" t="n">
        <f aca="false">((B62+C62+D62)*(1-'Prices&amp;Fuel'!G62))*('Prices&amp;Fuel'!M62+'Prices&amp;Fuel'!P62)*'Prices&amp;Fuel'!H62</f>
        <v>360627.0486</v>
      </c>
      <c r="P62" s="9" t="n">
        <f aca="false">((B62+C62+D62+E62+F62+G62)/(1-'Prices&amp;Fuel'!F62))*(1-'Prices&amp;Fuel'!F62)*'Prices&amp;Fuel'!H62*0.005</f>
        <v>3347.04370179949</v>
      </c>
      <c r="Q62" s="9" t="n">
        <f aca="false">((D62+C62+B62+E62+F62+G62)*K62*'Prices&amp;Fuel'!H62)+M62+N62+O62+P62</f>
        <v>2942868.07831208</v>
      </c>
      <c r="R62" s="5" t="n">
        <f aca="false">L62-Q62</f>
        <v>25238.2299141386</v>
      </c>
      <c r="S62" s="12" t="n">
        <f aca="false">R62/(B62+C62+D62+E62+F62+G62)/'Prices&amp;Fuel'!H62</f>
        <v>0.0377022712619044</v>
      </c>
      <c r="T62" s="1" t="n">
        <f aca="false">T61</f>
        <v>21000</v>
      </c>
    </row>
    <row r="63" customFormat="false" ht="11.25" hidden="false" customHeight="false" outlineLevel="0" collapsed="false">
      <c r="A63" s="6" t="n">
        <f aca="false">+A62+365/12</f>
        <v>37513.1666666667</v>
      </c>
      <c r="B63" s="5" t="n">
        <f aca="false">IF(T63-((E63+F63+G63)*(1-'Prices&amp;Fuel'!F63))&lt;'Prices&amp;Fuel'!R63,(T63-(E63+F63+G63)*(1-'Prices&amp;Fuel'!F63)),'Prices&amp;Fuel'!R63)/(1-'Prices&amp;Fuel'!F63)</f>
        <v>8976.86375321337</v>
      </c>
      <c r="C63" s="9" t="n">
        <f aca="false">(T63/(1-'Prices&amp;Fuel'!F63))-D63-E63-F63-G63-B63</f>
        <v>1.38243194669485E-010</v>
      </c>
      <c r="D63" s="9" t="n">
        <f aca="false">ROUND(IF(T63/(1-'Prices&amp;Fuel'!F63)-E63-F63-G63-B63&gt;'Prices&amp;Fuel'!T63,'Prices&amp;Fuel'!T63,T63/(1-'Prices&amp;Fuel'!F63)-E63-F63-G63-B63),9)</f>
        <v>6556.298200514</v>
      </c>
      <c r="E63" s="9" t="n">
        <f aca="false">'Prices&amp;Fuel'!U63/(1-'Prices&amp;Fuel'!F63)</f>
        <v>1933.16195372751</v>
      </c>
      <c r="F63" s="9" t="n">
        <f aca="false">('Prices&amp;Fuel'!V63+'Prices&amp;Fuel'!X63)/(1-'Prices&amp;Fuel'!F63)</f>
        <v>3062.21079691517</v>
      </c>
      <c r="G63" s="9" t="n">
        <f aca="false">'Prices&amp;Fuel'!W63/(1-'Prices&amp;Fuel'!F63)</f>
        <v>1065.29562982005</v>
      </c>
      <c r="H63" s="10" t="n">
        <f aca="false">('Prices&amp;Fuel'!C63+'Prices&amp;Fuel'!D63)/2-0.05+(('Prices&amp;Fuel'!M63+'Prices&amp;Fuel'!P63)*(1-'Prices&amp;Fuel'!F63))</f>
        <v>5.20392225</v>
      </c>
      <c r="I63" s="9" t="n">
        <f aca="false">IF(FPL!L63=80000,0,B63)</f>
        <v>0</v>
      </c>
      <c r="J63" s="9"/>
      <c r="K63" s="10" t="n">
        <f aca="false">(((B63+E63)*('Prices&amp;Fuel'!B63+0.025))+(('Prices&amp;Fuel'!D63+0.025)*(D63+G63))+(('Prices&amp;Fuel'!C63+0.025)*(C63+F63))-(I63+J63)*0.025)/(B63+C63+D63+E63+F63+G63)</f>
        <v>4.5070380952381</v>
      </c>
      <c r="L63" s="9" t="n">
        <f aca="false">(B63+C63+D63+E63+F63+G63)*H63*'Prices&amp;Fuel'!H63</f>
        <v>3371178.42416452</v>
      </c>
      <c r="M63" s="9" t="n">
        <f aca="false">'Prices&amp;Fuel'!X63*('Prices&amp;Fuel'!N63+'Prices&amp;Fuel'!O63)*'Prices&amp;Fuel'!H63</f>
        <v>8667.27</v>
      </c>
      <c r="N63" s="9" t="n">
        <f aca="false">('Prices&amp;Fuel'!U63+'Prices&amp;Fuel'!V63+'Prices&amp;Fuel'!W63)*('Prices&amp;Fuel'!L63+'Prices&amp;Fuel'!O63)*'Prices&amp;Fuel'!H63</f>
        <v>66127.59</v>
      </c>
      <c r="O63" s="9" t="n">
        <f aca="false">((B63+C63+D63)*(1-'Prices&amp;Fuel'!G63))*('Prices&amp;Fuel'!M63+'Prices&amp;Fuel'!P63)*'Prices&amp;Fuel'!H63</f>
        <v>348993.918</v>
      </c>
      <c r="P63" s="9" t="n">
        <f aca="false">((B63+C63+D63+E63+F63+G63)/(1-'Prices&amp;Fuel'!F63))*(1-'Prices&amp;Fuel'!F63)*'Prices&amp;Fuel'!H63*0.005</f>
        <v>3239.07455012853</v>
      </c>
      <c r="Q63" s="9" t="n">
        <f aca="false">((D63+C63+B63+E63+F63+G63)*K63*'Prices&amp;Fuel'!H63)+M63+N63+O63+P63</f>
        <v>3346754.33069923</v>
      </c>
      <c r="R63" s="5" t="n">
        <f aca="false">L63-Q63</f>
        <v>24424.0934652956</v>
      </c>
      <c r="S63" s="12" t="n">
        <f aca="false">R63/(B63+C63+D63+E63+F63+G63)/'Prices&amp;Fuel'!H63</f>
        <v>0.0377022712619048</v>
      </c>
      <c r="T63" s="1" t="n">
        <f aca="false">T62</f>
        <v>21000</v>
      </c>
    </row>
    <row r="64" customFormat="false" ht="11.25" hidden="false" customHeight="false" outlineLevel="0" collapsed="false">
      <c r="A64" s="6" t="n">
        <f aca="false">+A63+365/12</f>
        <v>37543.5833333333</v>
      </c>
      <c r="B64" s="5" t="n">
        <f aca="false">IF(T64-((E64+F64+G64)*(1-'Prices&amp;Fuel'!F64))&lt;'Prices&amp;Fuel'!R64,(T64-(E64+F64+G64)*(1-'Prices&amp;Fuel'!F64)),'Prices&amp;Fuel'!R64)/(1-'Prices&amp;Fuel'!F64)</f>
        <v>8976.86375321337</v>
      </c>
      <c r="C64" s="9" t="n">
        <f aca="false">(T64/(1-'Prices&amp;Fuel'!F64))-D64-E64-F64-G64-B64</f>
        <v>2.0190782379359E-010</v>
      </c>
      <c r="D64" s="9" t="n">
        <f aca="false">ROUND(IF(T64/(1-'Prices&amp;Fuel'!F64)-E64-F64-G64-B64&gt;'Prices&amp;Fuel'!T64,'Prices&amp;Fuel'!T64,T64/(1-'Prices&amp;Fuel'!F64)-E64-F64-G64-B64),9)</f>
        <v>3514.652956298</v>
      </c>
      <c r="E64" s="9" t="n">
        <f aca="false">'Prices&amp;Fuel'!U64/(1-'Prices&amp;Fuel'!F64)</f>
        <v>2910.02570694087</v>
      </c>
      <c r="F64" s="9" t="n">
        <f aca="false">('Prices&amp;Fuel'!V64+'Prices&amp;Fuel'!X64)/(1-'Prices&amp;Fuel'!F64)</f>
        <v>4628.27763496144</v>
      </c>
      <c r="G64" s="9" t="n">
        <f aca="false">'Prices&amp;Fuel'!W64/(1-'Prices&amp;Fuel'!F64)</f>
        <v>1564.01028277635</v>
      </c>
      <c r="H64" s="10" t="n">
        <f aca="false">('Prices&amp;Fuel'!C64+'Prices&amp;Fuel'!D64)/2-0.05+(('Prices&amp;Fuel'!M64+'Prices&amp;Fuel'!P64)*(1-'Prices&amp;Fuel'!F64))</f>
        <v>5.88392225</v>
      </c>
      <c r="I64" s="9" t="n">
        <f aca="false">IF(FPL!L64=80000,0,B64)</f>
        <v>8976.86375321337</v>
      </c>
      <c r="J64" s="9"/>
      <c r="K64" s="10" t="n">
        <f aca="false">(((B64+E64)*('Prices&amp;Fuel'!B64+0.025))+(('Prices&amp;Fuel'!D64+0.025)*(D64+G64))+(('Prices&amp;Fuel'!C64+0.025)*(C64+F64))-(I64+J64)*0.025)/(B64+C64+D64+E64+F64+G64)</f>
        <v>5.17981904761905</v>
      </c>
      <c r="L64" s="9" t="n">
        <f aca="false">(B64+C64+D64+E64+F64+G64)*H64*'Prices&amp;Fuel'!H64</f>
        <v>3938748.98174807</v>
      </c>
      <c r="M64" s="9" t="n">
        <f aca="false">'Prices&amp;Fuel'!X64*('Prices&amp;Fuel'!N64+'Prices&amp;Fuel'!O64)*'Prices&amp;Fuel'!H64</f>
        <v>13126.113</v>
      </c>
      <c r="N64" s="9" t="n">
        <f aca="false">('Prices&amp;Fuel'!U64+'Prices&amp;Fuel'!V64+'Prices&amp;Fuel'!W64)*('Prices&amp;Fuel'!L64+'Prices&amp;Fuel'!O64)*'Prices&amp;Fuel'!H64</f>
        <v>102950.163</v>
      </c>
      <c r="O64" s="9" t="n">
        <f aca="false">((B64+C64+D64)*(1-'Prices&amp;Fuel'!G64))*('Prices&amp;Fuel'!M64+'Prices&amp;Fuel'!P64)*'Prices&amp;Fuel'!H64</f>
        <v>290010.4188</v>
      </c>
      <c r="P64" s="9" t="n">
        <f aca="false">((B64+C64+D64+E64+F64+G64)/(1-'Prices&amp;Fuel'!F64))*(1-'Prices&amp;Fuel'!F64)*'Prices&amp;Fuel'!H64*0.005</f>
        <v>3347.04370179949</v>
      </c>
      <c r="Q64" s="9" t="n">
        <f aca="false">((D64+C64+B64+E64+F64+G64)*K64*'Prices&amp;Fuel'!H64)+M64+N64+O64+P64</f>
        <v>3876849.88246067</v>
      </c>
      <c r="R64" s="5" t="n">
        <f aca="false">L64-Q64</f>
        <v>61899.0992874024</v>
      </c>
      <c r="S64" s="12" t="n">
        <f aca="false">R64/(B64+C64+D64+E64+F64+G64)/'Prices&amp;Fuel'!H64</f>
        <v>0.0924683165238077</v>
      </c>
      <c r="T64" s="1" t="n">
        <f aca="false">T63</f>
        <v>21000</v>
      </c>
    </row>
    <row r="65" customFormat="false" ht="11.25" hidden="false" customHeight="false" outlineLevel="0" collapsed="false">
      <c r="A65" s="6" t="n">
        <f aca="false">+A64+365/12</f>
        <v>37574</v>
      </c>
      <c r="B65" s="5" t="n">
        <f aca="false">IF(T65-((E65+F65+G65)*(1-'Prices&amp;Fuel'!F65))&lt;'Prices&amp;Fuel'!R65,(T65-(E65+F65+G65)*(1-'Prices&amp;Fuel'!F65)),'Prices&amp;Fuel'!R65)/(1-'Prices&amp;Fuel'!F65)</f>
        <v>4325.96401028278</v>
      </c>
      <c r="C65" s="9" t="n">
        <f aca="false">(T65/(1-'Prices&amp;Fuel'!F65))-D65-E65-F65-G65-B65</f>
        <v>0</v>
      </c>
      <c r="D65" s="9" t="n">
        <f aca="false">ROUND(IF(T65/(1-'Prices&amp;Fuel'!F65)-E65-F65-G65-B65&gt;'Prices&amp;Fuel'!T65,'Prices&amp;Fuel'!T65,T65/(1-'Prices&amp;Fuel'!F65)-E65-F65-G65-B65),9)</f>
        <v>0</v>
      </c>
      <c r="E65" s="9" t="n">
        <f aca="false">'Prices&amp;Fuel'!U65/(1-'Prices&amp;Fuel'!F65)</f>
        <v>2635.47557840617</v>
      </c>
      <c r="F65" s="9" t="n">
        <f aca="false">('Prices&amp;Fuel'!V65+'Prices&amp;Fuel'!X65)/(1-'Prices&amp;Fuel'!F65)</f>
        <v>3645.2442159383</v>
      </c>
      <c r="G65" s="9" t="n">
        <f aca="false">'Prices&amp;Fuel'!W65/(1-'Prices&amp;Fuel'!F65)</f>
        <v>1732.64781491003</v>
      </c>
      <c r="H65" s="10" t="n">
        <f aca="false">('Prices&amp;Fuel'!C65+'Prices&amp;Fuel'!D65)/2-0.05+(('Prices&amp;Fuel'!M65+'Prices&amp;Fuel'!P65)*(1-'Prices&amp;Fuel'!F65))</f>
        <v>4.15392225</v>
      </c>
      <c r="I65" s="9" t="n">
        <f aca="false">IF(FPL!L65=80000,0,B65)</f>
        <v>4325.96401028278</v>
      </c>
      <c r="J65" s="9"/>
      <c r="K65" s="10" t="n">
        <f aca="false">(((B65+E65)*('Prices&amp;Fuel'!B65+0.025))+(('Prices&amp;Fuel'!D65+0.025)*(D65+G65))+(('Prices&amp;Fuel'!C65+0.025)*(C65+F65))-(I65+J65)*0.025)/(B65+C65+D65+E65+F65+G65)</f>
        <v>3.45536458333333</v>
      </c>
      <c r="L65" s="9" t="n">
        <f aca="false">(B65+C65+D65+E65+F65+G65)*H65*'Prices&amp;Fuel'!H65</f>
        <v>1537698.72493573</v>
      </c>
      <c r="M65" s="9" t="n">
        <f aca="false">'Prices&amp;Fuel'!X65*('Prices&amp;Fuel'!N65+'Prices&amp;Fuel'!O65)*'Prices&amp;Fuel'!H65</f>
        <v>8667.27</v>
      </c>
      <c r="N65" s="9" t="n">
        <f aca="false">('Prices&amp;Fuel'!U65+'Prices&amp;Fuel'!V65+'Prices&amp;Fuel'!W65)*('Prices&amp;Fuel'!L65+'Prices&amp;Fuel'!O65)*'Prices&amp;Fuel'!H65</f>
        <v>90225.9</v>
      </c>
      <c r="O65" s="9" t="n">
        <f aca="false">((B65+C65+D65)*(1-'Prices&amp;Fuel'!G65))*('Prices&amp;Fuel'!M65+'Prices&amp;Fuel'!P65)*'Prices&amp;Fuel'!H65</f>
        <v>97194.321</v>
      </c>
      <c r="P65" s="9" t="n">
        <f aca="false">((B65+C65+D65+E65+F65+G65)/(1-'Prices&amp;Fuel'!F65))*(1-'Prices&amp;Fuel'!F65)*'Prices&amp;Fuel'!H65*0.005</f>
        <v>1850.89974293059</v>
      </c>
      <c r="Q65" s="9" t="n">
        <f aca="false">((D65+C65+B65+E65+F65+G65)*K65*'Prices&amp;Fuel'!H65)+M65+N65+O65+P65</f>
        <v>1477045.07454756</v>
      </c>
      <c r="R65" s="5" t="n">
        <f aca="false">L65-Q65</f>
        <v>60653.6503881749</v>
      </c>
      <c r="S65" s="12" t="n">
        <f aca="false">R65/(B65+C65+D65+E65+F65+G65)/'Prices&amp;Fuel'!H65</f>
        <v>0.163849097229167</v>
      </c>
      <c r="T65" s="1" t="n">
        <v>12000</v>
      </c>
    </row>
    <row r="66" customFormat="false" ht="11.25" hidden="false" customHeight="false" outlineLevel="0" collapsed="false">
      <c r="A66" s="6" t="n">
        <f aca="false">+A65+365/12</f>
        <v>37604.4166666667</v>
      </c>
      <c r="B66" s="5" t="n">
        <f aca="false">IF(T66-((E66+F66+G66)*(1-'Prices&amp;Fuel'!F66))&lt;'Prices&amp;Fuel'!R66,(T66-(E66+F66+G66)*(1-'Prices&amp;Fuel'!F66)),'Prices&amp;Fuel'!R66)/(1-'Prices&amp;Fuel'!F66)</f>
        <v>4325.96401028278</v>
      </c>
      <c r="C66" s="9" t="n">
        <f aca="false">(T66/(1-'Prices&amp;Fuel'!F66))-D66-E66-F66-G66-B66</f>
        <v>0</v>
      </c>
      <c r="D66" s="9" t="n">
        <f aca="false">ROUND(IF(T66/(1-'Prices&amp;Fuel'!F66)-E66-F66-G66-B66&gt;'Prices&amp;Fuel'!T66,'Prices&amp;Fuel'!T66,T66/(1-'Prices&amp;Fuel'!F66)-E66-F66-G66-B66),9)</f>
        <v>0</v>
      </c>
      <c r="E66" s="9" t="n">
        <f aca="false">'Prices&amp;Fuel'!U66/(1-'Prices&amp;Fuel'!F66)</f>
        <v>2635.47557840617</v>
      </c>
      <c r="F66" s="9" t="n">
        <f aca="false">('Prices&amp;Fuel'!V66+'Prices&amp;Fuel'!X66)/(1-'Prices&amp;Fuel'!F66)</f>
        <v>3645.2442159383</v>
      </c>
      <c r="G66" s="9" t="n">
        <f aca="false">'Prices&amp;Fuel'!W66/(1-'Prices&amp;Fuel'!F66)</f>
        <v>1732.64781491003</v>
      </c>
      <c r="H66" s="10" t="n">
        <f aca="false">('Prices&amp;Fuel'!C66+'Prices&amp;Fuel'!D66)/2-0.05+(('Prices&amp;Fuel'!M66+'Prices&amp;Fuel'!P66)*(1-'Prices&amp;Fuel'!F66))</f>
        <v>3.27392225</v>
      </c>
      <c r="I66" s="9" t="n">
        <f aca="false">IF(FPL!L66=80000,0,B66)</f>
        <v>4325.96401028278</v>
      </c>
      <c r="J66" s="9"/>
      <c r="K66" s="10" t="n">
        <f aca="false">(((B66+E66)*('Prices&amp;Fuel'!B66+0.025))+(('Prices&amp;Fuel'!D66+0.025)*(D66+G66))+(('Prices&amp;Fuel'!C66+0.025)*(C66+F66))-(I66+J66)*0.025)/(B66+C66+D66+E66+F66+G66)</f>
        <v>2.57536458333333</v>
      </c>
      <c r="L66" s="9" t="n">
        <f aca="false">(B66+C66+D66+E66+F66+G66)*H66*'Prices&amp;Fuel'!H66</f>
        <v>1252338.38251928</v>
      </c>
      <c r="M66" s="9" t="n">
        <f aca="false">'Prices&amp;Fuel'!X66*('Prices&amp;Fuel'!N66+'Prices&amp;Fuel'!O66)*'Prices&amp;Fuel'!H66</f>
        <v>8956.179</v>
      </c>
      <c r="N66" s="9" t="n">
        <f aca="false">('Prices&amp;Fuel'!U66+'Prices&amp;Fuel'!V66+'Prices&amp;Fuel'!W66)*('Prices&amp;Fuel'!L66+'Prices&amp;Fuel'!O66)*'Prices&amp;Fuel'!H66</f>
        <v>93233.43</v>
      </c>
      <c r="O66" s="9" t="n">
        <f aca="false">((B66+C66+D66)*(1-'Prices&amp;Fuel'!G66))*('Prices&amp;Fuel'!M66+'Prices&amp;Fuel'!P66)*'Prices&amp;Fuel'!H66</f>
        <v>100434.1317</v>
      </c>
      <c r="P66" s="9" t="n">
        <f aca="false">((B66+C66+D66+E66+F66+G66)/(1-'Prices&amp;Fuel'!F66))*(1-'Prices&amp;Fuel'!F66)*'Prices&amp;Fuel'!H66*0.005</f>
        <v>1912.59640102828</v>
      </c>
      <c r="Q66" s="9" t="n">
        <f aca="false">((D66+C66+B66+E66+F66+G66)*K66*'Prices&amp;Fuel'!H66)+M66+N66+O66+P66</f>
        <v>1189662.94378483</v>
      </c>
      <c r="R66" s="5" t="n">
        <f aca="false">L66-Q66</f>
        <v>62675.4387344471</v>
      </c>
      <c r="S66" s="12" t="n">
        <f aca="false">R66/(B66+C66+D66+E66+F66+G66)/'Prices&amp;Fuel'!H66</f>
        <v>0.163849097229166</v>
      </c>
      <c r="T66" s="1" t="n">
        <f aca="false">T65</f>
        <v>12000</v>
      </c>
    </row>
    <row r="67" customFormat="false" ht="11.25" hidden="false" customHeight="false" outlineLevel="0" collapsed="false">
      <c r="A67" s="6" t="n">
        <f aca="false">+A66+365/12</f>
        <v>37634.8333333333</v>
      </c>
      <c r="B67" s="5" t="n">
        <f aca="false">IF(T67-((E67+F67+G67)*(1-'Prices&amp;Fuel'!F67))&lt;'Prices&amp;Fuel'!R67,(T67-(E67+F67+G67)*(1-'Prices&amp;Fuel'!F67)),'Prices&amp;Fuel'!R67)/(1-'Prices&amp;Fuel'!F67)</f>
        <v>4325.96401028278</v>
      </c>
      <c r="C67" s="9" t="n">
        <f aca="false">(T67/(1-'Prices&amp;Fuel'!F67))-D67-E67-F67-G67-B67</f>
        <v>0</v>
      </c>
      <c r="D67" s="9" t="n">
        <f aca="false">ROUND(IF(T67/(1-'Prices&amp;Fuel'!F67)-E67-F67-G67-B67&gt;'Prices&amp;Fuel'!T67,'Prices&amp;Fuel'!T67,T67/(1-'Prices&amp;Fuel'!F67)-E67-F67-G67-B67),9)</f>
        <v>0</v>
      </c>
      <c r="E67" s="9" t="n">
        <f aca="false">'Prices&amp;Fuel'!U67/(1-'Prices&amp;Fuel'!F67)</f>
        <v>2635.47557840617</v>
      </c>
      <c r="F67" s="9" t="n">
        <f aca="false">('Prices&amp;Fuel'!V67+'Prices&amp;Fuel'!X67)/(1-'Prices&amp;Fuel'!F67)</f>
        <v>3645.2442159383</v>
      </c>
      <c r="G67" s="9" t="n">
        <f aca="false">'Prices&amp;Fuel'!W67/(1-'Prices&amp;Fuel'!F67)</f>
        <v>1732.64781491003</v>
      </c>
      <c r="H67" s="10" t="n">
        <f aca="false">('Prices&amp;Fuel'!C67+'Prices&amp;Fuel'!D67)/2-0.05+(('Prices&amp;Fuel'!M67+'Prices&amp;Fuel'!P67)*(1-'Prices&amp;Fuel'!F67))</f>
        <v>2.96662225</v>
      </c>
      <c r="I67" s="9" t="n">
        <f aca="false">IF(FPL!L67=80000,0,B67)</f>
        <v>4325.96401028278</v>
      </c>
      <c r="J67" s="9"/>
      <c r="K67" s="10" t="n">
        <f aca="false">(((B67+E67)*('Prices&amp;Fuel'!B67+0.025))+(('Prices&amp;Fuel'!D67+0.025)*(D67+G67))+(('Prices&amp;Fuel'!C67+0.025)*(C67+F67))-(I67+J67)*0.025)/(B67+C67+D67+E67+F67+G67)</f>
        <v>2.26806458333333</v>
      </c>
      <c r="L67" s="9" t="n">
        <f aca="false">(B67+C67+D67+E67+F67+G67)*H67*'Prices&amp;Fuel'!H67</f>
        <v>1134790.20771208</v>
      </c>
      <c r="M67" s="9" t="n">
        <f aca="false">'Prices&amp;Fuel'!X67*('Prices&amp;Fuel'!N67+'Prices&amp;Fuel'!O67)*'Prices&amp;Fuel'!H67</f>
        <v>8908.41393487597</v>
      </c>
      <c r="N67" s="9" t="n">
        <f aca="false">('Prices&amp;Fuel'!U67+'Prices&amp;Fuel'!V67+'Prices&amp;Fuel'!W67)*('Prices&amp;Fuel'!L67+'Prices&amp;Fuel'!O67)*'Prices&amp;Fuel'!H67</f>
        <v>92736.1977700852</v>
      </c>
      <c r="O67" s="9" t="n">
        <f aca="false">((B67+C67+D67)*(1-'Prices&amp;Fuel'!G67))*('Prices&amp;Fuel'!M67+'Prices&amp;Fuel'!P67)*'Prices&amp;Fuel'!H67</f>
        <v>100434.1317</v>
      </c>
      <c r="P67" s="9" t="n">
        <f aca="false">((B67+C67+D67+E67+F67+G67)/(1-'Prices&amp;Fuel'!F67))*(1-'Prices&amp;Fuel'!F67)*'Prices&amp;Fuel'!H67*0.005</f>
        <v>1912.59640102828</v>
      </c>
      <c r="Q67" s="9" t="n">
        <f aca="false">((D67+C67+B67+E67+F67+G67)*K67*'Prices&amp;Fuel'!H67)+M67+N67+O67+P67</f>
        <v>1071569.7716826</v>
      </c>
      <c r="R67" s="5" t="n">
        <f aca="false">L67-Q67</f>
        <v>63220.4360294864</v>
      </c>
      <c r="S67" s="12" t="n">
        <f aca="false">R67/(B67+C67+D67+E67+F67+G67)/'Prices&amp;Fuel'!H67</f>
        <v>0.165273854942676</v>
      </c>
      <c r="T67" s="1" t="n">
        <f aca="false">T66</f>
        <v>12000</v>
      </c>
    </row>
    <row r="68" customFormat="false" ht="11.25" hidden="false" customHeight="false" outlineLevel="0" collapsed="false">
      <c r="A68" s="6" t="n">
        <f aca="false">+A67+365/12</f>
        <v>37665.25</v>
      </c>
      <c r="B68" s="5" t="n">
        <f aca="false">IF(T68-((E68+F68+G68)*(1-'Prices&amp;Fuel'!F68))&lt;'Prices&amp;Fuel'!R68,(T68-(E68+F68+G68)*(1-'Prices&amp;Fuel'!F68)),'Prices&amp;Fuel'!R68)/(1-'Prices&amp;Fuel'!F68)</f>
        <v>4325.96401028278</v>
      </c>
      <c r="C68" s="9" t="n">
        <f aca="false">(T68/(1-'Prices&amp;Fuel'!F68))-D68-E68-F68-G68-B68</f>
        <v>0</v>
      </c>
      <c r="D68" s="9" t="n">
        <f aca="false">ROUND(IF(T68/(1-'Prices&amp;Fuel'!F68)-E68-F68-G68-B68&gt;'Prices&amp;Fuel'!T68,'Prices&amp;Fuel'!T68,T68/(1-'Prices&amp;Fuel'!F68)-E68-F68-G68-B68),9)</f>
        <v>0</v>
      </c>
      <c r="E68" s="9" t="n">
        <f aca="false">'Prices&amp;Fuel'!U68/(1-'Prices&amp;Fuel'!F68)</f>
        <v>2635.47557840617</v>
      </c>
      <c r="F68" s="9" t="n">
        <f aca="false">('Prices&amp;Fuel'!V68+'Prices&amp;Fuel'!X68)/(1-'Prices&amp;Fuel'!F68)</f>
        <v>3645.2442159383</v>
      </c>
      <c r="G68" s="9" t="n">
        <f aca="false">'Prices&amp;Fuel'!W68/(1-'Prices&amp;Fuel'!F68)</f>
        <v>1732.64781491003</v>
      </c>
      <c r="H68" s="10" t="n">
        <f aca="false">('Prices&amp;Fuel'!C68+'Prices&amp;Fuel'!D68)/2-0.05+(('Prices&amp;Fuel'!M68+'Prices&amp;Fuel'!P68)*(1-'Prices&amp;Fuel'!F68))</f>
        <v>3.23932225</v>
      </c>
      <c r="I68" s="9" t="n">
        <f aca="false">IF(FPL!L68=80000,0,B68)</f>
        <v>4325.96401028278</v>
      </c>
      <c r="J68" s="9"/>
      <c r="K68" s="10" t="n">
        <f aca="false">(((B68+E68)*('Prices&amp;Fuel'!B68+0.025))+(('Prices&amp;Fuel'!D68+0.025)*(D68+G68))+(('Prices&amp;Fuel'!C68+0.025)*(C68+F68))-(I68+J68)*0.025)/(B68+C68+D68+E68+F68+G68)</f>
        <v>2.54076458333333</v>
      </c>
      <c r="L68" s="9" t="n">
        <f aca="false">(B68+C68+D68+E68+F68+G68)*H68*'Prices&amp;Fuel'!H68</f>
        <v>1119190.00102828</v>
      </c>
      <c r="M68" s="9" t="n">
        <f aca="false">'Prices&amp;Fuel'!X68*('Prices&amp;Fuel'!N68+'Prices&amp;Fuel'!O68)*'Prices&amp;Fuel'!H68</f>
        <v>8046.30936053314</v>
      </c>
      <c r="N68" s="9" t="n">
        <f aca="false">('Prices&amp;Fuel'!U68+'Prices&amp;Fuel'!V68+'Prices&amp;Fuel'!W68)*('Prices&amp;Fuel'!L68+'Prices&amp;Fuel'!O68)*'Prices&amp;Fuel'!H68</f>
        <v>83761.7270181414</v>
      </c>
      <c r="O68" s="9" t="n">
        <f aca="false">((B68+C68+D68)*(1-'Prices&amp;Fuel'!G68))*('Prices&amp;Fuel'!M68+'Prices&amp;Fuel'!P68)*'Prices&amp;Fuel'!H68</f>
        <v>90714.6996</v>
      </c>
      <c r="P68" s="9" t="n">
        <f aca="false">((B68+C68+D68+E68+F68+G68)/(1-'Prices&amp;Fuel'!F68))*(1-'Prices&amp;Fuel'!F68)*'Prices&amp;Fuel'!H68*0.005</f>
        <v>1727.50642673522</v>
      </c>
      <c r="Q68" s="9" t="n">
        <f aca="false">((D68+C68+B68+E68+F68+G68)*K68*'Prices&amp;Fuel'!H68)+M68+N68+O68+P68</f>
        <v>1062087.67171132</v>
      </c>
      <c r="R68" s="5" t="n">
        <f aca="false">L68-Q68</f>
        <v>57102.3293169555</v>
      </c>
      <c r="S68" s="12" t="n">
        <f aca="false">R68/(B68+C68+D68+E68+F68+G68)/'Prices&amp;Fuel'!H68</f>
        <v>0.165273854942676</v>
      </c>
      <c r="T68" s="1" t="n">
        <f aca="false">T67</f>
        <v>12000</v>
      </c>
    </row>
    <row r="69" customFormat="false" ht="11.25" hidden="false" customHeight="false" outlineLevel="0" collapsed="false">
      <c r="A69" s="6" t="n">
        <f aca="false">+A68+365/12</f>
        <v>37695.6666666667</v>
      </c>
      <c r="B69" s="5" t="n">
        <f aca="false">IF(T69-((E69+F69+G69)*(1-'Prices&amp;Fuel'!F69))&lt;'Prices&amp;Fuel'!R69,(T69-(E69+F69+G69)*(1-'Prices&amp;Fuel'!F69)),'Prices&amp;Fuel'!R69)/(1-'Prices&amp;Fuel'!F69)</f>
        <v>4325.96401028278</v>
      </c>
      <c r="C69" s="9" t="n">
        <f aca="false">(T69/(1-'Prices&amp;Fuel'!F69))-D69-E69-F69-G69-B69</f>
        <v>0</v>
      </c>
      <c r="D69" s="9" t="n">
        <f aca="false">ROUND(IF(T69/(1-'Prices&amp;Fuel'!F69)-E69-F69-G69-B69&gt;'Prices&amp;Fuel'!T69,'Prices&amp;Fuel'!T69,T69/(1-'Prices&amp;Fuel'!F69)-E69-F69-G69-B69),9)</f>
        <v>0</v>
      </c>
      <c r="E69" s="9" t="n">
        <f aca="false">'Prices&amp;Fuel'!U69/(1-'Prices&amp;Fuel'!F69)</f>
        <v>2635.47557840617</v>
      </c>
      <c r="F69" s="9" t="n">
        <f aca="false">('Prices&amp;Fuel'!V69+'Prices&amp;Fuel'!X69)/(1-'Prices&amp;Fuel'!F69)</f>
        <v>3645.2442159383</v>
      </c>
      <c r="G69" s="9" t="n">
        <f aca="false">'Prices&amp;Fuel'!W69/(1-'Prices&amp;Fuel'!F69)</f>
        <v>1732.64781491003</v>
      </c>
      <c r="H69" s="10" t="n">
        <f aca="false">('Prices&amp;Fuel'!C69+'Prices&amp;Fuel'!D69)/2-0.05+(('Prices&amp;Fuel'!M69+'Prices&amp;Fuel'!P69)*(1-'Prices&amp;Fuel'!F69))</f>
        <v>3.23932225</v>
      </c>
      <c r="I69" s="9" t="n">
        <f aca="false">IF(FPL!L69=80000,0,B69)</f>
        <v>4325.96401028278</v>
      </c>
      <c r="J69" s="9"/>
      <c r="K69" s="10" t="n">
        <f aca="false">(((B69+E69)*('Prices&amp;Fuel'!B69+0.025))+(('Prices&amp;Fuel'!D69+0.025)*(D69+G69))+(('Prices&amp;Fuel'!C69+0.025)*(C69+F69))-(I69+J69)*0.025)/(B69+C69+D69+E69+F69+G69)</f>
        <v>2.54076458333333</v>
      </c>
      <c r="L69" s="9" t="n">
        <f aca="false">(B69+C69+D69+E69+F69+G69)*H69*'Prices&amp;Fuel'!H69</f>
        <v>1239103.21542416</v>
      </c>
      <c r="M69" s="9" t="n">
        <f aca="false">'Prices&amp;Fuel'!X69*('Prices&amp;Fuel'!N69+'Prices&amp;Fuel'!O69)*'Prices&amp;Fuel'!H69</f>
        <v>8908.41393487597</v>
      </c>
      <c r="N69" s="9" t="n">
        <f aca="false">('Prices&amp;Fuel'!U69+'Prices&amp;Fuel'!V69+'Prices&amp;Fuel'!W69)*('Prices&amp;Fuel'!L69+'Prices&amp;Fuel'!O69)*'Prices&amp;Fuel'!H69</f>
        <v>92736.1977700852</v>
      </c>
      <c r="O69" s="9" t="n">
        <f aca="false">((B69+C69+D69)*(1-'Prices&amp;Fuel'!G69))*('Prices&amp;Fuel'!M69+'Prices&amp;Fuel'!P69)*'Prices&amp;Fuel'!H69</f>
        <v>100434.1317</v>
      </c>
      <c r="P69" s="9" t="n">
        <f aca="false">((B69+C69+D69+E69+F69+G69)/(1-'Prices&amp;Fuel'!F69))*(1-'Prices&amp;Fuel'!F69)*'Prices&amp;Fuel'!H69*0.005</f>
        <v>1912.59640102828</v>
      </c>
      <c r="Q69" s="9" t="n">
        <f aca="false">((D69+C69+B69+E69+F69+G69)*K69*'Prices&amp;Fuel'!H69)+M69+N69+O69+P69</f>
        <v>1175882.77939468</v>
      </c>
      <c r="R69" s="5" t="n">
        <f aca="false">L69-Q69</f>
        <v>63220.4360294864</v>
      </c>
      <c r="S69" s="12" t="n">
        <f aca="false">R69/(B69+C69+D69+E69+F69+G69)/'Prices&amp;Fuel'!H69</f>
        <v>0.165273854942676</v>
      </c>
      <c r="T69" s="1" t="n">
        <f aca="false">T68</f>
        <v>12000</v>
      </c>
    </row>
    <row r="70" customFormat="false" ht="11.25" hidden="false" customHeight="false" outlineLevel="0" collapsed="false">
      <c r="A70" s="6" t="n">
        <f aca="false">+A69+365/12</f>
        <v>37726.0833333333</v>
      </c>
      <c r="B70" s="5" t="n">
        <f aca="false">IF(T70-((E70+F70+G70)*(1-'Prices&amp;Fuel'!F70))&lt;'Prices&amp;Fuel'!R70,(T70-(E70+F70+G70)*(1-'Prices&amp;Fuel'!F70)),'Prices&amp;Fuel'!R70)/(1-'Prices&amp;Fuel'!F70)</f>
        <v>6278.66323907455</v>
      </c>
      <c r="C70" s="9" t="n">
        <f aca="false">(T70/(1-'Prices&amp;Fuel'!F70))-D70-E70-F70-G70-B70</f>
        <v>0</v>
      </c>
      <c r="D70" s="9" t="n">
        <f aca="false">ROUND(IF(T70/(1-'Prices&amp;Fuel'!F70)-E70-F70-G70-B70&gt;'Prices&amp;Fuel'!T70,'Prices&amp;Fuel'!T70,T70/(1-'Prices&amp;Fuel'!F70)-E70-F70-G70-B70),9)</f>
        <v>0</v>
      </c>
      <c r="E70" s="9" t="n">
        <f aca="false">'Prices&amp;Fuel'!U70/(1-'Prices&amp;Fuel'!F70)</f>
        <v>1933.16195372751</v>
      </c>
      <c r="F70" s="9" t="n">
        <f aca="false">('Prices&amp;Fuel'!V70+'Prices&amp;Fuel'!X70)/(1-'Prices&amp;Fuel'!F70)</f>
        <v>2833.93316195373</v>
      </c>
      <c r="G70" s="9" t="n">
        <f aca="false">'Prices&amp;Fuel'!W70/(1-'Prices&amp;Fuel'!F70)</f>
        <v>1293.57326478149</v>
      </c>
      <c r="H70" s="10" t="n">
        <f aca="false">('Prices&amp;Fuel'!C70+'Prices&amp;Fuel'!D70)/2-0.05+(('Prices&amp;Fuel'!M70+'Prices&amp;Fuel'!P70)*(1-'Prices&amp;Fuel'!F70))</f>
        <v>3.51202225</v>
      </c>
      <c r="I70" s="9" t="n">
        <f aca="false">IF(FPL!L70=80000,0,B70)</f>
        <v>6278.66323907455</v>
      </c>
      <c r="J70" s="9"/>
      <c r="K70" s="10" t="n">
        <f aca="false">(((B70+E70)*('Prices&amp;Fuel'!B70+0.025))+(('Prices&amp;Fuel'!D70+0.025)*(D70+G70))+(('Prices&amp;Fuel'!C70+0.025)*(C70+F70))-(I70+J70)*0.025)/(B70+C70+D70+E70+F70+G70)</f>
        <v>2.8052075</v>
      </c>
      <c r="L70" s="9" t="n">
        <f aca="false">(B70+C70+D70+E70+F70+G70)*H70*'Prices&amp;Fuel'!H70</f>
        <v>1300080.2159383</v>
      </c>
      <c r="M70" s="9" t="n">
        <f aca="false">'Prices&amp;Fuel'!X70*('Prices&amp;Fuel'!N70+'Prices&amp;Fuel'!O70)*'Prices&amp;Fuel'!H70</f>
        <v>8621.04574342836</v>
      </c>
      <c r="N70" s="9" t="n">
        <f aca="false">('Prices&amp;Fuel'!U70+'Prices&amp;Fuel'!V70+'Prices&amp;Fuel'!W70)*('Prices&amp;Fuel'!L70+'Prices&amp;Fuel'!O70)*'Prices&amp;Fuel'!H70</f>
        <v>65774.9185490559</v>
      </c>
      <c r="O70" s="9" t="n">
        <f aca="false">((B70+C70+D70)*(1-'Prices&amp;Fuel'!G70))*('Prices&amp;Fuel'!M70+'Prices&amp;Fuel'!P70)*'Prices&amp;Fuel'!H70</f>
        <v>141066.918</v>
      </c>
      <c r="P70" s="9" t="n">
        <f aca="false">((B70+C70+D70+E70+F70+G70)/(1-'Prices&amp;Fuel'!F70))*(1-'Prices&amp;Fuel'!F70)*'Prices&amp;Fuel'!H70*0.005</f>
        <v>1850.89974293059</v>
      </c>
      <c r="Q70" s="9" t="n">
        <f aca="false">((D70+C70+B70+E70+F70+G70)*K70*'Prices&amp;Fuel'!H70)+M70+N70+O70+P70</f>
        <v>1255745.35015881</v>
      </c>
      <c r="R70" s="5" t="n">
        <f aca="false">L70-Q70</f>
        <v>44334.8657794949</v>
      </c>
      <c r="S70" s="12" t="n">
        <f aca="false">R70/(B70+C70+D70+E70+F70+G70)/'Prices&amp;Fuel'!H70</f>
        <v>0.119765713807108</v>
      </c>
      <c r="T70" s="1" t="n">
        <f aca="false">T69</f>
        <v>12000</v>
      </c>
    </row>
    <row r="71" customFormat="false" ht="11.25" hidden="false" customHeight="false" outlineLevel="0" collapsed="false">
      <c r="A71" s="6" t="n">
        <f aca="false">+A70+365/12</f>
        <v>37756.5</v>
      </c>
      <c r="B71" s="5" t="n">
        <f aca="false">IF(T71-((E71+F71+G71)*(1-'Prices&amp;Fuel'!F71))&lt;'Prices&amp;Fuel'!R71,(T71-(E71+F71+G71)*(1-'Prices&amp;Fuel'!F71)),'Prices&amp;Fuel'!R71)/(1-'Prices&amp;Fuel'!F71)</f>
        <v>8976.86375321337</v>
      </c>
      <c r="C71" s="9" t="n">
        <f aca="false">(T71/(1-'Prices&amp;Fuel'!F71))-D71-E71-F71-G71-B71</f>
        <v>1.38243194669485E-010</v>
      </c>
      <c r="D71" s="9" t="n">
        <f aca="false">ROUND(IF(T71/(1-'Prices&amp;Fuel'!F71)-E71-F71-G71-B71&gt;'Prices&amp;Fuel'!T71,'Prices&amp;Fuel'!T71,T71/(1-'Prices&amp;Fuel'!F71)-E71-F71-G71-B71),9)</f>
        <v>6556.298200514</v>
      </c>
      <c r="E71" s="9" t="n">
        <f aca="false">'Prices&amp;Fuel'!U71/(1-'Prices&amp;Fuel'!F71)</f>
        <v>1933.16195372751</v>
      </c>
      <c r="F71" s="9" t="n">
        <f aca="false">('Prices&amp;Fuel'!V71+'Prices&amp;Fuel'!X71)/(1-'Prices&amp;Fuel'!F71)</f>
        <v>3062.21079691517</v>
      </c>
      <c r="G71" s="9" t="n">
        <f aca="false">'Prices&amp;Fuel'!W71/(1-'Prices&amp;Fuel'!F71)</f>
        <v>1065.29562982005</v>
      </c>
      <c r="H71" s="10" t="n">
        <f aca="false">('Prices&amp;Fuel'!C71+'Prices&amp;Fuel'!D71)/2-0.05+(('Prices&amp;Fuel'!M71+'Prices&amp;Fuel'!P71)*(1-'Prices&amp;Fuel'!F71))</f>
        <v>3.70392225</v>
      </c>
      <c r="I71" s="9" t="n">
        <f aca="false">IF(FPL!L71=80000,0,B71)</f>
        <v>0</v>
      </c>
      <c r="J71" s="9"/>
      <c r="K71" s="10" t="n">
        <f aca="false">(((B71+E71)*('Prices&amp;Fuel'!B71+0.025))+(('Prices&amp;Fuel'!D71+0.025)*(D71+G71))+(('Prices&amp;Fuel'!C71+0.025)*(C71+F71))-(I71+J71)*0.025)/(B71+C71+D71+E71+F71+G71)</f>
        <v>3.0070380952381</v>
      </c>
      <c r="L71" s="9" t="n">
        <f aca="false">(B71+C71+D71+E71+F71+G71)*H71*'Prices&amp;Fuel'!H71</f>
        <v>2479437.9277635</v>
      </c>
      <c r="M71" s="9" t="n">
        <f aca="false">'Prices&amp;Fuel'!X71*('Prices&amp;Fuel'!N71+'Prices&amp;Fuel'!O71)*'Prices&amp;Fuel'!H71</f>
        <v>8908.41393487597</v>
      </c>
      <c r="N71" s="9" t="n">
        <f aca="false">('Prices&amp;Fuel'!U71+'Prices&amp;Fuel'!V71+'Prices&amp;Fuel'!W71)*('Prices&amp;Fuel'!L71+'Prices&amp;Fuel'!O71)*'Prices&amp;Fuel'!H71</f>
        <v>67967.4158340245</v>
      </c>
      <c r="O71" s="9" t="n">
        <f aca="false">((B71+C71+D71)*(1-'Prices&amp;Fuel'!G71))*('Prices&amp;Fuel'!M71+'Prices&amp;Fuel'!P71)*'Prices&amp;Fuel'!H71</f>
        <v>360627.0486</v>
      </c>
      <c r="P71" s="9" t="n">
        <f aca="false">((B71+C71+D71+E71+F71+G71)/(1-'Prices&amp;Fuel'!F71))*(1-'Prices&amp;Fuel'!F71)*'Prices&amp;Fuel'!H71*0.005</f>
        <v>3347.04370179949</v>
      </c>
      <c r="Q71" s="9" t="n">
        <f aca="false">((D71+C71+B71+E71+F71+G71)*K71*'Prices&amp;Fuel'!H71)+M71+N71+O71+P71</f>
        <v>2453787.50561826</v>
      </c>
      <c r="R71" s="5" t="n">
        <f aca="false">L71-Q71</f>
        <v>25650.4221452377</v>
      </c>
      <c r="S71" s="12" t="n">
        <f aca="false">R71/(B71+C71+D71+E71+F71+G71)/'Prices&amp;Fuel'!H71</f>
        <v>0.0383180269373942</v>
      </c>
      <c r="T71" s="1" t="n">
        <v>21000</v>
      </c>
    </row>
    <row r="72" customFormat="false" ht="11.25" hidden="false" customHeight="false" outlineLevel="0" collapsed="false">
      <c r="A72" s="6" t="n">
        <f aca="false">+A71+365/12</f>
        <v>37786.9166666667</v>
      </c>
      <c r="B72" s="5" t="n">
        <f aca="false">IF(T72-((E72+F72+G72)*(1-'Prices&amp;Fuel'!F72))&lt;'Prices&amp;Fuel'!R72,(T72-(E72+F72+G72)*(1-'Prices&amp;Fuel'!F72)),'Prices&amp;Fuel'!R72)/(1-'Prices&amp;Fuel'!F72)</f>
        <v>8976.86375321337</v>
      </c>
      <c r="C72" s="9" t="n">
        <f aca="false">(T72/(1-'Prices&amp;Fuel'!F72))-D72-E72-F72-G72-B72</f>
        <v>1.38243194669485E-010</v>
      </c>
      <c r="D72" s="9" t="n">
        <f aca="false">ROUND(IF(T72/(1-'Prices&amp;Fuel'!F72)-E72-F72-G72-B72&gt;'Prices&amp;Fuel'!T72,'Prices&amp;Fuel'!T72,T72/(1-'Prices&amp;Fuel'!F72)-E72-F72-G72-B72),9)</f>
        <v>6556.298200514</v>
      </c>
      <c r="E72" s="9" t="n">
        <f aca="false">'Prices&amp;Fuel'!U72/(1-'Prices&amp;Fuel'!F72)</f>
        <v>1933.16195372751</v>
      </c>
      <c r="F72" s="9" t="n">
        <f aca="false">('Prices&amp;Fuel'!V72+'Prices&amp;Fuel'!X72)/(1-'Prices&amp;Fuel'!F72)</f>
        <v>3062.21079691517</v>
      </c>
      <c r="G72" s="9" t="n">
        <f aca="false">'Prices&amp;Fuel'!W72/(1-'Prices&amp;Fuel'!F72)</f>
        <v>1065.29562982005</v>
      </c>
      <c r="H72" s="10" t="n">
        <f aca="false">('Prices&amp;Fuel'!C72+'Prices&amp;Fuel'!D72)/2-0.05+(('Prices&amp;Fuel'!M72+'Prices&amp;Fuel'!P72)*(1-'Prices&amp;Fuel'!F72))</f>
        <v>5.02702225</v>
      </c>
      <c r="I72" s="9" t="n">
        <f aca="false">IF(FPL!L72=80000,0,B72)</f>
        <v>0</v>
      </c>
      <c r="J72" s="9"/>
      <c r="K72" s="10" t="n">
        <f aca="false">(((B72+E72)*('Prices&amp;Fuel'!B72+0.025))+(('Prices&amp;Fuel'!D72+0.025)*(D72+G72))+(('Prices&amp;Fuel'!C72+0.025)*(C72+F72))-(I72+J72)*0.025)/(B72+C72+D72+E72+F72+G72)</f>
        <v>4.3301380952381</v>
      </c>
      <c r="L72" s="9" t="n">
        <f aca="false">(B72+C72+D72+E72+F72+G72)*H72*'Prices&amp;Fuel'!H72</f>
        <v>3256579.96658098</v>
      </c>
      <c r="M72" s="9" t="n">
        <f aca="false">'Prices&amp;Fuel'!X72*('Prices&amp;Fuel'!N72+'Prices&amp;Fuel'!O72)*'Prices&amp;Fuel'!H72</f>
        <v>8621.04574342836</v>
      </c>
      <c r="N72" s="9" t="n">
        <f aca="false">('Prices&amp;Fuel'!U72+'Prices&amp;Fuel'!V72+'Prices&amp;Fuel'!W72)*('Prices&amp;Fuel'!L72+'Prices&amp;Fuel'!O72)*'Prices&amp;Fuel'!H72</f>
        <v>65774.9185490559</v>
      </c>
      <c r="O72" s="9" t="n">
        <f aca="false">((B72+C72+D72)*(1-'Prices&amp;Fuel'!G72))*('Prices&amp;Fuel'!M72+'Prices&amp;Fuel'!P72)*'Prices&amp;Fuel'!H72</f>
        <v>348993.918</v>
      </c>
      <c r="P72" s="9" t="n">
        <f aca="false">((B72+C72+D72+E72+F72+G72)/(1-'Prices&amp;Fuel'!F72))*(1-'Prices&amp;Fuel'!F72)*'Prices&amp;Fuel'!H72*0.005</f>
        <v>3239.07455012853</v>
      </c>
      <c r="Q72" s="9" t="n">
        <f aca="false">((D72+C72+B72+E72+F72+G72)*K72*'Prices&amp;Fuel'!H72)+M72+N72+O72+P72</f>
        <v>3231756.97740817</v>
      </c>
      <c r="R72" s="5" t="n">
        <f aca="false">L72-Q72</f>
        <v>24822.9891728107</v>
      </c>
      <c r="S72" s="12" t="n">
        <f aca="false">R72/(B72+C72+D72+E72+F72+G72)/'Prices&amp;Fuel'!H72</f>
        <v>0.0383180269373943</v>
      </c>
      <c r="T72" s="1" t="n">
        <f aca="false">T71</f>
        <v>21000</v>
      </c>
    </row>
    <row r="73" customFormat="false" ht="11.25" hidden="false" customHeight="false" outlineLevel="0" collapsed="false">
      <c r="A73" s="6" t="n">
        <f aca="false">+A72+365/12</f>
        <v>37817.3333333333</v>
      </c>
      <c r="B73" s="5" t="n">
        <f aca="false">IF(T73-((E73+F73+G73)*(1-'Prices&amp;Fuel'!F73))&lt;'Prices&amp;Fuel'!R73,(T73-(E73+F73+G73)*(1-'Prices&amp;Fuel'!F73)),'Prices&amp;Fuel'!R73)/(1-'Prices&amp;Fuel'!F73)</f>
        <v>8976.86375321337</v>
      </c>
      <c r="C73" s="9" t="n">
        <f aca="false">(T73/(1-'Prices&amp;Fuel'!F73))-D73-E73-F73-G73-B73</f>
        <v>1.38243194669485E-010</v>
      </c>
      <c r="D73" s="9" t="n">
        <f aca="false">ROUND(IF(T73/(1-'Prices&amp;Fuel'!F73)-E73-F73-G73-B73&gt;'Prices&amp;Fuel'!T73,'Prices&amp;Fuel'!T73,T73/(1-'Prices&amp;Fuel'!F73)-E73-F73-G73-B73),9)</f>
        <v>6556.298200514</v>
      </c>
      <c r="E73" s="9" t="n">
        <f aca="false">'Prices&amp;Fuel'!U73/(1-'Prices&amp;Fuel'!F73)</f>
        <v>1933.16195372751</v>
      </c>
      <c r="F73" s="9" t="n">
        <f aca="false">('Prices&amp;Fuel'!V73+'Prices&amp;Fuel'!X73)/(1-'Prices&amp;Fuel'!F73)</f>
        <v>3062.21079691517</v>
      </c>
      <c r="G73" s="9" t="n">
        <f aca="false">'Prices&amp;Fuel'!W73/(1-'Prices&amp;Fuel'!F73)</f>
        <v>1065.29562982005</v>
      </c>
      <c r="H73" s="10" t="n">
        <f aca="false">('Prices&amp;Fuel'!C73+'Prices&amp;Fuel'!D73)/2-0.05+(('Prices&amp;Fuel'!M73+'Prices&amp;Fuel'!P73)*(1-'Prices&amp;Fuel'!F73))</f>
        <v>5.01692225</v>
      </c>
      <c r="I73" s="9" t="n">
        <f aca="false">IF(FPL!L73=80000,0,B73)</f>
        <v>0</v>
      </c>
      <c r="J73" s="9"/>
      <c r="K73" s="10" t="n">
        <f aca="false">(((B73+E73)*('Prices&amp;Fuel'!B73+0.025))+(('Prices&amp;Fuel'!D73+0.025)*(D73+G73))+(('Prices&amp;Fuel'!C73+0.025)*(C73+F73))-(I73+J73)*0.025)/(B73+C73+D73+E73+F73+G73)</f>
        <v>4.3200380952381</v>
      </c>
      <c r="L73" s="9" t="n">
        <f aca="false">(B73+C73+D73+E73+F73+G73)*H73*'Prices&amp;Fuel'!H73</f>
        <v>3358371.60385604</v>
      </c>
      <c r="M73" s="9" t="n">
        <f aca="false">'Prices&amp;Fuel'!X73*('Prices&amp;Fuel'!N73+'Prices&amp;Fuel'!O73)*'Prices&amp;Fuel'!H73</f>
        <v>8908.41393487597</v>
      </c>
      <c r="N73" s="9" t="n">
        <f aca="false">('Prices&amp;Fuel'!U73+'Prices&amp;Fuel'!V73+'Prices&amp;Fuel'!W73)*('Prices&amp;Fuel'!L73+'Prices&amp;Fuel'!O73)*'Prices&amp;Fuel'!H73</f>
        <v>67967.4158340245</v>
      </c>
      <c r="O73" s="9" t="n">
        <f aca="false">((B73+C73+D73)*(1-'Prices&amp;Fuel'!G73))*('Prices&amp;Fuel'!M73+'Prices&amp;Fuel'!P73)*'Prices&amp;Fuel'!H73</f>
        <v>360627.0486</v>
      </c>
      <c r="P73" s="9" t="n">
        <f aca="false">((B73+C73+D73+E73+F73+G73)/(1-'Prices&amp;Fuel'!F73))*(1-'Prices&amp;Fuel'!F73)*'Prices&amp;Fuel'!H73*0.005</f>
        <v>3347.04370179949</v>
      </c>
      <c r="Q73" s="9" t="n">
        <f aca="false">((D73+C73+B73+E73+F73+G73)*K73*'Prices&amp;Fuel'!H73)+M73+N73+O73+P73</f>
        <v>3332721.1817108</v>
      </c>
      <c r="R73" s="5" t="n">
        <f aca="false">L73-Q73</f>
        <v>25650.4221452377</v>
      </c>
      <c r="S73" s="12" t="n">
        <f aca="false">R73/(B73+C73+D73+E73+F73+G73)/'Prices&amp;Fuel'!H73</f>
        <v>0.0383180269373942</v>
      </c>
      <c r="T73" s="1" t="n">
        <f aca="false">T72</f>
        <v>21000</v>
      </c>
    </row>
    <row r="74" customFormat="false" ht="11.25" hidden="false" customHeight="false" outlineLevel="0" collapsed="false">
      <c r="A74" s="6" t="n">
        <f aca="false">+A73+365/12</f>
        <v>37847.75</v>
      </c>
      <c r="B74" s="5" t="n">
        <f aca="false">IF(T74-((E74+F74+G74)*(1-'Prices&amp;Fuel'!F74))&lt;'Prices&amp;Fuel'!R74,(T74-(E74+F74+G74)*(1-'Prices&amp;Fuel'!F74)),'Prices&amp;Fuel'!R74)/(1-'Prices&amp;Fuel'!F74)</f>
        <v>8976.86375321337</v>
      </c>
      <c r="C74" s="9" t="n">
        <f aca="false">(T74/(1-'Prices&amp;Fuel'!F74))-D74-E74-F74-G74-B74</f>
        <v>1.38243194669485E-010</v>
      </c>
      <c r="D74" s="9" t="n">
        <f aca="false">ROUND(IF(T74/(1-'Prices&amp;Fuel'!F74)-E74-F74-G74-B74&gt;'Prices&amp;Fuel'!T74,'Prices&amp;Fuel'!T74,T74/(1-'Prices&amp;Fuel'!F74)-E74-F74-G74-B74),9)</f>
        <v>6556.298200514</v>
      </c>
      <c r="E74" s="9" t="n">
        <f aca="false">'Prices&amp;Fuel'!U74/(1-'Prices&amp;Fuel'!F74)</f>
        <v>1933.16195372751</v>
      </c>
      <c r="F74" s="9" t="n">
        <f aca="false">('Prices&amp;Fuel'!V74+'Prices&amp;Fuel'!X74)/(1-'Prices&amp;Fuel'!F74)</f>
        <v>3062.21079691517</v>
      </c>
      <c r="G74" s="9" t="n">
        <f aca="false">'Prices&amp;Fuel'!W74/(1-'Prices&amp;Fuel'!F74)</f>
        <v>1065.29562982005</v>
      </c>
      <c r="H74" s="10" t="n">
        <f aca="false">('Prices&amp;Fuel'!C74+'Prices&amp;Fuel'!D74)/2-0.05+(('Prices&amp;Fuel'!M74+'Prices&amp;Fuel'!P74)*(1-'Prices&amp;Fuel'!F74))</f>
        <v>4.47152225</v>
      </c>
      <c r="I74" s="9" t="n">
        <f aca="false">IF(FPL!L74=80000,0,B74)</f>
        <v>0</v>
      </c>
      <c r="J74" s="9"/>
      <c r="K74" s="10" t="n">
        <f aca="false">(((B74+E74)*('Prices&amp;Fuel'!B74+0.025))+(('Prices&amp;Fuel'!D74+0.025)*(D74+G74))+(('Prices&amp;Fuel'!C74+0.025)*(C74+F74))-(I74+J74)*0.025)/(B74+C74+D74+E74+F74+G74)</f>
        <v>3.7746380952381</v>
      </c>
      <c r="L74" s="9" t="n">
        <f aca="false">(B74+C74+D74+E74+F74+G74)*H74*'Prices&amp;Fuel'!H74</f>
        <v>2993276.07686375</v>
      </c>
      <c r="M74" s="9" t="n">
        <f aca="false">'Prices&amp;Fuel'!X74*('Prices&amp;Fuel'!N74+'Prices&amp;Fuel'!O74)*'Prices&amp;Fuel'!H74</f>
        <v>8908.41393487597</v>
      </c>
      <c r="N74" s="9" t="n">
        <f aca="false">('Prices&amp;Fuel'!U74+'Prices&amp;Fuel'!V74+'Prices&amp;Fuel'!W74)*('Prices&amp;Fuel'!L74+'Prices&amp;Fuel'!O74)*'Prices&amp;Fuel'!H74</f>
        <v>67967.4158340245</v>
      </c>
      <c r="O74" s="9" t="n">
        <f aca="false">((B74+C74+D74)*(1-'Prices&amp;Fuel'!G74))*('Prices&amp;Fuel'!M74+'Prices&amp;Fuel'!P74)*'Prices&amp;Fuel'!H74</f>
        <v>360627.0486</v>
      </c>
      <c r="P74" s="9" t="n">
        <f aca="false">((B74+C74+D74+E74+F74+G74)/(1-'Prices&amp;Fuel'!F74))*(1-'Prices&amp;Fuel'!F74)*'Prices&amp;Fuel'!H74*0.005</f>
        <v>3347.04370179949</v>
      </c>
      <c r="Q74" s="9" t="n">
        <f aca="false">((D74+C74+B74+E74+F74+G74)*K74*'Prices&amp;Fuel'!H74)+M74+N74+O74+P74</f>
        <v>2967625.65471852</v>
      </c>
      <c r="R74" s="5" t="n">
        <f aca="false">L74-Q74</f>
        <v>25650.4221452377</v>
      </c>
      <c r="S74" s="12" t="n">
        <f aca="false">R74/(B74+C74+D74+E74+F74+G74)/'Prices&amp;Fuel'!H74</f>
        <v>0.0383180269373942</v>
      </c>
      <c r="T74" s="1" t="n">
        <f aca="false">T73</f>
        <v>21000</v>
      </c>
    </row>
    <row r="75" customFormat="false" ht="11.25" hidden="false" customHeight="false" outlineLevel="0" collapsed="false">
      <c r="A75" s="6" t="n">
        <f aca="false">+A74+365/12</f>
        <v>37878.1666666667</v>
      </c>
      <c r="B75" s="5" t="n">
        <f aca="false">IF(T75-((E75+F75+G75)*(1-'Prices&amp;Fuel'!F75))&lt;'Prices&amp;Fuel'!R75,(T75-(E75+F75+G75)*(1-'Prices&amp;Fuel'!F75)),'Prices&amp;Fuel'!R75)/(1-'Prices&amp;Fuel'!F75)</f>
        <v>8976.86375321337</v>
      </c>
      <c r="C75" s="9" t="n">
        <f aca="false">(T75/(1-'Prices&amp;Fuel'!F75))-D75-E75-F75-G75-B75</f>
        <v>1.38243194669485E-010</v>
      </c>
      <c r="D75" s="9" t="n">
        <f aca="false">ROUND(IF(T75/(1-'Prices&amp;Fuel'!F75)-E75-F75-G75-B75&gt;'Prices&amp;Fuel'!T75,'Prices&amp;Fuel'!T75,T75/(1-'Prices&amp;Fuel'!F75)-E75-F75-G75-B75),9)</f>
        <v>6556.298200514</v>
      </c>
      <c r="E75" s="9" t="n">
        <f aca="false">'Prices&amp;Fuel'!U75/(1-'Prices&amp;Fuel'!F75)</f>
        <v>1933.16195372751</v>
      </c>
      <c r="F75" s="9" t="n">
        <f aca="false">('Prices&amp;Fuel'!V75+'Prices&amp;Fuel'!X75)/(1-'Prices&amp;Fuel'!F75)</f>
        <v>3062.21079691517</v>
      </c>
      <c r="G75" s="9" t="n">
        <f aca="false">'Prices&amp;Fuel'!W75/(1-'Prices&amp;Fuel'!F75)</f>
        <v>1065.29562982005</v>
      </c>
      <c r="H75" s="10" t="n">
        <f aca="false">('Prices&amp;Fuel'!C75+'Prices&amp;Fuel'!D75)/2-0.05+(('Prices&amp;Fuel'!M75+'Prices&amp;Fuel'!P75)*(1-'Prices&amp;Fuel'!F75))</f>
        <v>5.24922225</v>
      </c>
      <c r="I75" s="9" t="n">
        <f aca="false">IF(FPL!L75=80000,0,B75)</f>
        <v>0</v>
      </c>
      <c r="J75" s="9"/>
      <c r="K75" s="10" t="n">
        <f aca="false">(((B75+E75)*('Prices&amp;Fuel'!B75+0.025))+(('Prices&amp;Fuel'!D75+0.025)*(D75+G75))+(('Prices&amp;Fuel'!C75+0.025)*(C75+F75))-(I75+J75)*0.025)/(B75+C75+D75+E75+F75+G75)</f>
        <v>4.5523380952381</v>
      </c>
      <c r="L75" s="9" t="n">
        <f aca="false">(B75+C75+D75+E75+F75+G75)*H75*'Prices&amp;Fuel'!H75</f>
        <v>3400524.43958869</v>
      </c>
      <c r="M75" s="9" t="n">
        <f aca="false">'Prices&amp;Fuel'!X75*('Prices&amp;Fuel'!N75+'Prices&amp;Fuel'!O75)*'Prices&amp;Fuel'!H75</f>
        <v>8621.04574342836</v>
      </c>
      <c r="N75" s="9" t="n">
        <f aca="false">('Prices&amp;Fuel'!U75+'Prices&amp;Fuel'!V75+'Prices&amp;Fuel'!W75)*('Prices&amp;Fuel'!L75+'Prices&amp;Fuel'!O75)*'Prices&amp;Fuel'!H75</f>
        <v>65774.9185490559</v>
      </c>
      <c r="O75" s="9" t="n">
        <f aca="false">((B75+C75+D75)*(1-'Prices&amp;Fuel'!G75))*('Prices&amp;Fuel'!M75+'Prices&amp;Fuel'!P75)*'Prices&amp;Fuel'!H75</f>
        <v>348993.918</v>
      </c>
      <c r="P75" s="9" t="n">
        <f aca="false">((B75+C75+D75+E75+F75+G75)/(1-'Prices&amp;Fuel'!F75))*(1-'Prices&amp;Fuel'!F75)*'Prices&amp;Fuel'!H75*0.005</f>
        <v>3239.07455012853</v>
      </c>
      <c r="Q75" s="9" t="n">
        <f aca="false">((D75+C75+B75+E75+F75+G75)*K75*'Prices&amp;Fuel'!H75)+M75+N75+O75+P75</f>
        <v>3375701.45041588</v>
      </c>
      <c r="R75" s="5" t="n">
        <f aca="false">L75-Q75</f>
        <v>24822.9891728102</v>
      </c>
      <c r="S75" s="12" t="n">
        <f aca="false">R75/(B75+C75+D75+E75+F75+G75)/'Prices&amp;Fuel'!H75</f>
        <v>0.0383180269373936</v>
      </c>
      <c r="T75" s="1" t="n">
        <f aca="false">T74</f>
        <v>21000</v>
      </c>
    </row>
    <row r="76" customFormat="false" ht="11.25" hidden="false" customHeight="false" outlineLevel="0" collapsed="false">
      <c r="A76" s="6" t="n">
        <f aca="false">+A75+365/12</f>
        <v>37908.5833333333</v>
      </c>
      <c r="B76" s="5" t="n">
        <f aca="false">IF(T76-((E76+F76+G76)*(1-'Prices&amp;Fuel'!F76))&lt;'Prices&amp;Fuel'!R76,(T76-(E76+F76+G76)*(1-'Prices&amp;Fuel'!F76)),'Prices&amp;Fuel'!R76)/(1-'Prices&amp;Fuel'!F76)</f>
        <v>8976.86375321337</v>
      </c>
      <c r="C76" s="9" t="n">
        <f aca="false">(T76/(1-'Prices&amp;Fuel'!F76))-D76-E76-F76-G76-B76</f>
        <v>2.0190782379359E-010</v>
      </c>
      <c r="D76" s="9" t="n">
        <f aca="false">ROUND(IF(T76/(1-'Prices&amp;Fuel'!F76)-E76-F76-G76-B76&gt;'Prices&amp;Fuel'!T76,'Prices&amp;Fuel'!T76,T76/(1-'Prices&amp;Fuel'!F76)-E76-F76-G76-B76),9)</f>
        <v>3514.652956298</v>
      </c>
      <c r="E76" s="9" t="n">
        <f aca="false">'Prices&amp;Fuel'!U76/(1-'Prices&amp;Fuel'!F76)</f>
        <v>2910.02570694087</v>
      </c>
      <c r="F76" s="9" t="n">
        <f aca="false">('Prices&amp;Fuel'!V76+'Prices&amp;Fuel'!X76)/(1-'Prices&amp;Fuel'!F76)</f>
        <v>4628.27763496144</v>
      </c>
      <c r="G76" s="9" t="n">
        <f aca="false">'Prices&amp;Fuel'!W76/(1-'Prices&amp;Fuel'!F76)</f>
        <v>1564.01028277635</v>
      </c>
      <c r="H76" s="10" t="n">
        <f aca="false">('Prices&amp;Fuel'!C76+'Prices&amp;Fuel'!D76)/2-0.05+(('Prices&amp;Fuel'!M76+'Prices&amp;Fuel'!P76)*(1-'Prices&amp;Fuel'!F76))</f>
        <v>5.93602225</v>
      </c>
      <c r="I76" s="9" t="n">
        <f aca="false">IF(FPL!L76=80000,0,B76)</f>
        <v>8976.86375321337</v>
      </c>
      <c r="J76" s="9"/>
      <c r="K76" s="10" t="n">
        <f aca="false">(((B76+E76)*('Prices&amp;Fuel'!B76+0.025))+(('Prices&amp;Fuel'!D76+0.025)*(D76+G76))+(('Prices&amp;Fuel'!C76+0.025)*(C76+F76))-(I76+J76)*0.025)/(B76+C76+D76+E76+F76+G76)</f>
        <v>5.23191904761905</v>
      </c>
      <c r="L76" s="9" t="n">
        <f aca="false">(B76+C76+D76+E76+F76+G76)*H76*'Prices&amp;Fuel'!H76</f>
        <v>3973625.17712082</v>
      </c>
      <c r="M76" s="9" t="n">
        <f aca="false">'Prices&amp;Fuel'!X76*('Prices&amp;Fuel'!N76+'Prices&amp;Fuel'!O76)*'Prices&amp;Fuel'!H76</f>
        <v>13056.1088562384</v>
      </c>
      <c r="N76" s="9" t="n">
        <f aca="false">('Prices&amp;Fuel'!U76+'Prices&amp;Fuel'!V76+'Prices&amp;Fuel'!W76)*('Prices&amp;Fuel'!L76+'Prices&amp;Fuel'!O76)*'Prices&amp;Fuel'!H76</f>
        <v>102401.109520807</v>
      </c>
      <c r="O76" s="9" t="n">
        <f aca="false">((B76+C76+D76)*(1-'Prices&amp;Fuel'!G76))*('Prices&amp;Fuel'!M76+'Prices&amp;Fuel'!P76)*'Prices&amp;Fuel'!H76</f>
        <v>290010.4188</v>
      </c>
      <c r="P76" s="9" t="n">
        <f aca="false">((B76+C76+D76+E76+F76+G76)/(1-'Prices&amp;Fuel'!F76))*(1-'Prices&amp;Fuel'!F76)*'Prices&amp;Fuel'!H76*0.005</f>
        <v>3347.04370179949</v>
      </c>
      <c r="Q76" s="9" t="n">
        <f aca="false">((D76+C76+B76+E76+F76+G76)*K76*'Prices&amp;Fuel'!H76)+M76+N76+O76+P76</f>
        <v>3911107.02021047</v>
      </c>
      <c r="R76" s="5" t="n">
        <f aca="false">L76-Q76</f>
        <v>62518.1569103571</v>
      </c>
      <c r="S76" s="12" t="n">
        <f aca="false">R76/(B76+C76+D76+E76+F76+G76)/'Prices&amp;Fuel'!H76</f>
        <v>0.0933930992247654</v>
      </c>
      <c r="T76" s="1" t="n">
        <f aca="false">T75</f>
        <v>21000</v>
      </c>
    </row>
    <row r="77" customFormat="false" ht="11.25" hidden="false" customHeight="false" outlineLevel="0" collapsed="false">
      <c r="A77" s="6" t="n">
        <f aca="false">+A76+365/12</f>
        <v>37939</v>
      </c>
      <c r="B77" s="5" t="n">
        <f aca="false">IF(T77-((E77+F77+G77)*(1-'Prices&amp;Fuel'!F77))&lt;'Prices&amp;Fuel'!R77,(T77-(E77+F77+G77)*(1-'Prices&amp;Fuel'!F77)),'Prices&amp;Fuel'!R77)/(1-'Prices&amp;Fuel'!F77)</f>
        <v>4325.96401028278</v>
      </c>
      <c r="C77" s="9" t="n">
        <f aca="false">(T77/(1-'Prices&amp;Fuel'!F77))-D77-E77-F77-G77-B77</f>
        <v>0</v>
      </c>
      <c r="D77" s="9" t="n">
        <f aca="false">ROUND(IF(T77/(1-'Prices&amp;Fuel'!F77)-E77-F77-G77-B77&gt;'Prices&amp;Fuel'!T77,'Prices&amp;Fuel'!T77,T77/(1-'Prices&amp;Fuel'!F77)-E77-F77-G77-B77),9)</f>
        <v>0</v>
      </c>
      <c r="E77" s="9" t="n">
        <f aca="false">'Prices&amp;Fuel'!U77/(1-'Prices&amp;Fuel'!F77)</f>
        <v>2635.47557840617</v>
      </c>
      <c r="F77" s="9" t="n">
        <f aca="false">('Prices&amp;Fuel'!V77+'Prices&amp;Fuel'!X77)/(1-'Prices&amp;Fuel'!F77)</f>
        <v>3645.2442159383</v>
      </c>
      <c r="G77" s="9" t="n">
        <f aca="false">'Prices&amp;Fuel'!W77/(1-'Prices&amp;Fuel'!F77)</f>
        <v>1732.64781491003</v>
      </c>
      <c r="H77" s="10" t="n">
        <f aca="false">('Prices&amp;Fuel'!C77+'Prices&amp;Fuel'!D77)/2-0.04+(('Prices&amp;Fuel'!M77+'Prices&amp;Fuel'!P77)*(1-'Prices&amp;Fuel'!F77))</f>
        <v>4.19872225</v>
      </c>
      <c r="I77" s="9" t="n">
        <f aca="false">IF(FPL!L77=80000,0,B77)</f>
        <v>4325.96401028278</v>
      </c>
      <c r="J77" s="9"/>
      <c r="K77" s="10" t="n">
        <f aca="false">(((B77+E77)*('Prices&amp;Fuel'!B77+0.025))+(('Prices&amp;Fuel'!D77+0.025)*(D77+G77))+(('Prices&amp;Fuel'!C77+0.025)*(C77+F77))-(I77+J77)*0.025)/(B77+C77+D77+E77+F77+G77)</f>
        <v>3.49016458333333</v>
      </c>
      <c r="L77" s="9" t="n">
        <f aca="false">(B77+C77+D77+E77+F77+G77)*H77*'Prices&amp;Fuel'!H77</f>
        <v>1554282.78663239</v>
      </c>
      <c r="M77" s="9" t="n">
        <f aca="false">'Prices&amp;Fuel'!X77*('Prices&amp;Fuel'!N77+'Prices&amp;Fuel'!O77)*'Prices&amp;Fuel'!H77</f>
        <v>8621.04574342836</v>
      </c>
      <c r="N77" s="9" t="n">
        <f aca="false">('Prices&amp;Fuel'!U77+'Prices&amp;Fuel'!V77+'Prices&amp;Fuel'!W77)*('Prices&amp;Fuel'!L77+'Prices&amp;Fuel'!O77)*'Prices&amp;Fuel'!H77</f>
        <v>89744.7075194372</v>
      </c>
      <c r="O77" s="9" t="n">
        <f aca="false">((B77+C77+D77)*(1-'Prices&amp;Fuel'!G77))*('Prices&amp;Fuel'!M77+'Prices&amp;Fuel'!P77)*'Prices&amp;Fuel'!H77</f>
        <v>97194.321</v>
      </c>
      <c r="P77" s="9" t="n">
        <f aca="false">((B77+C77+D77+E77+F77+G77)/(1-'Prices&amp;Fuel'!F77))*(1-'Prices&amp;Fuel'!F77)*'Prices&amp;Fuel'!H77*0.005</f>
        <v>1850.89974293059</v>
      </c>
      <c r="Q77" s="9" t="n">
        <f aca="false">((D77+C77+B77+E77+F77+G77)*K77*'Prices&amp;Fuel'!H77)+M77+N77+O77+P77</f>
        <v>1489399.92002122</v>
      </c>
      <c r="R77" s="5" t="n">
        <f aca="false">L77-Q77</f>
        <v>64882.8666111704</v>
      </c>
      <c r="S77" s="12" t="n">
        <f aca="false">R77/(B77+C77+D77+E77+F77+G77)/'Prices&amp;Fuel'!H77</f>
        <v>0.175273854942675</v>
      </c>
      <c r="T77" s="1" t="n">
        <v>12000</v>
      </c>
    </row>
    <row r="78" customFormat="false" ht="11.25" hidden="false" customHeight="false" outlineLevel="0" collapsed="false">
      <c r="A78" s="6" t="n">
        <f aca="false">+A77+365/12</f>
        <v>37969.4166666667</v>
      </c>
      <c r="B78" s="5" t="n">
        <f aca="false">IF(T78-((E78+F78+G78)*(1-'Prices&amp;Fuel'!F78))&lt;'Prices&amp;Fuel'!R78,(T78-(E78+F78+G78)*(1-'Prices&amp;Fuel'!F78)),'Prices&amp;Fuel'!R78)/(1-'Prices&amp;Fuel'!F78)</f>
        <v>4325.96401028278</v>
      </c>
      <c r="C78" s="9" t="n">
        <f aca="false">(T78/(1-'Prices&amp;Fuel'!F78))-D78-E78-F78-G78-B78</f>
        <v>0</v>
      </c>
      <c r="D78" s="9" t="n">
        <f aca="false">ROUND(IF(T78/(1-'Prices&amp;Fuel'!F78)-E78-F78-G78-B78&gt;'Prices&amp;Fuel'!T78,'Prices&amp;Fuel'!T78,T78/(1-'Prices&amp;Fuel'!F78)-E78-F78-G78-B78),9)</f>
        <v>0</v>
      </c>
      <c r="E78" s="9" t="n">
        <f aca="false">'Prices&amp;Fuel'!U78/(1-'Prices&amp;Fuel'!F78)</f>
        <v>2635.47557840617</v>
      </c>
      <c r="F78" s="9" t="n">
        <f aca="false">('Prices&amp;Fuel'!V78+'Prices&amp;Fuel'!X78)/(1-'Prices&amp;Fuel'!F78)</f>
        <v>3645.2442159383</v>
      </c>
      <c r="G78" s="9" t="n">
        <f aca="false">'Prices&amp;Fuel'!W78/(1-'Prices&amp;Fuel'!F78)</f>
        <v>1732.64781491003</v>
      </c>
      <c r="H78" s="10" t="n">
        <f aca="false">('Prices&amp;Fuel'!C78+'Prices&amp;Fuel'!D78)/2-0.04+(('Prices&amp;Fuel'!M78+'Prices&amp;Fuel'!P78)*(1-'Prices&amp;Fuel'!F78))</f>
        <v>3.30992225</v>
      </c>
      <c r="I78" s="9" t="n">
        <f aca="false">IF(FPL!L78=80000,0,B78)</f>
        <v>4325.96401028278</v>
      </c>
      <c r="J78" s="9"/>
      <c r="K78" s="10" t="n">
        <f aca="false">(((B78+E78)*('Prices&amp;Fuel'!B78+0.025))+(('Prices&amp;Fuel'!D78+0.025)*(D78+G78))+(('Prices&amp;Fuel'!C78+0.025)*(C78+F78))-(I78+J78)*0.025)/(B78+C78+D78+E78+F78+G78)</f>
        <v>2.60136458333333</v>
      </c>
      <c r="L78" s="9" t="n">
        <f aca="false">(B78+C78+D78+E78+F78+G78)*H78*'Prices&amp;Fuel'!H78</f>
        <v>1266109.07660668</v>
      </c>
      <c r="M78" s="9" t="n">
        <f aca="false">'Prices&amp;Fuel'!X78*('Prices&amp;Fuel'!N78+'Prices&amp;Fuel'!O78)*'Prices&amp;Fuel'!H78</f>
        <v>8908.41393487597</v>
      </c>
      <c r="N78" s="9" t="n">
        <f aca="false">('Prices&amp;Fuel'!U78+'Prices&amp;Fuel'!V78+'Prices&amp;Fuel'!W78)*('Prices&amp;Fuel'!L78+'Prices&amp;Fuel'!O78)*'Prices&amp;Fuel'!H78</f>
        <v>92736.1977700852</v>
      </c>
      <c r="O78" s="9" t="n">
        <f aca="false">((B78+C78+D78)*(1-'Prices&amp;Fuel'!G78))*('Prices&amp;Fuel'!M78+'Prices&amp;Fuel'!P78)*'Prices&amp;Fuel'!H78</f>
        <v>100434.1317</v>
      </c>
      <c r="P78" s="9" t="n">
        <f aca="false">((B78+C78+D78+E78+F78+G78)/(1-'Prices&amp;Fuel'!F78))*(1-'Prices&amp;Fuel'!F78)*'Prices&amp;Fuel'!H78*0.005</f>
        <v>1912.59640102828</v>
      </c>
      <c r="Q78" s="9" t="n">
        <f aca="false">((D78+C78+B78+E78+F78+G78)*K78*'Prices&amp;Fuel'!H78)+M78+N78+O78+P78</f>
        <v>1199063.44777514</v>
      </c>
      <c r="R78" s="5" t="n">
        <f aca="false">L78-Q78</f>
        <v>67045.6288315428</v>
      </c>
      <c r="S78" s="12" t="n">
        <f aca="false">R78/(B78+C78+D78+E78+F78+G78)/'Prices&amp;Fuel'!H78</f>
        <v>0.175273854942676</v>
      </c>
      <c r="T78" s="1" t="n">
        <f aca="false">T77</f>
        <v>12000</v>
      </c>
    </row>
    <row r="79" customFormat="false" ht="11.25" hidden="false" customHeight="false" outlineLevel="0" collapsed="false">
      <c r="A79" s="6" t="n">
        <f aca="false">+A78+365/12</f>
        <v>37999.8333333333</v>
      </c>
      <c r="B79" s="5" t="n">
        <f aca="false">IF(T79-((E79+F79+G79)*(1-'Prices&amp;Fuel'!F79))&lt;'Prices&amp;Fuel'!R79,(T79-(E79+F79+G79)*(1-'Prices&amp;Fuel'!F79)),'Prices&amp;Fuel'!R79)/(1-'Prices&amp;Fuel'!F79)</f>
        <v>4325.96401028278</v>
      </c>
      <c r="C79" s="9" t="n">
        <f aca="false">(T79/(1-'Prices&amp;Fuel'!F79))-D79-E79-F79-G79-B79</f>
        <v>0</v>
      </c>
      <c r="D79" s="9" t="n">
        <f aca="false">ROUND(IF(T79/(1-'Prices&amp;Fuel'!F79)-E79-F79-G79-B79&gt;'Prices&amp;Fuel'!T79,'Prices&amp;Fuel'!T79,T79/(1-'Prices&amp;Fuel'!F79)-E79-F79-G79-B79),9)</f>
        <v>0</v>
      </c>
      <c r="E79" s="9" t="n">
        <f aca="false">'Prices&amp;Fuel'!U79/(1-'Prices&amp;Fuel'!F79)</f>
        <v>2635.47557840617</v>
      </c>
      <c r="F79" s="9" t="n">
        <f aca="false">('Prices&amp;Fuel'!V79+'Prices&amp;Fuel'!X79)/(1-'Prices&amp;Fuel'!F79)</f>
        <v>3645.2442159383</v>
      </c>
      <c r="G79" s="9" t="n">
        <f aca="false">'Prices&amp;Fuel'!W79/(1-'Prices&amp;Fuel'!F79)</f>
        <v>1732.64781491003</v>
      </c>
      <c r="H79" s="10" t="n">
        <f aca="false">('Prices&amp;Fuel'!C79+'Prices&amp;Fuel'!D79)/2-0.04+(('Prices&amp;Fuel'!M79+'Prices&amp;Fuel'!P79)*(1-'Prices&amp;Fuel'!F79))</f>
        <v>2.99507575</v>
      </c>
      <c r="I79" s="9" t="n">
        <f aca="false">IF(FPL!L79=80000,0,B79)</f>
        <v>4325.96401028278</v>
      </c>
      <c r="J79" s="9"/>
      <c r="K79" s="10" t="n">
        <f aca="false">(((B79+E79)*('Prices&amp;Fuel'!B79+0.025))+(('Prices&amp;Fuel'!D79+0.025)*(D79+G79))+(('Prices&amp;Fuel'!C79+0.025)*(C79+F79))-(I79+J79)*0.025)/(B79+C79+D79+E79+F79+G79)</f>
        <v>2.29099158333333</v>
      </c>
      <c r="L79" s="9" t="n">
        <f aca="false">(B79+C79+D79+E79+F79+G79)*H79*'Prices&amp;Fuel'!H79</f>
        <v>1145674.22005141</v>
      </c>
      <c r="M79" s="9" t="n">
        <f aca="false">'Prices&amp;Fuel'!X79*('Prices&amp;Fuel'!N79+'Prices&amp;Fuel'!O79)*'Prices&amp;Fuel'!H79</f>
        <v>8908.41393487597</v>
      </c>
      <c r="N79" s="9" t="n">
        <f aca="false">('Prices&amp;Fuel'!U79+'Prices&amp;Fuel'!V79+'Prices&amp;Fuel'!W79)*('Prices&amp;Fuel'!L79+'Prices&amp;Fuel'!O79)*'Prices&amp;Fuel'!H79</f>
        <v>92736.1977700852</v>
      </c>
      <c r="O79" s="9" t="n">
        <f aca="false">((B79+C79+D79)*(1-'Prices&amp;Fuel'!G79))*('Prices&amp;Fuel'!M79+'Prices&amp;Fuel'!P79)*'Prices&amp;Fuel'!H79</f>
        <v>99834.2135</v>
      </c>
      <c r="P79" s="9" t="n">
        <f aca="false">((B79+C79+D79+E79+F79+G79)/(1-'Prices&amp;Fuel'!F79))*(1-'Prices&amp;Fuel'!F79)*'Prices&amp;Fuel'!H79*0.005</f>
        <v>1912.59640102828</v>
      </c>
      <c r="Q79" s="9" t="n">
        <f aca="false">((D79+C79+B79+E79+F79+G79)*K79*'Prices&amp;Fuel'!H79)+M79+N79+O79+P79</f>
        <v>1079739.87301987</v>
      </c>
      <c r="R79" s="5" t="n">
        <f aca="false">L79-Q79</f>
        <v>65934.3470315426</v>
      </c>
      <c r="T79" s="1" t="n">
        <f aca="false">T78</f>
        <v>12000</v>
      </c>
    </row>
    <row r="80" customFormat="false" ht="11.25" hidden="false" customHeight="false" outlineLevel="0" collapsed="false">
      <c r="A80" s="6" t="n">
        <f aca="false">+A79+365/12</f>
        <v>38030.25</v>
      </c>
      <c r="B80" s="5" t="n">
        <f aca="false">IF(T80-((E80+F80+G80)*(1-'Prices&amp;Fuel'!F80))&lt;'Prices&amp;Fuel'!R80,(T80-(E80+F80+G80)*(1-'Prices&amp;Fuel'!F80)),'Prices&amp;Fuel'!R80)/(1-'Prices&amp;Fuel'!F80)</f>
        <v>4325.96401028278</v>
      </c>
      <c r="C80" s="9" t="n">
        <f aca="false">(T80/(1-'Prices&amp;Fuel'!F80))-D80-E80-F80-G80-B80</f>
        <v>0</v>
      </c>
      <c r="D80" s="9" t="n">
        <f aca="false">ROUND(IF(T80/(1-'Prices&amp;Fuel'!F80)-E80-F80-G80-B80&gt;'Prices&amp;Fuel'!T80,'Prices&amp;Fuel'!T80,T80/(1-'Prices&amp;Fuel'!F80)-E80-F80-G80-B80),9)</f>
        <v>0</v>
      </c>
      <c r="E80" s="9" t="n">
        <f aca="false">'Prices&amp;Fuel'!U80/(1-'Prices&amp;Fuel'!F80)</f>
        <v>2635.47557840617</v>
      </c>
      <c r="F80" s="9" t="n">
        <f aca="false">('Prices&amp;Fuel'!V80+'Prices&amp;Fuel'!X80)/(1-'Prices&amp;Fuel'!F80)</f>
        <v>3645.2442159383</v>
      </c>
      <c r="G80" s="9" t="n">
        <f aca="false">'Prices&amp;Fuel'!W80/(1-'Prices&amp;Fuel'!F80)</f>
        <v>1732.64781491003</v>
      </c>
      <c r="H80" s="10" t="n">
        <f aca="false">('Prices&amp;Fuel'!C80+'Prices&amp;Fuel'!D80)/2-0.04+(('Prices&amp;Fuel'!M80+'Prices&amp;Fuel'!P80)*(1-'Prices&amp;Fuel'!F80))</f>
        <v>3.27050275</v>
      </c>
      <c r="I80" s="9" t="n">
        <f aca="false">IF(FPL!L80=80000,0,B80)</f>
        <v>4325.96401028278</v>
      </c>
      <c r="J80" s="9"/>
      <c r="K80" s="10" t="n">
        <f aca="false">(((B80+E80)*('Prices&amp;Fuel'!B80+0.025))+(('Prices&amp;Fuel'!D80+0.025)*(D80+G80))+(('Prices&amp;Fuel'!C80+0.025)*(C80+F80))-(I80+J80)*0.025)/(B80+C80+D80+E80+F80+G80)</f>
        <v>2.56641858333333</v>
      </c>
      <c r="L80" s="9" t="n">
        <f aca="false">(B80+C80+D80+E80+F80+G80)*H80*'Prices&amp;Fuel'!H80</f>
        <v>1170318.7218509</v>
      </c>
      <c r="M80" s="9" t="n">
        <f aca="false">'Prices&amp;Fuel'!X80*('Prices&amp;Fuel'!N80+'Prices&amp;Fuel'!O80)*'Prices&amp;Fuel'!H80</f>
        <v>8333.67755198075</v>
      </c>
      <c r="N80" s="9" t="n">
        <f aca="false">('Prices&amp;Fuel'!U80+'Prices&amp;Fuel'!V80+'Prices&amp;Fuel'!W80)*('Prices&amp;Fuel'!L80+'Prices&amp;Fuel'!O80)*'Prices&amp;Fuel'!H80</f>
        <v>86753.2172687894</v>
      </c>
      <c r="O80" s="9" t="n">
        <f aca="false">((B80+C80+D80)*(1-'Prices&amp;Fuel'!G80))*('Prices&amp;Fuel'!M80+'Prices&amp;Fuel'!P80)*'Prices&amp;Fuel'!H80</f>
        <v>93393.2965</v>
      </c>
      <c r="P80" s="9" t="n">
        <f aca="false">((B80+C80+D80+E80+F80+G80)/(1-'Prices&amp;Fuel'!F80))*(1-'Prices&amp;Fuel'!F80)*'Prices&amp;Fuel'!H80*0.005</f>
        <v>1789.2030848329</v>
      </c>
      <c r="Q80" s="9" t="n">
        <f aca="false">((D80+C80+B80+E80+F80+G80)*K80*'Prices&amp;Fuel'!H80)+M80+N80+O80+P80</f>
        <v>1108638.2036601</v>
      </c>
      <c r="R80" s="5" t="n">
        <f aca="false">L80-Q80</f>
        <v>61680.5181907981</v>
      </c>
      <c r="T80" s="1" t="n">
        <f aca="false">T79</f>
        <v>12000</v>
      </c>
    </row>
    <row r="81" customFormat="false" ht="11.25" hidden="false" customHeight="false" outlineLevel="0" collapsed="false">
      <c r="A81" s="6" t="n">
        <f aca="false">+A80+365/12</f>
        <v>38060.6666666667</v>
      </c>
      <c r="B81" s="5" t="n">
        <f aca="false">IF(T81-((E81+F81+G81)*(1-'Prices&amp;Fuel'!F81))&lt;'Prices&amp;Fuel'!R81,(T81-(E81+F81+G81)*(1-'Prices&amp;Fuel'!F81)),'Prices&amp;Fuel'!R81)/(1-'Prices&amp;Fuel'!F81)</f>
        <v>4325.96401028278</v>
      </c>
      <c r="C81" s="9" t="n">
        <f aca="false">(T81/(1-'Prices&amp;Fuel'!F81))-D81-E81-F81-G81-B81</f>
        <v>0</v>
      </c>
      <c r="D81" s="9" t="n">
        <f aca="false">ROUND(IF(T81/(1-'Prices&amp;Fuel'!F81)-E81-F81-G81-B81&gt;'Prices&amp;Fuel'!T81,'Prices&amp;Fuel'!T81,T81/(1-'Prices&amp;Fuel'!F81)-E81-F81-G81-B81),9)</f>
        <v>0</v>
      </c>
      <c r="E81" s="9" t="n">
        <f aca="false">'Prices&amp;Fuel'!U81/(1-'Prices&amp;Fuel'!F81)</f>
        <v>2635.47557840617</v>
      </c>
      <c r="F81" s="9" t="n">
        <f aca="false">('Prices&amp;Fuel'!V81+'Prices&amp;Fuel'!X81)/(1-'Prices&amp;Fuel'!F81)</f>
        <v>3645.2442159383</v>
      </c>
      <c r="G81" s="9" t="n">
        <f aca="false">'Prices&amp;Fuel'!W81/(1-'Prices&amp;Fuel'!F81)</f>
        <v>1732.64781491003</v>
      </c>
      <c r="H81" s="10" t="n">
        <f aca="false">('Prices&amp;Fuel'!C81+'Prices&amp;Fuel'!D81)/2-0.04+(('Prices&amp;Fuel'!M81+'Prices&amp;Fuel'!P81)*(1-'Prices&amp;Fuel'!F81))</f>
        <v>3.27050275</v>
      </c>
      <c r="I81" s="9" t="n">
        <f aca="false">IF(FPL!L81=80000,0,B81)</f>
        <v>4325.96401028278</v>
      </c>
      <c r="J81" s="9"/>
      <c r="K81" s="10" t="n">
        <f aca="false">(((B81+E81)*('Prices&amp;Fuel'!B81+0.025))+(('Prices&amp;Fuel'!D81+0.025)*(D81+G81))+(('Prices&amp;Fuel'!C81+0.025)*(C81+F81))-(I81+J81)*0.025)/(B81+C81+D81+E81+F81+G81)</f>
        <v>2.56641858333333</v>
      </c>
      <c r="L81" s="9" t="n">
        <f aca="false">(B81+C81+D81+E81+F81+G81)*H81*'Prices&amp;Fuel'!H81</f>
        <v>1251030.35784062</v>
      </c>
      <c r="M81" s="9" t="n">
        <f aca="false">'Prices&amp;Fuel'!X81*('Prices&amp;Fuel'!N81+'Prices&amp;Fuel'!O81)*'Prices&amp;Fuel'!H81</f>
        <v>8908.41393487597</v>
      </c>
      <c r="N81" s="9" t="n">
        <f aca="false">('Prices&amp;Fuel'!U81+'Prices&amp;Fuel'!V81+'Prices&amp;Fuel'!W81)*('Prices&amp;Fuel'!L81+'Prices&amp;Fuel'!O81)*'Prices&amp;Fuel'!H81</f>
        <v>92736.1977700852</v>
      </c>
      <c r="O81" s="9" t="n">
        <f aca="false">((B81+C81+D81)*(1-'Prices&amp;Fuel'!G81))*('Prices&amp;Fuel'!M81+'Prices&amp;Fuel'!P81)*'Prices&amp;Fuel'!H81</f>
        <v>99834.2135</v>
      </c>
      <c r="P81" s="9" t="n">
        <f aca="false">((B81+C81+D81+E81+F81+G81)/(1-'Prices&amp;Fuel'!F81))*(1-'Prices&amp;Fuel'!F81)*'Prices&amp;Fuel'!H81*0.005</f>
        <v>1912.59640102828</v>
      </c>
      <c r="Q81" s="9" t="n">
        <f aca="false">((D81+C81+B81+E81+F81+G81)*K81*'Prices&amp;Fuel'!H81)+M81+N81+O81+P81</f>
        <v>1185096.01080907</v>
      </c>
      <c r="R81" s="5" t="n">
        <f aca="false">L81-Q81</f>
        <v>65934.3470315426</v>
      </c>
      <c r="T81" s="1" t="n">
        <f aca="false">T80</f>
        <v>12000</v>
      </c>
    </row>
    <row r="82" customFormat="false" ht="11.25" hidden="false" customHeight="false" outlineLevel="0" collapsed="false">
      <c r="A82" s="6" t="n">
        <f aca="false">+A81+365/12</f>
        <v>38091.0833333333</v>
      </c>
      <c r="B82" s="5" t="n">
        <f aca="false">IF(T82-((E82+F82+G82)*(1-'Prices&amp;Fuel'!F82))&lt;'Prices&amp;Fuel'!R82,(T82-(E82+F82+G82)*(1-'Prices&amp;Fuel'!F82)),'Prices&amp;Fuel'!R82)/(1-'Prices&amp;Fuel'!F82)</f>
        <v>6278.66323907455</v>
      </c>
      <c r="C82" s="9" t="n">
        <f aca="false">(T82/(1-'Prices&amp;Fuel'!F82))-D82-E82-F82-G82-B82</f>
        <v>0</v>
      </c>
      <c r="D82" s="9" t="n">
        <f aca="false">ROUND(IF(T82/(1-'Prices&amp;Fuel'!F82)-E82-F82-G82-B82&gt;'Prices&amp;Fuel'!T82,'Prices&amp;Fuel'!T82,T82/(1-'Prices&amp;Fuel'!F82)-E82-F82-G82-B82),9)</f>
        <v>0</v>
      </c>
      <c r="E82" s="9" t="n">
        <f aca="false">'Prices&amp;Fuel'!U82/(1-'Prices&amp;Fuel'!F82)</f>
        <v>1933.16195372751</v>
      </c>
      <c r="F82" s="9" t="n">
        <f aca="false">('Prices&amp;Fuel'!V82+'Prices&amp;Fuel'!X82)/(1-'Prices&amp;Fuel'!F82)</f>
        <v>2833.93316195373</v>
      </c>
      <c r="G82" s="9" t="n">
        <f aca="false">'Prices&amp;Fuel'!W82/(1-'Prices&amp;Fuel'!F82)</f>
        <v>1293.57326478149</v>
      </c>
      <c r="H82" s="10" t="n">
        <f aca="false">('Prices&amp;Fuel'!C82+'Prices&amp;Fuel'!D82)/2-0.04+(('Prices&amp;Fuel'!M82+'Prices&amp;Fuel'!P82)*(1-'Prices&amp;Fuel'!F82))</f>
        <v>3.54592975</v>
      </c>
      <c r="I82" s="9" t="n">
        <f aca="false">IF(FPL!L82=80000,0,B82)</f>
        <v>6278.66323907455</v>
      </c>
      <c r="J82" s="9"/>
      <c r="K82" s="10" t="n">
        <f aca="false">(((B82+E82)*('Prices&amp;Fuel'!B82+0.025))+(('Prices&amp;Fuel'!D82+0.025)*(D82+G82))+(('Prices&amp;Fuel'!C82+0.025)*(C82+F82))-(I82+J82)*0.025)/(B82+C82+D82+E82+F82+G82)</f>
        <v>2.8335885</v>
      </c>
      <c r="L82" s="9" t="n">
        <f aca="false">(B82+C82+D82+E82+F82+G82)*H82*'Prices&amp;Fuel'!H82</f>
        <v>1312632.09254499</v>
      </c>
      <c r="M82" s="9" t="n">
        <f aca="false">'Prices&amp;Fuel'!X82*('Prices&amp;Fuel'!N82+'Prices&amp;Fuel'!O82)*'Prices&amp;Fuel'!H82</f>
        <v>8621.04574342836</v>
      </c>
      <c r="N82" s="9" t="n">
        <f aca="false">('Prices&amp;Fuel'!U82+'Prices&amp;Fuel'!V82+'Prices&amp;Fuel'!W82)*('Prices&amp;Fuel'!L82+'Prices&amp;Fuel'!O82)*'Prices&amp;Fuel'!H82</f>
        <v>65774.9185490559</v>
      </c>
      <c r="O82" s="9" t="n">
        <f aca="false">((B82+C82+D82)*(1-'Prices&amp;Fuel'!G82))*('Prices&amp;Fuel'!M82+'Prices&amp;Fuel'!P82)*'Prices&amp;Fuel'!H82</f>
        <v>140224.29</v>
      </c>
      <c r="P82" s="9" t="n">
        <f aca="false">((B82+C82+D82+E82+F82+G82)/(1-'Prices&amp;Fuel'!F82))*(1-'Prices&amp;Fuel'!F82)*'Prices&amp;Fuel'!H82*0.005</f>
        <v>1850.89974293059</v>
      </c>
      <c r="Q82" s="9" t="n">
        <f aca="false">((D82+C82+B82+E82+F82+G82)*K82*'Prices&amp;Fuel'!H82)+M82+N82+O82+P82</f>
        <v>1265408.79927963</v>
      </c>
      <c r="R82" s="5" t="n">
        <f aca="false">L82-Q82</f>
        <v>47223.2932653565</v>
      </c>
      <c r="T82" s="1" t="n">
        <f aca="false">T81</f>
        <v>12000</v>
      </c>
    </row>
    <row r="83" customFormat="false" ht="11.25" hidden="false" customHeight="false" outlineLevel="0" collapsed="false">
      <c r="A83" s="6" t="n">
        <f aca="false">+A82+365/12</f>
        <v>38121.5</v>
      </c>
      <c r="B83" s="5" t="n">
        <f aca="false">IF(T83-((E83+F83+G83)*(1-'Prices&amp;Fuel'!F83))&lt;'Prices&amp;Fuel'!R83,(T83-(E83+F83+G83)*(1-'Prices&amp;Fuel'!F83)),'Prices&amp;Fuel'!R83)/(1-'Prices&amp;Fuel'!F83)</f>
        <v>8976.86375321337</v>
      </c>
      <c r="C83" s="9" t="n">
        <f aca="false">(T83/(1-'Prices&amp;Fuel'!F83))-D83-E83-F83-G83-B83</f>
        <v>1.38243194669485E-010</v>
      </c>
      <c r="D83" s="9" t="n">
        <f aca="false">ROUND(IF(T83/(1-'Prices&amp;Fuel'!F83)-E83-F83-G83-B83&gt;'Prices&amp;Fuel'!T83,'Prices&amp;Fuel'!T83,T83/(1-'Prices&amp;Fuel'!F83)-E83-F83-G83-B83),9)</f>
        <v>6556.298200514</v>
      </c>
      <c r="E83" s="9" t="n">
        <f aca="false">'Prices&amp;Fuel'!U83/(1-'Prices&amp;Fuel'!F83)</f>
        <v>1933.16195372751</v>
      </c>
      <c r="F83" s="9" t="n">
        <f aca="false">('Prices&amp;Fuel'!V83+'Prices&amp;Fuel'!X83)/(1-'Prices&amp;Fuel'!F83)</f>
        <v>3062.21079691517</v>
      </c>
      <c r="G83" s="9" t="n">
        <f aca="false">'Prices&amp;Fuel'!W83/(1-'Prices&amp;Fuel'!F83)</f>
        <v>1065.29562982005</v>
      </c>
      <c r="H83" s="10" t="n">
        <f aca="false">('Prices&amp;Fuel'!C83+'Prices&amp;Fuel'!D83)/2-0.04+(('Prices&amp;Fuel'!M83+'Prices&amp;Fuel'!P83)*(1-'Prices&amp;Fuel'!F83))</f>
        <v>3.73974875</v>
      </c>
      <c r="I83" s="9" t="n">
        <f aca="false">IF(FPL!L83=80000,0,B83)</f>
        <v>0</v>
      </c>
      <c r="J83" s="9"/>
      <c r="K83" s="10" t="n">
        <f aca="false">(((B83+E83)*('Prices&amp;Fuel'!B83+0.025))+(('Prices&amp;Fuel'!D83+0.025)*(D83+G83))+(('Prices&amp;Fuel'!C83+0.025)*(C83+F83))-(I83+J83)*0.025)/(B83+C83+D83+E83+F83+G83)</f>
        <v>3.0373380952381</v>
      </c>
      <c r="L83" s="9" t="n">
        <f aca="false">(B83+C83+D83+E83+F83+G83)*H83*'Prices&amp;Fuel'!H83</f>
        <v>2503420.5</v>
      </c>
      <c r="M83" s="9" t="n">
        <f aca="false">'Prices&amp;Fuel'!X83*('Prices&amp;Fuel'!N83+'Prices&amp;Fuel'!O83)*'Prices&amp;Fuel'!H83</f>
        <v>8908.41393487597</v>
      </c>
      <c r="N83" s="9" t="n">
        <f aca="false">('Prices&amp;Fuel'!U83+'Prices&amp;Fuel'!V83+'Prices&amp;Fuel'!W83)*('Prices&amp;Fuel'!L83+'Prices&amp;Fuel'!O83)*'Prices&amp;Fuel'!H83</f>
        <v>67967.4158340245</v>
      </c>
      <c r="O83" s="9" t="n">
        <f aca="false">((B83+C83+D83)*(1-'Prices&amp;Fuel'!G83))*('Prices&amp;Fuel'!M83+'Prices&amp;Fuel'!P83)*'Prices&amp;Fuel'!H83</f>
        <v>358472.933</v>
      </c>
      <c r="P83" s="9" t="n">
        <f aca="false">((B83+C83+D83+E83+F83+G83)/(1-'Prices&amp;Fuel'!F83))*(1-'Prices&amp;Fuel'!F83)*'Prices&amp;Fuel'!H83*0.005</f>
        <v>3347.04370179949</v>
      </c>
      <c r="Q83" s="9" t="n">
        <f aca="false">((D83+C83+B83+E83+F83+G83)*K83*'Prices&amp;Fuel'!H83)+M83+N83+O83+P83</f>
        <v>2471916.47485116</v>
      </c>
      <c r="R83" s="5" t="n">
        <f aca="false">L83-Q83</f>
        <v>31504.0251488364</v>
      </c>
      <c r="T83" s="1" t="n">
        <v>21000</v>
      </c>
    </row>
    <row r="84" customFormat="false" ht="11.25" hidden="false" customHeight="false" outlineLevel="0" collapsed="false">
      <c r="A84" s="6" t="n">
        <f aca="false">+A83+365/12</f>
        <v>38151.9166666667</v>
      </c>
      <c r="B84" s="5" t="n">
        <f aca="false">IF(T84-((E84+F84+G84)*(1-'Prices&amp;Fuel'!F84))&lt;'Prices&amp;Fuel'!R84,(T84-(E84+F84+G84)*(1-'Prices&amp;Fuel'!F84)),'Prices&amp;Fuel'!R84)/(1-'Prices&amp;Fuel'!F84)</f>
        <v>8976.86375321337</v>
      </c>
      <c r="C84" s="9" t="n">
        <f aca="false">(T84/(1-'Prices&amp;Fuel'!F84))-D84-E84-F84-G84-B84</f>
        <v>1.38243194669485E-010</v>
      </c>
      <c r="D84" s="9" t="n">
        <f aca="false">ROUND(IF(T84/(1-'Prices&amp;Fuel'!F84)-E84-F84-G84-B84&gt;'Prices&amp;Fuel'!T84,'Prices&amp;Fuel'!T84,T84/(1-'Prices&amp;Fuel'!F84)-E84-F84-G84-B84),9)</f>
        <v>6556.298200514</v>
      </c>
      <c r="E84" s="9" t="n">
        <f aca="false">'Prices&amp;Fuel'!U84/(1-'Prices&amp;Fuel'!F84)</f>
        <v>1933.16195372751</v>
      </c>
      <c r="F84" s="9" t="n">
        <f aca="false">('Prices&amp;Fuel'!V84+'Prices&amp;Fuel'!X84)/(1-'Prices&amp;Fuel'!F84)</f>
        <v>3062.21079691517</v>
      </c>
      <c r="G84" s="9" t="n">
        <f aca="false">'Prices&amp;Fuel'!W84/(1-'Prices&amp;Fuel'!F84)</f>
        <v>1065.29562982005</v>
      </c>
      <c r="H84" s="10" t="n">
        <f aca="false">('Prices&amp;Fuel'!C84+'Prices&amp;Fuel'!D84)/2-0.04+(('Prices&amp;Fuel'!M84+'Prices&amp;Fuel'!P84)*(1-'Prices&amp;Fuel'!F84))</f>
        <v>5.07607975</v>
      </c>
      <c r="I84" s="9" t="n">
        <f aca="false">IF(FPL!L84=80000,0,B84)</f>
        <v>0</v>
      </c>
      <c r="J84" s="9"/>
      <c r="K84" s="10" t="n">
        <f aca="false">(((B84+E84)*('Prices&amp;Fuel'!B84+0.025))+(('Prices&amp;Fuel'!D84+0.025)*(D84+G84))+(('Prices&amp;Fuel'!C84+0.025)*(C84+F84))-(I84+J84)*0.025)/(B84+C84+D84+E84+F84+G84)</f>
        <v>4.3736690952381</v>
      </c>
      <c r="L84" s="9" t="n">
        <f aca="false">(B84+C84+D84+E84+F84+G84)*H84*'Prices&amp;Fuel'!H84</f>
        <v>3288360.14652956</v>
      </c>
      <c r="M84" s="9" t="n">
        <f aca="false">'Prices&amp;Fuel'!X84*('Prices&amp;Fuel'!N84+'Prices&amp;Fuel'!O84)*'Prices&amp;Fuel'!H84</f>
        <v>8621.04574342836</v>
      </c>
      <c r="N84" s="9" t="n">
        <f aca="false">('Prices&amp;Fuel'!U84+'Prices&amp;Fuel'!V84+'Prices&amp;Fuel'!W84)*('Prices&amp;Fuel'!L84+'Prices&amp;Fuel'!O84)*'Prices&amp;Fuel'!H84</f>
        <v>65774.9185490559</v>
      </c>
      <c r="O84" s="9" t="n">
        <f aca="false">((B84+C84+D84)*(1-'Prices&amp;Fuel'!G84))*('Prices&amp;Fuel'!M84+'Prices&amp;Fuel'!P84)*'Prices&amp;Fuel'!H84</f>
        <v>346909.29</v>
      </c>
      <c r="P84" s="9" t="n">
        <f aca="false">((B84+C84+D84+E84+F84+G84)/(1-'Prices&amp;Fuel'!F84))*(1-'Prices&amp;Fuel'!F84)*'Prices&amp;Fuel'!H84*0.005</f>
        <v>3239.07455012853</v>
      </c>
      <c r="Q84" s="9" t="n">
        <f aca="false">((D84+C84+B84+E84+F84+G84)*K84*'Prices&amp;Fuel'!H84)+M84+N84+O84+P84</f>
        <v>3257872.38025649</v>
      </c>
      <c r="R84" s="5" t="n">
        <f aca="false">L84-Q84</f>
        <v>30487.7662730673</v>
      </c>
      <c r="T84" s="1" t="n">
        <f aca="false">T83</f>
        <v>21000</v>
      </c>
    </row>
    <row r="85" customFormat="false" ht="11.25" hidden="false" customHeight="false" outlineLevel="0" collapsed="false">
      <c r="A85" s="6" t="n">
        <f aca="false">+A84+365/12</f>
        <v>38182.3333333333</v>
      </c>
      <c r="B85" s="5" t="n">
        <f aca="false">IF(T85-((E85+F85+G85)*(1-'Prices&amp;Fuel'!F85))&lt;'Prices&amp;Fuel'!R85,(T85-(E85+F85+G85)*(1-'Prices&amp;Fuel'!F85)),'Prices&amp;Fuel'!R85)/(1-'Prices&amp;Fuel'!F85)</f>
        <v>8976.86375321337</v>
      </c>
      <c r="C85" s="9" t="n">
        <f aca="false">(T85/(1-'Prices&amp;Fuel'!F85))-D85-E85-F85-G85-B85</f>
        <v>1.38243194669485E-010</v>
      </c>
      <c r="D85" s="9" t="n">
        <f aca="false">ROUND(IF(T85/(1-'Prices&amp;Fuel'!F85)-E85-F85-G85-B85&gt;'Prices&amp;Fuel'!T85,'Prices&amp;Fuel'!T85,T85/(1-'Prices&amp;Fuel'!F85)-E85-F85-G85-B85),9)</f>
        <v>6556.298200514</v>
      </c>
      <c r="E85" s="9" t="n">
        <f aca="false">'Prices&amp;Fuel'!U85/(1-'Prices&amp;Fuel'!F85)</f>
        <v>1933.16195372751</v>
      </c>
      <c r="F85" s="9" t="n">
        <f aca="false">('Prices&amp;Fuel'!V85+'Prices&amp;Fuel'!X85)/(1-'Prices&amp;Fuel'!F85)</f>
        <v>3062.21079691517</v>
      </c>
      <c r="G85" s="9" t="n">
        <f aca="false">'Prices&amp;Fuel'!W85/(1-'Prices&amp;Fuel'!F85)</f>
        <v>1065.29562982005</v>
      </c>
      <c r="H85" s="10" t="n">
        <f aca="false">('Prices&amp;Fuel'!C85+'Prices&amp;Fuel'!D85)/2-0.04+(('Prices&amp;Fuel'!M85+'Prices&amp;Fuel'!P85)*(1-'Prices&amp;Fuel'!F85))</f>
        <v>5.06587875</v>
      </c>
      <c r="I85" s="9" t="n">
        <f aca="false">IF(FPL!L85=80000,0,B85)</f>
        <v>0</v>
      </c>
      <c r="J85" s="9"/>
      <c r="K85" s="10" t="n">
        <f aca="false">(((B85+E85)*('Prices&amp;Fuel'!B85+0.025))+(('Prices&amp;Fuel'!D85+0.025)*(D85+G85))+(('Prices&amp;Fuel'!C85+0.025)*(C85+F85))-(I85+J85)*0.025)/(B85+C85+D85+E85+F85+G85)</f>
        <v>4.3634680952381</v>
      </c>
      <c r="L85" s="9" t="n">
        <f aca="false">(B85+C85+D85+E85+F85+G85)*H85*'Prices&amp;Fuel'!H85</f>
        <v>3391143.51285347</v>
      </c>
      <c r="M85" s="9" t="n">
        <f aca="false">'Prices&amp;Fuel'!X85*('Prices&amp;Fuel'!N85+'Prices&amp;Fuel'!O85)*'Prices&amp;Fuel'!H85</f>
        <v>8908.41393487597</v>
      </c>
      <c r="N85" s="9" t="n">
        <f aca="false">('Prices&amp;Fuel'!U85+'Prices&amp;Fuel'!V85+'Prices&amp;Fuel'!W85)*('Prices&amp;Fuel'!L85+'Prices&amp;Fuel'!O85)*'Prices&amp;Fuel'!H85</f>
        <v>67967.4158340245</v>
      </c>
      <c r="O85" s="9" t="n">
        <f aca="false">((B85+C85+D85)*(1-'Prices&amp;Fuel'!G85))*('Prices&amp;Fuel'!M85+'Prices&amp;Fuel'!P85)*'Prices&amp;Fuel'!H85</f>
        <v>358472.933</v>
      </c>
      <c r="P85" s="9" t="n">
        <f aca="false">((B85+C85+D85+E85+F85+G85)/(1-'Prices&amp;Fuel'!F85))*(1-'Prices&amp;Fuel'!F85)*'Prices&amp;Fuel'!H85*0.005</f>
        <v>3347.04370179949</v>
      </c>
      <c r="Q85" s="9" t="n">
        <f aca="false">((D85+C85+B85+E85+F85+G85)*K85*'Prices&amp;Fuel'!H85)+M85+N85+O85+P85</f>
        <v>3359639.48770463</v>
      </c>
      <c r="R85" s="5" t="n">
        <f aca="false">L85-Q85</f>
        <v>31504.0251488374</v>
      </c>
      <c r="T85" s="1" t="n">
        <f aca="false">T84</f>
        <v>21000</v>
      </c>
    </row>
    <row r="86" customFormat="false" ht="11.25" hidden="false" customHeight="false" outlineLevel="0" collapsed="false">
      <c r="A86" s="6" t="n">
        <f aca="false">+A85+365/12</f>
        <v>38212.75</v>
      </c>
      <c r="B86" s="5" t="n">
        <f aca="false">IF(T86-((E86+F86+G86)*(1-'Prices&amp;Fuel'!F86))&lt;'Prices&amp;Fuel'!R86,(T86-(E86+F86+G86)*(1-'Prices&amp;Fuel'!F86)),'Prices&amp;Fuel'!R86)/(1-'Prices&amp;Fuel'!F86)</f>
        <v>8976.86375321337</v>
      </c>
      <c r="C86" s="9" t="n">
        <f aca="false">(T86/(1-'Prices&amp;Fuel'!F86))-D86-E86-F86-G86-B86</f>
        <v>1.38243194669485E-010</v>
      </c>
      <c r="D86" s="9" t="n">
        <f aca="false">ROUND(IF(T86/(1-'Prices&amp;Fuel'!F86)-E86-F86-G86-B86&gt;'Prices&amp;Fuel'!T86,'Prices&amp;Fuel'!T86,T86/(1-'Prices&amp;Fuel'!F86)-E86-F86-G86-B86),9)</f>
        <v>6556.298200514</v>
      </c>
      <c r="E86" s="9" t="n">
        <f aca="false">'Prices&amp;Fuel'!U86/(1-'Prices&amp;Fuel'!F86)</f>
        <v>1933.16195372751</v>
      </c>
      <c r="F86" s="9" t="n">
        <f aca="false">('Prices&amp;Fuel'!V86+'Prices&amp;Fuel'!X86)/(1-'Prices&amp;Fuel'!F86)</f>
        <v>3062.21079691517</v>
      </c>
      <c r="G86" s="9" t="n">
        <f aca="false">'Prices&amp;Fuel'!W86/(1-'Prices&amp;Fuel'!F86)</f>
        <v>1065.29562982005</v>
      </c>
      <c r="H86" s="10" t="n">
        <f aca="false">('Prices&amp;Fuel'!C86+'Prices&amp;Fuel'!D86)/2-0.04+(('Prices&amp;Fuel'!M86+'Prices&amp;Fuel'!P86)*(1-'Prices&amp;Fuel'!F86))</f>
        <v>4.51502475</v>
      </c>
      <c r="I86" s="9" t="n">
        <f aca="false">IF(FPL!L86=80000,0,B86)</f>
        <v>0</v>
      </c>
      <c r="J86" s="9"/>
      <c r="K86" s="10" t="n">
        <f aca="false">(((B86+E86)*('Prices&amp;Fuel'!B86+0.025))+(('Prices&amp;Fuel'!D86+0.025)*(D86+G86))+(('Prices&amp;Fuel'!C86+0.025)*(C86+F86))-(I86+J86)*0.025)/(B86+C86+D86+E86+F86+G86)</f>
        <v>3.8126140952381</v>
      </c>
      <c r="L86" s="9" t="n">
        <f aca="false">(B86+C86+D86+E86+F86+G86)*H86*'Prices&amp;Fuel'!H86</f>
        <v>3022397.03059126</v>
      </c>
      <c r="M86" s="9" t="n">
        <f aca="false">'Prices&amp;Fuel'!X86*('Prices&amp;Fuel'!N86+'Prices&amp;Fuel'!O86)*'Prices&amp;Fuel'!H86</f>
        <v>8908.41393487597</v>
      </c>
      <c r="N86" s="9" t="n">
        <f aca="false">('Prices&amp;Fuel'!U86+'Prices&amp;Fuel'!V86+'Prices&amp;Fuel'!W86)*('Prices&amp;Fuel'!L86+'Prices&amp;Fuel'!O86)*'Prices&amp;Fuel'!H86</f>
        <v>67967.4158340245</v>
      </c>
      <c r="O86" s="9" t="n">
        <f aca="false">((B86+C86+D86)*(1-'Prices&amp;Fuel'!G86))*('Prices&amp;Fuel'!M86+'Prices&amp;Fuel'!P86)*'Prices&amp;Fuel'!H86</f>
        <v>358472.933</v>
      </c>
      <c r="P86" s="9" t="n">
        <f aca="false">((B86+C86+D86+E86+F86+G86)/(1-'Prices&amp;Fuel'!F86))*(1-'Prices&amp;Fuel'!F86)*'Prices&amp;Fuel'!H86*0.005</f>
        <v>3347.04370179949</v>
      </c>
      <c r="Q86" s="9" t="n">
        <f aca="false">((D86+C86+B86+E86+F86+G86)*K86*'Prices&amp;Fuel'!H86)+M86+N86+O86+P86</f>
        <v>2990893.00544242</v>
      </c>
      <c r="R86" s="5" t="n">
        <f aca="false">L86-Q86</f>
        <v>31504.0251488369</v>
      </c>
      <c r="T86" s="1" t="n">
        <f aca="false">T85</f>
        <v>21000</v>
      </c>
    </row>
    <row r="87" customFormat="false" ht="11.25" hidden="false" customHeight="false" outlineLevel="0" collapsed="false">
      <c r="A87" s="6" t="n">
        <f aca="false">+A86+365/12</f>
        <v>38243.1666666667</v>
      </c>
      <c r="B87" s="5" t="n">
        <f aca="false">IF(T87-((E87+F87+G87)*(1-'Prices&amp;Fuel'!F87))&lt;'Prices&amp;Fuel'!R87,(T87-(E87+F87+G87)*(1-'Prices&amp;Fuel'!F87)),'Prices&amp;Fuel'!R87)/(1-'Prices&amp;Fuel'!F87)</f>
        <v>8976.86375321337</v>
      </c>
      <c r="C87" s="9" t="n">
        <f aca="false">(T87/(1-'Prices&amp;Fuel'!F87))-D87-E87-F87-G87-B87</f>
        <v>1.38243194669485E-010</v>
      </c>
      <c r="D87" s="9" t="n">
        <f aca="false">ROUND(IF(T87/(1-'Prices&amp;Fuel'!F87)-E87-F87-G87-B87&gt;'Prices&amp;Fuel'!T87,'Prices&amp;Fuel'!T87,T87/(1-'Prices&amp;Fuel'!F87)-E87-F87-G87-B87),9)</f>
        <v>6556.298200514</v>
      </c>
      <c r="E87" s="9" t="n">
        <f aca="false">'Prices&amp;Fuel'!U87/(1-'Prices&amp;Fuel'!F87)</f>
        <v>1933.16195372751</v>
      </c>
      <c r="F87" s="9" t="n">
        <f aca="false">('Prices&amp;Fuel'!V87+'Prices&amp;Fuel'!X87)/(1-'Prices&amp;Fuel'!F87)</f>
        <v>3062.21079691517</v>
      </c>
      <c r="G87" s="9" t="n">
        <f aca="false">'Prices&amp;Fuel'!W87/(1-'Prices&amp;Fuel'!F87)</f>
        <v>1065.29562982005</v>
      </c>
      <c r="H87" s="10" t="n">
        <f aca="false">('Prices&amp;Fuel'!C87+'Prices&amp;Fuel'!D87)/2-0.04+(('Prices&amp;Fuel'!M87+'Prices&amp;Fuel'!P87)*(1-'Prices&amp;Fuel'!F87))</f>
        <v>5.30050175</v>
      </c>
      <c r="I87" s="9" t="n">
        <f aca="false">IF(FPL!L87=80000,0,B87)</f>
        <v>0</v>
      </c>
      <c r="J87" s="9"/>
      <c r="K87" s="10" t="n">
        <f aca="false">(((B87+E87)*('Prices&amp;Fuel'!B87+0.025))+(('Prices&amp;Fuel'!D87+0.025)*(D87+G87))+(('Prices&amp;Fuel'!C87+0.025)*(C87+F87))-(I87+J87)*0.025)/(B87+C87+D87+E87+F87+G87)</f>
        <v>4.5980910952381</v>
      </c>
      <c r="L87" s="9" t="n">
        <f aca="false">(B87+C87+D87+E87+F87+G87)*H87*'Prices&amp;Fuel'!H87</f>
        <v>3433744.06426735</v>
      </c>
      <c r="M87" s="9" t="n">
        <f aca="false">'Prices&amp;Fuel'!X87*('Prices&amp;Fuel'!N87+'Prices&amp;Fuel'!O87)*'Prices&amp;Fuel'!H87</f>
        <v>8621.04574342836</v>
      </c>
      <c r="N87" s="9" t="n">
        <f aca="false">('Prices&amp;Fuel'!U87+'Prices&amp;Fuel'!V87+'Prices&amp;Fuel'!W87)*('Prices&amp;Fuel'!L87+'Prices&amp;Fuel'!O87)*'Prices&amp;Fuel'!H87</f>
        <v>65774.9185490559</v>
      </c>
      <c r="O87" s="9" t="n">
        <f aca="false">((B87+C87+D87)*(1-'Prices&amp;Fuel'!G87))*('Prices&amp;Fuel'!M87+'Prices&amp;Fuel'!P87)*'Prices&amp;Fuel'!H87</f>
        <v>346909.29</v>
      </c>
      <c r="P87" s="9" t="n">
        <f aca="false">((B87+C87+D87+E87+F87+G87)/(1-'Prices&amp;Fuel'!F87))*(1-'Prices&amp;Fuel'!F87)*'Prices&amp;Fuel'!H87*0.005</f>
        <v>3239.07455012853</v>
      </c>
      <c r="Q87" s="9" t="n">
        <f aca="false">((D87+C87+B87+E87+F87+G87)*K87*'Prices&amp;Fuel'!H87)+M87+N87+O87+P87</f>
        <v>3403256.29799428</v>
      </c>
      <c r="R87" s="5" t="n">
        <f aca="false">L87-Q87</f>
        <v>30487.7662730683</v>
      </c>
      <c r="T87" s="1" t="n">
        <f aca="false">T86</f>
        <v>21000</v>
      </c>
    </row>
    <row r="88" customFormat="false" ht="11.25" hidden="false" customHeight="false" outlineLevel="0" collapsed="false">
      <c r="A88" s="6" t="n">
        <f aca="false">+A87+365/12</f>
        <v>38273.5833333333</v>
      </c>
      <c r="B88" s="5" t="n">
        <f aca="false">IF(T88-((E88+F88+G88)*(1-'Prices&amp;Fuel'!F88))&lt;'Prices&amp;Fuel'!R88,(T88-(E88+F88+G88)*(1-'Prices&amp;Fuel'!F88)),'Prices&amp;Fuel'!R88)/(1-'Prices&amp;Fuel'!F88)</f>
        <v>8976.86375321337</v>
      </c>
      <c r="C88" s="9" t="n">
        <f aca="false">(T88/(1-'Prices&amp;Fuel'!F88))-D88-E88-F88-G88-B88</f>
        <v>2.0190782379359E-010</v>
      </c>
      <c r="D88" s="9" t="n">
        <f aca="false">ROUND(IF(T88/(1-'Prices&amp;Fuel'!F88)-E88-F88-G88-B88&gt;'Prices&amp;Fuel'!T88,'Prices&amp;Fuel'!T88,T88/(1-'Prices&amp;Fuel'!F88)-E88-F88-G88-B88),9)</f>
        <v>3514.652956298</v>
      </c>
      <c r="E88" s="9" t="n">
        <f aca="false">'Prices&amp;Fuel'!U88/(1-'Prices&amp;Fuel'!F88)</f>
        <v>2910.02570694087</v>
      </c>
      <c r="F88" s="9" t="n">
        <f aca="false">('Prices&amp;Fuel'!V88+'Prices&amp;Fuel'!X88)/(1-'Prices&amp;Fuel'!F88)</f>
        <v>4628.27763496144</v>
      </c>
      <c r="G88" s="9" t="n">
        <f aca="false">'Prices&amp;Fuel'!W88/(1-'Prices&amp;Fuel'!F88)</f>
        <v>1564.01028277635</v>
      </c>
      <c r="H88" s="10" t="n">
        <f aca="false">('Prices&amp;Fuel'!C88+'Prices&amp;Fuel'!D88)/2-0.04+(('Prices&amp;Fuel'!M88+'Prices&amp;Fuel'!P88)*(1-'Prices&amp;Fuel'!F88))</f>
        <v>5.99416975</v>
      </c>
      <c r="I88" s="9" t="n">
        <f aca="false">IF(FPL!L88=80000,0,B88)</f>
        <v>8976.86375321337</v>
      </c>
      <c r="J88" s="9"/>
      <c r="K88" s="10" t="n">
        <f aca="false">(((B88+E88)*('Prices&amp;Fuel'!B88+0.025))+(('Prices&amp;Fuel'!D88+0.025)*(D88+G88))+(('Prices&amp;Fuel'!C88+0.025)*(C88+F88))-(I88+J88)*0.025)/(B88+C88+D88+E88+F88+G88)</f>
        <v>5.28454004761905</v>
      </c>
      <c r="L88" s="9" t="n">
        <f aca="false">(B88+C88+D88+E88+F88+G88)*H88*'Prices&amp;Fuel'!H88</f>
        <v>4012549.6218509</v>
      </c>
      <c r="M88" s="9" t="n">
        <f aca="false">'Prices&amp;Fuel'!X88*('Prices&amp;Fuel'!N88+'Prices&amp;Fuel'!O88)*'Prices&amp;Fuel'!H88</f>
        <v>13056.1088562384</v>
      </c>
      <c r="N88" s="9" t="n">
        <f aca="false">('Prices&amp;Fuel'!U88+'Prices&amp;Fuel'!V88+'Prices&amp;Fuel'!W88)*('Prices&amp;Fuel'!L88+'Prices&amp;Fuel'!O88)*'Prices&amp;Fuel'!H88</f>
        <v>102401.109520807</v>
      </c>
      <c r="O88" s="9" t="n">
        <f aca="false">((B88+C88+D88)*(1-'Prices&amp;Fuel'!G88))*('Prices&amp;Fuel'!M88+'Prices&amp;Fuel'!P88)*'Prices&amp;Fuel'!H88</f>
        <v>288278.114</v>
      </c>
      <c r="P88" s="9" t="n">
        <f aca="false">((B88+C88+D88+E88+F88+G88)/(1-'Prices&amp;Fuel'!F88))*(1-'Prices&amp;Fuel'!F88)*'Prices&amp;Fuel'!H88*0.005</f>
        <v>3347.04370179949</v>
      </c>
      <c r="Q88" s="9" t="n">
        <f aca="false">((D88+C88+B88+E88+F88+G88)*K88*'Prices&amp;Fuel'!H88)+M88+N88+O88+P88</f>
        <v>3944599.67273694</v>
      </c>
      <c r="R88" s="5" t="n">
        <f aca="false">L88-Q88</f>
        <v>67949.9491139557</v>
      </c>
      <c r="T88" s="1" t="n">
        <f aca="false">T87</f>
        <v>21000</v>
      </c>
    </row>
    <row r="89" customFormat="false" ht="11.25" hidden="false" customHeight="false" outlineLevel="0" collapsed="false">
      <c r="A89" s="6" t="n">
        <f aca="false">+A88+365/12</f>
        <v>38304</v>
      </c>
      <c r="B89" s="5" t="n">
        <f aca="false">IF(T89-((E89+F89+G89)*(1-'Prices&amp;Fuel'!F89))&lt;'Prices&amp;Fuel'!R89,(T89-(E89+F89+G89)*(1-'Prices&amp;Fuel'!F89)),'Prices&amp;Fuel'!R89)/(1-'Prices&amp;Fuel'!F89)</f>
        <v>4325.96401028278</v>
      </c>
      <c r="C89" s="9" t="n">
        <f aca="false">(T89/(1-'Prices&amp;Fuel'!F89))-D89-E89-F89-G89-B89</f>
        <v>0</v>
      </c>
      <c r="D89" s="9" t="n">
        <f aca="false">ROUND(IF(T89/(1-'Prices&amp;Fuel'!F89)-E89-F89-G89-B89&gt;'Prices&amp;Fuel'!T89,'Prices&amp;Fuel'!T89,T89/(1-'Prices&amp;Fuel'!F89)-E89-F89-G89-B89),9)</f>
        <v>0</v>
      </c>
      <c r="E89" s="9" t="n">
        <f aca="false">'Prices&amp;Fuel'!U89/(1-'Prices&amp;Fuel'!F89)</f>
        <v>2635.47557840617</v>
      </c>
      <c r="F89" s="9" t="n">
        <f aca="false">('Prices&amp;Fuel'!V89+'Prices&amp;Fuel'!X89)/(1-'Prices&amp;Fuel'!F89)</f>
        <v>3645.2442159383</v>
      </c>
      <c r="G89" s="9" t="n">
        <f aca="false">'Prices&amp;Fuel'!W89/(1-'Prices&amp;Fuel'!F89)</f>
        <v>1732.64781491003</v>
      </c>
      <c r="H89" s="10" t="n">
        <f aca="false">('Prices&amp;Fuel'!C89+'Prices&amp;Fuel'!D89)/2-0.03+(('Prices&amp;Fuel'!M89+'Prices&amp;Fuel'!P89)*(1-'Prices&amp;Fuel'!F89))</f>
        <v>4.23939675</v>
      </c>
      <c r="I89" s="9" t="n">
        <f aca="false">IF(FPL!L89=80000,0,B89)</f>
        <v>4325.96401028278</v>
      </c>
      <c r="J89" s="9"/>
      <c r="K89" s="10" t="n">
        <f aca="false">(((B89+E89)*('Prices&amp;Fuel'!B89+0.025))+(('Prices&amp;Fuel'!D89+0.025)*(D89+G89))+(('Prices&amp;Fuel'!C89+0.025)*(C89+F89))-(I89+J89)*0.025)/(B89+C89+D89+E89+F89+G89)</f>
        <v>3.52531258333333</v>
      </c>
      <c r="L89" s="9" t="n">
        <f aca="false">(B89+C89+D89+E89+F89+G89)*H89*'Prices&amp;Fuel'!H89</f>
        <v>1569339.67095116</v>
      </c>
      <c r="M89" s="9" t="n">
        <f aca="false">'Prices&amp;Fuel'!X89*('Prices&amp;Fuel'!N89+'Prices&amp;Fuel'!O89)*'Prices&amp;Fuel'!H89</f>
        <v>8621.04574342836</v>
      </c>
      <c r="N89" s="9" t="n">
        <f aca="false">('Prices&amp;Fuel'!U89+'Prices&amp;Fuel'!V89+'Prices&amp;Fuel'!W89)*('Prices&amp;Fuel'!L89+'Prices&amp;Fuel'!O89)*'Prices&amp;Fuel'!H89</f>
        <v>89744.7075194372</v>
      </c>
      <c r="O89" s="9" t="n">
        <f aca="false">((B89+C89+D89)*(1-'Prices&amp;Fuel'!G89))*('Prices&amp;Fuel'!M89+'Prices&amp;Fuel'!P89)*'Prices&amp;Fuel'!H89</f>
        <v>96613.755</v>
      </c>
      <c r="P89" s="9" t="n">
        <f aca="false">((B89+C89+D89+E89+F89+G89)/(1-'Prices&amp;Fuel'!F89))*(1-'Prices&amp;Fuel'!F89)*'Prices&amp;Fuel'!H89*0.005</f>
        <v>1850.89974293059</v>
      </c>
      <c r="Q89" s="9" t="n">
        <f aca="false">((D89+C89+B89+E89+F89+G89)*K89*'Prices&amp;Fuel'!H89)+M89+N89+O89+P89</f>
        <v>1501830.43885413</v>
      </c>
      <c r="R89" s="5" t="n">
        <f aca="false">L89-Q89</f>
        <v>67509.2320970318</v>
      </c>
      <c r="T89" s="1" t="n">
        <v>12000</v>
      </c>
    </row>
    <row r="90" customFormat="false" ht="11.25" hidden="false" customHeight="false" outlineLevel="0" collapsed="false">
      <c r="A90" s="6" t="n">
        <f aca="false">+A89+365/12</f>
        <v>38334.4166666667</v>
      </c>
      <c r="B90" s="5" t="n">
        <f aca="false">IF(T90-((E90+F90+G90)*(1-'Prices&amp;Fuel'!F90))&lt;'Prices&amp;Fuel'!R90,(T90-(E90+F90+G90)*(1-'Prices&amp;Fuel'!F90)),'Prices&amp;Fuel'!R90)/(1-'Prices&amp;Fuel'!F90)</f>
        <v>4325.96401028278</v>
      </c>
      <c r="C90" s="9" t="n">
        <f aca="false">(T90/(1-'Prices&amp;Fuel'!F90))-D90-E90-F90-G90-B90</f>
        <v>0</v>
      </c>
      <c r="D90" s="9" t="n">
        <f aca="false">ROUND(IF(T90/(1-'Prices&amp;Fuel'!F90)-E90-F90-G90-B90&gt;'Prices&amp;Fuel'!T90,'Prices&amp;Fuel'!T90,T90/(1-'Prices&amp;Fuel'!F90)-E90-F90-G90-B90),9)</f>
        <v>0</v>
      </c>
      <c r="E90" s="9" t="n">
        <f aca="false">'Prices&amp;Fuel'!U90/(1-'Prices&amp;Fuel'!F90)</f>
        <v>2635.47557840617</v>
      </c>
      <c r="F90" s="9" t="n">
        <f aca="false">('Prices&amp;Fuel'!V90+'Prices&amp;Fuel'!X90)/(1-'Prices&amp;Fuel'!F90)</f>
        <v>3645.2442159383</v>
      </c>
      <c r="G90" s="9" t="n">
        <f aca="false">'Prices&amp;Fuel'!W90/(1-'Prices&amp;Fuel'!F90)</f>
        <v>1732.64781491003</v>
      </c>
      <c r="H90" s="10" t="n">
        <f aca="false">('Prices&amp;Fuel'!C90+'Prices&amp;Fuel'!D90)/2-0.03+(('Prices&amp;Fuel'!M90+'Prices&amp;Fuel'!P90)*(1-'Prices&amp;Fuel'!F90))</f>
        <v>3.34170875</v>
      </c>
      <c r="I90" s="9" t="n">
        <f aca="false">IF(FPL!L90=80000,0,B90)</f>
        <v>4325.96401028278</v>
      </c>
      <c r="J90" s="9"/>
      <c r="K90" s="10" t="n">
        <f aca="false">(((B90+E90)*('Prices&amp;Fuel'!B90+0.025))+(('Prices&amp;Fuel'!D90+0.025)*(D90+G90))+(('Prices&amp;Fuel'!C90+0.025)*(C90+F90))-(I90+J90)*0.025)/(B90+C90+D90+E90+F90+G90)</f>
        <v>2.62762458333333</v>
      </c>
      <c r="L90" s="9" t="n">
        <f aca="false">(B90+C90+D90+E90+F90+G90)*H90*'Prices&amp;Fuel'!H90</f>
        <v>1278268.02570694</v>
      </c>
      <c r="M90" s="9" t="n">
        <f aca="false">'Prices&amp;Fuel'!X90*('Prices&amp;Fuel'!N90+'Prices&amp;Fuel'!O90)*'Prices&amp;Fuel'!H90</f>
        <v>8908.41393487597</v>
      </c>
      <c r="N90" s="9" t="n">
        <f aca="false">('Prices&amp;Fuel'!U90+'Prices&amp;Fuel'!V90+'Prices&amp;Fuel'!W90)*('Prices&amp;Fuel'!L90+'Prices&amp;Fuel'!O90)*'Prices&amp;Fuel'!H90</f>
        <v>92736.1977700852</v>
      </c>
      <c r="O90" s="9" t="n">
        <f aca="false">((B90+C90+D90)*(1-'Prices&amp;Fuel'!G90))*('Prices&amp;Fuel'!M90+'Prices&amp;Fuel'!P90)*'Prices&amp;Fuel'!H90</f>
        <v>99834.2135</v>
      </c>
      <c r="P90" s="9" t="n">
        <f aca="false">((B90+C90+D90+E90+F90+G90)/(1-'Prices&amp;Fuel'!F90))*(1-'Prices&amp;Fuel'!F90)*'Prices&amp;Fuel'!H90*0.005</f>
        <v>1912.59640102828</v>
      </c>
      <c r="Q90" s="9" t="n">
        <f aca="false">((D90+C90+B90+E90+F90+G90)*K90*'Prices&amp;Fuel'!H90)+M90+N90+O90+P90</f>
        <v>1208508.48587334</v>
      </c>
      <c r="R90" s="5" t="n">
        <f aca="false">L90-Q90</f>
        <v>69759.5398335995</v>
      </c>
      <c r="T90" s="1" t="n">
        <f aca="false">T89</f>
        <v>12000</v>
      </c>
    </row>
    <row r="91" customFormat="false" ht="11.25" hidden="false" customHeight="false" outlineLevel="0" collapsed="false">
      <c r="A91" s="6" t="n">
        <f aca="false">+A90+365/12</f>
        <v>38364.8333333333</v>
      </c>
      <c r="B91" s="5" t="n">
        <f aca="false">IF(T91-((E91+F91+G91)*(1-'Prices&amp;Fuel'!F91))&lt;'Prices&amp;Fuel'!R91,(T91-(E91+F91+G91)*(1-'Prices&amp;Fuel'!F91)),'Prices&amp;Fuel'!R91)/(1-'Prices&amp;Fuel'!F91)</f>
        <v>4325.96401028278</v>
      </c>
      <c r="C91" s="9" t="n">
        <f aca="false">(T91/(1-'Prices&amp;Fuel'!F91))-D91-E91-F91-G91-B91</f>
        <v>0</v>
      </c>
      <c r="D91" s="9" t="n">
        <f aca="false">ROUND(IF(T91/(1-'Prices&amp;Fuel'!F91)-E91-F91-G91-B91&gt;'Prices&amp;Fuel'!T91,'Prices&amp;Fuel'!T91,T91/(1-'Prices&amp;Fuel'!F91)-E91-F91-G91-B91),9)</f>
        <v>0</v>
      </c>
      <c r="E91" s="9" t="n">
        <f aca="false">'Prices&amp;Fuel'!U91/(1-'Prices&amp;Fuel'!F91)</f>
        <v>2635.47557840617</v>
      </c>
      <c r="F91" s="9" t="n">
        <f aca="false">('Prices&amp;Fuel'!V91+'Prices&amp;Fuel'!X91)/(1-'Prices&amp;Fuel'!F91)</f>
        <v>3645.2442159383</v>
      </c>
      <c r="G91" s="9" t="n">
        <f aca="false">'Prices&amp;Fuel'!W91/(1-'Prices&amp;Fuel'!F91)</f>
        <v>1732.64781491003</v>
      </c>
      <c r="H91" s="10" t="n">
        <f aca="false">('Prices&amp;Fuel'!C91+'Prices&amp;Fuel'!D91)/2-0.03+(('Prices&amp;Fuel'!M91+'Prices&amp;Fuel'!P91)*(1-'Prices&amp;Fuel'!F91))</f>
        <v>3.02823202</v>
      </c>
      <c r="I91" s="9" t="n">
        <f aca="false">IF(FPL!L91=80000,0,B91)</f>
        <v>4325.96401028278</v>
      </c>
      <c r="J91" s="9"/>
      <c r="K91" s="10" t="n">
        <f aca="false">(((B91+E91)*('Prices&amp;Fuel'!B91+0.025))+(('Prices&amp;Fuel'!D91+0.025)*(D91+G91))+(('Prices&amp;Fuel'!C91+0.025)*(C91+F91))-(I91+J91)*0.025)/(B91+C91+D91+E91+F91+G91)</f>
        <v>2.31414785333333</v>
      </c>
      <c r="L91" s="9" t="n">
        <f aca="false">(B91+C91+D91+E91+F91+G91)*H91*'Prices&amp;Fuel'!H91</f>
        <v>1158357.13258612</v>
      </c>
      <c r="M91" s="9" t="n">
        <f aca="false">'Prices&amp;Fuel'!X91*('Prices&amp;Fuel'!N91+'Prices&amp;Fuel'!O91)*'Prices&amp;Fuel'!H91</f>
        <v>9438.64041395779</v>
      </c>
      <c r="N91" s="9" t="n">
        <f aca="false">('Prices&amp;Fuel'!U91+'Prices&amp;Fuel'!V91+'Prices&amp;Fuel'!W91)*('Prices&amp;Fuel'!L91+'Prices&amp;Fuel'!O91)*'Prices&amp;Fuel'!H91</f>
        <v>98255.8321277305</v>
      </c>
      <c r="O91" s="9" t="n">
        <f aca="false">((B91+C91+D91)*(1-'Prices&amp;Fuel'!G91))*('Prices&amp;Fuel'!M91+'Prices&amp;Fuel'!P91)*'Prices&amp;Fuel'!H91</f>
        <v>99834.2135</v>
      </c>
      <c r="P91" s="9" t="n">
        <f aca="false">((B91+C91+D91+E91+F91+G91)/(1-'Prices&amp;Fuel'!F91))*(1-'Prices&amp;Fuel'!F91)*'Prices&amp;Fuel'!H91*0.005</f>
        <v>1912.59640102828</v>
      </c>
      <c r="Q91" s="9" t="n">
        <f aca="false">((D91+C91+B91+E91+F91+G91)*K91*'Prices&amp;Fuel'!H91)+M91+N91+O91+P91</f>
        <v>1094647.45358925</v>
      </c>
      <c r="R91" s="5" t="n">
        <f aca="false">L91-Q91</f>
        <v>63709.6789968724</v>
      </c>
      <c r="T91" s="1" t="n">
        <f aca="false">T90</f>
        <v>12000</v>
      </c>
    </row>
    <row r="92" customFormat="false" ht="11.25" hidden="false" customHeight="false" outlineLevel="0" collapsed="false">
      <c r="A92" s="6" t="n">
        <f aca="false">+A91+365/12</f>
        <v>38395.25</v>
      </c>
      <c r="B92" s="5" t="n">
        <f aca="false">IF(T92-((E92+F92+G92)*(1-'Prices&amp;Fuel'!F92))&lt;'Prices&amp;Fuel'!R92,(T92-(E92+F92+G92)*(1-'Prices&amp;Fuel'!F92)),'Prices&amp;Fuel'!R92)/(1-'Prices&amp;Fuel'!F92)</f>
        <v>4325.96401028278</v>
      </c>
      <c r="C92" s="9" t="n">
        <f aca="false">(T92/(1-'Prices&amp;Fuel'!F92))-D92-E92-F92-G92-B92</f>
        <v>0</v>
      </c>
      <c r="D92" s="9" t="n">
        <f aca="false">ROUND(IF(T92/(1-'Prices&amp;Fuel'!F92)-E92-F92-G92-B92&gt;'Prices&amp;Fuel'!T92,'Prices&amp;Fuel'!T92,T92/(1-'Prices&amp;Fuel'!F92)-E92-F92-G92-B92),9)</f>
        <v>0</v>
      </c>
      <c r="E92" s="9" t="n">
        <f aca="false">'Prices&amp;Fuel'!U92/(1-'Prices&amp;Fuel'!F92)</f>
        <v>2635.47557840617</v>
      </c>
      <c r="F92" s="9" t="n">
        <f aca="false">('Prices&amp;Fuel'!V92+'Prices&amp;Fuel'!X92)/(1-'Prices&amp;Fuel'!F92)</f>
        <v>3645.2442159383</v>
      </c>
      <c r="G92" s="9" t="n">
        <f aca="false">'Prices&amp;Fuel'!W92/(1-'Prices&amp;Fuel'!F92)</f>
        <v>1732.64781491003</v>
      </c>
      <c r="H92" s="10" t="n">
        <f aca="false">('Prices&amp;Fuel'!C92+'Prices&amp;Fuel'!D92)/2-0.03+(('Prices&amp;Fuel'!M92+'Prices&amp;Fuel'!P92)*(1-'Prices&amp;Fuel'!F92))</f>
        <v>3.30641329</v>
      </c>
      <c r="I92" s="9" t="n">
        <f aca="false">IF(FPL!L92=80000,0,B92)</f>
        <v>4325.96401028278</v>
      </c>
      <c r="J92" s="9"/>
      <c r="K92" s="10" t="n">
        <f aca="false">(((B92+E92)*('Prices&amp;Fuel'!B92+0.025))+(('Prices&amp;Fuel'!D92+0.025)*(D92+G92))+(('Prices&amp;Fuel'!C92+0.025)*(C92+F92))-(I92+J92)*0.025)/(B92+C92+D92+E92+F92+G92)</f>
        <v>2.59232912333333</v>
      </c>
      <c r="L92" s="9" t="n">
        <f aca="false">(B92+C92+D92+E92+F92+G92)*H92*'Prices&amp;Fuel'!H92</f>
        <v>1142370.04158355</v>
      </c>
      <c r="M92" s="9" t="n">
        <f aca="false">'Prices&amp;Fuel'!X92*('Prices&amp;Fuel'!N92+'Prices&amp;Fuel'!O92)*'Prices&amp;Fuel'!H92</f>
        <v>8525.22359970381</v>
      </c>
      <c r="N92" s="9" t="n">
        <f aca="false">('Prices&amp;Fuel'!U92+'Prices&amp;Fuel'!V92+'Prices&amp;Fuel'!W92)*('Prices&amp;Fuel'!L92+'Prices&amp;Fuel'!O92)*'Prices&amp;Fuel'!H92</f>
        <v>88747.2032121437</v>
      </c>
      <c r="O92" s="9" t="n">
        <f aca="false">((B92+C92+D92)*(1-'Prices&amp;Fuel'!G92))*('Prices&amp;Fuel'!M92+'Prices&amp;Fuel'!P92)*'Prices&amp;Fuel'!H92</f>
        <v>90172.838</v>
      </c>
      <c r="P92" s="9" t="n">
        <f aca="false">((B92+C92+D92+E92+F92+G92)/(1-'Prices&amp;Fuel'!F92))*(1-'Prices&amp;Fuel'!F92)*'Prices&amp;Fuel'!H92*0.005</f>
        <v>1727.50642673522</v>
      </c>
      <c r="Q92" s="9" t="n">
        <f aca="false">((D92+C92+B92+E92+F92+G92)*K92*'Prices&amp;Fuel'!H92)+M92+N92+O92+P92</f>
        <v>1084825.81539282</v>
      </c>
      <c r="R92" s="5" t="n">
        <f aca="false">L92-Q92</f>
        <v>57544.2261907232</v>
      </c>
      <c r="T92" s="1" t="n">
        <f aca="false">T91</f>
        <v>12000</v>
      </c>
    </row>
    <row r="93" customFormat="false" ht="11.25" hidden="false" customHeight="false" outlineLevel="0" collapsed="false">
      <c r="A93" s="6" t="n">
        <f aca="false">+A92+365/12</f>
        <v>38425.6666666667</v>
      </c>
      <c r="B93" s="5" t="n">
        <f aca="false">IF(T93-((E93+F93+G93)*(1-'Prices&amp;Fuel'!F93))&lt;'Prices&amp;Fuel'!R93,(T93-(E93+F93+G93)*(1-'Prices&amp;Fuel'!F93)),'Prices&amp;Fuel'!R93)/(1-'Prices&amp;Fuel'!F93)</f>
        <v>4325.96401028278</v>
      </c>
      <c r="C93" s="9" t="n">
        <f aca="false">(T93/(1-'Prices&amp;Fuel'!F93))-D93-E93-F93-G93-B93</f>
        <v>0</v>
      </c>
      <c r="D93" s="9" t="n">
        <f aca="false">ROUND(IF(T93/(1-'Prices&amp;Fuel'!F93)-E93-F93-G93-B93&gt;'Prices&amp;Fuel'!T93,'Prices&amp;Fuel'!T93,T93/(1-'Prices&amp;Fuel'!F93)-E93-F93-G93-B93),9)</f>
        <v>0</v>
      </c>
      <c r="E93" s="9" t="n">
        <f aca="false">'Prices&amp;Fuel'!U93/(1-'Prices&amp;Fuel'!F93)</f>
        <v>2635.47557840617</v>
      </c>
      <c r="F93" s="9" t="n">
        <f aca="false">('Prices&amp;Fuel'!V93+'Prices&amp;Fuel'!X93)/(1-'Prices&amp;Fuel'!F93)</f>
        <v>3645.2442159383</v>
      </c>
      <c r="G93" s="9" t="n">
        <f aca="false">'Prices&amp;Fuel'!W93/(1-'Prices&amp;Fuel'!F93)</f>
        <v>1732.64781491003</v>
      </c>
      <c r="H93" s="10" t="n">
        <f aca="false">('Prices&amp;Fuel'!C93+'Prices&amp;Fuel'!D93)/2-0.03+(('Prices&amp;Fuel'!M93+'Prices&amp;Fuel'!P93)*(1-'Prices&amp;Fuel'!F93))</f>
        <v>3.30641329</v>
      </c>
      <c r="I93" s="9" t="n">
        <f aca="false">IF(FPL!L93=80000,0,B93)</f>
        <v>4325.96401028278</v>
      </c>
      <c r="J93" s="9"/>
      <c r="K93" s="10" t="n">
        <f aca="false">(((B93+E93)*('Prices&amp;Fuel'!B93+0.025))+(('Prices&amp;Fuel'!D93+0.025)*(D93+G93))+(('Prices&amp;Fuel'!C93+0.025)*(C93+F93))-(I93+J93)*0.025)/(B93+C93+D93+E93+F93+G93)</f>
        <v>2.59232912333333</v>
      </c>
      <c r="L93" s="9" t="n">
        <f aca="false">(B93+C93+D93+E93+F93+G93)*H93*'Prices&amp;Fuel'!H93</f>
        <v>1264766.83175321</v>
      </c>
      <c r="M93" s="9" t="n">
        <f aca="false">'Prices&amp;Fuel'!X93*('Prices&amp;Fuel'!N93+'Prices&amp;Fuel'!O93)*'Prices&amp;Fuel'!H93</f>
        <v>9438.64041395779</v>
      </c>
      <c r="N93" s="9" t="n">
        <f aca="false">('Prices&amp;Fuel'!U93+'Prices&amp;Fuel'!V93+'Prices&amp;Fuel'!W93)*('Prices&amp;Fuel'!L93+'Prices&amp;Fuel'!O93)*'Prices&amp;Fuel'!H93</f>
        <v>98255.8321277305</v>
      </c>
      <c r="O93" s="9" t="n">
        <f aca="false">((B93+C93+D93)*(1-'Prices&amp;Fuel'!G93))*('Prices&amp;Fuel'!M93+'Prices&amp;Fuel'!P93)*'Prices&amp;Fuel'!H93</f>
        <v>99834.2135</v>
      </c>
      <c r="P93" s="9" t="n">
        <f aca="false">((B93+C93+D93+E93+F93+G93)/(1-'Prices&amp;Fuel'!F93))*(1-'Prices&amp;Fuel'!F93)*'Prices&amp;Fuel'!H93*0.005</f>
        <v>1912.59640102828</v>
      </c>
      <c r="Q93" s="9" t="n">
        <f aca="false">((D93+C93+B93+E93+F93+G93)*K93*'Prices&amp;Fuel'!H93)+M93+N93+O93+P93</f>
        <v>1201057.15275634</v>
      </c>
      <c r="R93" s="5" t="n">
        <f aca="false">L93-Q93</f>
        <v>63709.6789968722</v>
      </c>
      <c r="T93" s="1" t="n">
        <f aca="false">T92</f>
        <v>12000</v>
      </c>
    </row>
    <row r="94" customFormat="false" ht="11.25" hidden="false" customHeight="false" outlineLevel="0" collapsed="false">
      <c r="A94" s="6" t="n">
        <f aca="false">+A93+365/12</f>
        <v>38456.0833333333</v>
      </c>
      <c r="B94" s="5" t="n">
        <f aca="false">IF(T94-((E94+F94+G94)*(1-'Prices&amp;Fuel'!F94))&lt;'Prices&amp;Fuel'!R94,(T94-(E94+F94+G94)*(1-'Prices&amp;Fuel'!F94)),'Prices&amp;Fuel'!R94)/(1-'Prices&amp;Fuel'!F94)</f>
        <v>6278.66323907455</v>
      </c>
      <c r="C94" s="9" t="n">
        <f aca="false">(T94/(1-'Prices&amp;Fuel'!F94))-D94-E94-F94-G94-B94</f>
        <v>0</v>
      </c>
      <c r="D94" s="9" t="n">
        <f aca="false">ROUND(IF(T94/(1-'Prices&amp;Fuel'!F94)-E94-F94-G94-B94&gt;'Prices&amp;Fuel'!T94,'Prices&amp;Fuel'!T94,T94/(1-'Prices&amp;Fuel'!F94)-E94-F94-G94-B94),9)</f>
        <v>0</v>
      </c>
      <c r="E94" s="9" t="n">
        <f aca="false">'Prices&amp;Fuel'!U94/(1-'Prices&amp;Fuel'!F94)</f>
        <v>1933.16195372751</v>
      </c>
      <c r="F94" s="9" t="n">
        <f aca="false">('Prices&amp;Fuel'!V94+'Prices&amp;Fuel'!X94)/(1-'Prices&amp;Fuel'!F94)</f>
        <v>2833.93316195373</v>
      </c>
      <c r="G94" s="9" t="n">
        <f aca="false">'Prices&amp;Fuel'!W94/(1-'Prices&amp;Fuel'!F94)</f>
        <v>1293.57326478149</v>
      </c>
      <c r="H94" s="10" t="n">
        <f aca="false">('Prices&amp;Fuel'!C94+'Prices&amp;Fuel'!D94)/2-0.03+(('Prices&amp;Fuel'!M94+'Prices&amp;Fuel'!P94)*(1-'Prices&amp;Fuel'!F94))</f>
        <v>3.58459456</v>
      </c>
      <c r="I94" s="9" t="n">
        <f aca="false">IF(FPL!L94=80000,0,B94)</f>
        <v>6278.66323907455</v>
      </c>
      <c r="J94" s="9"/>
      <c r="K94" s="10" t="n">
        <f aca="false">(((B94+E94)*('Prices&amp;Fuel'!B94+0.025))+(('Prices&amp;Fuel'!D94+0.025)*(D94+G94))+(('Prices&amp;Fuel'!C94+0.025)*(C94+F94))-(I94+J94)*0.025)/(B94+C94+D94+E94+F94+G94)</f>
        <v>2.86225331</v>
      </c>
      <c r="L94" s="9" t="n">
        <f aca="false">(B94+C94+D94+E94+F94+G94)*H94*'Prices&amp;Fuel'!H94</f>
        <v>1326945.02992288</v>
      </c>
      <c r="M94" s="9" t="n">
        <f aca="false">'Prices&amp;Fuel'!X94*('Prices&amp;Fuel'!N94+'Prices&amp;Fuel'!O94)*'Prices&amp;Fuel'!H94</f>
        <v>9134.1681425398</v>
      </c>
      <c r="N94" s="9" t="n">
        <f aca="false">('Prices&amp;Fuel'!U94+'Prices&amp;Fuel'!V94+'Prices&amp;Fuel'!W94)*('Prices&amp;Fuel'!L94+'Prices&amp;Fuel'!O94)*'Prices&amp;Fuel'!H94</f>
        <v>69689.8245838578</v>
      </c>
      <c r="O94" s="9" t="n">
        <f aca="false">((B94+C94+D94)*(1-'Prices&amp;Fuel'!G94))*('Prices&amp;Fuel'!M94+'Prices&amp;Fuel'!P94)*'Prices&amp;Fuel'!H94</f>
        <v>140224.29</v>
      </c>
      <c r="P94" s="9" t="n">
        <f aca="false">((B94+C94+D94+E94+F94+G94)/(1-'Prices&amp;Fuel'!F94))*(1-'Prices&amp;Fuel'!F94)*'Prices&amp;Fuel'!H94*0.005</f>
        <v>1850.89974293059</v>
      </c>
      <c r="Q94" s="9" t="n">
        <f aca="false">((D94+C94+B94+E94+F94+G94)*K94*'Prices&amp;Fuel'!H94)+M94+N94+O94+P94</f>
        <v>1280447.96560558</v>
      </c>
      <c r="R94" s="5" t="n">
        <f aca="false">L94-Q94</f>
        <v>46497.0643173042</v>
      </c>
      <c r="T94" s="1" t="n">
        <f aca="false">T93</f>
        <v>12000</v>
      </c>
    </row>
    <row r="95" customFormat="false" ht="11.25" hidden="false" customHeight="false" outlineLevel="0" collapsed="false">
      <c r="A95" s="6" t="n">
        <f aca="false">+A94+365/12</f>
        <v>38486.5</v>
      </c>
      <c r="B95" s="5" t="n">
        <f aca="false">IF(T95-((E95+F95+G95)*(1-'Prices&amp;Fuel'!F95))&lt;'Prices&amp;Fuel'!R95,(T95-(E95+F95+G95)*(1-'Prices&amp;Fuel'!F95)),'Prices&amp;Fuel'!R95)/(1-'Prices&amp;Fuel'!F95)</f>
        <v>8976.86375321337</v>
      </c>
      <c r="C95" s="9" t="n">
        <f aca="false">(T95/(1-'Prices&amp;Fuel'!F95))-D95-E95-F95-G95-B95</f>
        <v>1.38243194669485E-010</v>
      </c>
      <c r="D95" s="9" t="n">
        <f aca="false">ROUND(IF(T95/(1-'Prices&amp;Fuel'!F95)-E95-F95-G95-B95&gt;'Prices&amp;Fuel'!T95,'Prices&amp;Fuel'!T95,T95/(1-'Prices&amp;Fuel'!F95)-E95-F95-G95-B95),9)</f>
        <v>6556.298200514</v>
      </c>
      <c r="E95" s="9" t="n">
        <f aca="false">'Prices&amp;Fuel'!U95/(1-'Prices&amp;Fuel'!F95)</f>
        <v>1933.16195372751</v>
      </c>
      <c r="F95" s="9" t="n">
        <f aca="false">('Prices&amp;Fuel'!V95+'Prices&amp;Fuel'!X95)/(1-'Prices&amp;Fuel'!F95)</f>
        <v>3062.21079691517</v>
      </c>
      <c r="G95" s="9" t="n">
        <f aca="false">'Prices&amp;Fuel'!W95/(1-'Prices&amp;Fuel'!F95)</f>
        <v>1065.29562982005</v>
      </c>
      <c r="H95" s="10" t="n">
        <f aca="false">('Prices&amp;Fuel'!C95+'Prices&amp;Fuel'!D95)/2-0.03+(('Prices&amp;Fuel'!M95+'Prices&amp;Fuel'!P95)*(1-'Prices&amp;Fuel'!F95))</f>
        <v>3.78035175</v>
      </c>
      <c r="I95" s="9" t="n">
        <f aca="false">IF(FPL!L95=80000,0,B95)</f>
        <v>0</v>
      </c>
      <c r="J95" s="9"/>
      <c r="K95" s="10" t="n">
        <f aca="false">(((B95+E95)*('Prices&amp;Fuel'!B95+0.025))+(('Prices&amp;Fuel'!D95+0.025)*(D95+G95))+(('Prices&amp;Fuel'!C95+0.025)*(C95+F95))-(I95+J95)*0.025)/(B95+C95+D95+E95+F95+G95)</f>
        <v>3.0679410952381</v>
      </c>
      <c r="L95" s="9" t="n">
        <f aca="false">(B95+C95+D95+E95+F95+G95)*H95*'Prices&amp;Fuel'!H95</f>
        <v>2530600.50308483</v>
      </c>
      <c r="M95" s="9" t="n">
        <f aca="false">'Prices&amp;Fuel'!X95*('Prices&amp;Fuel'!N95+'Prices&amp;Fuel'!O95)*'Prices&amp;Fuel'!H95</f>
        <v>9438.64041395779</v>
      </c>
      <c r="N95" s="9" t="n">
        <f aca="false">('Prices&amp;Fuel'!U95+'Prices&amp;Fuel'!V95+'Prices&amp;Fuel'!W95)*('Prices&amp;Fuel'!L95+'Prices&amp;Fuel'!O95)*'Prices&amp;Fuel'!H95</f>
        <v>72012.8187366531</v>
      </c>
      <c r="O95" s="9" t="n">
        <f aca="false">((B95+C95+D95)*(1-'Prices&amp;Fuel'!G95))*('Prices&amp;Fuel'!M95+'Prices&amp;Fuel'!P95)*'Prices&amp;Fuel'!H95</f>
        <v>358472.933</v>
      </c>
      <c r="P95" s="9" t="n">
        <f aca="false">((B95+C95+D95+E95+F95+G95)/(1-'Prices&amp;Fuel'!F95))*(1-'Prices&amp;Fuel'!F95)*'Prices&amp;Fuel'!H95*0.005</f>
        <v>3347.04370179949</v>
      </c>
      <c r="Q95" s="9" t="n">
        <f aca="false">((D95+C95+B95+E95+F95+G95)*K95*'Prices&amp;Fuel'!H95)+M95+N95+O95+P95</f>
        <v>2496978.01991411</v>
      </c>
      <c r="R95" s="5" t="n">
        <f aca="false">L95-Q95</f>
        <v>33622.4831707249</v>
      </c>
      <c r="T95" s="1" t="n">
        <v>21000</v>
      </c>
    </row>
    <row r="96" customFormat="false" ht="11.25" hidden="false" customHeight="false" outlineLevel="0" collapsed="false">
      <c r="A96" s="6" t="n">
        <f aca="false">+A95+365/12</f>
        <v>38516.9166666667</v>
      </c>
      <c r="B96" s="5" t="n">
        <f aca="false">IF(T96-((E96+F96+G96)*(1-'Prices&amp;Fuel'!F96))&lt;'Prices&amp;Fuel'!R96,(T96-(E96+F96+G96)*(1-'Prices&amp;Fuel'!F96)),'Prices&amp;Fuel'!R96)/(1-'Prices&amp;Fuel'!F96)</f>
        <v>8976.86375321337</v>
      </c>
      <c r="C96" s="9" t="n">
        <f aca="false">(T96/(1-'Prices&amp;Fuel'!F96))-D96-E96-F96-G96-B96</f>
        <v>1.38243194669485E-010</v>
      </c>
      <c r="D96" s="9" t="n">
        <f aca="false">ROUND(IF(T96/(1-'Prices&amp;Fuel'!F96)-E96-F96-G96-B96&gt;'Prices&amp;Fuel'!T96,'Prices&amp;Fuel'!T96,T96/(1-'Prices&amp;Fuel'!F96)-E96-F96-G96-B96),9)</f>
        <v>6556.298200514</v>
      </c>
      <c r="E96" s="9" t="n">
        <f aca="false">'Prices&amp;Fuel'!U96/(1-'Prices&amp;Fuel'!F96)</f>
        <v>1933.16195372751</v>
      </c>
      <c r="F96" s="9" t="n">
        <f aca="false">('Prices&amp;Fuel'!V96+'Prices&amp;Fuel'!X96)/(1-'Prices&amp;Fuel'!F96)</f>
        <v>3062.21079691517</v>
      </c>
      <c r="G96" s="9" t="n">
        <f aca="false">'Prices&amp;Fuel'!W96/(1-'Prices&amp;Fuel'!F96)</f>
        <v>1065.29562982005</v>
      </c>
      <c r="H96" s="10" t="n">
        <f aca="false">('Prices&amp;Fuel'!C96+'Prices&amp;Fuel'!D96)/2-0.03+(('Prices&amp;Fuel'!M96+'Prices&amp;Fuel'!P96)*(1-'Prices&amp;Fuel'!F96))</f>
        <v>5.13004606</v>
      </c>
      <c r="I96" s="9" t="n">
        <f aca="false">IF(FPL!L96=80000,0,B96)</f>
        <v>0</v>
      </c>
      <c r="J96" s="9"/>
      <c r="K96" s="10" t="n">
        <f aca="false">(((B96+E96)*('Prices&amp;Fuel'!B96+0.025))+(('Prices&amp;Fuel'!D96+0.025)*(D96+G96))+(('Prices&amp;Fuel'!C96+0.025)*(C96+F96))-(I96+J96)*0.025)/(B96+C96+D96+E96+F96+G96)</f>
        <v>4.4176354052381</v>
      </c>
      <c r="L96" s="9" t="n">
        <f aca="false">(B96+C96+D96+E96+F96+G96)*H96*'Prices&amp;Fuel'!H96</f>
        <v>3323320.32678663</v>
      </c>
      <c r="M96" s="9" t="n">
        <f aca="false">'Prices&amp;Fuel'!X96*('Prices&amp;Fuel'!N96+'Prices&amp;Fuel'!O96)*'Prices&amp;Fuel'!H96</f>
        <v>9134.1681425398</v>
      </c>
      <c r="N96" s="9" t="n">
        <f aca="false">('Prices&amp;Fuel'!U96+'Prices&amp;Fuel'!V96+'Prices&amp;Fuel'!W96)*('Prices&amp;Fuel'!L96+'Prices&amp;Fuel'!O96)*'Prices&amp;Fuel'!H96</f>
        <v>69689.8245838578</v>
      </c>
      <c r="O96" s="9" t="n">
        <f aca="false">((B96+C96+D96)*(1-'Prices&amp;Fuel'!G96))*('Prices&amp;Fuel'!M96+'Prices&amp;Fuel'!P96)*'Prices&amp;Fuel'!H96</f>
        <v>346909.29</v>
      </c>
      <c r="P96" s="9" t="n">
        <f aca="false">((B96+C96+D96+E96+F96+G96)/(1-'Prices&amp;Fuel'!F96))*(1-'Prices&amp;Fuel'!F96)*'Prices&amp;Fuel'!H96*0.005</f>
        <v>3239.07455012853</v>
      </c>
      <c r="Q96" s="9" t="n">
        <f aca="false">((D96+C96+B96+E96+F96+G96)*K96*'Prices&amp;Fuel'!H96)+M96+N96+O96+P96</f>
        <v>3290782.43984722</v>
      </c>
      <c r="R96" s="5" t="n">
        <f aca="false">L96-Q96</f>
        <v>32537.8869394106</v>
      </c>
      <c r="T96" s="1" t="n">
        <f aca="false">T95</f>
        <v>21000</v>
      </c>
    </row>
    <row r="97" customFormat="false" ht="11.25" hidden="false" customHeight="false" outlineLevel="0" collapsed="false">
      <c r="A97" s="6" t="n">
        <f aca="false">+A96+365/12</f>
        <v>38547.3333333333</v>
      </c>
      <c r="B97" s="5" t="n">
        <f aca="false">IF(T97-((E97+F97+G97)*(1-'Prices&amp;Fuel'!F97))&lt;'Prices&amp;Fuel'!R97,(T97-(E97+F97+G97)*(1-'Prices&amp;Fuel'!F97)),'Prices&amp;Fuel'!R97)/(1-'Prices&amp;Fuel'!F97)</f>
        <v>8976.86375321337</v>
      </c>
      <c r="C97" s="9" t="n">
        <f aca="false">(T97/(1-'Prices&amp;Fuel'!F97))-D97-E97-F97-G97-B97</f>
        <v>1.38243194669485E-010</v>
      </c>
      <c r="D97" s="9" t="n">
        <f aca="false">ROUND(IF(T97/(1-'Prices&amp;Fuel'!F97)-E97-F97-G97-B97&gt;'Prices&amp;Fuel'!T97,'Prices&amp;Fuel'!T97,T97/(1-'Prices&amp;Fuel'!F97)-E97-F97-G97-B97),9)</f>
        <v>6556.298200514</v>
      </c>
      <c r="E97" s="9" t="n">
        <f aca="false">'Prices&amp;Fuel'!U97/(1-'Prices&amp;Fuel'!F97)</f>
        <v>1933.16195372751</v>
      </c>
      <c r="F97" s="9" t="n">
        <f aca="false">('Prices&amp;Fuel'!V97+'Prices&amp;Fuel'!X97)/(1-'Prices&amp;Fuel'!F97)</f>
        <v>3062.21079691517</v>
      </c>
      <c r="G97" s="9" t="n">
        <f aca="false">'Prices&amp;Fuel'!W97/(1-'Prices&amp;Fuel'!F97)</f>
        <v>1065.29562982005</v>
      </c>
      <c r="H97" s="10" t="n">
        <f aca="false">('Prices&amp;Fuel'!C97+'Prices&amp;Fuel'!D97)/2-0.03+(('Prices&amp;Fuel'!M97+'Prices&amp;Fuel'!P97)*(1-'Prices&amp;Fuel'!F97))</f>
        <v>5.11974305</v>
      </c>
      <c r="I97" s="9" t="n">
        <f aca="false">IF(FPL!L97=80000,0,B97)</f>
        <v>0</v>
      </c>
      <c r="J97" s="9"/>
      <c r="K97" s="10" t="n">
        <f aca="false">(((B97+E97)*('Prices&amp;Fuel'!B97+0.025))+(('Prices&amp;Fuel'!D97+0.025)*(D97+G97))+(('Prices&amp;Fuel'!C97+0.025)*(C97+F97))-(I97+J97)*0.025)/(B97+C97+D97+E97+F97+G97)</f>
        <v>4.4073323952381</v>
      </c>
      <c r="L97" s="9" t="n">
        <f aca="false">(B97+C97+D97+E97+F97+G97)*H97*'Prices&amp;Fuel'!H97</f>
        <v>3427200.74606684</v>
      </c>
      <c r="M97" s="9" t="n">
        <f aca="false">'Prices&amp;Fuel'!X97*('Prices&amp;Fuel'!N97+'Prices&amp;Fuel'!O97)*'Prices&amp;Fuel'!H97</f>
        <v>9438.64041395779</v>
      </c>
      <c r="N97" s="9" t="n">
        <f aca="false">('Prices&amp;Fuel'!U97+'Prices&amp;Fuel'!V97+'Prices&amp;Fuel'!W97)*('Prices&amp;Fuel'!L97+'Prices&amp;Fuel'!O97)*'Prices&amp;Fuel'!H97</f>
        <v>72012.8187366531</v>
      </c>
      <c r="O97" s="9" t="n">
        <f aca="false">((B97+C97+D97)*(1-'Prices&amp;Fuel'!G97))*('Prices&amp;Fuel'!M97+'Prices&amp;Fuel'!P97)*'Prices&amp;Fuel'!H97</f>
        <v>358472.933</v>
      </c>
      <c r="P97" s="9" t="n">
        <f aca="false">((B97+C97+D97+E97+F97+G97)/(1-'Prices&amp;Fuel'!F97))*(1-'Prices&amp;Fuel'!F97)*'Prices&amp;Fuel'!H97*0.005</f>
        <v>3347.04370179949</v>
      </c>
      <c r="Q97" s="9" t="n">
        <f aca="false">((D97+C97+B97+E97+F97+G97)*K97*'Prices&amp;Fuel'!H97)+M97+N97+O97+P97</f>
        <v>3393578.26289611</v>
      </c>
      <c r="R97" s="5" t="n">
        <f aca="false">L97-Q97</f>
        <v>33622.483170724</v>
      </c>
      <c r="T97" s="1" t="n">
        <f aca="false">T96</f>
        <v>21000</v>
      </c>
    </row>
    <row r="98" customFormat="false" ht="11.25" hidden="false" customHeight="false" outlineLevel="0" collapsed="false">
      <c r="A98" s="6" t="n">
        <f aca="false">+A97+365/12</f>
        <v>38577.75</v>
      </c>
      <c r="B98" s="5" t="n">
        <f aca="false">IF(T98-((E98+F98+G98)*(1-'Prices&amp;Fuel'!F98))&lt;'Prices&amp;Fuel'!R98,(T98-(E98+F98+G98)*(1-'Prices&amp;Fuel'!F98)),'Prices&amp;Fuel'!R98)/(1-'Prices&amp;Fuel'!F98)</f>
        <v>8976.86375321337</v>
      </c>
      <c r="C98" s="9" t="n">
        <f aca="false">(T98/(1-'Prices&amp;Fuel'!F98))-D98-E98-F98-G98-B98</f>
        <v>1.38243194669485E-010</v>
      </c>
      <c r="D98" s="9" t="n">
        <f aca="false">ROUND(IF(T98/(1-'Prices&amp;Fuel'!F98)-E98-F98-G98-B98&gt;'Prices&amp;Fuel'!T98,'Prices&amp;Fuel'!T98,T98/(1-'Prices&amp;Fuel'!F98)-E98-F98-G98-B98),9)</f>
        <v>6556.298200514</v>
      </c>
      <c r="E98" s="9" t="n">
        <f aca="false">'Prices&amp;Fuel'!U98/(1-'Prices&amp;Fuel'!F98)</f>
        <v>1933.16195372751</v>
      </c>
      <c r="F98" s="9" t="n">
        <f aca="false">('Prices&amp;Fuel'!V98+'Prices&amp;Fuel'!X98)/(1-'Prices&amp;Fuel'!F98)</f>
        <v>3062.21079691517</v>
      </c>
      <c r="G98" s="9" t="n">
        <f aca="false">'Prices&amp;Fuel'!W98/(1-'Prices&amp;Fuel'!F98)</f>
        <v>1065.29562982005</v>
      </c>
      <c r="H98" s="10" t="n">
        <f aca="false">('Prices&amp;Fuel'!C98+'Prices&amp;Fuel'!D98)/2-0.03+(('Prices&amp;Fuel'!M98+'Prices&amp;Fuel'!P98)*(1-'Prices&amp;Fuel'!F98))</f>
        <v>4.56338051</v>
      </c>
      <c r="I98" s="9" t="n">
        <f aca="false">IF(FPL!L98=80000,0,B98)</f>
        <v>0</v>
      </c>
      <c r="J98" s="9"/>
      <c r="K98" s="10" t="n">
        <f aca="false">(((B98+E98)*('Prices&amp;Fuel'!B98+0.025))+(('Prices&amp;Fuel'!D98+0.025)*(D98+G98))+(('Prices&amp;Fuel'!C98+0.025)*(C98+F98))-(I98+J98)*0.025)/(B98+C98+D98+E98+F98+G98)</f>
        <v>3.8509698552381</v>
      </c>
      <c r="L98" s="9" t="n">
        <f aca="false">(B98+C98+D98+E98+F98+G98)*H98*'Prices&amp;Fuel'!H98</f>
        <v>3054766.798982</v>
      </c>
      <c r="M98" s="9" t="n">
        <f aca="false">'Prices&amp;Fuel'!X98*('Prices&amp;Fuel'!N98+'Prices&amp;Fuel'!O98)*'Prices&amp;Fuel'!H98</f>
        <v>9438.64041395779</v>
      </c>
      <c r="N98" s="9" t="n">
        <f aca="false">('Prices&amp;Fuel'!U98+'Prices&amp;Fuel'!V98+'Prices&amp;Fuel'!W98)*('Prices&amp;Fuel'!L98+'Prices&amp;Fuel'!O98)*'Prices&amp;Fuel'!H98</f>
        <v>72012.8187366531</v>
      </c>
      <c r="O98" s="9" t="n">
        <f aca="false">((B98+C98+D98)*(1-'Prices&amp;Fuel'!G98))*('Prices&amp;Fuel'!M98+'Prices&amp;Fuel'!P98)*'Prices&amp;Fuel'!H98</f>
        <v>358472.933</v>
      </c>
      <c r="P98" s="9" t="n">
        <f aca="false">((B98+C98+D98+E98+F98+G98)/(1-'Prices&amp;Fuel'!F98))*(1-'Prices&amp;Fuel'!F98)*'Prices&amp;Fuel'!H98*0.005</f>
        <v>3347.04370179949</v>
      </c>
      <c r="Q98" s="9" t="n">
        <f aca="false">((D98+C98+B98+E98+F98+G98)*K98*'Prices&amp;Fuel'!H98)+M98+N98+O98+P98</f>
        <v>3021144.31581128</v>
      </c>
      <c r="R98" s="5" t="n">
        <f aca="false">L98-Q98</f>
        <v>33622.4831707249</v>
      </c>
      <c r="T98" s="1" t="n">
        <f aca="false">T97</f>
        <v>21000</v>
      </c>
    </row>
    <row r="99" customFormat="false" ht="11.25" hidden="false" customHeight="false" outlineLevel="0" collapsed="false">
      <c r="A99" s="6" t="n">
        <f aca="false">+A98+365/12</f>
        <v>38608.1666666667</v>
      </c>
      <c r="B99" s="5" t="n">
        <f aca="false">IF(T99-((E99+F99+G99)*(1-'Prices&amp;Fuel'!F99))&lt;'Prices&amp;Fuel'!R99,(T99-(E99+F99+G99)*(1-'Prices&amp;Fuel'!F99)),'Prices&amp;Fuel'!R99)/(1-'Prices&amp;Fuel'!F99)</f>
        <v>8976.86375321337</v>
      </c>
      <c r="C99" s="9" t="n">
        <f aca="false">(T99/(1-'Prices&amp;Fuel'!F99))-D99-E99-F99-G99-B99</f>
        <v>1.38243194669485E-010</v>
      </c>
      <c r="D99" s="9" t="n">
        <f aca="false">ROUND(IF(T99/(1-'Prices&amp;Fuel'!F99)-E99-F99-G99-B99&gt;'Prices&amp;Fuel'!T99,'Prices&amp;Fuel'!T99,T99/(1-'Prices&amp;Fuel'!F99)-E99-F99-G99-B99),9)</f>
        <v>6556.298200514</v>
      </c>
      <c r="E99" s="9" t="n">
        <f aca="false">'Prices&amp;Fuel'!U99/(1-'Prices&amp;Fuel'!F99)</f>
        <v>1933.16195372751</v>
      </c>
      <c r="F99" s="9" t="n">
        <f aca="false">('Prices&amp;Fuel'!V99+'Prices&amp;Fuel'!X99)/(1-'Prices&amp;Fuel'!F99)</f>
        <v>3062.21079691517</v>
      </c>
      <c r="G99" s="9" t="n">
        <f aca="false">'Prices&amp;Fuel'!W99/(1-'Prices&amp;Fuel'!F99)</f>
        <v>1065.29562982005</v>
      </c>
      <c r="H99" s="10" t="n">
        <f aca="false">('Prices&amp;Fuel'!C99+'Prices&amp;Fuel'!D99)/2-0.03+(('Prices&amp;Fuel'!M99+'Prices&amp;Fuel'!P99)*(1-'Prices&amp;Fuel'!F99))</f>
        <v>5.35671228</v>
      </c>
      <c r="I99" s="9"/>
      <c r="J99" s="9"/>
      <c r="K99" s="10" t="n">
        <f aca="false">(((B99+E99)*('Prices&amp;Fuel'!B99+0.025))+(('Prices&amp;Fuel'!D99+0.025)*(D99+G99))+(('Prices&amp;Fuel'!C99+0.025)*(C99+F99))-(I99+J99)*0.025)/(B99+C99+D99+E99+F99+G99)</f>
        <v>4.6443016252381</v>
      </c>
      <c r="L99" s="9" t="n">
        <f aca="false">(B99+C99+D99+E99+F99+G99)*H99*'Prices&amp;Fuel'!H99</f>
        <v>3470158.0837018</v>
      </c>
      <c r="M99" s="9" t="n">
        <f aca="false">'Prices&amp;Fuel'!X99*('Prices&amp;Fuel'!N99+'Prices&amp;Fuel'!O99)*'Prices&amp;Fuel'!H99</f>
        <v>9134.1681425398</v>
      </c>
      <c r="N99" s="9" t="n">
        <f aca="false">('Prices&amp;Fuel'!U99+'Prices&amp;Fuel'!V99+'Prices&amp;Fuel'!W99)*('Prices&amp;Fuel'!L99+'Prices&amp;Fuel'!O99)*'Prices&amp;Fuel'!H99</f>
        <v>69689.8245838578</v>
      </c>
      <c r="O99" s="9" t="n">
        <f aca="false">((B99+C99+D99)*(1-'Prices&amp;Fuel'!G99))*('Prices&amp;Fuel'!M99+'Prices&amp;Fuel'!P99)*'Prices&amp;Fuel'!H99</f>
        <v>346909.29</v>
      </c>
      <c r="P99" s="9" t="n">
        <f aca="false">((B99+C99+D99+E99+F99+G99)/(1-'Prices&amp;Fuel'!F99))*(1-'Prices&amp;Fuel'!F99)*'Prices&amp;Fuel'!H99*0.005</f>
        <v>3239.07455012853</v>
      </c>
      <c r="Q99" s="9" t="n">
        <f aca="false">((D99+C99+B99+E99+F99+G99)*K99*'Prices&amp;Fuel'!H99)+M99+N99+O99+P99</f>
        <v>3437620.19676239</v>
      </c>
      <c r="R99" s="5" t="n">
        <f aca="false">L99-Q99</f>
        <v>32537.8869394111</v>
      </c>
      <c r="T99" s="1" t="n">
        <f aca="false">T98</f>
        <v>21000</v>
      </c>
    </row>
    <row r="100" customFormat="false" ht="11.25" hidden="false" customHeight="false" outlineLevel="0" collapsed="false">
      <c r="A100" s="6" t="n">
        <f aca="false">+A99+365/12</f>
        <v>38638.5833333333</v>
      </c>
      <c r="B100" s="5" t="n">
        <f aca="false">IF(T100-((E100+F100+G100)*(1-'Prices&amp;Fuel'!F100))&lt;'Prices&amp;Fuel'!R100,(T100-(E100+F100+G100)*(1-'Prices&amp;Fuel'!F100)),'Prices&amp;Fuel'!R100)/(1-'Prices&amp;Fuel'!F100)</f>
        <v>8976.86375321337</v>
      </c>
      <c r="C100" s="9" t="n">
        <f aca="false">(T100/(1-'Prices&amp;Fuel'!F100))-D100-E100-F100-G100-B100</f>
        <v>2.0190782379359E-010</v>
      </c>
      <c r="D100" s="9" t="n">
        <f aca="false">ROUND(IF(T100/(1-'Prices&amp;Fuel'!F100)-E100-F100-G100-B100&gt;'Prices&amp;Fuel'!T100,'Prices&amp;Fuel'!T100,T100/(1-'Prices&amp;Fuel'!F100)-E100-F100-G100-B100),9)</f>
        <v>3514.652956298</v>
      </c>
      <c r="E100" s="9" t="n">
        <f aca="false">'Prices&amp;Fuel'!U100/(1-'Prices&amp;Fuel'!F100)</f>
        <v>2910.02570694087</v>
      </c>
      <c r="F100" s="9" t="n">
        <f aca="false">('Prices&amp;Fuel'!V100+'Prices&amp;Fuel'!X100)/(1-'Prices&amp;Fuel'!F100)</f>
        <v>4628.27763496144</v>
      </c>
      <c r="G100" s="9" t="n">
        <f aca="false">'Prices&amp;Fuel'!W100/(1-'Prices&amp;Fuel'!F100)</f>
        <v>1564.01028277635</v>
      </c>
      <c r="H100" s="10" t="n">
        <f aca="false">('Prices&amp;Fuel'!C100+'Prices&amp;Fuel'!D100)/2-0.03+(('Prices&amp;Fuel'!M100+'Prices&amp;Fuel'!P100)*(1-'Prices&amp;Fuel'!F100))</f>
        <v>6.05731696</v>
      </c>
      <c r="I100" s="9"/>
      <c r="J100" s="9"/>
      <c r="K100" s="10" t="n">
        <f aca="false">(((B100+E100)*('Prices&amp;Fuel'!B100+0.025))+(('Prices&amp;Fuel'!D100+0.025)*(D100+G100))+(('Prices&amp;Fuel'!C100+0.025)*(C100+F100))-(I100+J100)*0.025)/(B100+C100+D100+E100+F100+G100)</f>
        <v>5.34808011476191</v>
      </c>
      <c r="L100" s="9" t="n">
        <f aca="false">(B100+C100+D100+E100+F100+G100)*H100*'Prices&amp;Fuel'!H100</f>
        <v>4054820.91615424</v>
      </c>
      <c r="M100" s="9" t="n">
        <f aca="false">'Prices&amp;Fuel'!X100*('Prices&amp;Fuel'!N100+'Prices&amp;Fuel'!O100)*'Prices&amp;Fuel'!H100</f>
        <v>13833.2050576453</v>
      </c>
      <c r="N100" s="9" t="n">
        <f aca="false">('Prices&amp;Fuel'!U100+'Prices&amp;Fuel'!V100+'Prices&amp;Fuel'!W100)*('Prices&amp;Fuel'!L100+'Prices&amp;Fuel'!O100)*'Prices&amp;Fuel'!H100</f>
        <v>108495.996910663</v>
      </c>
      <c r="O100" s="9" t="n">
        <f aca="false">((B100+C100+D100)*(1-'Prices&amp;Fuel'!G100))*('Prices&amp;Fuel'!M100+'Prices&amp;Fuel'!P100)*'Prices&amp;Fuel'!H100</f>
        <v>288278.114</v>
      </c>
      <c r="P100" s="9" t="n">
        <f aca="false">((B100+C100+D100+E100+F100+G100)/(1-'Prices&amp;Fuel'!F100))*(1-'Prices&amp;Fuel'!F100)*'Prices&amp;Fuel'!H100*0.005</f>
        <v>3347.04370179949</v>
      </c>
      <c r="Q100" s="9" t="n">
        <f aca="false">((D100+C100+B100+E100+F100+G100)*K100*'Prices&amp;Fuel'!H100)+M100+N100+O100+P100</f>
        <v>3994005.93263669</v>
      </c>
      <c r="R100" s="5" t="n">
        <f aca="false">L100-Q100</f>
        <v>60814.9835175527</v>
      </c>
      <c r="T100" s="1" t="n">
        <f aca="false">T99</f>
        <v>21000</v>
      </c>
    </row>
    <row r="101" customFormat="false" ht="11.25" hidden="false" customHeight="false" outlineLevel="0" collapsed="false">
      <c r="A101" s="6" t="n">
        <f aca="false">+A100+365/12</f>
        <v>38669</v>
      </c>
      <c r="B101" s="5" t="n">
        <f aca="false">IF(T101-((E101+F101+G101)*(1-'Prices&amp;Fuel'!F101))&lt;'Prices&amp;Fuel'!R101,(T101-(E101+F101+G101)*(1-'Prices&amp;Fuel'!F101)),'Prices&amp;Fuel'!R101)/(1-'Prices&amp;Fuel'!F101)</f>
        <v>4325.96401028278</v>
      </c>
      <c r="C101" s="9" t="n">
        <f aca="false">(T101/(1-'Prices&amp;Fuel'!F101))-D101-E101-F101-G101-B101</f>
        <v>0</v>
      </c>
      <c r="D101" s="9" t="n">
        <f aca="false">ROUND(IF(T101/(1-'Prices&amp;Fuel'!F101)-E101-F101-G101-B101&gt;'Prices&amp;Fuel'!T101,'Prices&amp;Fuel'!T101,T101/(1-'Prices&amp;Fuel'!F101)-E101-F101-G101-B101),9)</f>
        <v>0</v>
      </c>
      <c r="E101" s="9" t="n">
        <f aca="false">'Prices&amp;Fuel'!U101/(1-'Prices&amp;Fuel'!F101)</f>
        <v>2635.47557840617</v>
      </c>
      <c r="F101" s="9" t="n">
        <f aca="false">('Prices&amp;Fuel'!V101+'Prices&amp;Fuel'!X101)/(1-'Prices&amp;Fuel'!F101)</f>
        <v>3645.2442159383</v>
      </c>
      <c r="G101" s="9" t="n">
        <f aca="false">'Prices&amp;Fuel'!W101/(1-'Prices&amp;Fuel'!F101)</f>
        <v>1732.64781491003</v>
      </c>
      <c r="H101" s="10" t="n">
        <f aca="false">('Prices&amp;Fuel'!C101+'Prices&amp;Fuel'!D101)/2-0.02+(('Prices&amp;Fuel'!M101+'Prices&amp;Fuel'!P101)*(1-'Prices&amp;Fuel'!F101))</f>
        <v>4.28489623</v>
      </c>
      <c r="I101" s="9"/>
      <c r="J101" s="9"/>
      <c r="K101" s="10" t="n">
        <f aca="false">(((B101+E101)*('Prices&amp;Fuel'!B101+0.025))+(('Prices&amp;Fuel'!D101+0.025)*(D101+G101))+(('Prices&amp;Fuel'!C101+0.025)*(C101+F101))-(I101+J101)*0.025)/(B101+C101+D101+E101+F101+G101)</f>
        <v>3.56957664666667</v>
      </c>
      <c r="L101" s="9" t="n">
        <f aca="false">(B101+C101+D101+E101+F101+G101)*H101*'Prices&amp;Fuel'!H101</f>
        <v>1586182.66611825</v>
      </c>
      <c r="M101" s="9" t="n">
        <f aca="false">'Prices&amp;Fuel'!X101*('Prices&amp;Fuel'!N101+'Prices&amp;Fuel'!O101)*'Prices&amp;Fuel'!H101</f>
        <v>9134.1681425398</v>
      </c>
      <c r="N101" s="9" t="n">
        <f aca="false">('Prices&amp;Fuel'!U101+'Prices&amp;Fuel'!V101+'Prices&amp;Fuel'!W101)*('Prices&amp;Fuel'!L101+'Prices&amp;Fuel'!O101)*'Prices&amp;Fuel'!H101</f>
        <v>95086.2891558682</v>
      </c>
      <c r="O101" s="9" t="n">
        <f aca="false">((B101+C101+D101)*(1-'Prices&amp;Fuel'!G101))*('Prices&amp;Fuel'!M101+'Prices&amp;Fuel'!P101)*'Prices&amp;Fuel'!H101</f>
        <v>96613.755</v>
      </c>
      <c r="P101" s="9" t="n">
        <f aca="false">((B101+C101+D101+E101+F101+G101)/(1-'Prices&amp;Fuel'!F101))*(1-'Prices&amp;Fuel'!F101)*'Prices&amp;Fuel'!H101*0.005</f>
        <v>1850.89974293059</v>
      </c>
      <c r="Q101" s="9" t="n">
        <f aca="false">((D101+C101+B101+E101+F101+G101)*K101*'Prices&amp;Fuel'!H101)+M101+N101+O101+P101</f>
        <v>1524070.81157861</v>
      </c>
      <c r="R101" s="5" t="n">
        <f aca="false">L101-Q101</f>
        <v>62111.8545396382</v>
      </c>
      <c r="T101" s="1" t="n">
        <v>12000</v>
      </c>
    </row>
    <row r="102" customFormat="false" ht="11.25" hidden="false" customHeight="false" outlineLevel="0" collapsed="false">
      <c r="A102" s="6" t="n">
        <f aca="false">+A101+365/12</f>
        <v>38699.4166666667</v>
      </c>
      <c r="B102" s="5" t="n">
        <f aca="false">IF(T102-((E102+F102+G102)*(1-'Prices&amp;Fuel'!F102))&lt;'Prices&amp;Fuel'!R102,(T102-(E102+F102+G102)*(1-'Prices&amp;Fuel'!F102)),'Prices&amp;Fuel'!R102)/(1-'Prices&amp;Fuel'!F102)</f>
        <v>4325.96401028278</v>
      </c>
      <c r="C102" s="9" t="n">
        <f aca="false">(T102/(1-'Prices&amp;Fuel'!F102))-D102-E102-F102-G102-B102</f>
        <v>0</v>
      </c>
      <c r="D102" s="9" t="n">
        <f aca="false">ROUND(IF(T102/(1-'Prices&amp;Fuel'!F102)-E102-F102-G102-B102&gt;'Prices&amp;Fuel'!T102,'Prices&amp;Fuel'!T102,T102/(1-'Prices&amp;Fuel'!F102)-E102-F102-G102-B102),9)</f>
        <v>0</v>
      </c>
      <c r="E102" s="9" t="n">
        <f aca="false">'Prices&amp;Fuel'!U102/(1-'Prices&amp;Fuel'!F102)</f>
        <v>2635.47557840617</v>
      </c>
      <c r="F102" s="9" t="n">
        <f aca="false">('Prices&amp;Fuel'!V102+'Prices&amp;Fuel'!X102)/(1-'Prices&amp;Fuel'!F102)</f>
        <v>3645.2442159383</v>
      </c>
      <c r="G102" s="9" t="n">
        <f aca="false">'Prices&amp;Fuel'!W102/(1-'Prices&amp;Fuel'!F102)</f>
        <v>1732.64781491003</v>
      </c>
      <c r="H102" s="10" t="n">
        <f aca="false">('Prices&amp;Fuel'!C102+'Prices&amp;Fuel'!D102)/2-0.02+(('Prices&amp;Fuel'!M102+'Prices&amp;Fuel'!P102)*(1-'Prices&amp;Fuel'!F102))</f>
        <v>3.37823135</v>
      </c>
      <c r="I102" s="9"/>
      <c r="J102" s="9"/>
      <c r="K102" s="10" t="n">
        <f aca="false">(((B102+E102)*('Prices&amp;Fuel'!B102+0.025))+(('Prices&amp;Fuel'!D102+0.025)*(D102+G102))+(('Prices&amp;Fuel'!C102+0.025)*(C102+F102))-(I102+J102)*0.025)/(B102+C102+D102+E102+F102+G102)</f>
        <v>2.66291176666667</v>
      </c>
      <c r="L102" s="9" t="n">
        <f aca="false">(B102+C102+D102+E102+F102+G102)*H102*'Prices&amp;Fuel'!H102</f>
        <v>1292238.62437018</v>
      </c>
      <c r="M102" s="9" t="n">
        <f aca="false">'Prices&amp;Fuel'!X102*('Prices&amp;Fuel'!N102+'Prices&amp;Fuel'!O102)*'Prices&amp;Fuel'!H102</f>
        <v>9438.64041395779</v>
      </c>
      <c r="N102" s="9" t="n">
        <f aca="false">('Prices&amp;Fuel'!U102+'Prices&amp;Fuel'!V102+'Prices&amp;Fuel'!W102)*('Prices&amp;Fuel'!L102+'Prices&amp;Fuel'!O102)*'Prices&amp;Fuel'!H102</f>
        <v>98255.8321277305</v>
      </c>
      <c r="O102" s="9" t="n">
        <f aca="false">((B102+C102+D102)*(1-'Prices&amp;Fuel'!G102))*('Prices&amp;Fuel'!M102+'Prices&amp;Fuel'!P102)*'Prices&amp;Fuel'!H102</f>
        <v>99834.2135</v>
      </c>
      <c r="P102" s="9" t="n">
        <f aca="false">((B102+C102+D102+E102+F102+G102)/(1-'Prices&amp;Fuel'!F102))*(1-'Prices&amp;Fuel'!F102)*'Prices&amp;Fuel'!H102*0.005</f>
        <v>1912.59640102828</v>
      </c>
      <c r="Q102" s="9" t="n">
        <f aca="false">((D102+C102+B102+E102+F102+G102)*K102*'Prices&amp;Fuel'!H102)+M102+N102+O102+P102</f>
        <v>1228056.37467922</v>
      </c>
      <c r="R102" s="5" t="n">
        <f aca="false">L102-Q102</f>
        <v>64182.2496909597</v>
      </c>
      <c r="T102" s="1" t="n">
        <f aca="false">T101</f>
        <v>12000</v>
      </c>
    </row>
    <row r="103" customFormat="false" ht="11.25" hidden="false" customHeight="false" outlineLevel="0" collapsed="false">
      <c r="A103" s="6" t="n">
        <f aca="false">+A102+365/12</f>
        <v>38729.8333333333</v>
      </c>
      <c r="B103" s="5" t="n">
        <f aca="false">IF(T103-((E103+F103+G103)*(1-'Prices&amp;Fuel'!F103))&lt;'Prices&amp;Fuel'!R103,(T103-(E103+F103+G103)*(1-'Prices&amp;Fuel'!F103)),'Prices&amp;Fuel'!R103)/(1-'Prices&amp;Fuel'!F103)</f>
        <v>4325.96401028278</v>
      </c>
      <c r="C103" s="9" t="n">
        <f aca="false">(T103/(1-'Prices&amp;Fuel'!F103))-D103-E103-F103-G103-B103</f>
        <v>0</v>
      </c>
      <c r="D103" s="9" t="n">
        <f aca="false">ROUND(IF(T103/(1-'Prices&amp;Fuel'!F103)-E103-F103-G103-B103&gt;'Prices&amp;Fuel'!T103,'Prices&amp;Fuel'!T103,T103/(1-'Prices&amp;Fuel'!F103)-E103-F103-G103-B103),9)</f>
        <v>0</v>
      </c>
      <c r="E103" s="9" t="n">
        <f aca="false">'Prices&amp;Fuel'!U103/(1-'Prices&amp;Fuel'!F103)</f>
        <v>2635.47557840617</v>
      </c>
      <c r="F103" s="9" t="n">
        <f aca="false">('Prices&amp;Fuel'!V103+'Prices&amp;Fuel'!X103)/(1-'Prices&amp;Fuel'!F103)</f>
        <v>3645.2442159383</v>
      </c>
      <c r="G103" s="9" t="n">
        <f aca="false">'Prices&amp;Fuel'!W103/(1-'Prices&amp;Fuel'!F103)</f>
        <v>1732.64781491003</v>
      </c>
      <c r="H103" s="10" t="n">
        <f aca="false">('Prices&amp;Fuel'!C103+'Prices&amp;Fuel'!D103)/2-0.02+(('Prices&amp;Fuel'!M103+'Prices&amp;Fuel'!P103)*(1-'Prices&amp;Fuel'!F103))</f>
        <v>3.0616198527</v>
      </c>
      <c r="I103" s="10"/>
      <c r="J103" s="10"/>
      <c r="K103" s="10" t="n">
        <f aca="false">(((B103+E103)*('Prices&amp;Fuel'!B103+0.025))+(('Prices&amp;Fuel'!D103+0.025)*(D103+G103))+(('Prices&amp;Fuel'!C103+0.025)*(C103+F103))-(I103+J103)*0.025)/(B103+C103+D103+E103+F103+G103)</f>
        <v>2.34630026936667</v>
      </c>
      <c r="L103" s="9" t="n">
        <f aca="false">(B103+C103+D103+E103+F103+G103)*H103*'Prices&amp;Fuel'!H103</f>
        <v>1171128.62231815</v>
      </c>
      <c r="M103" s="9" t="n">
        <f aca="false">'Prices&amp;Fuel'!X103*('Prices&amp;Fuel'!N103+'Prices&amp;Fuel'!O103)*'Prices&amp;Fuel'!H103</f>
        <v>9438.64041395779</v>
      </c>
      <c r="N103" s="9" t="n">
        <f aca="false">('Prices&amp;Fuel'!U103+'Prices&amp;Fuel'!V103+'Prices&amp;Fuel'!W103)*('Prices&amp;Fuel'!L103+'Prices&amp;Fuel'!O103)*'Prices&amp;Fuel'!H103</f>
        <v>98255.8321277305</v>
      </c>
      <c r="O103" s="9" t="n">
        <f aca="false">((B103+C103+D103)*(1-'Prices&amp;Fuel'!G103))*('Prices&amp;Fuel'!M103+'Prices&amp;Fuel'!P103)*'Prices&amp;Fuel'!H103</f>
        <v>99834.2135</v>
      </c>
      <c r="P103" s="9" t="n">
        <f aca="false">((B103+C103+D103+E103+F103+G103)/(1-'Prices&amp;Fuel'!F103))*(1-'Prices&amp;Fuel'!F103)*'Prices&amp;Fuel'!H103*0.005</f>
        <v>1912.59640102828</v>
      </c>
      <c r="Q103" s="9" t="n">
        <f aca="false">((D103+C103+B103+E103+F103+G103)*K103*'Prices&amp;Fuel'!H103)+M103+N103+O103+P103</f>
        <v>1106946.37262719</v>
      </c>
      <c r="R103" s="5" t="n">
        <f aca="false">L103-Q103</f>
        <v>64182.2496909592</v>
      </c>
      <c r="T103" s="1" t="n">
        <f aca="false">T102</f>
        <v>12000</v>
      </c>
    </row>
    <row r="104" customFormat="false" ht="11.25" hidden="false" customHeight="false" outlineLevel="0" collapsed="false">
      <c r="A104" s="6" t="n">
        <f aca="false">+A103+365/12</f>
        <v>38760.25</v>
      </c>
      <c r="B104" s="5" t="n">
        <f aca="false">IF(T104-((E104+F104+G104)*(1-'Prices&amp;Fuel'!F104))&lt;'Prices&amp;Fuel'!R104,(T104-(E104+F104+G104)*(1-'Prices&amp;Fuel'!F104)),'Prices&amp;Fuel'!R104)/(1-'Prices&amp;Fuel'!F104)</f>
        <v>4325.96401028278</v>
      </c>
      <c r="C104" s="9" t="n">
        <f aca="false">(T104/(1-'Prices&amp;Fuel'!F104))-D104-E104-F104-G104-B104</f>
        <v>0</v>
      </c>
      <c r="D104" s="9" t="n">
        <f aca="false">ROUND(IF(T104/(1-'Prices&amp;Fuel'!F104)-E104-F104-G104-B104&gt;'Prices&amp;Fuel'!T104,'Prices&amp;Fuel'!T104,T104/(1-'Prices&amp;Fuel'!F104)-E104-F104-G104-B104),9)</f>
        <v>0</v>
      </c>
      <c r="E104" s="9" t="n">
        <f aca="false">'Prices&amp;Fuel'!U104/(1-'Prices&amp;Fuel'!F104)</f>
        <v>2635.47557840617</v>
      </c>
      <c r="F104" s="9" t="n">
        <f aca="false">('Prices&amp;Fuel'!V104+'Prices&amp;Fuel'!X104)/(1-'Prices&amp;Fuel'!F104)</f>
        <v>3645.2442159383</v>
      </c>
      <c r="G104" s="9" t="n">
        <f aca="false">'Prices&amp;Fuel'!W104/(1-'Prices&amp;Fuel'!F104)</f>
        <v>1732.64781491003</v>
      </c>
      <c r="H104" s="10" t="n">
        <f aca="false">('Prices&amp;Fuel'!C104+'Prices&amp;Fuel'!D104)/2-0.02+(('Prices&amp;Fuel'!M104+'Prices&amp;Fuel'!P104)*(1-'Prices&amp;Fuel'!F104))</f>
        <v>3.3425829354</v>
      </c>
      <c r="I104" s="10"/>
      <c r="J104" s="10"/>
      <c r="K104" s="10" t="n">
        <f aca="false">(((B104+E104)*('Prices&amp;Fuel'!B104+0.025))+(('Prices&amp;Fuel'!D104+0.025)*(D104+G104))+(('Prices&amp;Fuel'!C104+0.025)*(C104+F104))-(I104+J104)*0.025)/(B104+C104+D104+E104+F104+G104)</f>
        <v>2.62726335206667</v>
      </c>
      <c r="L104" s="9" t="n">
        <f aca="false">(B104+C104+D104+E104+F104+G104)*H104*'Prices&amp;Fuel'!H104</f>
        <v>1154866.70055979</v>
      </c>
      <c r="M104" s="9" t="n">
        <f aca="false">'Prices&amp;Fuel'!X104*('Prices&amp;Fuel'!N104+'Prices&amp;Fuel'!O104)*'Prices&amp;Fuel'!H104</f>
        <v>8525.22359970381</v>
      </c>
      <c r="N104" s="9" t="n">
        <f aca="false">('Prices&amp;Fuel'!U104+'Prices&amp;Fuel'!V104+'Prices&amp;Fuel'!W104)*('Prices&amp;Fuel'!L104+'Prices&amp;Fuel'!O104)*'Prices&amp;Fuel'!H104</f>
        <v>88747.2032121437</v>
      </c>
      <c r="O104" s="9" t="n">
        <f aca="false">((B104+C104+D104)*(1-'Prices&amp;Fuel'!G104))*('Prices&amp;Fuel'!M104+'Prices&amp;Fuel'!P104)*'Prices&amp;Fuel'!H104</f>
        <v>90172.838</v>
      </c>
      <c r="P104" s="9" t="n">
        <f aca="false">((B104+C104+D104+E104+F104+G104)/(1-'Prices&amp;Fuel'!F104))*(1-'Prices&amp;Fuel'!F104)*'Prices&amp;Fuel'!H104*0.005</f>
        <v>1727.50642673522</v>
      </c>
      <c r="Q104" s="9" t="n">
        <f aca="false">((D104+C104+B104+E104+F104+G104)*K104*'Prices&amp;Fuel'!H104)+M104+N104+O104+P104</f>
        <v>1096895.6363228</v>
      </c>
      <c r="R104" s="5" t="n">
        <f aca="false">L104-Q104</f>
        <v>57971.0642369958</v>
      </c>
      <c r="T104" s="1" t="n">
        <f aca="false">T103</f>
        <v>12000</v>
      </c>
    </row>
    <row r="105" customFormat="false" ht="11.25" hidden="false" customHeight="false" outlineLevel="0" collapsed="false">
      <c r="A105" s="6" t="n">
        <f aca="false">+A104+365/12</f>
        <v>38790.6666666667</v>
      </c>
      <c r="B105" s="5" t="n">
        <f aca="false">IF(T105-((E105+F105+G105)*(1-'Prices&amp;Fuel'!F105))&lt;'Prices&amp;Fuel'!R105,(T105-(E105+F105+G105)*(1-'Prices&amp;Fuel'!F105)),'Prices&amp;Fuel'!R105)/(1-'Prices&amp;Fuel'!F105)</f>
        <v>4325.96401028278</v>
      </c>
      <c r="C105" s="9" t="n">
        <f aca="false">(T105/(1-'Prices&amp;Fuel'!F105))-D105-E105-F105-G105-B105</f>
        <v>0</v>
      </c>
      <c r="D105" s="9" t="n">
        <f aca="false">ROUND(IF(T105/(1-'Prices&amp;Fuel'!F105)-E105-F105-G105-B105&gt;'Prices&amp;Fuel'!T105,'Prices&amp;Fuel'!T105,T105/(1-'Prices&amp;Fuel'!F105)-E105-F105-G105-B105),9)</f>
        <v>0</v>
      </c>
      <c r="E105" s="9" t="n">
        <f aca="false">'Prices&amp;Fuel'!U105/(1-'Prices&amp;Fuel'!F105)</f>
        <v>2635.47557840617</v>
      </c>
      <c r="F105" s="9" t="n">
        <f aca="false">('Prices&amp;Fuel'!V105+'Prices&amp;Fuel'!X105)/(1-'Prices&amp;Fuel'!F105)</f>
        <v>3645.2442159383</v>
      </c>
      <c r="G105" s="9" t="n">
        <f aca="false">'Prices&amp;Fuel'!W105/(1-'Prices&amp;Fuel'!F105)</f>
        <v>1732.64781491003</v>
      </c>
      <c r="H105" s="10" t="n">
        <f aca="false">('Prices&amp;Fuel'!C105+'Prices&amp;Fuel'!D105)/2-0.02+(('Prices&amp;Fuel'!M105+'Prices&amp;Fuel'!P105)*(1-'Prices&amp;Fuel'!F105))</f>
        <v>3.3425829354</v>
      </c>
      <c r="I105" s="10"/>
      <c r="J105" s="10"/>
      <c r="K105" s="10" t="n">
        <f aca="false">(((B105+E105)*('Prices&amp;Fuel'!B105+0.025))+(('Prices&amp;Fuel'!D105+0.025)*(D105+G105))+(('Prices&amp;Fuel'!C105+0.025)*(C105+F105))-(I105+J105)*0.025)/(B105+C105+D105+E105+F105+G105)</f>
        <v>2.62726335206667</v>
      </c>
      <c r="L105" s="9" t="n">
        <f aca="false">(B105+C105+D105+E105+F105+G105)*H105*'Prices&amp;Fuel'!H105</f>
        <v>1278602.41847692</v>
      </c>
      <c r="M105" s="9" t="n">
        <f aca="false">'Prices&amp;Fuel'!X105*('Prices&amp;Fuel'!N105+'Prices&amp;Fuel'!O105)*'Prices&amp;Fuel'!H105</f>
        <v>9438.64041395779</v>
      </c>
      <c r="N105" s="9" t="n">
        <f aca="false">('Prices&amp;Fuel'!U105+'Prices&amp;Fuel'!V105+'Prices&amp;Fuel'!W105)*('Prices&amp;Fuel'!L105+'Prices&amp;Fuel'!O105)*'Prices&amp;Fuel'!H105</f>
        <v>98255.8321277305</v>
      </c>
      <c r="O105" s="9" t="n">
        <f aca="false">((B105+C105+D105)*(1-'Prices&amp;Fuel'!G105))*('Prices&amp;Fuel'!M105+'Prices&amp;Fuel'!P105)*'Prices&amp;Fuel'!H105</f>
        <v>99834.2135</v>
      </c>
      <c r="P105" s="9" t="n">
        <f aca="false">((B105+C105+D105+E105+F105+G105)/(1-'Prices&amp;Fuel'!F105))*(1-'Prices&amp;Fuel'!F105)*'Prices&amp;Fuel'!H105*0.005</f>
        <v>1912.59640102828</v>
      </c>
      <c r="Q105" s="9" t="n">
        <f aca="false">((D105+C105+B105+E105+F105+G105)*K105*'Prices&amp;Fuel'!H105)+M105+N105+O105+P105</f>
        <v>1214420.16878596</v>
      </c>
      <c r="R105" s="5" t="n">
        <f aca="false">L105-Q105</f>
        <v>64182.2496909595</v>
      </c>
      <c r="T105" s="1" t="n">
        <f aca="false">T104</f>
        <v>12000</v>
      </c>
    </row>
    <row r="106" customFormat="false" ht="11.25" hidden="false" customHeight="false" outlineLevel="0" collapsed="false">
      <c r="A106" s="6" t="n">
        <f aca="false">+A105+365/12</f>
        <v>38821.0833333333</v>
      </c>
      <c r="B106" s="5" t="n">
        <f aca="false">IF(T106-((E106+F106+G106)*(1-'Prices&amp;Fuel'!F106))&lt;'Prices&amp;Fuel'!R106,(T106-(E106+F106+G106)*(1-'Prices&amp;Fuel'!F106)),'Prices&amp;Fuel'!R106)/(1-'Prices&amp;Fuel'!F106)</f>
        <v>6278.66323907455</v>
      </c>
      <c r="C106" s="9" t="n">
        <f aca="false">(T106/(1-'Prices&amp;Fuel'!F106))-D106-E106-F106-G106-B106</f>
        <v>0</v>
      </c>
      <c r="D106" s="9" t="n">
        <f aca="false">ROUND(IF(T106/(1-'Prices&amp;Fuel'!F106)-E106-F106-G106-B106&gt;'Prices&amp;Fuel'!T106,'Prices&amp;Fuel'!T106,T106/(1-'Prices&amp;Fuel'!F106)-E106-F106-G106-B106),9)</f>
        <v>0</v>
      </c>
      <c r="E106" s="9" t="n">
        <f aca="false">'Prices&amp;Fuel'!U106/(1-'Prices&amp;Fuel'!F106)</f>
        <v>1933.16195372751</v>
      </c>
      <c r="F106" s="9" t="n">
        <f aca="false">('Prices&amp;Fuel'!V106+'Prices&amp;Fuel'!X106)/(1-'Prices&amp;Fuel'!F106)</f>
        <v>2833.93316195373</v>
      </c>
      <c r="G106" s="9" t="n">
        <f aca="false">'Prices&amp;Fuel'!W106/(1-'Prices&amp;Fuel'!F106)</f>
        <v>1293.57326478149</v>
      </c>
      <c r="H106" s="10" t="n">
        <f aca="false">('Prices&amp;Fuel'!C106+'Prices&amp;Fuel'!D106)/2-0.02+(('Prices&amp;Fuel'!M106+'Prices&amp;Fuel'!P106)*(1-'Prices&amp;Fuel'!F106))</f>
        <v>3.6235460181</v>
      </c>
      <c r="I106" s="10"/>
      <c r="J106" s="10"/>
      <c r="K106" s="10" t="n">
        <f aca="false">(((B106+E106)*('Prices&amp;Fuel'!B106+0.025))+(('Prices&amp;Fuel'!D106+0.025)*(D106+G106))+(('Prices&amp;Fuel'!C106+0.025)*(C106+F106))-(I106+J106)*0.025)/(B106+C106+D106+E106+F106+G106)</f>
        <v>2.90392560143333</v>
      </c>
      <c r="L106" s="9" t="n">
        <f aca="false">(B106+C106+D106+E106+F106+G106)*H106*'Prices&amp;Fuel'!H106</f>
        <v>1341364.07867969</v>
      </c>
      <c r="M106" s="9" t="n">
        <f aca="false">'Prices&amp;Fuel'!X106*('Prices&amp;Fuel'!N106+'Prices&amp;Fuel'!O106)*'Prices&amp;Fuel'!H106</f>
        <v>9134.1681425398</v>
      </c>
      <c r="N106" s="9" t="n">
        <f aca="false">('Prices&amp;Fuel'!U106+'Prices&amp;Fuel'!V106+'Prices&amp;Fuel'!W106)*('Prices&amp;Fuel'!L106+'Prices&amp;Fuel'!O106)*'Prices&amp;Fuel'!H106</f>
        <v>69689.8245838578</v>
      </c>
      <c r="O106" s="9" t="n">
        <f aca="false">((B106+C106+D106)*(1-'Prices&amp;Fuel'!G106))*('Prices&amp;Fuel'!M106+'Prices&amp;Fuel'!P106)*'Prices&amp;Fuel'!H106</f>
        <v>140224.29</v>
      </c>
      <c r="P106" s="9" t="n">
        <f aca="false">((B106+C106+D106+E106+F106+G106)/(1-'Prices&amp;Fuel'!F106))*(1-'Prices&amp;Fuel'!F106)*'Prices&amp;Fuel'!H106*0.005</f>
        <v>1850.89974293059</v>
      </c>
      <c r="Q106" s="9" t="n">
        <f aca="false">((D106+C106+B106+E106+F106+G106)*K106*'Prices&amp;Fuel'!H106)+M106+N106+O106+P106</f>
        <v>1295874.21230583</v>
      </c>
      <c r="R106" s="5" t="n">
        <f aca="false">L106-Q106</f>
        <v>45489.8663738593</v>
      </c>
      <c r="T106" s="1" t="n">
        <f aca="false">T105</f>
        <v>12000</v>
      </c>
    </row>
    <row r="107" customFormat="false" ht="11.25" hidden="false" customHeight="false" outlineLevel="0" collapsed="false">
      <c r="A107" s="6" t="n">
        <f aca="false">+A106+365/12</f>
        <v>38851.5</v>
      </c>
      <c r="B107" s="5" t="n">
        <f aca="false">IF(T107-((E107+F107+G107)*(1-'Prices&amp;Fuel'!F107))&lt;'Prices&amp;Fuel'!R107,(T107-(E107+F107+G107)*(1-'Prices&amp;Fuel'!F107)),'Prices&amp;Fuel'!R107)/(1-'Prices&amp;Fuel'!F107)</f>
        <v>8976.86375321337</v>
      </c>
      <c r="C107" s="9" t="n">
        <f aca="false">(T107/(1-'Prices&amp;Fuel'!F107))-D107-E107-F107-G107-B107</f>
        <v>1.38243194669485E-010</v>
      </c>
      <c r="D107" s="9" t="n">
        <f aca="false">ROUND(IF(T107/(1-'Prices&amp;Fuel'!F107)-E107-F107-G107-B107&gt;'Prices&amp;Fuel'!T107,'Prices&amp;Fuel'!T107,T107/(1-'Prices&amp;Fuel'!F107)-E107-F107-G107-B107),9)</f>
        <v>6556.298200514</v>
      </c>
      <c r="E107" s="9" t="n">
        <f aca="false">'Prices&amp;Fuel'!U107/(1-'Prices&amp;Fuel'!F107)</f>
        <v>1933.16195372751</v>
      </c>
      <c r="F107" s="9" t="n">
        <f aca="false">('Prices&amp;Fuel'!V107+'Prices&amp;Fuel'!X107)/(1-'Prices&amp;Fuel'!F107)</f>
        <v>3062.21079691517</v>
      </c>
      <c r="G107" s="9" t="n">
        <f aca="false">'Prices&amp;Fuel'!W107/(1-'Prices&amp;Fuel'!F107)</f>
        <v>1065.29562982005</v>
      </c>
      <c r="H107" s="10" t="n">
        <f aca="false">('Prices&amp;Fuel'!C107+'Prices&amp;Fuel'!D107)/2-0.02+(('Prices&amp;Fuel'!M107+'Prices&amp;Fuel'!P107)*(1-'Prices&amp;Fuel'!F107))</f>
        <v>3.82126078</v>
      </c>
      <c r="I107" s="10"/>
      <c r="J107" s="10"/>
      <c r="K107" s="10" t="n">
        <f aca="false">(((B107+E107)*('Prices&amp;Fuel'!B107+0.025))+(('Prices&amp;Fuel'!D107+0.025)*(D107+G107))+(('Prices&amp;Fuel'!C107+0.025)*(C107+F107))-(I107+J107)*0.025)/(B107+C107+D107+E107+F107+G107)</f>
        <v>3.0988501252381</v>
      </c>
      <c r="L107" s="9" t="n">
        <f aca="false">(B107+C107+D107+E107+F107+G107)*H107*'Prices&amp;Fuel'!H107</f>
        <v>2557985.36532648</v>
      </c>
      <c r="M107" s="9" t="n">
        <f aca="false">'Prices&amp;Fuel'!X107*('Prices&amp;Fuel'!N107+'Prices&amp;Fuel'!O107)*'Prices&amp;Fuel'!H107</f>
        <v>9438.64041395779</v>
      </c>
      <c r="N107" s="9" t="n">
        <f aca="false">('Prices&amp;Fuel'!U107+'Prices&amp;Fuel'!V107+'Prices&amp;Fuel'!W107)*('Prices&amp;Fuel'!L107+'Prices&amp;Fuel'!O107)*'Prices&amp;Fuel'!H107</f>
        <v>72012.8187366531</v>
      </c>
      <c r="O107" s="9" t="n">
        <f aca="false">((B107+C107+D107)*(1-'Prices&amp;Fuel'!G107))*('Prices&amp;Fuel'!M107+'Prices&amp;Fuel'!P107)*'Prices&amp;Fuel'!H107</f>
        <v>358472.933</v>
      </c>
      <c r="P107" s="9" t="n">
        <f aca="false">((B107+C107+D107+E107+F107+G107)/(1-'Prices&amp;Fuel'!F107))*(1-'Prices&amp;Fuel'!F107)*'Prices&amp;Fuel'!H107*0.005</f>
        <v>3347.04370179949</v>
      </c>
      <c r="Q107" s="9" t="n">
        <f aca="false">((D107+C107+B107+E107+F107+G107)*K107*'Prices&amp;Fuel'!H107)+M107+N107+O107+P107</f>
        <v>2517668.79475215</v>
      </c>
      <c r="R107" s="5" t="n">
        <f aca="false">L107-Q107</f>
        <v>40316.5705743241</v>
      </c>
      <c r="T107" s="1" t="n">
        <v>21000</v>
      </c>
    </row>
    <row r="108" customFormat="false" ht="11.25" hidden="false" customHeight="false" outlineLevel="0" collapsed="false">
      <c r="A108" s="6" t="n">
        <f aca="false">+A107+365/12</f>
        <v>38881.9166666667</v>
      </c>
      <c r="B108" s="5" t="n">
        <f aca="false">IF(T108-((E108+F108+G108)*(1-'Prices&amp;Fuel'!F108))&lt;'Prices&amp;Fuel'!R108,(T108-(E108+F108+G108)*(1-'Prices&amp;Fuel'!F108)),'Prices&amp;Fuel'!R108)/(1-'Prices&amp;Fuel'!F108)</f>
        <v>8976.86375321337</v>
      </c>
      <c r="C108" s="9" t="n">
        <f aca="false">(T108/(1-'Prices&amp;Fuel'!F108))-D108-E108-F108-G108-B108</f>
        <v>1.38243194669485E-010</v>
      </c>
      <c r="D108" s="9" t="n">
        <f aca="false">ROUND(IF(T108/(1-'Prices&amp;Fuel'!F108)-E108-F108-G108-B108&gt;'Prices&amp;Fuel'!T108,'Prices&amp;Fuel'!T108,T108/(1-'Prices&amp;Fuel'!F108)-E108-F108-G108-B108),9)</f>
        <v>6556.298200514</v>
      </c>
      <c r="E108" s="9" t="n">
        <f aca="false">'Prices&amp;Fuel'!U108/(1-'Prices&amp;Fuel'!F108)</f>
        <v>1933.16195372751</v>
      </c>
      <c r="F108" s="9" t="n">
        <f aca="false">('Prices&amp;Fuel'!V108+'Prices&amp;Fuel'!X108)/(1-'Prices&amp;Fuel'!F108)</f>
        <v>3062.21079691517</v>
      </c>
      <c r="G108" s="9" t="n">
        <f aca="false">'Prices&amp;Fuel'!W108/(1-'Prices&amp;Fuel'!F108)</f>
        <v>1065.29562982005</v>
      </c>
      <c r="H108" s="10" t="n">
        <f aca="false">('Prices&amp;Fuel'!C108+'Prices&amp;Fuel'!D108)/2-0.02+(('Prices&amp;Fuel'!M108+'Prices&amp;Fuel'!P108)*(1-'Prices&amp;Fuel'!F108))</f>
        <v>5.1844520331</v>
      </c>
      <c r="I108" s="10"/>
      <c r="J108" s="10"/>
      <c r="K108" s="10" t="n">
        <f aca="false">(((B108+E108)*('Prices&amp;Fuel'!B108+0.025))+(('Prices&amp;Fuel'!D108+0.025)*(D108+G108))+(('Prices&amp;Fuel'!C108+0.025)*(C108+F108))-(I108+J108)*0.025)/(B108+C108+D108+E108+F108+G108)</f>
        <v>4.4620413783381</v>
      </c>
      <c r="L108" s="9" t="n">
        <f aca="false">(B108+C108+D108+E108+F108+G108)*H108*'Prices&amp;Fuel'!H108</f>
        <v>3358565.32735527</v>
      </c>
      <c r="M108" s="9" t="n">
        <f aca="false">'Prices&amp;Fuel'!X108*('Prices&amp;Fuel'!N108+'Prices&amp;Fuel'!O108)*'Prices&amp;Fuel'!H108</f>
        <v>9134.1681425398</v>
      </c>
      <c r="N108" s="9" t="n">
        <f aca="false">('Prices&amp;Fuel'!U108+'Prices&amp;Fuel'!V108+'Prices&amp;Fuel'!W108)*('Prices&amp;Fuel'!L108+'Prices&amp;Fuel'!O108)*'Prices&amp;Fuel'!H108</f>
        <v>69689.8245838578</v>
      </c>
      <c r="O108" s="9" t="n">
        <f aca="false">((B108+C108+D108)*(1-'Prices&amp;Fuel'!G108))*('Prices&amp;Fuel'!M108+'Prices&amp;Fuel'!P108)*'Prices&amp;Fuel'!H108</f>
        <v>346909.29</v>
      </c>
      <c r="P108" s="9" t="n">
        <f aca="false">((B108+C108+D108+E108+F108+G108)/(1-'Prices&amp;Fuel'!F108))*(1-'Prices&amp;Fuel'!F108)*'Prices&amp;Fuel'!H108*0.005</f>
        <v>3239.07455012853</v>
      </c>
      <c r="Q108" s="9" t="n">
        <f aca="false">((D108+C108+B108+E108+F108+G108)*K108*'Prices&amp;Fuel'!H108)+M108+N108+O108+P108</f>
        <v>3319549.2913156</v>
      </c>
      <c r="R108" s="5" t="n">
        <f aca="false">L108-Q108</f>
        <v>39016.0360396691</v>
      </c>
      <c r="T108" s="1" t="n">
        <f aca="false">T107</f>
        <v>21000</v>
      </c>
    </row>
    <row r="109" customFormat="false" ht="11.25" hidden="false" customHeight="false" outlineLevel="0" collapsed="false">
      <c r="A109" s="6" t="n">
        <f aca="false">+A108+365/12</f>
        <v>38912.3333333333</v>
      </c>
      <c r="B109" s="5" t="n">
        <f aca="false">IF(T109-((E109+F109+G109)*(1-'Prices&amp;Fuel'!F109))&lt;'Prices&amp;Fuel'!R109,(T109-(E109+F109+G109)*(1-'Prices&amp;Fuel'!F109)),'Prices&amp;Fuel'!R109)/(1-'Prices&amp;Fuel'!F109)</f>
        <v>8976.86375321337</v>
      </c>
      <c r="C109" s="9" t="n">
        <f aca="false">(T109/(1-'Prices&amp;Fuel'!F109))-D109-E109-F109-G109-B109</f>
        <v>1.38243194669485E-010</v>
      </c>
      <c r="D109" s="9" t="n">
        <f aca="false">ROUND(IF(T109/(1-'Prices&amp;Fuel'!F109)-E109-F109-G109-B109&gt;'Prices&amp;Fuel'!T109,'Prices&amp;Fuel'!T109,T109/(1-'Prices&amp;Fuel'!F109)-E109-F109-G109-B109),9)</f>
        <v>6556.298200514</v>
      </c>
      <c r="E109" s="9" t="n">
        <f aca="false">'Prices&amp;Fuel'!U109/(1-'Prices&amp;Fuel'!F109)</f>
        <v>1933.16195372751</v>
      </c>
      <c r="F109" s="9" t="n">
        <f aca="false">('Prices&amp;Fuel'!V109+'Prices&amp;Fuel'!X109)/(1-'Prices&amp;Fuel'!F109)</f>
        <v>3062.21079691517</v>
      </c>
      <c r="G109" s="9" t="n">
        <f aca="false">'Prices&amp;Fuel'!W109/(1-'Prices&amp;Fuel'!F109)</f>
        <v>1065.29562982005</v>
      </c>
      <c r="H109" s="10" t="n">
        <f aca="false">('Prices&amp;Fuel'!C109+'Prices&amp;Fuel'!D109)/2-0.02+(('Prices&amp;Fuel'!M109+'Prices&amp;Fuel'!P109)*(1-'Prices&amp;Fuel'!F109))</f>
        <v>5.174045993</v>
      </c>
      <c r="I109" s="10"/>
      <c r="J109" s="10"/>
      <c r="K109" s="10" t="n">
        <f aca="false">(((B109+E109)*('Prices&amp;Fuel'!B109+0.025))+(('Prices&amp;Fuel'!D109+0.025)*(D109+G109))+(('Prices&amp;Fuel'!C109+0.025)*(C109+F109))-(I109+J109)*0.025)/(B109+C109+D109+E109+F109+G109)</f>
        <v>4.4516353382381</v>
      </c>
      <c r="L109" s="9" t="n">
        <f aca="false">(B109+C109+D109+E109+F109+G109)*H109*'Prices&amp;Fuel'!H109</f>
        <v>3463551.6107383</v>
      </c>
      <c r="M109" s="9" t="n">
        <f aca="false">'Prices&amp;Fuel'!X109*('Prices&amp;Fuel'!N109+'Prices&amp;Fuel'!O109)*'Prices&amp;Fuel'!H109</f>
        <v>9438.64041395779</v>
      </c>
      <c r="N109" s="9" t="n">
        <f aca="false">('Prices&amp;Fuel'!U109+'Prices&amp;Fuel'!V109+'Prices&amp;Fuel'!W109)*('Prices&amp;Fuel'!L109+'Prices&amp;Fuel'!O109)*'Prices&amp;Fuel'!H109</f>
        <v>72012.8187366531</v>
      </c>
      <c r="O109" s="9" t="n">
        <f aca="false">((B109+C109+D109)*(1-'Prices&amp;Fuel'!G109))*('Prices&amp;Fuel'!M109+'Prices&amp;Fuel'!P109)*'Prices&amp;Fuel'!H109</f>
        <v>358472.933</v>
      </c>
      <c r="P109" s="9" t="n">
        <f aca="false">((B109+C109+D109+E109+F109+G109)/(1-'Prices&amp;Fuel'!F109))*(1-'Prices&amp;Fuel'!F109)*'Prices&amp;Fuel'!H109*0.005</f>
        <v>3347.04370179949</v>
      </c>
      <c r="Q109" s="9" t="n">
        <f aca="false">((D109+C109+B109+E109+F109+G109)*K109*'Prices&amp;Fuel'!H109)+M109+N109+O109+P109</f>
        <v>3423235.04016398</v>
      </c>
      <c r="R109" s="5" t="n">
        <f aca="false">L109-Q109</f>
        <v>40316.5705743237</v>
      </c>
      <c r="T109" s="1" t="n">
        <f aca="false">T108</f>
        <v>21000</v>
      </c>
    </row>
    <row r="110" customFormat="false" ht="11.25" hidden="false" customHeight="false" outlineLevel="0" collapsed="false">
      <c r="A110" s="6" t="n">
        <f aca="false">+A109+365/12</f>
        <v>38942.75</v>
      </c>
      <c r="B110" s="5" t="n">
        <f aca="false">IF(T110-((E110+F110+G110)*(1-'Prices&amp;Fuel'!F110))&lt;'Prices&amp;Fuel'!R110,(T110-(E110+F110+G110)*(1-'Prices&amp;Fuel'!F110)),'Prices&amp;Fuel'!R110)/(1-'Prices&amp;Fuel'!F110)</f>
        <v>8976.86375321337</v>
      </c>
      <c r="C110" s="9" t="n">
        <f aca="false">(T110/(1-'Prices&amp;Fuel'!F110))-D110-E110-F110-G110-B110</f>
        <v>1.38243194669485E-010</v>
      </c>
      <c r="D110" s="9" t="n">
        <f aca="false">ROUND(IF(T110/(1-'Prices&amp;Fuel'!F110)-E110-F110-G110-B110&gt;'Prices&amp;Fuel'!T110,'Prices&amp;Fuel'!T110,T110/(1-'Prices&amp;Fuel'!F110)-E110-F110-G110-B110),9)</f>
        <v>6556.298200514</v>
      </c>
      <c r="E110" s="9" t="n">
        <f aca="false">'Prices&amp;Fuel'!U110/(1-'Prices&amp;Fuel'!F110)</f>
        <v>1933.16195372751</v>
      </c>
      <c r="F110" s="9" t="n">
        <f aca="false">('Prices&amp;Fuel'!V110+'Prices&amp;Fuel'!X110)/(1-'Prices&amp;Fuel'!F110)</f>
        <v>3062.21079691517</v>
      </c>
      <c r="G110" s="9" t="n">
        <f aca="false">'Prices&amp;Fuel'!W110/(1-'Prices&amp;Fuel'!F110)</f>
        <v>1065.29562982005</v>
      </c>
      <c r="H110" s="10" t="n">
        <f aca="false">('Prices&amp;Fuel'!C110+'Prices&amp;Fuel'!D110)/2-0.02+(('Prices&amp;Fuel'!M110+'Prices&amp;Fuel'!P110)*(1-'Prices&amp;Fuel'!F110))</f>
        <v>4.6121198276</v>
      </c>
      <c r="I110" s="10"/>
      <c r="J110" s="10"/>
      <c r="K110" s="10" t="n">
        <f aca="false">(((B110+E110)*('Prices&amp;Fuel'!B110+0.025))+(('Prices&amp;Fuel'!D110+0.025)*(D110+G110))+(('Prices&amp;Fuel'!C110+0.025)*(C110+F110))-(I110+J110)*0.025)/(B110+C110+D110+E110+F110+G110)</f>
        <v>3.8897091728381</v>
      </c>
      <c r="L110" s="9" t="n">
        <f aca="false">(B110+C110+D110+E110+F110+G110)*H110*'Prices&amp;Fuel'!H110</f>
        <v>3087393.32418262</v>
      </c>
      <c r="M110" s="9" t="n">
        <f aca="false">'Prices&amp;Fuel'!X110*('Prices&amp;Fuel'!N110+'Prices&amp;Fuel'!O110)*'Prices&amp;Fuel'!H110</f>
        <v>9438.64041395779</v>
      </c>
      <c r="N110" s="9" t="n">
        <f aca="false">('Prices&amp;Fuel'!U110+'Prices&amp;Fuel'!V110+'Prices&amp;Fuel'!W110)*('Prices&amp;Fuel'!L110+'Prices&amp;Fuel'!O110)*'Prices&amp;Fuel'!H110</f>
        <v>72012.8187366531</v>
      </c>
      <c r="O110" s="9" t="n">
        <f aca="false">((B110+C110+D110)*(1-'Prices&amp;Fuel'!G110))*('Prices&amp;Fuel'!M110+'Prices&amp;Fuel'!P110)*'Prices&amp;Fuel'!H110</f>
        <v>358472.933</v>
      </c>
      <c r="P110" s="9" t="n">
        <f aca="false">((B110+C110+D110+E110+F110+G110)/(1-'Prices&amp;Fuel'!F110))*(1-'Prices&amp;Fuel'!F110)*'Prices&amp;Fuel'!H110*0.005</f>
        <v>3347.04370179949</v>
      </c>
      <c r="Q110" s="9" t="n">
        <f aca="false">((D110+C110+B110+E110+F110+G110)*K110*'Prices&amp;Fuel'!H110)+M110+N110+O110+P110</f>
        <v>3047076.7536083</v>
      </c>
      <c r="R110" s="5" t="n">
        <f aca="false">L110-Q110</f>
        <v>40316.5705743241</v>
      </c>
      <c r="T110" s="1" t="n">
        <f aca="false">T109</f>
        <v>21000</v>
      </c>
    </row>
    <row r="111" customFormat="false" ht="11.25" hidden="false" customHeight="false" outlineLevel="0" collapsed="false">
      <c r="A111" s="6" t="n">
        <f aca="false">+A110+365/12</f>
        <v>38973.1666666667</v>
      </c>
      <c r="B111" s="5" t="n">
        <f aca="false">IF(T111-((E111+F111+G111)*(1-'Prices&amp;Fuel'!F111))&lt;'Prices&amp;Fuel'!R111,(T111-(E111+F111+G111)*(1-'Prices&amp;Fuel'!F111)),'Prices&amp;Fuel'!R111)/(1-'Prices&amp;Fuel'!F111)</f>
        <v>8976.86375321337</v>
      </c>
      <c r="C111" s="9" t="n">
        <f aca="false">(T111/(1-'Prices&amp;Fuel'!F111))-D111-E111-F111-G111-B111</f>
        <v>1.38243194669485E-010</v>
      </c>
      <c r="D111" s="9" t="n">
        <f aca="false">ROUND(IF(T111/(1-'Prices&amp;Fuel'!F111)-E111-F111-G111-B111&gt;'Prices&amp;Fuel'!T111,'Prices&amp;Fuel'!T111,T111/(1-'Prices&amp;Fuel'!F111)-E111-F111-G111-B111),9)</f>
        <v>6556.298200514</v>
      </c>
      <c r="E111" s="9" t="n">
        <f aca="false">'Prices&amp;Fuel'!U111/(1-'Prices&amp;Fuel'!F111)</f>
        <v>1933.16195372751</v>
      </c>
      <c r="F111" s="9" t="n">
        <f aca="false">('Prices&amp;Fuel'!V111+'Prices&amp;Fuel'!X111)/(1-'Prices&amp;Fuel'!F111)</f>
        <v>3062.21079691517</v>
      </c>
      <c r="G111" s="9" t="n">
        <f aca="false">'Prices&amp;Fuel'!W111/(1-'Prices&amp;Fuel'!F111)</f>
        <v>1065.29562982005</v>
      </c>
      <c r="H111" s="10" t="n">
        <f aca="false">('Prices&amp;Fuel'!C111+'Prices&amp;Fuel'!D111)/2-0.02+(('Prices&amp;Fuel'!M111+'Prices&amp;Fuel'!P111)*(1-'Prices&amp;Fuel'!F111))</f>
        <v>5.4133849153</v>
      </c>
      <c r="I111" s="10"/>
      <c r="J111" s="10"/>
      <c r="K111" s="10" t="n">
        <f aca="false">(((B111+E111)*('Prices&amp;Fuel'!B111+0.025))+(('Prices&amp;Fuel'!D111+0.025)*(D111+G111))+(('Prices&amp;Fuel'!C111+0.025)*(C111+F111))-(I111+J111)*0.025)/(B111+C111+D111+E111+F111+G111)</f>
        <v>4.6909742605381</v>
      </c>
      <c r="L111" s="9" t="n">
        <f aca="false">(B111+C111+D111+E111+F111+G111)*H111*'Prices&amp;Fuel'!H111</f>
        <v>3506871.46183959</v>
      </c>
      <c r="M111" s="9" t="n">
        <f aca="false">'Prices&amp;Fuel'!X111*('Prices&amp;Fuel'!N111+'Prices&amp;Fuel'!O111)*'Prices&amp;Fuel'!H111</f>
        <v>9134.1681425398</v>
      </c>
      <c r="N111" s="9" t="n">
        <f aca="false">('Prices&amp;Fuel'!U111+'Prices&amp;Fuel'!V111+'Prices&amp;Fuel'!W111)*('Prices&amp;Fuel'!L111+'Prices&amp;Fuel'!O111)*'Prices&amp;Fuel'!H111</f>
        <v>69689.8245838578</v>
      </c>
      <c r="O111" s="9" t="n">
        <f aca="false">((B111+C111+D111)*(1-'Prices&amp;Fuel'!G111))*('Prices&amp;Fuel'!M111+'Prices&amp;Fuel'!P111)*'Prices&amp;Fuel'!H111</f>
        <v>346909.29</v>
      </c>
      <c r="P111" s="9" t="n">
        <f aca="false">((B111+C111+D111+E111+F111+G111)/(1-'Prices&amp;Fuel'!F111))*(1-'Prices&amp;Fuel'!F111)*'Prices&amp;Fuel'!H111*0.005</f>
        <v>3239.07455012853</v>
      </c>
      <c r="Q111" s="9" t="n">
        <f aca="false">((D111+C111+B111+E111+F111+G111)*K111*'Prices&amp;Fuel'!H111)+M111+N111+O111+P111</f>
        <v>3467855.42579992</v>
      </c>
      <c r="R111" s="5" t="n">
        <f aca="false">L111-Q111</f>
        <v>39016.0360396695</v>
      </c>
      <c r="T111" s="1" t="n">
        <f aca="false">T110</f>
        <v>21000</v>
      </c>
    </row>
    <row r="112" customFormat="false" ht="11.25" hidden="false" customHeight="false" outlineLevel="0" collapsed="false">
      <c r="A112" s="6" t="n">
        <f aca="false">+A111+365/12</f>
        <v>39003.5833333333</v>
      </c>
      <c r="B112" s="5" t="n">
        <f aca="false">IF(T112-((E112+F112+G112)*(1-'Prices&amp;Fuel'!F112))&lt;'Prices&amp;Fuel'!R112,(T112-(E112+F112+G112)*(1-'Prices&amp;Fuel'!F112)),'Prices&amp;Fuel'!R112)/(1-'Prices&amp;Fuel'!F112)</f>
        <v>8976.86375321337</v>
      </c>
      <c r="C112" s="9" t="n">
        <f aca="false">(T112/(1-'Prices&amp;Fuel'!F112))-D112-E112-F112-G112-B112</f>
        <v>2.0190782379359E-010</v>
      </c>
      <c r="D112" s="9" t="n">
        <f aca="false">ROUND(IF(T112/(1-'Prices&amp;Fuel'!F112)-E112-F112-G112-B112&gt;'Prices&amp;Fuel'!T112,'Prices&amp;Fuel'!T112,T112/(1-'Prices&amp;Fuel'!F112)-E112-F112-G112-B112),9)</f>
        <v>3514.652956298</v>
      </c>
      <c r="E112" s="9" t="n">
        <f aca="false">'Prices&amp;Fuel'!U112/(1-'Prices&amp;Fuel'!F112)</f>
        <v>2910.02570694087</v>
      </c>
      <c r="F112" s="9" t="n">
        <f aca="false">('Prices&amp;Fuel'!V112+'Prices&amp;Fuel'!X112)/(1-'Prices&amp;Fuel'!F112)</f>
        <v>4628.27763496144</v>
      </c>
      <c r="G112" s="9" t="n">
        <f aca="false">'Prices&amp;Fuel'!W112/(1-'Prices&amp;Fuel'!F112)</f>
        <v>1564.01028277635</v>
      </c>
      <c r="H112" s="10" t="n">
        <f aca="false">('Prices&amp;Fuel'!C112+'Prices&amp;Fuel'!D112)/2-0.02+(('Prices&amp;Fuel'!M112+'Prices&amp;Fuel'!P112)*(1-'Prices&amp;Fuel'!F112))</f>
        <v>6.1209956421</v>
      </c>
      <c r="I112" s="10"/>
      <c r="J112" s="10"/>
      <c r="K112" s="10" t="n">
        <f aca="false">(((B112+E112)*('Prices&amp;Fuel'!B112+0.025))+(('Prices&amp;Fuel'!D112+0.025)*(D112+G112))+(('Prices&amp;Fuel'!C112+0.025)*(C112+F112))-(I112+J112)*0.025)/(B112+C112+D112+E112+F112+G112)</f>
        <v>5.40175879686191</v>
      </c>
      <c r="L112" s="9" t="n">
        <f aca="false">(B112+C112+D112+E112+F112+G112)*H112*'Prices&amp;Fuel'!H112</f>
        <v>4097447.98252658</v>
      </c>
      <c r="M112" s="9" t="n">
        <f aca="false">'Prices&amp;Fuel'!X112*('Prices&amp;Fuel'!N112+'Prices&amp;Fuel'!O112)*'Prices&amp;Fuel'!H112</f>
        <v>13833.2050576453</v>
      </c>
      <c r="N112" s="9" t="n">
        <f aca="false">('Prices&amp;Fuel'!U112+'Prices&amp;Fuel'!V112+'Prices&amp;Fuel'!W112)*('Prices&amp;Fuel'!L112+'Prices&amp;Fuel'!O112)*'Prices&amp;Fuel'!H112</f>
        <v>108495.996910663</v>
      </c>
      <c r="O112" s="9" t="n">
        <f aca="false">((B112+C112+D112)*(1-'Prices&amp;Fuel'!G112))*('Prices&amp;Fuel'!M112+'Prices&amp;Fuel'!P112)*'Prices&amp;Fuel'!H112</f>
        <v>288278.114</v>
      </c>
      <c r="P112" s="9" t="n">
        <f aca="false">((B112+C112+D112+E112+F112+G112)/(1-'Prices&amp;Fuel'!F112))*(1-'Prices&amp;Fuel'!F112)*'Prices&amp;Fuel'!H112*0.005</f>
        <v>3347.04370179949</v>
      </c>
      <c r="Q112" s="9" t="n">
        <f aca="false">((D112+C112+B112+E112+F112+G112)*K112*'Prices&amp;Fuel'!H112)+M112+N112+O112+P112</f>
        <v>4029938.91160543</v>
      </c>
      <c r="R112" s="5" t="n">
        <f aca="false">L112-Q112</f>
        <v>67509.0709211514</v>
      </c>
      <c r="T112" s="1" t="n">
        <f aca="false">T111</f>
        <v>21000</v>
      </c>
    </row>
    <row r="113" customFormat="false" ht="11.25" hidden="false" customHeight="false" outlineLevel="0" collapsed="false">
      <c r="A113" s="6" t="n">
        <f aca="false">+A112+365/12</f>
        <v>39034</v>
      </c>
      <c r="B113" s="5" t="n">
        <f aca="false">IF(T113-((E113+F113+G113)*(1-'Prices&amp;Fuel'!F113))&lt;'Prices&amp;Fuel'!R113,(T113-(E113+F113+G113)*(1-'Prices&amp;Fuel'!F113)),'Prices&amp;Fuel'!R113)/(1-'Prices&amp;Fuel'!F113)</f>
        <v>4325.96401028278</v>
      </c>
      <c r="C113" s="9" t="n">
        <f aca="false">(T113/(1-'Prices&amp;Fuel'!F113))-D113-E113-F113-G113-B113</f>
        <v>0</v>
      </c>
      <c r="D113" s="9" t="n">
        <f aca="false">ROUND(IF(T113/(1-'Prices&amp;Fuel'!F113)-E113-F113-G113-B113&gt;'Prices&amp;Fuel'!T113,'Prices&amp;Fuel'!T113,T113/(1-'Prices&amp;Fuel'!F113)-E113-F113-G113-B113),9)</f>
        <v>0</v>
      </c>
      <c r="E113" s="9" t="n">
        <f aca="false">'Prices&amp;Fuel'!U113/(1-'Prices&amp;Fuel'!F113)</f>
        <v>2635.47557840617</v>
      </c>
      <c r="F113" s="9" t="n">
        <f aca="false">('Prices&amp;Fuel'!V113+'Prices&amp;Fuel'!X113)/(1-'Prices&amp;Fuel'!F113)</f>
        <v>3645.2442159383</v>
      </c>
      <c r="G113" s="9" t="n">
        <f aca="false">'Prices&amp;Fuel'!W113/(1-'Prices&amp;Fuel'!F113)</f>
        <v>1732.64781491003</v>
      </c>
      <c r="H113" s="10" t="n">
        <f aca="false">('Prices&amp;Fuel'!C113+'Prices&amp;Fuel'!D113)/2-0.01+(('Prices&amp;Fuel'!M113+'Prices&amp;Fuel'!P113)*(1-'Prices&amp;Fuel'!F113))</f>
        <v>4.3307507048</v>
      </c>
      <c r="I113" s="10"/>
      <c r="J113" s="10"/>
      <c r="K113" s="10" t="n">
        <f aca="false">(((B113+E113)*('Prices&amp;Fuel'!B113+0.025))+(('Prices&amp;Fuel'!D113+0.025)*(D113+G113))+(('Prices&amp;Fuel'!C113+0.025)*(C113+F113))-(I113+J113)*0.025)/(B113+C113+D113+E113+F113+G113)</f>
        <v>3.60543112146667</v>
      </c>
      <c r="L113" s="9" t="n">
        <f aca="false">(B113+C113+D113+E113+F113+G113)*H113*'Prices&amp;Fuel'!H113</f>
        <v>1603157.07324216</v>
      </c>
      <c r="M113" s="9" t="n">
        <f aca="false">'Prices&amp;Fuel'!X113*('Prices&amp;Fuel'!N113+'Prices&amp;Fuel'!O113)*'Prices&amp;Fuel'!H113</f>
        <v>9134.1681425398</v>
      </c>
      <c r="N113" s="9" t="n">
        <f aca="false">('Prices&amp;Fuel'!U113+'Prices&amp;Fuel'!V113+'Prices&amp;Fuel'!W113)*('Prices&amp;Fuel'!L113+'Prices&amp;Fuel'!O113)*'Prices&amp;Fuel'!H113</f>
        <v>95086.2891558682</v>
      </c>
      <c r="O113" s="9" t="n">
        <f aca="false">((B113+C113+D113)*(1-'Prices&amp;Fuel'!G113))*('Prices&amp;Fuel'!M113+'Prices&amp;Fuel'!P113)*'Prices&amp;Fuel'!H113</f>
        <v>96613.755</v>
      </c>
      <c r="P113" s="9" t="n">
        <f aca="false">((B113+C113+D113+E113+F113+G113)/(1-'Prices&amp;Fuel'!F113))*(1-'Prices&amp;Fuel'!F113)*'Prices&amp;Fuel'!H113*0.005</f>
        <v>1850.89974293059</v>
      </c>
      <c r="Q113" s="9" t="n">
        <f aca="false">((D113+C113+B113+E113+F113+G113)*K113*'Prices&amp;Fuel'!H113)+M113+N113+O113+P113</f>
        <v>1537343.41921666</v>
      </c>
      <c r="R113" s="5" t="n">
        <f aca="false">L113-Q113</f>
        <v>65813.6540254995</v>
      </c>
      <c r="T113" s="1" t="n">
        <v>12000</v>
      </c>
    </row>
    <row r="114" customFormat="false" ht="11.25" hidden="false" customHeight="false" outlineLevel="0" collapsed="false">
      <c r="A114" s="6" t="n">
        <f aca="false">+A113+365/12</f>
        <v>39064.4166666667</v>
      </c>
      <c r="B114" s="5" t="n">
        <f aca="false">IF(T114-((E114+F114+G114)*(1-'Prices&amp;Fuel'!F114))&lt;'Prices&amp;Fuel'!R114,(T114-(E114+F114+G114)*(1-'Prices&amp;Fuel'!F114)),'Prices&amp;Fuel'!R114)/(1-'Prices&amp;Fuel'!F114)</f>
        <v>4325.96401028278</v>
      </c>
      <c r="C114" s="9" t="n">
        <f aca="false">(T114/(1-'Prices&amp;Fuel'!F114))-D114-E114-F114-G114-B114</f>
        <v>0</v>
      </c>
      <c r="D114" s="9" t="n">
        <f aca="false">ROUND(IF(T114/(1-'Prices&amp;Fuel'!F114)-E114-F114-G114-B114&gt;'Prices&amp;Fuel'!T114,'Prices&amp;Fuel'!T114,T114/(1-'Prices&amp;Fuel'!F114)-E114-F114-G114-B114),9)</f>
        <v>0</v>
      </c>
      <c r="E114" s="9" t="n">
        <f aca="false">'Prices&amp;Fuel'!U114/(1-'Prices&amp;Fuel'!F114)</f>
        <v>2635.47557840617</v>
      </c>
      <c r="F114" s="9" t="n">
        <f aca="false">('Prices&amp;Fuel'!V114+'Prices&amp;Fuel'!X114)/(1-'Prices&amp;Fuel'!F114)</f>
        <v>3645.2442159383</v>
      </c>
      <c r="G114" s="9" t="n">
        <f aca="false">'Prices&amp;Fuel'!W114/(1-'Prices&amp;Fuel'!F114)</f>
        <v>1732.64781491003</v>
      </c>
      <c r="H114" s="10" t="n">
        <f aca="false">('Prices&amp;Fuel'!C114+'Prices&amp;Fuel'!D114)/2-0.01+(('Prices&amp;Fuel'!M114+'Prices&amp;Fuel'!P114)*(1-'Prices&amp;Fuel'!F114))</f>
        <v>3.415019176</v>
      </c>
      <c r="I114" s="10"/>
      <c r="J114" s="10"/>
      <c r="K114" s="10" t="n">
        <f aca="false">(((B114+E114)*('Prices&amp;Fuel'!B114+0.025))+(('Prices&amp;Fuel'!D114+0.025)*(D114+G114))+(('Prices&amp;Fuel'!C114+0.025)*(C114+F114))-(I114+J114)*0.025)/(B114+C114+D114+E114+F114+G114)</f>
        <v>2.68969959266667</v>
      </c>
      <c r="L114" s="9" t="n">
        <f aca="false">(B114+C114+D114+E114+F114+G114)*H114*'Prices&amp;Fuel'!H114</f>
        <v>1306310.67709203</v>
      </c>
      <c r="M114" s="9" t="n">
        <f aca="false">'Prices&amp;Fuel'!X114*('Prices&amp;Fuel'!N114+'Prices&amp;Fuel'!O114)*'Prices&amp;Fuel'!H114</f>
        <v>9438.64041395779</v>
      </c>
      <c r="N114" s="9" t="n">
        <f aca="false">('Prices&amp;Fuel'!U114+'Prices&amp;Fuel'!V114+'Prices&amp;Fuel'!W114)*('Prices&amp;Fuel'!L114+'Prices&amp;Fuel'!O114)*'Prices&amp;Fuel'!H114</f>
        <v>98255.8321277305</v>
      </c>
      <c r="O114" s="9" t="n">
        <f aca="false">((B114+C114+D114)*(1-'Prices&amp;Fuel'!G114))*('Prices&amp;Fuel'!M114+'Prices&amp;Fuel'!P114)*'Prices&amp;Fuel'!H114</f>
        <v>99834.2135</v>
      </c>
      <c r="P114" s="9" t="n">
        <f aca="false">((B114+C114+D114+E114+F114+G114)/(1-'Prices&amp;Fuel'!F114))*(1-'Prices&amp;Fuel'!F114)*'Prices&amp;Fuel'!H114*0.005</f>
        <v>1912.59640102828</v>
      </c>
      <c r="Q114" s="9" t="n">
        <f aca="false">((D114+C114+B114+E114+F114+G114)*K114*'Prices&amp;Fuel'!H114)+M114+N114+O114+P114</f>
        <v>1238303.23459902</v>
      </c>
      <c r="R114" s="5" t="n">
        <f aca="false">L114-Q114</f>
        <v>68007.4424930159</v>
      </c>
      <c r="T114" s="1" t="n">
        <f aca="false">T113</f>
        <v>12000</v>
      </c>
    </row>
    <row r="115" customFormat="false" ht="11.25" hidden="false" customHeight="false" outlineLevel="0" collapsed="false">
      <c r="A115" s="6" t="n">
        <f aca="false">+A114+365/12</f>
        <v>39094.8333333333</v>
      </c>
      <c r="B115" s="5" t="n">
        <f aca="false">IF(T115-((E115+F115+G115)*(1-'Prices&amp;Fuel'!F115))&lt;'Prices&amp;Fuel'!R115,(T115-(E115+F115+G115)*(1-'Prices&amp;Fuel'!F115)),'Prices&amp;Fuel'!R115)/(1-'Prices&amp;Fuel'!F115)</f>
        <v>4325.96401028278</v>
      </c>
      <c r="C115" s="9" t="n">
        <f aca="false">(T115/(1-'Prices&amp;Fuel'!F115))-D115-E115-F115-G115-B115</f>
        <v>0</v>
      </c>
      <c r="D115" s="9" t="n">
        <f aca="false">ROUND(IF(T115/(1-'Prices&amp;Fuel'!F115)-E115-F115-G115-B115&gt;'Prices&amp;Fuel'!T115,'Prices&amp;Fuel'!T115,T115/(1-'Prices&amp;Fuel'!F115)-E115-F115-G115-B115),9)</f>
        <v>0</v>
      </c>
      <c r="E115" s="9" t="n">
        <f aca="false">'Prices&amp;Fuel'!U115/(1-'Prices&amp;Fuel'!F115)</f>
        <v>2635.47557840617</v>
      </c>
      <c r="F115" s="9" t="n">
        <f aca="false">('Prices&amp;Fuel'!V115+'Prices&amp;Fuel'!X115)/(1-'Prices&amp;Fuel'!F115)</f>
        <v>3645.2442159383</v>
      </c>
      <c r="G115" s="9" t="n">
        <f aca="false">'Prices&amp;Fuel'!W115/(1-'Prices&amp;Fuel'!F115)</f>
        <v>1732.64781491003</v>
      </c>
      <c r="H115" s="10" t="n">
        <f aca="false">('Prices&amp;Fuel'!C115+'Prices&amp;Fuel'!D115)/2-0.01+(('Prices&amp;Fuel'!M115+'Prices&amp;Fuel'!P115)*(1-'Prices&amp;Fuel'!F115))</f>
        <v>3.095241563727</v>
      </c>
      <c r="I115" s="10"/>
      <c r="J115" s="10"/>
      <c r="K115" s="10" t="n">
        <f aca="false">(((B115+E115)*('Prices&amp;Fuel'!B115+0.025))+(('Prices&amp;Fuel'!D115+0.025)*(D115+G115))+(('Prices&amp;Fuel'!C115+0.025)*(C115+F115))-(I115+J115)*0.025)/(B115+C115+D115+E115+F115+G115)</f>
        <v>2.36992198039367</v>
      </c>
      <c r="L115" s="9" t="n">
        <f aca="false">(B115+C115+D115+E115+F115+G115)*H115*'Prices&amp;Fuel'!H115</f>
        <v>1183989.57501948</v>
      </c>
      <c r="M115" s="9" t="n">
        <f aca="false">'Prices&amp;Fuel'!X115*('Prices&amp;Fuel'!N115+'Prices&amp;Fuel'!O115)*'Prices&amp;Fuel'!H115</f>
        <v>9438.64041395779</v>
      </c>
      <c r="N115" s="9" t="n">
        <f aca="false">('Prices&amp;Fuel'!U115+'Prices&amp;Fuel'!V115+'Prices&amp;Fuel'!W115)*('Prices&amp;Fuel'!L115+'Prices&amp;Fuel'!O115)*'Prices&amp;Fuel'!H115</f>
        <v>98255.8321277305</v>
      </c>
      <c r="O115" s="9" t="n">
        <f aca="false">((B115+C115+D115)*(1-'Prices&amp;Fuel'!G115))*('Prices&amp;Fuel'!M115+'Prices&amp;Fuel'!P115)*'Prices&amp;Fuel'!H115</f>
        <v>99834.2135</v>
      </c>
      <c r="P115" s="9" t="n">
        <f aca="false">((B115+C115+D115+E115+F115+G115)/(1-'Prices&amp;Fuel'!F115))*(1-'Prices&amp;Fuel'!F115)*'Prices&amp;Fuel'!H115*0.005</f>
        <v>1912.59640102828</v>
      </c>
      <c r="Q115" s="9" t="n">
        <f aca="false">((D115+C115+B115+E115+F115+G115)*K115*'Prices&amp;Fuel'!H115)+M115+N115+O115+P115</f>
        <v>1115982.13252646</v>
      </c>
      <c r="R115" s="5" t="n">
        <f aca="false">L115-Q115</f>
        <v>68007.4424930161</v>
      </c>
      <c r="T115" s="1" t="n">
        <f aca="false">T114</f>
        <v>12000</v>
      </c>
    </row>
    <row r="116" customFormat="false" ht="11.25" hidden="false" customHeight="false" outlineLevel="0" collapsed="false">
      <c r="A116" s="6" t="n">
        <f aca="false">+A115+365/12</f>
        <v>39125.25</v>
      </c>
      <c r="B116" s="5" t="n">
        <f aca="false">IF(T116-((E116+F116+G116)*(1-'Prices&amp;Fuel'!F116))&lt;'Prices&amp;Fuel'!R116,(T116-(E116+F116+G116)*(1-'Prices&amp;Fuel'!F116)),'Prices&amp;Fuel'!R116)/(1-'Prices&amp;Fuel'!F116)</f>
        <v>4325.96401028278</v>
      </c>
      <c r="C116" s="9" t="n">
        <f aca="false">(T116/(1-'Prices&amp;Fuel'!F116))-D116-E116-F116-G116-B116</f>
        <v>0</v>
      </c>
      <c r="D116" s="9" t="n">
        <f aca="false">ROUND(IF(T116/(1-'Prices&amp;Fuel'!F116)-E116-F116-G116-B116&gt;'Prices&amp;Fuel'!T116,'Prices&amp;Fuel'!T116,T116/(1-'Prices&amp;Fuel'!F116)-E116-F116-G116-B116),9)</f>
        <v>0</v>
      </c>
      <c r="E116" s="9" t="n">
        <f aca="false">'Prices&amp;Fuel'!U116/(1-'Prices&amp;Fuel'!F116)</f>
        <v>2635.47557840617</v>
      </c>
      <c r="F116" s="9" t="n">
        <f aca="false">('Prices&amp;Fuel'!V116+'Prices&amp;Fuel'!X116)/(1-'Prices&amp;Fuel'!F116)</f>
        <v>3645.2442159383</v>
      </c>
      <c r="G116" s="9" t="n">
        <f aca="false">'Prices&amp;Fuel'!W116/(1-'Prices&amp;Fuel'!F116)</f>
        <v>1732.64781491003</v>
      </c>
      <c r="H116" s="10" t="n">
        <f aca="false">('Prices&amp;Fuel'!C116+'Prices&amp;Fuel'!D116)/2-0.01+(('Prices&amp;Fuel'!M116+'Prices&amp;Fuel'!P116)*(1-'Prices&amp;Fuel'!F116))</f>
        <v>3.379014277254</v>
      </c>
      <c r="I116" s="10"/>
      <c r="J116" s="10"/>
      <c r="K116" s="10" t="n">
        <f aca="false">(((B116+E116)*('Prices&amp;Fuel'!B116+0.025))+(('Prices&amp;Fuel'!D116+0.025)*(D116+G116))+(('Prices&amp;Fuel'!C116+0.025)*(C116+F116))-(I116+J116)*0.025)/(B116+C116+D116+E116+F116+G116)</f>
        <v>2.65369469392067</v>
      </c>
      <c r="L116" s="9" t="n">
        <f aca="false">(B116+C116+D116+E116+F116+G116)*H116*'Prices&amp;Fuel'!H116</f>
        <v>1167453.77599727</v>
      </c>
      <c r="M116" s="9" t="n">
        <f aca="false">'Prices&amp;Fuel'!X116*('Prices&amp;Fuel'!N116+'Prices&amp;Fuel'!O116)*'Prices&amp;Fuel'!H116</f>
        <v>8525.22359970381</v>
      </c>
      <c r="N116" s="9" t="n">
        <f aca="false">('Prices&amp;Fuel'!U116+'Prices&amp;Fuel'!V116+'Prices&amp;Fuel'!W116)*('Prices&amp;Fuel'!L116+'Prices&amp;Fuel'!O116)*'Prices&amp;Fuel'!H116</f>
        <v>88747.2032121437</v>
      </c>
      <c r="O116" s="9" t="n">
        <f aca="false">((B116+C116+D116)*(1-'Prices&amp;Fuel'!G116))*('Prices&amp;Fuel'!M116+'Prices&amp;Fuel'!P116)*'Prices&amp;Fuel'!H116</f>
        <v>90172.838</v>
      </c>
      <c r="P116" s="9" t="n">
        <f aca="false">((B116+C116+D116+E116+F116+G116)/(1-'Prices&amp;Fuel'!F116))*(1-'Prices&amp;Fuel'!F116)*'Prices&amp;Fuel'!H116*0.005</f>
        <v>1727.50642673522</v>
      </c>
      <c r="Q116" s="9" t="n">
        <f aca="false">((D116+C116+B116+E116+F116+G116)*K116*'Prices&amp;Fuel'!H116)+M116+N116+O116+P116</f>
        <v>1106027.6989068</v>
      </c>
      <c r="R116" s="5" t="n">
        <f aca="false">L116-Q116</f>
        <v>61426.0770904662</v>
      </c>
      <c r="T116" s="1" t="n">
        <f aca="false">T115</f>
        <v>12000</v>
      </c>
    </row>
    <row r="117" customFormat="false" ht="11.25" hidden="false" customHeight="false" outlineLevel="0" collapsed="false">
      <c r="A117" s="6" t="n">
        <f aca="false">+A116+365/12</f>
        <v>39155.6666666667</v>
      </c>
      <c r="B117" s="5" t="n">
        <f aca="false">IF(T117-((E117+F117+G117)*(1-'Prices&amp;Fuel'!F117))&lt;'Prices&amp;Fuel'!R117,(T117-(E117+F117+G117)*(1-'Prices&amp;Fuel'!F117)),'Prices&amp;Fuel'!R117)/(1-'Prices&amp;Fuel'!F117)</f>
        <v>4325.96401028278</v>
      </c>
      <c r="C117" s="9" t="n">
        <f aca="false">(T117/(1-'Prices&amp;Fuel'!F117))-D117-E117-F117-G117-B117</f>
        <v>0</v>
      </c>
      <c r="D117" s="9" t="n">
        <f aca="false">ROUND(IF(T117/(1-'Prices&amp;Fuel'!F117)-E117-F117-G117-B117&gt;'Prices&amp;Fuel'!T117,'Prices&amp;Fuel'!T117,T117/(1-'Prices&amp;Fuel'!F117)-E117-F117-G117-B117),9)</f>
        <v>0</v>
      </c>
      <c r="E117" s="9" t="n">
        <f aca="false">'Prices&amp;Fuel'!U117/(1-'Prices&amp;Fuel'!F117)</f>
        <v>2635.47557840617</v>
      </c>
      <c r="F117" s="9" t="n">
        <f aca="false">('Prices&amp;Fuel'!V117+'Prices&amp;Fuel'!X117)/(1-'Prices&amp;Fuel'!F117)</f>
        <v>3645.2442159383</v>
      </c>
      <c r="G117" s="9" t="n">
        <f aca="false">'Prices&amp;Fuel'!W117/(1-'Prices&amp;Fuel'!F117)</f>
        <v>1732.64781491003</v>
      </c>
      <c r="H117" s="10" t="n">
        <f aca="false">('Prices&amp;Fuel'!C117+'Prices&amp;Fuel'!D117)/2-0.01+(('Prices&amp;Fuel'!M117+'Prices&amp;Fuel'!P117)*(1-'Prices&amp;Fuel'!F117))</f>
        <v>3.379014277254</v>
      </c>
      <c r="I117" s="10"/>
      <c r="J117" s="10"/>
      <c r="K117" s="10" t="n">
        <f aca="false">(((B117+E117)*('Prices&amp;Fuel'!B117+0.025))+(('Prices&amp;Fuel'!D117+0.025)*(D117+G117))+(('Prices&amp;Fuel'!C117+0.025)*(C117+F117))-(I117+J117)*0.025)/(B117+C117+D117+E117+F117+G117)</f>
        <v>2.65369469392067</v>
      </c>
      <c r="L117" s="9" t="n">
        <f aca="false">(B117+C117+D117+E117+F117+G117)*H117*'Prices&amp;Fuel'!H117</f>
        <v>1292538.10913983</v>
      </c>
      <c r="M117" s="9" t="n">
        <f aca="false">'Prices&amp;Fuel'!X117*('Prices&amp;Fuel'!N117+'Prices&amp;Fuel'!O117)*'Prices&amp;Fuel'!H117</f>
        <v>9438.64041395779</v>
      </c>
      <c r="N117" s="9" t="n">
        <f aca="false">('Prices&amp;Fuel'!U117+'Prices&amp;Fuel'!V117+'Prices&amp;Fuel'!W117)*('Prices&amp;Fuel'!L117+'Prices&amp;Fuel'!O117)*'Prices&amp;Fuel'!H117</f>
        <v>98255.8321277305</v>
      </c>
      <c r="O117" s="9" t="n">
        <f aca="false">((B117+C117+D117)*(1-'Prices&amp;Fuel'!G117))*('Prices&amp;Fuel'!M117+'Prices&amp;Fuel'!P117)*'Prices&amp;Fuel'!H117</f>
        <v>99834.2135</v>
      </c>
      <c r="P117" s="9" t="n">
        <f aca="false">((B117+C117+D117+E117+F117+G117)/(1-'Prices&amp;Fuel'!F117))*(1-'Prices&amp;Fuel'!F117)*'Prices&amp;Fuel'!H117*0.005</f>
        <v>1912.59640102828</v>
      </c>
      <c r="Q117" s="9" t="n">
        <f aca="false">((D117+C117+B117+E117+F117+G117)*K117*'Prices&amp;Fuel'!H117)+M117+N117+O117+P117</f>
        <v>1224530.66664682</v>
      </c>
      <c r="R117" s="5" t="n">
        <f aca="false">L117-Q117</f>
        <v>68007.4424930161</v>
      </c>
      <c r="T117" s="1" t="n">
        <f aca="false">T116</f>
        <v>12000</v>
      </c>
    </row>
    <row r="118" customFormat="false" ht="11.25" hidden="false" customHeight="false" outlineLevel="0" collapsed="false">
      <c r="A118" s="6" t="n">
        <f aca="false">+A117+365/12</f>
        <v>39186.0833333333</v>
      </c>
      <c r="B118" s="5" t="n">
        <f aca="false">IF(T118-((E118+F118+G118)*(1-'Prices&amp;Fuel'!F118))&lt;'Prices&amp;Fuel'!R118,(T118-(E118+F118+G118)*(1-'Prices&amp;Fuel'!F118)),'Prices&amp;Fuel'!R118)/(1-'Prices&amp;Fuel'!F118)</f>
        <v>6278.66323907455</v>
      </c>
      <c r="C118" s="9" t="n">
        <f aca="false">(T118/(1-'Prices&amp;Fuel'!F118))-D118-E118-F118-G118-B118</f>
        <v>0</v>
      </c>
      <c r="D118" s="9" t="n">
        <f aca="false">ROUND(IF(T118/(1-'Prices&amp;Fuel'!F118)-E118-F118-G118-B118&gt;'Prices&amp;Fuel'!T118,'Prices&amp;Fuel'!T118,T118/(1-'Prices&amp;Fuel'!F118)-E118-F118-G118-B118),9)</f>
        <v>0</v>
      </c>
      <c r="E118" s="9" t="n">
        <f aca="false">'Prices&amp;Fuel'!U118/(1-'Prices&amp;Fuel'!F118)</f>
        <v>1933.16195372751</v>
      </c>
      <c r="F118" s="9" t="n">
        <f aca="false">('Prices&amp;Fuel'!V118+'Prices&amp;Fuel'!X118)/(1-'Prices&amp;Fuel'!F118)</f>
        <v>2833.93316195373</v>
      </c>
      <c r="G118" s="9" t="n">
        <f aca="false">'Prices&amp;Fuel'!W118/(1-'Prices&amp;Fuel'!F118)</f>
        <v>1293.57326478149</v>
      </c>
      <c r="H118" s="10" t="n">
        <f aca="false">('Prices&amp;Fuel'!C118+'Prices&amp;Fuel'!D118)/2-0.01+(('Prices&amp;Fuel'!M118+'Prices&amp;Fuel'!P118)*(1-'Prices&amp;Fuel'!F118))</f>
        <v>3.662786990781</v>
      </c>
      <c r="I118" s="10"/>
      <c r="J118" s="10"/>
      <c r="K118" s="10" t="n">
        <f aca="false">(((B118+E118)*('Prices&amp;Fuel'!B118+0.025))+(('Prices&amp;Fuel'!D118+0.025)*(D118+G118))+(('Prices&amp;Fuel'!C118+0.025)*(C118+F118))-(I118+J118)*0.025)/(B118+C118+D118+E118+F118+G118)</f>
        <v>2.93316657411433</v>
      </c>
      <c r="L118" s="9" t="n">
        <f aca="false">(B118+C118+D118+E118+F118+G118)*H118*'Prices&amp;Fuel'!H118</f>
        <v>1355890.29992921</v>
      </c>
      <c r="M118" s="9" t="n">
        <f aca="false">'Prices&amp;Fuel'!X118*('Prices&amp;Fuel'!N118+'Prices&amp;Fuel'!O118)*'Prices&amp;Fuel'!H118</f>
        <v>9134.1681425398</v>
      </c>
      <c r="N118" s="9" t="n">
        <f aca="false">('Prices&amp;Fuel'!U118+'Prices&amp;Fuel'!V118+'Prices&amp;Fuel'!W118)*('Prices&amp;Fuel'!L118+'Prices&amp;Fuel'!O118)*'Prices&amp;Fuel'!H118</f>
        <v>69689.8245838578</v>
      </c>
      <c r="O118" s="9" t="n">
        <f aca="false">((B118+C118+D118)*(1-'Prices&amp;Fuel'!G118))*('Prices&amp;Fuel'!M118+'Prices&amp;Fuel'!P118)*'Prices&amp;Fuel'!H118</f>
        <v>140224.29</v>
      </c>
      <c r="P118" s="9" t="n">
        <f aca="false">((B118+C118+D118+E118+F118+G118)/(1-'Prices&amp;Fuel'!F118))*(1-'Prices&amp;Fuel'!F118)*'Prices&amp;Fuel'!H118*0.005</f>
        <v>1850.89974293059</v>
      </c>
      <c r="Q118" s="9" t="n">
        <f aca="false">((D118+C118+B118+E118+F118+G118)*K118*'Prices&amp;Fuel'!H118)+M118+N118+O118+P118</f>
        <v>1306698.63406949</v>
      </c>
      <c r="R118" s="5" t="n">
        <f aca="false">L118-Q118</f>
        <v>49191.6658597207</v>
      </c>
      <c r="T118" s="1" t="n">
        <f aca="false">T117</f>
        <v>12000</v>
      </c>
    </row>
    <row r="119" customFormat="false" ht="11.25" hidden="false" customHeight="false" outlineLevel="0" collapsed="false">
      <c r="A119" s="6" t="n">
        <f aca="false">+A118+365/12</f>
        <v>39216.5</v>
      </c>
      <c r="B119" s="5" t="n">
        <f aca="false">IF(T119-((E119+F119+G119)*(1-'Prices&amp;Fuel'!F119))&lt;'Prices&amp;Fuel'!R119,(T119-(E119+F119+G119)*(1-'Prices&amp;Fuel'!F119)),'Prices&amp;Fuel'!R119)/(1-'Prices&amp;Fuel'!F119)</f>
        <v>8976.86375321337</v>
      </c>
      <c r="C119" s="9" t="n">
        <f aca="false">(T119/(1-'Prices&amp;Fuel'!F119))-D119-E119-F119-G119-B119</f>
        <v>1.38243194669485E-010</v>
      </c>
      <c r="D119" s="9" t="n">
        <f aca="false">ROUND(IF(T119/(1-'Prices&amp;Fuel'!F119)-E119-F119-G119-B119&gt;'Prices&amp;Fuel'!T119,'Prices&amp;Fuel'!T119,T119/(1-'Prices&amp;Fuel'!F119)-E119-F119-G119-B119),9)</f>
        <v>6556.298200514</v>
      </c>
      <c r="E119" s="9" t="n">
        <f aca="false">'Prices&amp;Fuel'!U119/(1-'Prices&amp;Fuel'!F119)</f>
        <v>1933.16195372751</v>
      </c>
      <c r="F119" s="9" t="n">
        <f aca="false">('Prices&amp;Fuel'!V119+'Prices&amp;Fuel'!X119)/(1-'Prices&amp;Fuel'!F119)</f>
        <v>3062.21079691517</v>
      </c>
      <c r="G119" s="9" t="n">
        <f aca="false">'Prices&amp;Fuel'!W119/(1-'Prices&amp;Fuel'!F119)</f>
        <v>1065.29562982005</v>
      </c>
      <c r="H119" s="10" t="n">
        <f aca="false">('Prices&amp;Fuel'!C119+'Prices&amp;Fuel'!D119)/2-0.01+(('Prices&amp;Fuel'!M119+'Prices&amp;Fuel'!P119)*(1-'Prices&amp;Fuel'!F119))</f>
        <v>3.8624789003</v>
      </c>
      <c r="I119" s="10"/>
      <c r="J119" s="10"/>
      <c r="K119" s="10" t="n">
        <f aca="false">(((B119+E119)*('Prices&amp;Fuel'!B119+0.025))+(('Prices&amp;Fuel'!D119+0.025)*(D119+G119))+(('Prices&amp;Fuel'!C119+0.025)*(C119+F119))-(I119+J119)*0.025)/(B119+C119+D119+E119+F119+G119)</f>
        <v>3.1300682455381</v>
      </c>
      <c r="L119" s="9" t="n">
        <f aca="false">(B119+C119+D119+E119+F119+G119)*H119*'Prices&amp;Fuel'!H119</f>
        <v>2585577.1353165</v>
      </c>
      <c r="M119" s="9" t="n">
        <f aca="false">'Prices&amp;Fuel'!X119*('Prices&amp;Fuel'!N119+'Prices&amp;Fuel'!O119)*'Prices&amp;Fuel'!H119</f>
        <v>9438.64041395779</v>
      </c>
      <c r="N119" s="9" t="n">
        <f aca="false">('Prices&amp;Fuel'!U119+'Prices&amp;Fuel'!V119+'Prices&amp;Fuel'!W119)*('Prices&amp;Fuel'!L119+'Prices&amp;Fuel'!O119)*'Prices&amp;Fuel'!H119</f>
        <v>72012.8187366531</v>
      </c>
      <c r="O119" s="9" t="n">
        <f aca="false">((B119+C119+D119)*(1-'Prices&amp;Fuel'!G119))*('Prices&amp;Fuel'!M119+'Prices&amp;Fuel'!P119)*'Prices&amp;Fuel'!H119</f>
        <v>358472.933</v>
      </c>
      <c r="P119" s="9" t="n">
        <f aca="false">((B119+C119+D119+E119+F119+G119)/(1-'Prices&amp;Fuel'!F119))*(1-'Prices&amp;Fuel'!F119)*'Prices&amp;Fuel'!H119*0.005</f>
        <v>3347.04370179949</v>
      </c>
      <c r="Q119" s="9" t="n">
        <f aca="false">((D119+C119+B119+E119+F119+G119)*K119*'Prices&amp;Fuel'!H119)+M119+N119+O119+P119</f>
        <v>2538566.47733858</v>
      </c>
      <c r="R119" s="5" t="n">
        <f aca="false">L119-Q119</f>
        <v>47010.6579779228</v>
      </c>
      <c r="T119" s="1" t="n">
        <v>21000</v>
      </c>
    </row>
    <row r="120" customFormat="false" ht="11.25" hidden="false" customHeight="false" outlineLevel="0" collapsed="false">
      <c r="A120" s="6" t="n">
        <f aca="false">+A119+365/12</f>
        <v>39246.9166666667</v>
      </c>
      <c r="B120" s="5" t="n">
        <f aca="false">IF(T120-((E120+F120+G120)*(1-'Prices&amp;Fuel'!F120))&lt;'Prices&amp;Fuel'!R120,(T120-(E120+F120+G120)*(1-'Prices&amp;Fuel'!F120)),'Prices&amp;Fuel'!R120)/(1-'Prices&amp;Fuel'!F120)</f>
        <v>8976.86375321337</v>
      </c>
      <c r="C120" s="9" t="n">
        <f aca="false">(T120/(1-'Prices&amp;Fuel'!F120))-D120-E120-F120-G120-B120</f>
        <v>1.38243194669485E-010</v>
      </c>
      <c r="D120" s="9" t="n">
        <f aca="false">ROUND(IF(T120/(1-'Prices&amp;Fuel'!F120)-E120-F120-G120-B120&gt;'Prices&amp;Fuel'!T120,'Prices&amp;Fuel'!T120,T120/(1-'Prices&amp;Fuel'!F120)-E120-F120-G120-B120),9)</f>
        <v>6556.298200514</v>
      </c>
      <c r="E120" s="9" t="n">
        <f aca="false">'Prices&amp;Fuel'!U120/(1-'Prices&amp;Fuel'!F120)</f>
        <v>1933.16195372751</v>
      </c>
      <c r="F120" s="9" t="n">
        <f aca="false">('Prices&amp;Fuel'!V120+'Prices&amp;Fuel'!X120)/(1-'Prices&amp;Fuel'!F120)</f>
        <v>3062.21079691517</v>
      </c>
      <c r="G120" s="9" t="n">
        <f aca="false">'Prices&amp;Fuel'!W120/(1-'Prices&amp;Fuel'!F120)</f>
        <v>1065.29562982005</v>
      </c>
      <c r="H120" s="10" t="n">
        <f aca="false">('Prices&amp;Fuel'!C120+'Prices&amp;Fuel'!D120)/2-0.01+(('Prices&amp;Fuel'!M120+'Prices&amp;Fuel'!P120)*(1-'Prices&amp;Fuel'!F120))</f>
        <v>5.239302065931</v>
      </c>
      <c r="I120" s="10"/>
      <c r="J120" s="10"/>
      <c r="K120" s="10" t="n">
        <f aca="false">(((B120+E120)*('Prices&amp;Fuel'!B120+0.025))+(('Prices&amp;Fuel'!D120+0.025)*(D120+G120))+(('Prices&amp;Fuel'!C120+0.025)*(C120+F120))-(I120+J120)*0.025)/(B120+C120+D120+E120+F120+G120)</f>
        <v>4.5068914111691</v>
      </c>
      <c r="L120" s="9" t="n">
        <f aca="false">(B120+C120+D120+E120+F120+G120)*H120*'Prices&amp;Fuel'!H120</f>
        <v>3394097.99643859</v>
      </c>
      <c r="M120" s="9" t="n">
        <f aca="false">'Prices&amp;Fuel'!X120*('Prices&amp;Fuel'!N120+'Prices&amp;Fuel'!O120)*'Prices&amp;Fuel'!H120</f>
        <v>9134.1681425398</v>
      </c>
      <c r="N120" s="9" t="n">
        <f aca="false">('Prices&amp;Fuel'!U120+'Prices&amp;Fuel'!V120+'Prices&amp;Fuel'!W120)*('Prices&amp;Fuel'!L120+'Prices&amp;Fuel'!O120)*'Prices&amp;Fuel'!H120</f>
        <v>69689.8245838578</v>
      </c>
      <c r="O120" s="9" t="n">
        <f aca="false">((B120+C120+D120)*(1-'Prices&amp;Fuel'!G120))*('Prices&amp;Fuel'!M120+'Prices&amp;Fuel'!P120)*'Prices&amp;Fuel'!H120</f>
        <v>346909.29</v>
      </c>
      <c r="P120" s="9" t="n">
        <f aca="false">((B120+C120+D120+E120+F120+G120)/(1-'Prices&amp;Fuel'!F120))*(1-'Prices&amp;Fuel'!F120)*'Prices&amp;Fuel'!H120*0.005</f>
        <v>3239.07455012853</v>
      </c>
      <c r="Q120" s="9" t="n">
        <f aca="false">((D120+C120+B120+E120+F120+G120)*K120*'Prices&amp;Fuel'!H120)+M120+N120+O120+P120</f>
        <v>3348603.81129866</v>
      </c>
      <c r="R120" s="5" t="n">
        <f aca="false">L120-Q120</f>
        <v>45494.1851399262</v>
      </c>
      <c r="T120" s="1" t="n">
        <f aca="false">T119</f>
        <v>21000</v>
      </c>
    </row>
    <row r="121" customFormat="false" ht="11.25" hidden="false" customHeight="false" outlineLevel="0" collapsed="false">
      <c r="A121" s="6" t="n">
        <f aca="false">+A120+365/12</f>
        <v>39277.3333333333</v>
      </c>
      <c r="B121" s="5" t="n">
        <f aca="false">IF(T121-((E121+F121+G121)*(1-'Prices&amp;Fuel'!F121))&lt;'Prices&amp;Fuel'!R121,(T121-(E121+F121+G121)*(1-'Prices&amp;Fuel'!F121)),'Prices&amp;Fuel'!R121)/(1-'Prices&amp;Fuel'!F121)</f>
        <v>8976.86375321337</v>
      </c>
      <c r="C121" s="9" t="n">
        <f aca="false">(T121/(1-'Prices&amp;Fuel'!F121))-D121-E121-F121-G121-B121</f>
        <v>1.38243194669485E-010</v>
      </c>
      <c r="D121" s="9" t="n">
        <f aca="false">ROUND(IF(T121/(1-'Prices&amp;Fuel'!F121)-E121-F121-G121-B121&gt;'Prices&amp;Fuel'!T121,'Prices&amp;Fuel'!T121,T121/(1-'Prices&amp;Fuel'!F121)-E121-F121-G121-B121),9)</f>
        <v>6556.298200514</v>
      </c>
      <c r="E121" s="9" t="n">
        <f aca="false">'Prices&amp;Fuel'!U121/(1-'Prices&amp;Fuel'!F121)</f>
        <v>1933.16195372751</v>
      </c>
      <c r="F121" s="9" t="n">
        <f aca="false">('Prices&amp;Fuel'!V121+'Prices&amp;Fuel'!X121)/(1-'Prices&amp;Fuel'!F121)</f>
        <v>3062.21079691517</v>
      </c>
      <c r="G121" s="9" t="n">
        <f aca="false">'Prices&amp;Fuel'!W121/(1-'Prices&amp;Fuel'!F121)</f>
        <v>1065.29562982005</v>
      </c>
      <c r="H121" s="10" t="n">
        <f aca="false">('Prices&amp;Fuel'!C121+'Prices&amp;Fuel'!D121)/2-0.01+(('Prices&amp;Fuel'!M121+'Prices&amp;Fuel'!P121)*(1-'Prices&amp;Fuel'!F121))</f>
        <v>5.22879196543</v>
      </c>
      <c r="I121" s="10"/>
      <c r="J121" s="10"/>
      <c r="K121" s="10" t="n">
        <f aca="false">(((B121+E121)*('Prices&amp;Fuel'!B121+0.025))+(('Prices&amp;Fuel'!D121+0.025)*(D121+G121))+(('Prices&amp;Fuel'!C121+0.025)*(C121+F121))-(I121+J121)*0.025)/(B121+C121+D121+E121+F121+G121)</f>
        <v>4.4963813106681</v>
      </c>
      <c r="L121" s="9" t="n">
        <f aca="false">(B121+C121+D121+E121+F121+G121)*H121*'Prices&amp;Fuel'!H121</f>
        <v>3500199.04318245</v>
      </c>
      <c r="M121" s="9" t="n">
        <f aca="false">'Prices&amp;Fuel'!X121*('Prices&amp;Fuel'!N121+'Prices&amp;Fuel'!O121)*'Prices&amp;Fuel'!H121</f>
        <v>9438.64041395779</v>
      </c>
      <c r="N121" s="9" t="n">
        <f aca="false">('Prices&amp;Fuel'!U121+'Prices&amp;Fuel'!V121+'Prices&amp;Fuel'!W121)*('Prices&amp;Fuel'!L121+'Prices&amp;Fuel'!O121)*'Prices&amp;Fuel'!H121</f>
        <v>72012.8187366531</v>
      </c>
      <c r="O121" s="9" t="n">
        <f aca="false">((B121+C121+D121)*(1-'Prices&amp;Fuel'!G121))*('Prices&amp;Fuel'!M121+'Prices&amp;Fuel'!P121)*'Prices&amp;Fuel'!H121</f>
        <v>358472.933</v>
      </c>
      <c r="P121" s="9" t="n">
        <f aca="false">((B121+C121+D121+E121+F121+G121)/(1-'Prices&amp;Fuel'!F121))*(1-'Prices&amp;Fuel'!F121)*'Prices&amp;Fuel'!H121*0.005</f>
        <v>3347.04370179949</v>
      </c>
      <c r="Q121" s="9" t="n">
        <f aca="false">((D121+C121+B121+E121+F121+G121)*K121*'Prices&amp;Fuel'!H121)+M121+N121+O121+P121</f>
        <v>3453188.38520452</v>
      </c>
      <c r="R121" s="5" t="n">
        <f aca="false">L121-Q121</f>
        <v>47010.6579779219</v>
      </c>
      <c r="T121" s="1" t="n">
        <f aca="false">T120</f>
        <v>21000</v>
      </c>
    </row>
    <row r="122" customFormat="false" ht="11.25" hidden="false" customHeight="false" outlineLevel="0" collapsed="false">
      <c r="A122" s="6" t="n">
        <f aca="false">+A121+365/12</f>
        <v>39307.75</v>
      </c>
      <c r="B122" s="5" t="n">
        <f aca="false">IF(T122-((E122+F122+G122)*(1-'Prices&amp;Fuel'!F122))&lt;'Prices&amp;Fuel'!R122,(T122-(E122+F122+G122)*(1-'Prices&amp;Fuel'!F122)),'Prices&amp;Fuel'!R122)/(1-'Prices&amp;Fuel'!F122)</f>
        <v>8976.86375321337</v>
      </c>
      <c r="C122" s="9" t="n">
        <f aca="false">(T122/(1-'Prices&amp;Fuel'!F122))-D122-E122-F122-G122-B122</f>
        <v>1.38243194669485E-010</v>
      </c>
      <c r="D122" s="9" t="n">
        <f aca="false">ROUND(IF(T122/(1-'Prices&amp;Fuel'!F122)-E122-F122-G122-B122&gt;'Prices&amp;Fuel'!T122,'Prices&amp;Fuel'!T122,T122/(1-'Prices&amp;Fuel'!F122)-E122-F122-G122-B122),9)</f>
        <v>6556.298200514</v>
      </c>
      <c r="E122" s="9" t="n">
        <f aca="false">'Prices&amp;Fuel'!U122/(1-'Prices&amp;Fuel'!F122)</f>
        <v>1933.16195372751</v>
      </c>
      <c r="F122" s="9" t="n">
        <f aca="false">('Prices&amp;Fuel'!V122+'Prices&amp;Fuel'!X122)/(1-'Prices&amp;Fuel'!F122)</f>
        <v>3062.21079691517</v>
      </c>
      <c r="G122" s="9" t="n">
        <f aca="false">'Prices&amp;Fuel'!W122/(1-'Prices&amp;Fuel'!F122)</f>
        <v>1065.29562982005</v>
      </c>
      <c r="H122" s="10" t="n">
        <f aca="false">('Prices&amp;Fuel'!C122+'Prices&amp;Fuel'!D122)/2-0.01+(('Prices&amp;Fuel'!M122+'Prices&amp;Fuel'!P122)*(1-'Prices&amp;Fuel'!F122))</f>
        <v>4.661246538376</v>
      </c>
      <c r="I122" s="10"/>
      <c r="J122" s="10"/>
      <c r="K122" s="10" t="n">
        <f aca="false">(((B122+E122)*('Prices&amp;Fuel'!B122+0.025))+(('Prices&amp;Fuel'!D122+0.025)*(D122+G122))+(('Prices&amp;Fuel'!C122+0.025)*(C122+F122))-(I122+J122)*0.025)/(B122+C122+D122+E122+F122+G122)</f>
        <v>3.9288358836141</v>
      </c>
      <c r="L122" s="9" t="n">
        <f aca="false">(B122+C122+D122+E122+F122+G122)*H122*'Prices&amp;Fuel'!H122</f>
        <v>3120279.17376121</v>
      </c>
      <c r="M122" s="9" t="n">
        <f aca="false">'Prices&amp;Fuel'!X122*('Prices&amp;Fuel'!N122+'Prices&amp;Fuel'!O122)*'Prices&amp;Fuel'!H122</f>
        <v>9438.64041395779</v>
      </c>
      <c r="N122" s="9" t="n">
        <f aca="false">('Prices&amp;Fuel'!U122+'Prices&amp;Fuel'!V122+'Prices&amp;Fuel'!W122)*('Prices&amp;Fuel'!L122+'Prices&amp;Fuel'!O122)*'Prices&amp;Fuel'!H122</f>
        <v>72012.8187366531</v>
      </c>
      <c r="O122" s="9" t="n">
        <f aca="false">((B122+C122+D122)*(1-'Prices&amp;Fuel'!G122))*('Prices&amp;Fuel'!M122+'Prices&amp;Fuel'!P122)*'Prices&amp;Fuel'!H122</f>
        <v>358472.933</v>
      </c>
      <c r="P122" s="9" t="n">
        <f aca="false">((B122+C122+D122+E122+F122+G122)/(1-'Prices&amp;Fuel'!F122))*(1-'Prices&amp;Fuel'!F122)*'Prices&amp;Fuel'!H122*0.005</f>
        <v>3347.04370179949</v>
      </c>
      <c r="Q122" s="9" t="n">
        <f aca="false">((D122+C122+B122+E122+F122+G122)*K122*'Prices&amp;Fuel'!H122)+M122+N122+O122+P122</f>
        <v>3073268.51578329</v>
      </c>
      <c r="R122" s="5" t="n">
        <f aca="false">L122-Q122</f>
        <v>47010.6579779233</v>
      </c>
      <c r="T122" s="1" t="n">
        <f aca="false">T121</f>
        <v>21000</v>
      </c>
    </row>
    <row r="123" customFormat="false" ht="11.25" hidden="false" customHeight="false" outlineLevel="0" collapsed="false">
      <c r="A123" s="6" t="n">
        <f aca="false">+A122+365/12</f>
        <v>39338.1666666667</v>
      </c>
      <c r="B123" s="5" t="n">
        <f aca="false">IF(T123-((E123+F123+G123)*(1-'Prices&amp;Fuel'!F123))&lt;'Prices&amp;Fuel'!R123,(T123-(E123+F123+G123)*(1-'Prices&amp;Fuel'!F123)),'Prices&amp;Fuel'!R123)/(1-'Prices&amp;Fuel'!F123)</f>
        <v>8976.86375321337</v>
      </c>
      <c r="C123" s="9" t="n">
        <f aca="false">(T123/(1-'Prices&amp;Fuel'!F123))-D123-E123-F123-G123-B123</f>
        <v>1.38243194669485E-010</v>
      </c>
      <c r="D123" s="9" t="n">
        <f aca="false">ROUND(IF(T123/(1-'Prices&amp;Fuel'!F123)-E123-F123-G123-B123&gt;'Prices&amp;Fuel'!T123,'Prices&amp;Fuel'!T123,T123/(1-'Prices&amp;Fuel'!F123)-E123-F123-G123-B123),9)</f>
        <v>6556.298200514</v>
      </c>
      <c r="E123" s="9" t="n">
        <f aca="false">'Prices&amp;Fuel'!U123/(1-'Prices&amp;Fuel'!F123)</f>
        <v>1933.16195372751</v>
      </c>
      <c r="F123" s="9" t="n">
        <f aca="false">('Prices&amp;Fuel'!V123+'Prices&amp;Fuel'!X123)/(1-'Prices&amp;Fuel'!F123)</f>
        <v>3062.21079691517</v>
      </c>
      <c r="G123" s="9" t="n">
        <f aca="false">'Prices&amp;Fuel'!W123/(1-'Prices&amp;Fuel'!F123)</f>
        <v>1065.29562982005</v>
      </c>
      <c r="H123" s="10" t="n">
        <f aca="false">('Prices&amp;Fuel'!C123+'Prices&amp;Fuel'!D123)/2-0.01+(('Prices&amp;Fuel'!M123+'Prices&amp;Fuel'!P123)*(1-'Prices&amp;Fuel'!F123))</f>
        <v>5.470524276953</v>
      </c>
      <c r="I123" s="10"/>
      <c r="J123" s="10"/>
      <c r="K123" s="10" t="n">
        <f aca="false">(((B123+E123)*('Prices&amp;Fuel'!B123+0.025))+(('Prices&amp;Fuel'!D123+0.025)*(D123+G123))+(('Prices&amp;Fuel'!C123+0.025)*(C123+F123))-(I123+J123)*0.025)/(B123+C123+D123+E123+F123+G123)</f>
        <v>4.7381136221911</v>
      </c>
      <c r="L123" s="9" t="n">
        <f aca="false">(B123+C123+D123+E123+F123+G123)*H123*'Prices&amp;Fuel'!H123</f>
        <v>3543887.19226775</v>
      </c>
      <c r="M123" s="9" t="n">
        <f aca="false">'Prices&amp;Fuel'!X123*('Prices&amp;Fuel'!N123+'Prices&amp;Fuel'!O123)*'Prices&amp;Fuel'!H123</f>
        <v>9134.1681425398</v>
      </c>
      <c r="N123" s="9" t="n">
        <f aca="false">('Prices&amp;Fuel'!U123+'Prices&amp;Fuel'!V123+'Prices&amp;Fuel'!W123)*('Prices&amp;Fuel'!L123+'Prices&amp;Fuel'!O123)*'Prices&amp;Fuel'!H123</f>
        <v>69689.8245838578</v>
      </c>
      <c r="O123" s="9" t="n">
        <f aca="false">((B123+C123+D123)*(1-'Prices&amp;Fuel'!G123))*('Prices&amp;Fuel'!M123+'Prices&amp;Fuel'!P123)*'Prices&amp;Fuel'!H123</f>
        <v>346909.29</v>
      </c>
      <c r="P123" s="9" t="n">
        <f aca="false">((B123+C123+D123+E123+F123+G123)/(1-'Prices&amp;Fuel'!F123))*(1-'Prices&amp;Fuel'!F123)*'Prices&amp;Fuel'!H123*0.005</f>
        <v>3239.07455012853</v>
      </c>
      <c r="Q123" s="9" t="n">
        <f aca="false">((D123+C123+B123+E123+F123+G123)*K123*'Prices&amp;Fuel'!H123)+M123+N123+O123+P123</f>
        <v>3498393.00712783</v>
      </c>
      <c r="R123" s="5" t="n">
        <f aca="false">L123-Q123</f>
        <v>45494.1851399262</v>
      </c>
      <c r="T123" s="1" t="n">
        <f aca="false">T122</f>
        <v>21000</v>
      </c>
    </row>
    <row r="124" customFormat="false" ht="11.25" hidden="false" customHeight="false" outlineLevel="0" collapsed="false">
      <c r="A124" s="6" t="n">
        <f aca="false">+A123+365/12</f>
        <v>39368.5833333333</v>
      </c>
      <c r="B124" s="5" t="n">
        <f aca="false">IF(T124-((E124+F124+G124)*(1-'Prices&amp;Fuel'!F124))&lt;'Prices&amp;Fuel'!R124,(T124-(E124+F124+G124)*(1-'Prices&amp;Fuel'!F124)),'Prices&amp;Fuel'!R124)/(1-'Prices&amp;Fuel'!F124)</f>
        <v>8976.86375321337</v>
      </c>
      <c r="C124" s="9" t="n">
        <f aca="false">(T124/(1-'Prices&amp;Fuel'!F124))-D124-E124-F124-G124-B124</f>
        <v>2.0190782379359E-010</v>
      </c>
      <c r="D124" s="9" t="n">
        <f aca="false">ROUND(IF(T124/(1-'Prices&amp;Fuel'!F124)-E124-F124-G124-B124&gt;'Prices&amp;Fuel'!T124,'Prices&amp;Fuel'!T124,T124/(1-'Prices&amp;Fuel'!F124)-E124-F124-G124-B124),9)</f>
        <v>3514.652956298</v>
      </c>
      <c r="E124" s="9" t="n">
        <f aca="false">'Prices&amp;Fuel'!U124/(1-'Prices&amp;Fuel'!F124)</f>
        <v>2910.02570694087</v>
      </c>
      <c r="F124" s="9" t="n">
        <f aca="false">('Prices&amp;Fuel'!V124+'Prices&amp;Fuel'!X124)/(1-'Prices&amp;Fuel'!F124)</f>
        <v>4628.27763496144</v>
      </c>
      <c r="G124" s="9" t="n">
        <f aca="false">'Prices&amp;Fuel'!W124/(1-'Prices&amp;Fuel'!F124)</f>
        <v>1564.01028277635</v>
      </c>
      <c r="H124" s="10" t="n">
        <f aca="false">('Prices&amp;Fuel'!C124+'Prices&amp;Fuel'!D124)/2-0.01+(('Prices&amp;Fuel'!M124+'Prices&amp;Fuel'!P124)*(1-'Prices&amp;Fuel'!F124))</f>
        <v>6.185211111021</v>
      </c>
      <c r="I124" s="10"/>
      <c r="J124" s="10"/>
      <c r="K124" s="10" t="n">
        <f aca="false">(((B124+E124)*('Prices&amp;Fuel'!B124+0.025))+(('Prices&amp;Fuel'!D124+0.025)*(D124+G124))+(('Prices&amp;Fuel'!C124+0.025)*(C124+F124))-(I124+J124)*0.025)/(B124+C124+D124+E124+F124+G124)</f>
        <v>5.45597426578291</v>
      </c>
      <c r="L124" s="9" t="n">
        <f aca="false">(B124+C124+D124+E124+F124+G124)*H124*'Prices&amp;Fuel'!H124</f>
        <v>4140434.37868861</v>
      </c>
      <c r="M124" s="9" t="n">
        <f aca="false">'Prices&amp;Fuel'!X124*('Prices&amp;Fuel'!N124+'Prices&amp;Fuel'!O124)*'Prices&amp;Fuel'!H124</f>
        <v>13833.2050576453</v>
      </c>
      <c r="N124" s="9" t="n">
        <f aca="false">('Prices&amp;Fuel'!U124+'Prices&amp;Fuel'!V124+'Prices&amp;Fuel'!W124)*('Prices&amp;Fuel'!L124+'Prices&amp;Fuel'!O124)*'Prices&amp;Fuel'!H124</f>
        <v>108495.996910663</v>
      </c>
      <c r="O124" s="9" t="n">
        <f aca="false">((B124+C124+D124)*(1-'Prices&amp;Fuel'!G124))*('Prices&amp;Fuel'!M124+'Prices&amp;Fuel'!P124)*'Prices&amp;Fuel'!H124</f>
        <v>288278.114</v>
      </c>
      <c r="P124" s="9" t="n">
        <f aca="false">((B124+C124+D124+E124+F124+G124)/(1-'Prices&amp;Fuel'!F124))*(1-'Prices&amp;Fuel'!F124)*'Prices&amp;Fuel'!H124*0.005</f>
        <v>3347.04370179949</v>
      </c>
      <c r="Q124" s="9" t="n">
        <f aca="false">((D124+C124+B124+E124+F124+G124)*K124*'Prices&amp;Fuel'!H124)+M124+N124+O124+P124</f>
        <v>4066231.22036386</v>
      </c>
      <c r="R124" s="5" t="n">
        <f aca="false">L124-Q124</f>
        <v>74203.1583247506</v>
      </c>
      <c r="T124" s="1" t="n">
        <f aca="false">T123</f>
        <v>21000</v>
      </c>
    </row>
    <row r="125" customFormat="false" ht="11.25" hidden="false" customHeight="false" outlineLevel="0" collapsed="false">
      <c r="A125" s="6" t="n">
        <f aca="false">+A124+365/12</f>
        <v>39399</v>
      </c>
      <c r="B125" s="5" t="n">
        <f aca="false">IF(T125-((E125+F125+G125)*(1-'Prices&amp;Fuel'!F125))&lt;'Prices&amp;Fuel'!R125,(T125-(E125+F125+G125)*(1-'Prices&amp;Fuel'!F125)),'Prices&amp;Fuel'!R125)/(1-'Prices&amp;Fuel'!F125)</f>
        <v>4325.96401028278</v>
      </c>
      <c r="C125" s="9" t="n">
        <f aca="false">(T125/(1-'Prices&amp;Fuel'!F125))-D125-E125-F125-G125-B125</f>
        <v>0</v>
      </c>
      <c r="D125" s="9" t="n">
        <f aca="false">ROUND(IF(T125/(1-'Prices&amp;Fuel'!F125)-E125-F125-G125-B125&gt;'Prices&amp;Fuel'!T125,'Prices&amp;Fuel'!T125,T125/(1-'Prices&amp;Fuel'!F125)-E125-F125-G125-B125),9)</f>
        <v>0</v>
      </c>
      <c r="E125" s="9" t="n">
        <f aca="false">'Prices&amp;Fuel'!U125/(1-'Prices&amp;Fuel'!F125)</f>
        <v>2635.47557840617</v>
      </c>
      <c r="F125" s="9" t="n">
        <f aca="false">('Prices&amp;Fuel'!V125+'Prices&amp;Fuel'!X125)/(1-'Prices&amp;Fuel'!F125)</f>
        <v>3645.2442159383</v>
      </c>
      <c r="G125" s="9" t="n">
        <f aca="false">'Prices&amp;Fuel'!W125/(1-'Prices&amp;Fuel'!F125)</f>
        <v>1732.64781491003</v>
      </c>
      <c r="H125" s="10" t="n">
        <f aca="false">('Prices&amp;Fuel'!C125+'Prices&amp;Fuel'!D125)/2-0+(('Prices&amp;Fuel'!M125+'Prices&amp;Fuel'!P125)*(1-'Prices&amp;Fuel'!F125))</f>
        <v>4.376963724348</v>
      </c>
      <c r="I125" s="10"/>
      <c r="J125" s="10"/>
      <c r="K125" s="10" t="n">
        <f aca="false">(((B125+E125)*('Prices&amp;Fuel'!B125+0.025))+(('Prices&amp;Fuel'!D125+0.025)*(D125+G125))+(('Prices&amp;Fuel'!C125+0.025)*(C125+F125))-(I125+J125)*0.025)/(B125+C125+D125+E125+F125+G125)</f>
        <v>3.64164414101467</v>
      </c>
      <c r="L125" s="9" t="n">
        <f aca="false">(B125+C125+D125+E125+F125+G125)*H125*'Prices&amp;Fuel'!H125</f>
        <v>1620264.20644245</v>
      </c>
      <c r="M125" s="9" t="n">
        <f aca="false">'Prices&amp;Fuel'!X125*('Prices&amp;Fuel'!N125+'Prices&amp;Fuel'!O125)*'Prices&amp;Fuel'!H125</f>
        <v>9134.1681425398</v>
      </c>
      <c r="N125" s="9" t="n">
        <f aca="false">('Prices&amp;Fuel'!U125+'Prices&amp;Fuel'!V125+'Prices&amp;Fuel'!W125)*('Prices&amp;Fuel'!L125+'Prices&amp;Fuel'!O125)*'Prices&amp;Fuel'!H125</f>
        <v>95086.2891558682</v>
      </c>
      <c r="O125" s="9" t="n">
        <f aca="false">((B125+C125+D125)*(1-'Prices&amp;Fuel'!G125))*('Prices&amp;Fuel'!M125+'Prices&amp;Fuel'!P125)*'Prices&amp;Fuel'!H125</f>
        <v>96613.755</v>
      </c>
      <c r="P125" s="9" t="n">
        <f aca="false">((B125+C125+D125+E125+F125+G125)/(1-'Prices&amp;Fuel'!F125))*(1-'Prices&amp;Fuel'!F125)*'Prices&amp;Fuel'!H125*0.005</f>
        <v>1850.89974293059</v>
      </c>
      <c r="Q125" s="9" t="n">
        <f aca="false">((D125+C125+B125+E125+F125+G125)*K125*'Prices&amp;Fuel'!H125)+M125+N125+O125+P125</f>
        <v>1550748.75293109</v>
      </c>
      <c r="R125" s="5" t="n">
        <f aca="false">L125-Q125</f>
        <v>69515.4535113603</v>
      </c>
      <c r="T125" s="1" t="n">
        <v>12000</v>
      </c>
    </row>
    <row r="126" customFormat="false" ht="11.25" hidden="false" customHeight="false" outlineLevel="0" collapsed="false">
      <c r="A126" s="6" t="n">
        <f aca="false">+A125+365/12</f>
        <v>39429.4166666667</v>
      </c>
      <c r="B126" s="5" t="n">
        <f aca="false">IF(T126-((E126+F126+G126)*(1-'Prices&amp;Fuel'!F126))&lt;'Prices&amp;Fuel'!R126,(T126-(E126+F126+G126)*(1-'Prices&amp;Fuel'!F126)),'Prices&amp;Fuel'!R126)/(1-'Prices&amp;Fuel'!F126)</f>
        <v>4325.96401028278</v>
      </c>
      <c r="C126" s="9" t="n">
        <f aca="false">(T126/(1-'Prices&amp;Fuel'!F126))-D126-E126-F126-G126-B126</f>
        <v>0</v>
      </c>
      <c r="D126" s="9" t="n">
        <f aca="false">ROUND(IF(T126/(1-'Prices&amp;Fuel'!F126)-E126-F126-G126-B126&gt;'Prices&amp;Fuel'!T126,'Prices&amp;Fuel'!T126,T126/(1-'Prices&amp;Fuel'!F126)-E126-F126-G126-B126),9)</f>
        <v>0</v>
      </c>
      <c r="E126" s="9" t="n">
        <f aca="false">'Prices&amp;Fuel'!U126/(1-'Prices&amp;Fuel'!F126)</f>
        <v>2635.47557840617</v>
      </c>
      <c r="F126" s="9" t="n">
        <f aca="false">('Prices&amp;Fuel'!V126+'Prices&amp;Fuel'!X126)/(1-'Prices&amp;Fuel'!F126)</f>
        <v>3645.2442159383</v>
      </c>
      <c r="G126" s="9" t="n">
        <f aca="false">'Prices&amp;Fuel'!W126/(1-'Prices&amp;Fuel'!F126)</f>
        <v>1732.64781491003</v>
      </c>
      <c r="H126" s="10" t="n">
        <f aca="false">('Prices&amp;Fuel'!C126+'Prices&amp;Fuel'!D126)/2-0+(('Prices&amp;Fuel'!M126+'Prices&amp;Fuel'!P126)*(1-'Prices&amp;Fuel'!F126))</f>
        <v>3.45207488026</v>
      </c>
      <c r="I126" s="10"/>
      <c r="J126" s="10"/>
      <c r="K126" s="10" t="n">
        <f aca="false">(((B126+E126)*('Prices&amp;Fuel'!B126+0.025))+(('Prices&amp;Fuel'!D126+0.025)*(D126+G126))+(('Prices&amp;Fuel'!C126+0.025)*(C126+F126))-(I126+J126)*0.025)/(B126+C126+D126+E126+F126+G126)</f>
        <v>2.71675529692667</v>
      </c>
      <c r="L126" s="9" t="n">
        <f aca="false">(B126+C126+D126+E126+F126+G126)*H126*'Prices&amp;Fuel'!H126</f>
        <v>1320485.19841308</v>
      </c>
      <c r="M126" s="9" t="n">
        <f aca="false">'Prices&amp;Fuel'!X126*('Prices&amp;Fuel'!N126+'Prices&amp;Fuel'!O126)*'Prices&amp;Fuel'!H126</f>
        <v>9438.64041395779</v>
      </c>
      <c r="N126" s="9" t="n">
        <f aca="false">('Prices&amp;Fuel'!U126+'Prices&amp;Fuel'!V126+'Prices&amp;Fuel'!W126)*('Prices&amp;Fuel'!L126+'Prices&amp;Fuel'!O126)*'Prices&amp;Fuel'!H126</f>
        <v>98255.8321277305</v>
      </c>
      <c r="O126" s="9" t="n">
        <f aca="false">((B126+C126+D126)*(1-'Prices&amp;Fuel'!G126))*('Prices&amp;Fuel'!M126+'Prices&amp;Fuel'!P126)*'Prices&amp;Fuel'!H126</f>
        <v>99834.2135</v>
      </c>
      <c r="P126" s="9" t="n">
        <f aca="false">((B126+C126+D126+E126+F126+G126)/(1-'Prices&amp;Fuel'!F126))*(1-'Prices&amp;Fuel'!F126)*'Prices&amp;Fuel'!H126*0.005</f>
        <v>1912.59640102828</v>
      </c>
      <c r="Q126" s="9" t="n">
        <f aca="false">((D126+C126+B126+E126+F126+G126)*K126*'Prices&amp;Fuel'!H126)+M126+N126+O126+P126</f>
        <v>1248652.56311801</v>
      </c>
      <c r="R126" s="5" t="n">
        <f aca="false">L126-Q126</f>
        <v>71832.6352950723</v>
      </c>
      <c r="T126" s="1" t="n">
        <f aca="false">T125</f>
        <v>12000</v>
      </c>
    </row>
    <row r="127" customFormat="false" ht="11.25" hidden="false" customHeight="false" outlineLevel="0" collapsed="false">
      <c r="A127" s="6" t="n">
        <f aca="false">+A126+365/12</f>
        <v>39459.8333333333</v>
      </c>
      <c r="B127" s="5" t="n">
        <f aca="false">IF(T127-((E127+F127+G127)*(1-'Prices&amp;Fuel'!F127))&lt;'Prices&amp;Fuel'!R127,(T127-(E127+F127+G127)*(1-'Prices&amp;Fuel'!F127)),'Prices&amp;Fuel'!R127)/(1-'Prices&amp;Fuel'!F127)</f>
        <v>4325.96401028278</v>
      </c>
      <c r="C127" s="9" t="n">
        <f aca="false">(T127/(1-'Prices&amp;Fuel'!F127))-D127-E127-F127-G127-B127</f>
        <v>0</v>
      </c>
      <c r="D127" s="9" t="n">
        <f aca="false">ROUND(IF(T127/(1-'Prices&amp;Fuel'!F127)-E127-F127-G127-B127&gt;'Prices&amp;Fuel'!T127,'Prices&amp;Fuel'!T127,T127/(1-'Prices&amp;Fuel'!F127)-E127-F127-G127-B127),9)</f>
        <v>0</v>
      </c>
      <c r="E127" s="9" t="n">
        <f aca="false">'Prices&amp;Fuel'!U127/(1-'Prices&amp;Fuel'!F127)</f>
        <v>2635.47557840617</v>
      </c>
      <c r="F127" s="9" t="n">
        <f aca="false">('Prices&amp;Fuel'!V127+'Prices&amp;Fuel'!X127)/(1-'Prices&amp;Fuel'!F127)</f>
        <v>3645.2442159383</v>
      </c>
      <c r="G127" s="9" t="n">
        <f aca="false">'Prices&amp;Fuel'!W127/(1-'Prices&amp;Fuel'!F127)</f>
        <v>1732.64781491003</v>
      </c>
      <c r="H127" s="10" t="n">
        <f aca="false">('Prices&amp;Fuel'!C127+'Prices&amp;Fuel'!D127)/2-0+(('Prices&amp;Fuel'!M127+'Prices&amp;Fuel'!P127)*(1-'Prices&amp;Fuel'!F127))</f>
        <v>3.12909949186427</v>
      </c>
      <c r="I127" s="10"/>
      <c r="J127" s="10"/>
      <c r="K127" s="10" t="n">
        <f aca="false">(((B127+E127)*('Prices&amp;Fuel'!B127+0.025))+(('Prices&amp;Fuel'!D127+0.025)*(D127+G127))+(('Prices&amp;Fuel'!C127+0.025)*(C127+F127))-(I127+J127)*0.025)/(B127+C127+D127+E127+F127+G127)</f>
        <v>2.39377990853094</v>
      </c>
      <c r="L127" s="9" t="n">
        <f aca="false">(B127+C127+D127+E127+F127+G127)*H127*'Prices&amp;Fuel'!H127</f>
        <v>1196940.8853198</v>
      </c>
      <c r="M127" s="9" t="n">
        <f aca="false">'Prices&amp;Fuel'!X127*('Prices&amp;Fuel'!N127+'Prices&amp;Fuel'!O127)*'Prices&amp;Fuel'!H127</f>
        <v>9415.61121091419</v>
      </c>
      <c r="N127" s="9" t="n">
        <f aca="false">('Prices&amp;Fuel'!U127+'Prices&amp;Fuel'!V127+'Prices&amp;Fuel'!W127)*('Prices&amp;Fuel'!L127+'Prices&amp;Fuel'!O127)*'Prices&amp;Fuel'!H127</f>
        <v>98016.0991355782</v>
      </c>
      <c r="O127" s="9" t="n">
        <f aca="false">((B127+C127+D127)*(1-'Prices&amp;Fuel'!G127))*('Prices&amp;Fuel'!M127+'Prices&amp;Fuel'!P127)*'Prices&amp;Fuel'!H127</f>
        <v>99834.2135</v>
      </c>
      <c r="P127" s="9" t="n">
        <f aca="false">((B127+C127+D127+E127+F127+G127)/(1-'Prices&amp;Fuel'!F127))*(1-'Prices&amp;Fuel'!F127)*'Prices&amp;Fuel'!H127*0.005</f>
        <v>1912.59640102828</v>
      </c>
      <c r="Q127" s="9" t="n">
        <f aca="false">((D127+C127+B127+E127+F127+G127)*K127*'Prices&amp;Fuel'!H127)+M127+N127+O127+P127</f>
        <v>1124845.48782953</v>
      </c>
      <c r="R127" s="5" t="n">
        <f aca="false">L127-Q127</f>
        <v>72095.3974902683</v>
      </c>
      <c r="T127" s="1" t="n">
        <f aca="false">T126</f>
        <v>12000</v>
      </c>
    </row>
    <row r="128" customFormat="false" ht="11.25" hidden="false" customHeight="false" outlineLevel="0" collapsed="false">
      <c r="A128" s="6" t="n">
        <f aca="false">+A127+365/12</f>
        <v>39490.25</v>
      </c>
      <c r="B128" s="5" t="n">
        <f aca="false">IF(T128-((E128+F128+G128)*(1-'Prices&amp;Fuel'!F128))&lt;'Prices&amp;Fuel'!R128,(T128-(E128+F128+G128)*(1-'Prices&amp;Fuel'!F128)),'Prices&amp;Fuel'!R128)/(1-'Prices&amp;Fuel'!F128)</f>
        <v>4325.96401028278</v>
      </c>
      <c r="C128" s="9" t="n">
        <f aca="false">(T128/(1-'Prices&amp;Fuel'!F128))-D128-E128-F128-G128-B128</f>
        <v>0</v>
      </c>
      <c r="D128" s="9" t="n">
        <f aca="false">ROUND(IF(T128/(1-'Prices&amp;Fuel'!F128)-E128-F128-G128-B128&gt;'Prices&amp;Fuel'!T128,'Prices&amp;Fuel'!T128,T128/(1-'Prices&amp;Fuel'!F128)-E128-F128-G128-B128),9)</f>
        <v>0</v>
      </c>
      <c r="E128" s="9" t="n">
        <f aca="false">'Prices&amp;Fuel'!U128/(1-'Prices&amp;Fuel'!F128)</f>
        <v>2635.47557840617</v>
      </c>
      <c r="F128" s="9" t="n">
        <f aca="false">('Prices&amp;Fuel'!V128+'Prices&amp;Fuel'!X128)/(1-'Prices&amp;Fuel'!F128)</f>
        <v>3645.2442159383</v>
      </c>
      <c r="G128" s="9" t="n">
        <f aca="false">'Prices&amp;Fuel'!W128/(1-'Prices&amp;Fuel'!F128)</f>
        <v>1732.64781491003</v>
      </c>
      <c r="H128" s="10" t="n">
        <f aca="false">('Prices&amp;Fuel'!C128+'Prices&amp;Fuel'!D128)/2-0+(('Prices&amp;Fuel'!M128+'Prices&amp;Fuel'!P128)*(1-'Prices&amp;Fuel'!F128))</f>
        <v>3.41570993252654</v>
      </c>
      <c r="I128" s="10"/>
      <c r="J128" s="10"/>
      <c r="K128" s="10" t="n">
        <f aca="false">(((B128+E128)*('Prices&amp;Fuel'!B128+0.025))+(('Prices&amp;Fuel'!D128+0.025)*(D128+G128))+(('Prices&amp;Fuel'!C128+0.025)*(C128+F128))-(I128+J128)*0.025)/(B128+C128+D128+E128+F128+G128)</f>
        <v>2.68039034919321</v>
      </c>
      <c r="L128" s="9" t="n">
        <f aca="false">(B128+C128+D128+E128+F128+G128)*H128*'Prices&amp;Fuel'!H128</f>
        <v>1222279.74963418</v>
      </c>
      <c r="M128" s="9" t="n">
        <f aca="false">'Prices&amp;Fuel'!X128*('Prices&amp;Fuel'!N128+'Prices&amp;Fuel'!O128)*'Prices&amp;Fuel'!H128</f>
        <v>8808.15242311328</v>
      </c>
      <c r="N128" s="9" t="n">
        <f aca="false">('Prices&amp;Fuel'!U128+'Prices&amp;Fuel'!V128+'Prices&amp;Fuel'!W128)*('Prices&amp;Fuel'!L128+'Prices&amp;Fuel'!O128)*'Prices&amp;Fuel'!H128</f>
        <v>91692.4798365087</v>
      </c>
      <c r="O128" s="9" t="n">
        <f aca="false">((B128+C128+D128)*(1-'Prices&amp;Fuel'!G128))*('Prices&amp;Fuel'!M128+'Prices&amp;Fuel'!P128)*'Prices&amp;Fuel'!H128</f>
        <v>93393.2965</v>
      </c>
      <c r="P128" s="9" t="n">
        <f aca="false">((B128+C128+D128+E128+F128+G128)/(1-'Prices&amp;Fuel'!F128))*(1-'Prices&amp;Fuel'!F128)*'Prices&amp;Fuel'!H128*0.005</f>
        <v>1789.2030848329</v>
      </c>
      <c r="Q128" s="9" t="n">
        <f aca="false">((D128+C128+B128+E128+F128+G128)*K128*'Prices&amp;Fuel'!H128)+M128+N128+O128+P128</f>
        <v>1154835.66811102</v>
      </c>
      <c r="R128" s="5" t="n">
        <f aca="false">L128-Q128</f>
        <v>67444.0815231546</v>
      </c>
      <c r="T128" s="1" t="n">
        <f aca="false">T127</f>
        <v>12000</v>
      </c>
    </row>
    <row r="129" customFormat="false" ht="11.25" hidden="false" customHeight="false" outlineLevel="0" collapsed="false">
      <c r="A129" s="6" t="n">
        <f aca="false">+A128+365/12</f>
        <v>39520.6666666667</v>
      </c>
      <c r="B129" s="5" t="n">
        <f aca="false">IF(T129-((E129+F129+G129)*(1-'Prices&amp;Fuel'!F129))&lt;'Prices&amp;Fuel'!R129,(T129-(E129+F129+G129)*(1-'Prices&amp;Fuel'!F129)),'Prices&amp;Fuel'!R129)/(1-'Prices&amp;Fuel'!F129)</f>
        <v>4325.96401028278</v>
      </c>
      <c r="C129" s="9" t="n">
        <f aca="false">(T129/(1-'Prices&amp;Fuel'!F129))-D129-E129-F129-G129-B129</f>
        <v>0</v>
      </c>
      <c r="D129" s="9" t="n">
        <f aca="false">ROUND(IF(T129/(1-'Prices&amp;Fuel'!F129)-E129-F129-G129-B129&gt;'Prices&amp;Fuel'!T129,'Prices&amp;Fuel'!T129,T129/(1-'Prices&amp;Fuel'!F129)-E129-F129-G129-B129),9)</f>
        <v>0</v>
      </c>
      <c r="E129" s="9" t="n">
        <f aca="false">'Prices&amp;Fuel'!U129/(1-'Prices&amp;Fuel'!F129)</f>
        <v>2635.47557840617</v>
      </c>
      <c r="F129" s="9" t="n">
        <f aca="false">('Prices&amp;Fuel'!V129+'Prices&amp;Fuel'!X129)/(1-'Prices&amp;Fuel'!F129)</f>
        <v>3645.2442159383</v>
      </c>
      <c r="G129" s="9" t="n">
        <f aca="false">'Prices&amp;Fuel'!W129/(1-'Prices&amp;Fuel'!F129)</f>
        <v>1732.64781491003</v>
      </c>
      <c r="H129" s="10" t="n">
        <f aca="false">('Prices&amp;Fuel'!C129+'Prices&amp;Fuel'!D129)/2-0+(('Prices&amp;Fuel'!M129+'Prices&amp;Fuel'!P129)*(1-'Prices&amp;Fuel'!F129))</f>
        <v>3.41570993252654</v>
      </c>
      <c r="I129" s="10"/>
      <c r="J129" s="10"/>
      <c r="K129" s="10" t="n">
        <f aca="false">(((B129+E129)*('Prices&amp;Fuel'!B129+0.025))+(('Prices&amp;Fuel'!D129+0.025)*(D129+G129))+(('Prices&amp;Fuel'!C129+0.025)*(C129+F129))-(I129+J129)*0.025)/(B129+C129+D129+E129+F129+G129)</f>
        <v>2.68039034919321</v>
      </c>
      <c r="L129" s="9" t="n">
        <f aca="false">(B129+C129+D129+E129+F129+G129)*H129*'Prices&amp;Fuel'!H129</f>
        <v>1306574.90478136</v>
      </c>
      <c r="M129" s="9" t="n">
        <f aca="false">'Prices&amp;Fuel'!X129*('Prices&amp;Fuel'!N129+'Prices&amp;Fuel'!O129)*'Prices&amp;Fuel'!H129</f>
        <v>9415.61121091419</v>
      </c>
      <c r="N129" s="9" t="n">
        <f aca="false">('Prices&amp;Fuel'!U129+'Prices&amp;Fuel'!V129+'Prices&amp;Fuel'!W129)*('Prices&amp;Fuel'!L129+'Prices&amp;Fuel'!O129)*'Prices&amp;Fuel'!H129</f>
        <v>98016.0991355782</v>
      </c>
      <c r="O129" s="9" t="n">
        <f aca="false">((B129+C129+D129)*(1-'Prices&amp;Fuel'!G129))*('Prices&amp;Fuel'!M129+'Prices&amp;Fuel'!P129)*'Prices&amp;Fuel'!H129</f>
        <v>99834.2135</v>
      </c>
      <c r="P129" s="9" t="n">
        <f aca="false">((B129+C129+D129+E129+F129+G129)/(1-'Prices&amp;Fuel'!F129))*(1-'Prices&amp;Fuel'!F129)*'Prices&amp;Fuel'!H129*0.005</f>
        <v>1912.59640102828</v>
      </c>
      <c r="Q129" s="9" t="n">
        <f aca="false">((D129+C129+B129+E129+F129+G129)*K129*'Prices&amp;Fuel'!H129)+M129+N129+O129+P129</f>
        <v>1234479.50729109</v>
      </c>
      <c r="R129" s="5" t="n">
        <f aca="false">L129-Q129</f>
        <v>72095.3974902683</v>
      </c>
      <c r="T129" s="1" t="n">
        <f aca="false">T128</f>
        <v>12000</v>
      </c>
    </row>
    <row r="130" customFormat="false" ht="11.25" hidden="false" customHeight="false" outlineLevel="0" collapsed="false">
      <c r="A130" s="6" t="n">
        <f aca="false">+A129+365/12</f>
        <v>39551.0833333333</v>
      </c>
      <c r="B130" s="5" t="n">
        <f aca="false">IF(T130-((E130+F130+G130)*(1-'Prices&amp;Fuel'!F130))&lt;'Prices&amp;Fuel'!R130,(T130-(E130+F130+G130)*(1-'Prices&amp;Fuel'!F130)),'Prices&amp;Fuel'!R130)/(1-'Prices&amp;Fuel'!F130)</f>
        <v>6278.66323907455</v>
      </c>
      <c r="C130" s="9" t="n">
        <f aca="false">(T130/(1-'Prices&amp;Fuel'!F130))-D130-E130-F130-G130-B130</f>
        <v>0</v>
      </c>
      <c r="D130" s="9" t="n">
        <f aca="false">ROUND(IF(T130/(1-'Prices&amp;Fuel'!F130)-E130-F130-G130-B130&gt;'Prices&amp;Fuel'!T130,'Prices&amp;Fuel'!T130,T130/(1-'Prices&amp;Fuel'!F130)-E130-F130-G130-B130),9)</f>
        <v>0</v>
      </c>
      <c r="E130" s="9" t="n">
        <f aca="false">'Prices&amp;Fuel'!U130/(1-'Prices&amp;Fuel'!F130)</f>
        <v>1933.16195372751</v>
      </c>
      <c r="F130" s="9" t="n">
        <f aca="false">('Prices&amp;Fuel'!V130+'Prices&amp;Fuel'!X130)/(1-'Prices&amp;Fuel'!F130)</f>
        <v>2833.93316195373</v>
      </c>
      <c r="G130" s="9" t="n">
        <f aca="false">'Prices&amp;Fuel'!W130/(1-'Prices&amp;Fuel'!F130)</f>
        <v>1293.57326478149</v>
      </c>
      <c r="H130" s="10" t="n">
        <f aca="false">('Prices&amp;Fuel'!C130+'Prices&amp;Fuel'!D130)/2-0+(('Prices&amp;Fuel'!M130+'Prices&amp;Fuel'!P130)*(1-'Prices&amp;Fuel'!F130))</f>
        <v>3.70232037318881</v>
      </c>
      <c r="I130" s="10"/>
      <c r="J130" s="10"/>
      <c r="K130" s="10" t="n">
        <f aca="false">(((B130+E130)*('Prices&amp;Fuel'!B130+0.025))+(('Prices&amp;Fuel'!D130+0.025)*(D130+G130))+(('Prices&amp;Fuel'!C130+0.025)*(C130+F130))-(I130+J130)*0.025)/(B130+C130+D130+E130+F130+G130)</f>
        <v>2.96269995652214</v>
      </c>
      <c r="L130" s="9" t="n">
        <f aca="false">(B130+C130+D130+E130+F130+G130)*H130*'Prices&amp;Fuel'!H130</f>
        <v>1370524.76539637</v>
      </c>
      <c r="M130" s="9" t="n">
        <f aca="false">'Prices&amp;Fuel'!X130*('Prices&amp;Fuel'!N130+'Prices&amp;Fuel'!O130)*'Prices&amp;Fuel'!H130</f>
        <v>9111.88181701374</v>
      </c>
      <c r="N130" s="9" t="n">
        <f aca="false">('Prices&amp;Fuel'!U130+'Prices&amp;Fuel'!V130+'Prices&amp;Fuel'!W130)*('Prices&amp;Fuel'!L130+'Prices&amp;Fuel'!O130)*'Prices&amp;Fuel'!H130</f>
        <v>69519.7893828091</v>
      </c>
      <c r="O130" s="9" t="n">
        <f aca="false">((B130+C130+D130)*(1-'Prices&amp;Fuel'!G130))*('Prices&amp;Fuel'!M130+'Prices&amp;Fuel'!P130)*'Prices&amp;Fuel'!H130</f>
        <v>140224.29</v>
      </c>
      <c r="P130" s="9" t="n">
        <f aca="false">((B130+C130+D130+E130+F130+G130)/(1-'Prices&amp;Fuel'!F130))*(1-'Prices&amp;Fuel'!F130)*'Prices&amp;Fuel'!H130*0.005</f>
        <v>1850.89974293059</v>
      </c>
      <c r="Q130" s="9" t="n">
        <f aca="false">((D130+C130+B130+E130+F130+G130)*K130*'Prices&amp;Fuel'!H130)+M130+N130+O130+P130</f>
        <v>1317438.97852422</v>
      </c>
      <c r="R130" s="5" t="n">
        <f aca="false">L130-Q130</f>
        <v>53085.7868721567</v>
      </c>
      <c r="T130" s="1" t="n">
        <f aca="false">T129</f>
        <v>12000</v>
      </c>
    </row>
    <row r="131" customFormat="false" ht="11.25" hidden="false" customHeight="false" outlineLevel="0" collapsed="false">
      <c r="A131" s="6" t="n">
        <f aca="false">+A130+365/12</f>
        <v>39581.5</v>
      </c>
      <c r="B131" s="5" t="n">
        <f aca="false">IF(T131-((E131+F131+G131)*(1-'Prices&amp;Fuel'!F131))&lt;'Prices&amp;Fuel'!R131,(T131-(E131+F131+G131)*(1-'Prices&amp;Fuel'!F131)),'Prices&amp;Fuel'!R131)/(1-'Prices&amp;Fuel'!F131)</f>
        <v>8976.86375321337</v>
      </c>
      <c r="C131" s="9" t="n">
        <f aca="false">(T131/(1-'Prices&amp;Fuel'!F131))-D131-E131-F131-G131-B131</f>
        <v>1.38243194669485E-010</v>
      </c>
      <c r="D131" s="9" t="n">
        <f aca="false">ROUND(IF(T131/(1-'Prices&amp;Fuel'!F131)-E131-F131-G131-B131&gt;'Prices&amp;Fuel'!T131,'Prices&amp;Fuel'!T131,T131/(1-'Prices&amp;Fuel'!F131)-E131-F131-G131-B131),9)</f>
        <v>6556.298200514</v>
      </c>
      <c r="E131" s="9" t="n">
        <f aca="false">'Prices&amp;Fuel'!U131/(1-'Prices&amp;Fuel'!F131)</f>
        <v>1933.16195372751</v>
      </c>
      <c r="F131" s="9" t="n">
        <f aca="false">('Prices&amp;Fuel'!V131+'Prices&amp;Fuel'!X131)/(1-'Prices&amp;Fuel'!F131)</f>
        <v>3062.21079691517</v>
      </c>
      <c r="G131" s="9" t="n">
        <f aca="false">'Prices&amp;Fuel'!W131/(1-'Prices&amp;Fuel'!F131)</f>
        <v>1065.29562982005</v>
      </c>
      <c r="H131" s="10" t="n">
        <f aca="false">('Prices&amp;Fuel'!C131+'Prices&amp;Fuel'!D131)/2-0+(('Prices&amp;Fuel'!M131+'Prices&amp;Fuel'!P131)*(1-'Prices&amp;Fuel'!F131))</f>
        <v>3.904009201803</v>
      </c>
      <c r="I131" s="10"/>
      <c r="J131" s="10"/>
      <c r="K131" s="10" t="n">
        <f aca="false">(((B131+E131)*('Prices&amp;Fuel'!B131+0.025))+(('Prices&amp;Fuel'!D131+0.025)*(D131+G131))+(('Prices&amp;Fuel'!C131+0.025)*(C131+F131))-(I131+J131)*0.025)/(B131+C131+D131+E131+F131+G131)</f>
        <v>3.1615985470411</v>
      </c>
      <c r="L131" s="9" t="n">
        <f aca="false">(B131+C131+D131+E131+F131+G131)*H131*'Prices&amp;Fuel'!H131</f>
        <v>2613377.88213239</v>
      </c>
      <c r="M131" s="9" t="n">
        <f aca="false">'Prices&amp;Fuel'!X131*('Prices&amp;Fuel'!N131+'Prices&amp;Fuel'!O131)*'Prices&amp;Fuel'!H131</f>
        <v>9415.61121091419</v>
      </c>
      <c r="N131" s="9" t="n">
        <f aca="false">('Prices&amp;Fuel'!U131+'Prices&amp;Fuel'!V131+'Prices&amp;Fuel'!W131)*('Prices&amp;Fuel'!L131+'Prices&amp;Fuel'!O131)*'Prices&amp;Fuel'!H131</f>
        <v>71837.1156955693</v>
      </c>
      <c r="O131" s="9" t="n">
        <f aca="false">((B131+C131+D131)*(1-'Prices&amp;Fuel'!G131))*('Prices&amp;Fuel'!M131+'Prices&amp;Fuel'!P131)*'Prices&amp;Fuel'!H131</f>
        <v>358472.933</v>
      </c>
      <c r="P131" s="9" t="n">
        <f aca="false">((B131+C131+D131+E131+F131+G131)/(1-'Prices&amp;Fuel'!F131))*(1-'Prices&amp;Fuel'!F131)*'Prices&amp;Fuel'!H131*0.005</f>
        <v>3347.04370179949</v>
      </c>
      <c r="Q131" s="9" t="n">
        <f aca="false">((D131+C131+B131+E131+F131+G131)*K131*'Prices&amp;Fuel'!H131)+M131+N131+O131+P131</f>
        <v>2559474.40450675</v>
      </c>
      <c r="R131" s="5" t="n">
        <f aca="false">L131-Q131</f>
        <v>53903.4776256494</v>
      </c>
      <c r="T131" s="1" t="n">
        <v>21000</v>
      </c>
    </row>
    <row r="132" customFormat="false" ht="11.25" hidden="false" customHeight="false" outlineLevel="0" collapsed="false">
      <c r="A132" s="6" t="n">
        <f aca="false">+A131+365/12</f>
        <v>39611.9166666667</v>
      </c>
      <c r="B132" s="5" t="n">
        <f aca="false">IF(T132-((E132+F132+G132)*(1-'Prices&amp;Fuel'!F132))&lt;'Prices&amp;Fuel'!R132,(T132-(E132+F132+G132)*(1-'Prices&amp;Fuel'!F132)),'Prices&amp;Fuel'!R132)/(1-'Prices&amp;Fuel'!F132)</f>
        <v>8976.86375321337</v>
      </c>
      <c r="C132" s="9" t="n">
        <f aca="false">(T132/(1-'Prices&amp;Fuel'!F132))-D132-E132-F132-G132-B132</f>
        <v>1.38243194669485E-010</v>
      </c>
      <c r="D132" s="9" t="n">
        <f aca="false">ROUND(IF(T132/(1-'Prices&amp;Fuel'!F132)-E132-F132-G132-B132&gt;'Prices&amp;Fuel'!T132,'Prices&amp;Fuel'!T132,T132/(1-'Prices&amp;Fuel'!F132)-E132-F132-G132-B132),9)</f>
        <v>6556.298200514</v>
      </c>
      <c r="E132" s="9" t="n">
        <f aca="false">'Prices&amp;Fuel'!U132/(1-'Prices&amp;Fuel'!F132)</f>
        <v>1933.16195372751</v>
      </c>
      <c r="F132" s="9" t="n">
        <f aca="false">('Prices&amp;Fuel'!V132+'Prices&amp;Fuel'!X132)/(1-'Prices&amp;Fuel'!F132)</f>
        <v>3062.21079691517</v>
      </c>
      <c r="G132" s="9" t="n">
        <f aca="false">'Prices&amp;Fuel'!W132/(1-'Prices&amp;Fuel'!F132)</f>
        <v>1065.29562982005</v>
      </c>
      <c r="H132" s="10" t="n">
        <f aca="false">('Prices&amp;Fuel'!C132+'Prices&amp;Fuel'!D132)/2-0+(('Prices&amp;Fuel'!M132+'Prices&amp;Fuel'!P132)*(1-'Prices&amp;Fuel'!F132))</f>
        <v>5.29460059909031</v>
      </c>
      <c r="I132" s="10"/>
      <c r="J132" s="10"/>
      <c r="K132" s="10" t="n">
        <f aca="false">(((B132+E132)*('Prices&amp;Fuel'!B132+0.025))+(('Prices&amp;Fuel'!D132+0.025)*(D132+G132))+(('Prices&amp;Fuel'!C132+0.025)*(C132+F132))-(I132+J132)*0.025)/(B132+C132+D132+E132+F132+G132)</f>
        <v>4.55218994432841</v>
      </c>
      <c r="L132" s="9" t="n">
        <f aca="false">(B132+C132+D132+E132+F132+G132)*H132*'Prices&amp;Fuel'!H132</f>
        <v>3429921.21072174</v>
      </c>
      <c r="M132" s="9" t="n">
        <f aca="false">'Prices&amp;Fuel'!X132*('Prices&amp;Fuel'!N132+'Prices&amp;Fuel'!O132)*'Prices&amp;Fuel'!H132</f>
        <v>9111.88181701374</v>
      </c>
      <c r="N132" s="9" t="n">
        <f aca="false">('Prices&amp;Fuel'!U132+'Prices&amp;Fuel'!V132+'Prices&amp;Fuel'!W132)*('Prices&amp;Fuel'!L132+'Prices&amp;Fuel'!O132)*'Prices&amp;Fuel'!H132</f>
        <v>69519.7893828091</v>
      </c>
      <c r="O132" s="9" t="n">
        <f aca="false">((B132+C132+D132)*(1-'Prices&amp;Fuel'!G132))*('Prices&amp;Fuel'!M132+'Prices&amp;Fuel'!P132)*'Prices&amp;Fuel'!H132</f>
        <v>346909.29</v>
      </c>
      <c r="P132" s="9" t="n">
        <f aca="false">((B132+C132+D132+E132+F132+G132)/(1-'Prices&amp;Fuel'!F132))*(1-'Prices&amp;Fuel'!F132)*'Prices&amp;Fuel'!H132*0.005</f>
        <v>3239.07455012853</v>
      </c>
      <c r="Q132" s="9" t="n">
        <f aca="false">((D132+C132+B132+E132+F132+G132)*K132*'Prices&amp;Fuel'!H132)+M132+N132+O132+P132</f>
        <v>3377756.55495499</v>
      </c>
      <c r="R132" s="5" t="n">
        <f aca="false">L132-Q132</f>
        <v>52164.6557667581</v>
      </c>
      <c r="T132" s="1" t="n">
        <f aca="false">T131</f>
        <v>21000</v>
      </c>
    </row>
    <row r="133" customFormat="false" ht="11.25" hidden="false" customHeight="false" outlineLevel="0" collapsed="false">
      <c r="A133" s="6" t="n">
        <f aca="false">+A132+365/12</f>
        <v>39642.3333333333</v>
      </c>
      <c r="B133" s="5" t="n">
        <f aca="false">IF(T133-((E133+F133+G133)*(1-'Prices&amp;Fuel'!F133))&lt;'Prices&amp;Fuel'!R133,(T133-(E133+F133+G133)*(1-'Prices&amp;Fuel'!F133)),'Prices&amp;Fuel'!R133)/(1-'Prices&amp;Fuel'!F133)</f>
        <v>8976.86375321337</v>
      </c>
      <c r="C133" s="9" t="n">
        <f aca="false">(T133/(1-'Prices&amp;Fuel'!F133))-D133-E133-F133-G133-B133</f>
        <v>1.38243194669485E-010</v>
      </c>
      <c r="D133" s="9" t="n">
        <f aca="false">ROUND(IF(T133/(1-'Prices&amp;Fuel'!F133)-E133-F133-G133-B133&gt;'Prices&amp;Fuel'!T133,'Prices&amp;Fuel'!T133,T133/(1-'Prices&amp;Fuel'!F133)-E133-F133-G133-B133),9)</f>
        <v>6556.298200514</v>
      </c>
      <c r="E133" s="9" t="n">
        <f aca="false">'Prices&amp;Fuel'!U133/(1-'Prices&amp;Fuel'!F133)</f>
        <v>1933.16195372751</v>
      </c>
      <c r="F133" s="9" t="n">
        <f aca="false">('Prices&amp;Fuel'!V133+'Prices&amp;Fuel'!X133)/(1-'Prices&amp;Fuel'!F133)</f>
        <v>3062.21079691517</v>
      </c>
      <c r="G133" s="9" t="n">
        <f aca="false">'Prices&amp;Fuel'!W133/(1-'Prices&amp;Fuel'!F133)</f>
        <v>1065.29562982005</v>
      </c>
      <c r="H133" s="10" t="n">
        <f aca="false">('Prices&amp;Fuel'!C133+'Prices&amp;Fuel'!D133)/2-0+(('Prices&amp;Fuel'!M133+'Prices&amp;Fuel'!P133)*(1-'Prices&amp;Fuel'!F133))</f>
        <v>5.2839853975843</v>
      </c>
      <c r="I133" s="10"/>
      <c r="J133" s="10"/>
      <c r="K133" s="10" t="n">
        <f aca="false">(((B133+E133)*('Prices&amp;Fuel'!B133+0.025))+(('Prices&amp;Fuel'!D133+0.025)*(D133+G133))+(('Prices&amp;Fuel'!C133+0.025)*(C133+F133))-(I133+J133)*0.025)/(B133+C133+D133+E133+F133+G133)</f>
        <v>4.5415747428224</v>
      </c>
      <c r="L133" s="9" t="n">
        <f aca="false">(B133+C133+D133+E133+F133+G133)*H133*'Prices&amp;Fuel'!H133</f>
        <v>3537146.009077</v>
      </c>
      <c r="M133" s="9" t="n">
        <f aca="false">'Prices&amp;Fuel'!X133*('Prices&amp;Fuel'!N133+'Prices&amp;Fuel'!O133)*'Prices&amp;Fuel'!H133</f>
        <v>9415.61121091419</v>
      </c>
      <c r="N133" s="9" t="n">
        <f aca="false">('Prices&amp;Fuel'!U133+'Prices&amp;Fuel'!V133+'Prices&amp;Fuel'!W133)*('Prices&amp;Fuel'!L133+'Prices&amp;Fuel'!O133)*'Prices&amp;Fuel'!H133</f>
        <v>71837.1156955693</v>
      </c>
      <c r="O133" s="9" t="n">
        <f aca="false">((B133+C133+D133)*(1-'Prices&amp;Fuel'!G133))*('Prices&amp;Fuel'!M133+'Prices&amp;Fuel'!P133)*'Prices&amp;Fuel'!H133</f>
        <v>358472.933</v>
      </c>
      <c r="P133" s="9" t="n">
        <f aca="false">((B133+C133+D133+E133+F133+G133)/(1-'Prices&amp;Fuel'!F133))*(1-'Prices&amp;Fuel'!F133)*'Prices&amp;Fuel'!H133*0.005</f>
        <v>3347.04370179949</v>
      </c>
      <c r="Q133" s="9" t="n">
        <f aca="false">((D133+C133+B133+E133+F133+G133)*K133*'Prices&amp;Fuel'!H133)+M133+N133+O133+P133</f>
        <v>3483242.53145135</v>
      </c>
      <c r="R133" s="5" t="n">
        <f aca="false">L133-Q133</f>
        <v>53903.4776256494</v>
      </c>
      <c r="T133" s="1" t="n">
        <f aca="false">T132</f>
        <v>21000</v>
      </c>
    </row>
    <row r="134" customFormat="false" ht="11.25" hidden="false" customHeight="false" outlineLevel="0" collapsed="false">
      <c r="A134" s="6" t="n">
        <f aca="false">+A133+365/12</f>
        <v>39672.75</v>
      </c>
      <c r="B134" s="5" t="n">
        <f aca="false">IF(T134-((E134+F134+G134)*(1-'Prices&amp;Fuel'!F134))&lt;'Prices&amp;Fuel'!R134,(T134-(E134+F134+G134)*(1-'Prices&amp;Fuel'!F134)),'Prices&amp;Fuel'!R134)/(1-'Prices&amp;Fuel'!F134)</f>
        <v>8976.86375321337</v>
      </c>
      <c r="C134" s="9" t="n">
        <f aca="false">(T134/(1-'Prices&amp;Fuel'!F134))-D134-E134-F134-G134-B134</f>
        <v>1.38243194669485E-010</v>
      </c>
      <c r="D134" s="9" t="n">
        <f aca="false">ROUND(IF(T134/(1-'Prices&amp;Fuel'!F134)-E134-F134-G134-B134&gt;'Prices&amp;Fuel'!T134,'Prices&amp;Fuel'!T134,T134/(1-'Prices&amp;Fuel'!F134)-E134-F134-G134-B134),9)</f>
        <v>6556.298200514</v>
      </c>
      <c r="E134" s="9" t="n">
        <f aca="false">'Prices&amp;Fuel'!U134/(1-'Prices&amp;Fuel'!F134)</f>
        <v>1933.16195372751</v>
      </c>
      <c r="F134" s="9" t="n">
        <f aca="false">('Prices&amp;Fuel'!V134+'Prices&amp;Fuel'!X134)/(1-'Prices&amp;Fuel'!F134)</f>
        <v>3062.21079691517</v>
      </c>
      <c r="G134" s="9" t="n">
        <f aca="false">'Prices&amp;Fuel'!W134/(1-'Prices&amp;Fuel'!F134)</f>
        <v>1065.29562982005</v>
      </c>
      <c r="H134" s="10" t="n">
        <f aca="false">('Prices&amp;Fuel'!C134+'Prices&amp;Fuel'!D134)/2-0+(('Prices&amp;Fuel'!M134+'Prices&amp;Fuel'!P134)*(1-'Prices&amp;Fuel'!F134))</f>
        <v>4.71076451625976</v>
      </c>
      <c r="I134" s="10"/>
      <c r="J134" s="10"/>
      <c r="K134" s="10" t="n">
        <f aca="false">(((B134+E134)*('Prices&amp;Fuel'!B134+0.025))+(('Prices&amp;Fuel'!D134+0.025)*(D134+G134))+(('Prices&amp;Fuel'!C134+0.025)*(C134+F134))-(I134+J134)*0.025)/(B134+C134+D134+E134+F134+G134)</f>
        <v>3.96835386149786</v>
      </c>
      <c r="L134" s="9" t="n">
        <f aca="false">(B134+C134+D134+E134+F134+G134)*H134*'Prices&amp;Fuel'!H134</f>
        <v>3153426.94096155</v>
      </c>
      <c r="M134" s="9" t="n">
        <f aca="false">'Prices&amp;Fuel'!X134*('Prices&amp;Fuel'!N134+'Prices&amp;Fuel'!O134)*'Prices&amp;Fuel'!H134</f>
        <v>9415.61121091419</v>
      </c>
      <c r="N134" s="9" t="n">
        <f aca="false">('Prices&amp;Fuel'!U134+'Prices&amp;Fuel'!V134+'Prices&amp;Fuel'!W134)*('Prices&amp;Fuel'!L134+'Prices&amp;Fuel'!O134)*'Prices&amp;Fuel'!H134</f>
        <v>71837.1156955693</v>
      </c>
      <c r="O134" s="9" t="n">
        <f aca="false">((B134+C134+D134)*(1-'Prices&amp;Fuel'!G134))*('Prices&amp;Fuel'!M134+'Prices&amp;Fuel'!P134)*'Prices&amp;Fuel'!H134</f>
        <v>358472.933</v>
      </c>
      <c r="P134" s="9" t="n">
        <f aca="false">((B134+C134+D134+E134+F134+G134)/(1-'Prices&amp;Fuel'!F134))*(1-'Prices&amp;Fuel'!F134)*'Prices&amp;Fuel'!H134*0.005</f>
        <v>3347.04370179949</v>
      </c>
      <c r="Q134" s="9" t="n">
        <f aca="false">((D134+C134+B134+E134+F134+G134)*K134*'Prices&amp;Fuel'!H134)+M134+N134+O134+P134</f>
        <v>3099523.4633359</v>
      </c>
      <c r="R134" s="5" t="n">
        <f aca="false">L134-Q134</f>
        <v>53903.4776256494</v>
      </c>
      <c r="T134" s="1" t="n">
        <f aca="false">T133</f>
        <v>21000</v>
      </c>
    </row>
    <row r="135" customFormat="false" ht="11.25" hidden="false" customHeight="false" outlineLevel="0" collapsed="false">
      <c r="A135" s="6" t="n">
        <f aca="false">+A134+365/12</f>
        <v>39703.1666666667</v>
      </c>
      <c r="B135" s="5" t="n">
        <f aca="false">IF(T135-((E135+F135+G135)*(1-'Prices&amp;Fuel'!F135))&lt;'Prices&amp;Fuel'!R135,(T135-(E135+F135+G135)*(1-'Prices&amp;Fuel'!F135)),'Prices&amp;Fuel'!R135)/(1-'Prices&amp;Fuel'!F135)</f>
        <v>8976.86375321337</v>
      </c>
      <c r="C135" s="9" t="n">
        <f aca="false">(T135/(1-'Prices&amp;Fuel'!F135))-D135-E135-F135-G135-B135</f>
        <v>1.38243194669485E-010</v>
      </c>
      <c r="D135" s="9" t="n">
        <f aca="false">ROUND(IF(T135/(1-'Prices&amp;Fuel'!F135)-E135-F135-G135-B135&gt;'Prices&amp;Fuel'!T135,'Prices&amp;Fuel'!T135,T135/(1-'Prices&amp;Fuel'!F135)-E135-F135-G135-B135),9)</f>
        <v>6556.298200514</v>
      </c>
      <c r="E135" s="9" t="n">
        <f aca="false">'Prices&amp;Fuel'!U135/(1-'Prices&amp;Fuel'!F135)</f>
        <v>1933.16195372751</v>
      </c>
      <c r="F135" s="9" t="n">
        <f aca="false">('Prices&amp;Fuel'!V135+'Prices&amp;Fuel'!X135)/(1-'Prices&amp;Fuel'!F135)</f>
        <v>3062.21079691517</v>
      </c>
      <c r="G135" s="9" t="n">
        <f aca="false">'Prices&amp;Fuel'!W135/(1-'Prices&amp;Fuel'!F135)</f>
        <v>1065.29562982005</v>
      </c>
      <c r="H135" s="10" t="n">
        <f aca="false">('Prices&amp;Fuel'!C135+'Prices&amp;Fuel'!D135)/2-0+(('Prices&amp;Fuel'!M135+'Prices&amp;Fuel'!P135)*(1-'Prices&amp;Fuel'!F135))</f>
        <v>5.52813503222253</v>
      </c>
      <c r="I135" s="10"/>
      <c r="J135" s="10"/>
      <c r="K135" s="10" t="n">
        <f aca="false">(((B135+E135)*('Prices&amp;Fuel'!B135+0.025))+(('Prices&amp;Fuel'!D135+0.025)*(D135+G135))+(('Prices&amp;Fuel'!C135+0.025)*(C135+F135))-(I135+J135)*0.025)/(B135+C135+D135+E135+F135+G135)</f>
        <v>4.78572437746063</v>
      </c>
      <c r="L135" s="9" t="n">
        <f aca="false">(B135+C135+D135+E135+F135+G135)*H135*'Prices&amp;Fuel'!H135</f>
        <v>3581208.2985092</v>
      </c>
      <c r="M135" s="9" t="n">
        <f aca="false">'Prices&amp;Fuel'!X135*('Prices&amp;Fuel'!N135+'Prices&amp;Fuel'!O135)*'Prices&amp;Fuel'!H135</f>
        <v>9111.88181701374</v>
      </c>
      <c r="N135" s="9" t="n">
        <f aca="false">('Prices&amp;Fuel'!U135+'Prices&amp;Fuel'!V135+'Prices&amp;Fuel'!W135)*('Prices&amp;Fuel'!L135+'Prices&amp;Fuel'!O135)*'Prices&amp;Fuel'!H135</f>
        <v>69519.7893828091</v>
      </c>
      <c r="O135" s="9" t="n">
        <f aca="false">((B135+C135+D135)*(1-'Prices&amp;Fuel'!G135))*('Prices&amp;Fuel'!M135+'Prices&amp;Fuel'!P135)*'Prices&amp;Fuel'!H135</f>
        <v>346909.29</v>
      </c>
      <c r="P135" s="9" t="n">
        <f aca="false">((B135+C135+D135+E135+F135+G135)/(1-'Prices&amp;Fuel'!F135))*(1-'Prices&amp;Fuel'!F135)*'Prices&amp;Fuel'!H135*0.005</f>
        <v>3239.07455012853</v>
      </c>
      <c r="Q135" s="9" t="n">
        <f aca="false">((D135+C135+B135+E135+F135+G135)*K135*'Prices&amp;Fuel'!H135)+M135+N135+O135+P135</f>
        <v>3529043.64274244</v>
      </c>
      <c r="R135" s="5" t="n">
        <f aca="false">L135-Q135</f>
        <v>52164.6557667567</v>
      </c>
      <c r="T135" s="1" t="n">
        <f aca="false">T134</f>
        <v>21000</v>
      </c>
    </row>
    <row r="136" customFormat="false" ht="11.25" hidden="false" customHeight="false" outlineLevel="0" collapsed="false">
      <c r="A136" s="6" t="n">
        <f aca="false">+A135+365/12</f>
        <v>39733.5833333333</v>
      </c>
      <c r="B136" s="5" t="n">
        <f aca="false">IF(T136-((E136+F136+G136)*(1-'Prices&amp;Fuel'!F136))&lt;'Prices&amp;Fuel'!R136,(T136-(E136+F136+G136)*(1-'Prices&amp;Fuel'!F136)),'Prices&amp;Fuel'!R136)/(1-'Prices&amp;Fuel'!F136)</f>
        <v>8976.86375321337</v>
      </c>
      <c r="C136" s="9" t="n">
        <f aca="false">(T136/(1-'Prices&amp;Fuel'!F136))-D136-E136-F136-G136-B136</f>
        <v>2.0190782379359E-010</v>
      </c>
      <c r="D136" s="9" t="n">
        <f aca="false">ROUND(IF(T136/(1-'Prices&amp;Fuel'!F136)-E136-F136-G136-B136&gt;'Prices&amp;Fuel'!T136,'Prices&amp;Fuel'!T136,T136/(1-'Prices&amp;Fuel'!F136)-E136-F136-G136-B136),9)</f>
        <v>3514.652956298</v>
      </c>
      <c r="E136" s="9" t="n">
        <f aca="false">'Prices&amp;Fuel'!U136/(1-'Prices&amp;Fuel'!F136)</f>
        <v>2910.02570694087</v>
      </c>
      <c r="F136" s="9" t="n">
        <f aca="false">('Prices&amp;Fuel'!V136+'Prices&amp;Fuel'!X136)/(1-'Prices&amp;Fuel'!F136)</f>
        <v>4628.27763496144</v>
      </c>
      <c r="G136" s="9" t="n">
        <f aca="false">'Prices&amp;Fuel'!W136/(1-'Prices&amp;Fuel'!F136)</f>
        <v>1564.01028277635</v>
      </c>
      <c r="H136" s="10" t="n">
        <f aca="false">('Prices&amp;Fuel'!C136+'Prices&amp;Fuel'!D136)/2-0+(('Prices&amp;Fuel'!M136+'Prices&amp;Fuel'!P136)*(1-'Prices&amp;Fuel'!F136))</f>
        <v>6.24996873463121</v>
      </c>
      <c r="I136" s="10"/>
      <c r="J136" s="10"/>
      <c r="K136" s="10" t="n">
        <f aca="false">(((B136+E136)*('Prices&amp;Fuel'!B136+0.025))+(('Prices&amp;Fuel'!D136+0.025)*(D136+G136))+(('Prices&amp;Fuel'!C136+0.025)*(C136+F136))-(I136+J136)*0.025)/(B136+C136+D136+E136+F136+G136)</f>
        <v>5.51073188939312</v>
      </c>
      <c r="L136" s="9" t="n">
        <f aca="false">(B136+C136+D136+E136+F136+G136)*H136*'Prices&amp;Fuel'!H136</f>
        <v>4183783.69793822</v>
      </c>
      <c r="M136" s="9" t="n">
        <f aca="false">'Prices&amp;Fuel'!X136*('Prices&amp;Fuel'!N136+'Prices&amp;Fuel'!O136)*'Prices&amp;Fuel'!H136</f>
        <v>13799.4536195097</v>
      </c>
      <c r="N136" s="9" t="n">
        <f aca="false">('Prices&amp;Fuel'!U136+'Prices&amp;Fuel'!V136+'Prices&amp;Fuel'!W136)*('Prices&amp;Fuel'!L136+'Prices&amp;Fuel'!O136)*'Prices&amp;Fuel'!H136</f>
        <v>108231.279087683</v>
      </c>
      <c r="O136" s="9" t="n">
        <f aca="false">((B136+C136+D136)*(1-'Prices&amp;Fuel'!G136))*('Prices&amp;Fuel'!M136+'Prices&amp;Fuel'!P136)*'Prices&amp;Fuel'!H136</f>
        <v>288278.114</v>
      </c>
      <c r="P136" s="9" t="n">
        <f aca="false">((B136+C136+D136+E136+F136+G136)/(1-'Prices&amp;Fuel'!F136))*(1-'Prices&amp;Fuel'!F136)*'Prices&amp;Fuel'!H136*0.005</f>
        <v>3347.04370179949</v>
      </c>
      <c r="Q136" s="9" t="n">
        <f aca="false">((D136+C136+B136+E136+F136+G136)*K136*'Prices&amp;Fuel'!H136)+M136+N136+O136+P136</f>
        <v>4102587.98294875</v>
      </c>
      <c r="R136" s="5" t="n">
        <f aca="false">L136-Q136</f>
        <v>81195.7149894643</v>
      </c>
      <c r="T136" s="1" t="n">
        <f aca="false">T135</f>
        <v>21000</v>
      </c>
    </row>
    <row r="137" customFormat="false" ht="11.25" hidden="false" customHeight="false" outlineLevel="0" collapsed="false">
      <c r="A137" s="6" t="n">
        <f aca="false">+A136+365/12</f>
        <v>39764</v>
      </c>
      <c r="B137" s="5" t="n">
        <f aca="false">IF(T137-((E137+F137+G137)*(1-'Prices&amp;Fuel'!F137))&lt;'Prices&amp;Fuel'!R137,(T137-(E137+F137+G137)*(1-'Prices&amp;Fuel'!F137)),'Prices&amp;Fuel'!R137)/(1-'Prices&amp;Fuel'!F137)</f>
        <v>4325.96401028278</v>
      </c>
      <c r="C137" s="9" t="n">
        <f aca="false">(T137/(1-'Prices&amp;Fuel'!F137))-D137-E137-F137-G137-B137</f>
        <v>0</v>
      </c>
      <c r="D137" s="9" t="n">
        <f aca="false">ROUND(IF(T137/(1-'Prices&amp;Fuel'!F137)-E137-F137-G137-B137&gt;'Prices&amp;Fuel'!T137,'Prices&amp;Fuel'!T137,T137/(1-'Prices&amp;Fuel'!F137)-E137-F137-G137-B137),9)</f>
        <v>0</v>
      </c>
      <c r="E137" s="9" t="n">
        <f aca="false">'Prices&amp;Fuel'!U137/(1-'Prices&amp;Fuel'!F137)</f>
        <v>2635.47557840617</v>
      </c>
      <c r="F137" s="9" t="n">
        <f aca="false">('Prices&amp;Fuel'!V137+'Prices&amp;Fuel'!X137)/(1-'Prices&amp;Fuel'!F137)</f>
        <v>3645.2442159383</v>
      </c>
      <c r="G137" s="9" t="n">
        <f aca="false">'Prices&amp;Fuel'!W137/(1-'Prices&amp;Fuel'!F137)</f>
        <v>1732.64781491003</v>
      </c>
      <c r="H137" s="10" t="n">
        <f aca="false">('Prices&amp;Fuel'!C137+'Prices&amp;Fuel'!D137)/2-0+(('Prices&amp;Fuel'!M137+'Prices&amp;Fuel'!P137)*(1-'Prices&amp;Fuel'!F137))</f>
        <v>4.41353887409148</v>
      </c>
      <c r="I137" s="10"/>
      <c r="J137" s="10"/>
      <c r="K137" s="10" t="n">
        <f aca="false">(((B137+E137)*('Prices&amp;Fuel'!B137+0.025))+(('Prices&amp;Fuel'!D137+0.025)*(D137+G137))+(('Prices&amp;Fuel'!C137+0.025)*(C137+F137))-(I137+J137)*0.025)/(B137+C137+D137+E137+F137+G137)</f>
        <v>3.67821929075815</v>
      </c>
      <c r="L137" s="9" t="n">
        <f aca="false">(B137+C137+D137+E137+F137+G137)*H137*'Prices&amp;Fuel'!H137</f>
        <v>1633803.59349402</v>
      </c>
      <c r="M137" s="9" t="n">
        <f aca="false">'Prices&amp;Fuel'!X137*('Prices&amp;Fuel'!N137+'Prices&amp;Fuel'!O137)*'Prices&amp;Fuel'!H137</f>
        <v>9111.88181701374</v>
      </c>
      <c r="N137" s="9" t="n">
        <f aca="false">('Prices&amp;Fuel'!U137+'Prices&amp;Fuel'!V137+'Prices&amp;Fuel'!W137)*('Prices&amp;Fuel'!L137+'Prices&amp;Fuel'!O137)*'Prices&amp;Fuel'!H137</f>
        <v>94854.2894860434</v>
      </c>
      <c r="O137" s="9" t="n">
        <f aca="false">((B137+C137+D137)*(1-'Prices&amp;Fuel'!G137))*('Prices&amp;Fuel'!M137+'Prices&amp;Fuel'!P137)*'Prices&amp;Fuel'!H137</f>
        <v>96613.755</v>
      </c>
      <c r="P137" s="9" t="n">
        <f aca="false">((B137+C137+D137+E137+F137+G137)/(1-'Prices&amp;Fuel'!F137))*(1-'Prices&amp;Fuel'!F137)*'Prices&amp;Fuel'!H137*0.005</f>
        <v>1850.89974293059</v>
      </c>
      <c r="Q137" s="9" t="n">
        <f aca="false">((D137+C137+B137+E137+F137+G137)*K137*'Prices&amp;Fuel'!H137)+M137+N137+O137+P137</f>
        <v>1564033.85398731</v>
      </c>
      <c r="R137" s="5" t="n">
        <f aca="false">L137-Q137</f>
        <v>69769.7395067115</v>
      </c>
      <c r="T137" s="1" t="n">
        <v>12000</v>
      </c>
    </row>
    <row r="138" customFormat="false" ht="11.25" hidden="false" customHeight="false" outlineLevel="0" collapsed="false">
      <c r="A138" s="6" t="n">
        <f aca="false">+A137+365/12</f>
        <v>39794.4166666667</v>
      </c>
      <c r="B138" s="5" t="n">
        <f aca="false">IF(T138-((E138+F138+G138)*(1-'Prices&amp;Fuel'!F138))&lt;'Prices&amp;Fuel'!R138,(T138-(E138+F138+G138)*(1-'Prices&amp;Fuel'!F138)),'Prices&amp;Fuel'!R138)/(1-'Prices&amp;Fuel'!F138)</f>
        <v>4325.96401028278</v>
      </c>
      <c r="C138" s="9" t="n">
        <f aca="false">(T138/(1-'Prices&amp;Fuel'!F138))-D138-E138-F138-G138-B138</f>
        <v>0</v>
      </c>
      <c r="D138" s="9" t="n">
        <f aca="false">ROUND(IF(T138/(1-'Prices&amp;Fuel'!F138)-E138-F138-G138-B138&gt;'Prices&amp;Fuel'!T138,'Prices&amp;Fuel'!T138,T138/(1-'Prices&amp;Fuel'!F138)-E138-F138-G138-B138),9)</f>
        <v>0</v>
      </c>
      <c r="E138" s="9" t="n">
        <f aca="false">'Prices&amp;Fuel'!U138/(1-'Prices&amp;Fuel'!F138)</f>
        <v>2635.47557840617</v>
      </c>
      <c r="F138" s="9" t="n">
        <f aca="false">('Prices&amp;Fuel'!V138+'Prices&amp;Fuel'!X138)/(1-'Prices&amp;Fuel'!F138)</f>
        <v>3645.2442159383</v>
      </c>
      <c r="G138" s="9" t="n">
        <f aca="false">'Prices&amp;Fuel'!W138/(1-'Prices&amp;Fuel'!F138)</f>
        <v>1732.64781491003</v>
      </c>
      <c r="H138" s="10" t="n">
        <f aca="false">('Prices&amp;Fuel'!C138+'Prices&amp;Fuel'!D138)/2-0+(('Prices&amp;Fuel'!M138+'Prices&amp;Fuel'!P138)*(1-'Prices&amp;Fuel'!F138))</f>
        <v>3.4794011415626</v>
      </c>
      <c r="I138" s="10"/>
      <c r="J138" s="10"/>
      <c r="K138" s="10" t="n">
        <f aca="false">(((B138+E138)*('Prices&amp;Fuel'!B138+0.025))+(('Prices&amp;Fuel'!D138+0.025)*(D138+G138))+(('Prices&amp;Fuel'!C138+0.025)*(C138+F138))-(I138+J138)*0.025)/(B138+C138+D138+E138+F138+G138)</f>
        <v>2.74408155822927</v>
      </c>
      <c r="L138" s="9" t="n">
        <f aca="false">(B138+C138+D138+E138+F138+G138)*H138*'Prices&amp;Fuel'!H138</f>
        <v>1330938.02021726</v>
      </c>
      <c r="M138" s="9" t="n">
        <f aca="false">'Prices&amp;Fuel'!X138*('Prices&amp;Fuel'!N138+'Prices&amp;Fuel'!O138)*'Prices&amp;Fuel'!H138</f>
        <v>9415.61121091419</v>
      </c>
      <c r="N138" s="9" t="n">
        <f aca="false">('Prices&amp;Fuel'!U138+'Prices&amp;Fuel'!V138+'Prices&amp;Fuel'!W138)*('Prices&amp;Fuel'!L138+'Prices&amp;Fuel'!O138)*'Prices&amp;Fuel'!H138</f>
        <v>98016.0991355782</v>
      </c>
      <c r="O138" s="9" t="n">
        <f aca="false">((B138+C138+D138)*(1-'Prices&amp;Fuel'!G138))*('Prices&amp;Fuel'!M138+'Prices&amp;Fuel'!P138)*'Prices&amp;Fuel'!H138</f>
        <v>99834.2135</v>
      </c>
      <c r="P138" s="9" t="n">
        <f aca="false">((B138+C138+D138+E138+F138+G138)/(1-'Prices&amp;Fuel'!F138))*(1-'Prices&amp;Fuel'!F138)*'Prices&amp;Fuel'!H138*0.005</f>
        <v>1912.59640102828</v>
      </c>
      <c r="Q138" s="9" t="n">
        <f aca="false">((D138+C138+B138+E138+F138+G138)*K138*'Prices&amp;Fuel'!H138)+M138+N138+O138+P138</f>
        <v>1258842.62272699</v>
      </c>
      <c r="R138" s="5" t="n">
        <f aca="false">L138-Q138</f>
        <v>72095.3974902686</v>
      </c>
      <c r="T138" s="1" t="n">
        <f aca="false">T137</f>
        <v>12000</v>
      </c>
    </row>
    <row r="139" customFormat="false" ht="11.25" hidden="false" customHeight="false" outlineLevel="0" collapsed="false">
      <c r="A139" s="6" t="n">
        <f aca="false">+A138+365/12</f>
        <v>39824.8333333333</v>
      </c>
      <c r="B139" s="5" t="n">
        <f aca="false">IF(T139-((E139+F139+G139)*(1-'Prices&amp;Fuel'!F139))&lt;'Prices&amp;Fuel'!R139,(T139-(E139+F139+G139)*(1-'Prices&amp;Fuel'!F139)),'Prices&amp;Fuel'!R139)/(1-'Prices&amp;Fuel'!F139)</f>
        <v>4325.96401028278</v>
      </c>
      <c r="C139" s="9" t="n">
        <f aca="false">(T139/(1-'Prices&amp;Fuel'!F139))-D139-E139-F139-G139-B139</f>
        <v>0</v>
      </c>
      <c r="D139" s="9" t="n">
        <f aca="false">ROUND(IF(T139/(1-'Prices&amp;Fuel'!F139)-E139-F139-G139-B139&gt;'Prices&amp;Fuel'!T139,'Prices&amp;Fuel'!T139,T139/(1-'Prices&amp;Fuel'!F139)-E139-F139-G139-B139),9)</f>
        <v>0</v>
      </c>
      <c r="E139" s="9" t="n">
        <f aca="false">'Prices&amp;Fuel'!U139/(1-'Prices&amp;Fuel'!F139)</f>
        <v>2635.47557840617</v>
      </c>
      <c r="F139" s="9" t="n">
        <f aca="false">('Prices&amp;Fuel'!V139+'Prices&amp;Fuel'!X139)/(1-'Prices&amp;Fuel'!F139)</f>
        <v>3645.2442159383</v>
      </c>
      <c r="G139" s="9" t="n">
        <f aca="false">'Prices&amp;Fuel'!W139/(1-'Prices&amp;Fuel'!F139)</f>
        <v>1732.64781491003</v>
      </c>
      <c r="H139" s="10" t="n">
        <f aca="false">('Prices&amp;Fuel'!C139+'Prices&amp;Fuel'!D139)/2-0+(('Prices&amp;Fuel'!M139+'Prices&amp;Fuel'!P139)*(1-'Prices&amp;Fuel'!F139))</f>
        <v>3.15319599928291</v>
      </c>
      <c r="I139" s="10"/>
      <c r="J139" s="10"/>
      <c r="K139" s="10" t="n">
        <f aca="false">(((B139+E139)*('Prices&amp;Fuel'!B139+0.025))+(('Prices&amp;Fuel'!D139+0.025)*(D139+G139))+(('Prices&amp;Fuel'!C139+0.025)*(C139+F139))-(I139+J139)*0.025)/(B139+C139+D139+E139+F139+G139)</f>
        <v>2.41787641594958</v>
      </c>
      <c r="L139" s="9" t="n">
        <f aca="false">(B139+C139+D139+E139+F139+G139)*H139*'Prices&amp;Fuel'!H139</f>
        <v>1206158.26399305</v>
      </c>
      <c r="M139" s="9" t="n">
        <f aca="false">'Prices&amp;Fuel'!X139*('Prices&amp;Fuel'!N139+'Prices&amp;Fuel'!O139)*'Prices&amp;Fuel'!H139</f>
        <v>9438.64041395779</v>
      </c>
      <c r="N139" s="9" t="n">
        <f aca="false">('Prices&amp;Fuel'!U139+'Prices&amp;Fuel'!V139+'Prices&amp;Fuel'!W139)*('Prices&amp;Fuel'!L139+'Prices&amp;Fuel'!O139)*'Prices&amp;Fuel'!H139</f>
        <v>98255.8321277305</v>
      </c>
      <c r="O139" s="9" t="n">
        <f aca="false">((B139+C139+D139)*(1-'Prices&amp;Fuel'!G139))*('Prices&amp;Fuel'!M139+'Prices&amp;Fuel'!P139)*'Prices&amp;Fuel'!H139</f>
        <v>99834.2135</v>
      </c>
      <c r="P139" s="9" t="n">
        <f aca="false">((B139+C139+D139+E139+F139+G139)/(1-'Prices&amp;Fuel'!F139))*(1-'Prices&amp;Fuel'!F139)*'Prices&amp;Fuel'!H139*0.005</f>
        <v>1912.59640102828</v>
      </c>
      <c r="Q139" s="9" t="n">
        <f aca="false">((D139+C139+B139+E139+F139+G139)*K139*'Prices&amp;Fuel'!H139)+M139+N139+O139+P139</f>
        <v>1134325.62869798</v>
      </c>
      <c r="R139" s="5" t="n">
        <f aca="false">L139-Q139</f>
        <v>71832.6352950728</v>
      </c>
      <c r="T139" s="1" t="n">
        <f aca="false">T138</f>
        <v>12000</v>
      </c>
    </row>
    <row r="140" customFormat="false" ht="11.25" hidden="false" customHeight="false" outlineLevel="0" collapsed="false">
      <c r="A140" s="6" t="n">
        <f aca="false">+A139+365/12</f>
        <v>39855.25</v>
      </c>
      <c r="B140" s="5" t="n">
        <f aca="false">IF(T140-((E140+F140+G140)*(1-'Prices&amp;Fuel'!F140))&lt;'Prices&amp;Fuel'!R140,(T140-(E140+F140+G140)*(1-'Prices&amp;Fuel'!F140)),'Prices&amp;Fuel'!R140)/(1-'Prices&amp;Fuel'!F140)</f>
        <v>4325.96401028278</v>
      </c>
      <c r="C140" s="9" t="n">
        <f aca="false">(T140/(1-'Prices&amp;Fuel'!F140))-D140-E140-F140-G140-B140</f>
        <v>0</v>
      </c>
      <c r="D140" s="9" t="n">
        <f aca="false">ROUND(IF(T140/(1-'Prices&amp;Fuel'!F140)-E140-F140-G140-B140&gt;'Prices&amp;Fuel'!T140,'Prices&amp;Fuel'!T140,T140/(1-'Prices&amp;Fuel'!F140)-E140-F140-G140-B140),9)</f>
        <v>0</v>
      </c>
      <c r="E140" s="9" t="n">
        <f aca="false">'Prices&amp;Fuel'!U140/(1-'Prices&amp;Fuel'!F140)</f>
        <v>2635.47557840617</v>
      </c>
      <c r="F140" s="9" t="n">
        <f aca="false">('Prices&amp;Fuel'!V140+'Prices&amp;Fuel'!X140)/(1-'Prices&amp;Fuel'!F140)</f>
        <v>3645.2442159383</v>
      </c>
      <c r="G140" s="9" t="n">
        <f aca="false">'Prices&amp;Fuel'!W140/(1-'Prices&amp;Fuel'!F140)</f>
        <v>1732.64781491003</v>
      </c>
      <c r="H140" s="10" t="n">
        <f aca="false">('Prices&amp;Fuel'!C140+'Prices&amp;Fuel'!D140)/2-0+(('Prices&amp;Fuel'!M140+'Prices&amp;Fuel'!P140)*(1-'Prices&amp;Fuel'!F140))</f>
        <v>3.44267254435181</v>
      </c>
      <c r="I140" s="10"/>
      <c r="J140" s="10"/>
      <c r="K140" s="10" t="n">
        <f aca="false">(((B140+E140)*('Prices&amp;Fuel'!B140+0.025))+(('Prices&amp;Fuel'!D140+0.025)*(D140+G140))+(('Prices&amp;Fuel'!C140+0.025)*(C140+F140))-(I140+J140)*0.025)/(B140+C140+D140+E140+F140+G140)</f>
        <v>2.70735296101847</v>
      </c>
      <c r="L140" s="9" t="n">
        <f aca="false">(B140+C140+D140+E140+F140+G140)*H140*'Prices&amp;Fuel'!H140</f>
        <v>1189447.78910253</v>
      </c>
      <c r="M140" s="9" t="n">
        <f aca="false">'Prices&amp;Fuel'!X140*('Prices&amp;Fuel'!N140+'Prices&amp;Fuel'!O140)*'Prices&amp;Fuel'!H140</f>
        <v>8525.22359970381</v>
      </c>
      <c r="N140" s="9" t="n">
        <f aca="false">('Prices&amp;Fuel'!U140+'Prices&amp;Fuel'!V140+'Prices&amp;Fuel'!W140)*('Prices&amp;Fuel'!L140+'Prices&amp;Fuel'!O140)*'Prices&amp;Fuel'!H140</f>
        <v>88747.2032121437</v>
      </c>
      <c r="O140" s="9" t="n">
        <f aca="false">((B140+C140+D140)*(1-'Prices&amp;Fuel'!G140))*('Prices&amp;Fuel'!M140+'Prices&amp;Fuel'!P140)*'Prices&amp;Fuel'!H140</f>
        <v>90172.838</v>
      </c>
      <c r="P140" s="9" t="n">
        <f aca="false">((B140+C140+D140+E140+F140+G140)/(1-'Prices&amp;Fuel'!F140))*(1-'Prices&amp;Fuel'!F140)*'Prices&amp;Fuel'!H140*0.005</f>
        <v>1727.50642673522</v>
      </c>
      <c r="Q140" s="9" t="n">
        <f aca="false">((D140+C140+B140+E140+F140+G140)*K140*'Prices&amp;Fuel'!H140)+M140+N140+O140+P140</f>
        <v>1124566.69915859</v>
      </c>
      <c r="R140" s="5" t="n">
        <f aca="false">L140-Q140</f>
        <v>64881.0899439366</v>
      </c>
      <c r="T140" s="1" t="n">
        <f aca="false">T139</f>
        <v>12000</v>
      </c>
    </row>
    <row r="141" customFormat="false" ht="11.25" hidden="false" customHeight="false" outlineLevel="0" collapsed="false">
      <c r="A141" s="6" t="n">
        <f aca="false">+A140+365/12</f>
        <v>39885.6666666667</v>
      </c>
      <c r="B141" s="5" t="n">
        <f aca="false">IF(T141-((E141+F141+G141)*(1-'Prices&amp;Fuel'!F141))&lt;'Prices&amp;Fuel'!R141,(T141-(E141+F141+G141)*(1-'Prices&amp;Fuel'!F141)),'Prices&amp;Fuel'!R141)/(1-'Prices&amp;Fuel'!F141)</f>
        <v>4325.96401028278</v>
      </c>
      <c r="C141" s="9" t="n">
        <f aca="false">(T141/(1-'Prices&amp;Fuel'!F141))-D141-E141-F141-G141-B141</f>
        <v>0</v>
      </c>
      <c r="D141" s="9" t="n">
        <f aca="false">ROUND(IF(T141/(1-'Prices&amp;Fuel'!F141)-E141-F141-G141-B141&gt;'Prices&amp;Fuel'!T141,'Prices&amp;Fuel'!T141,T141/(1-'Prices&amp;Fuel'!F141)-E141-F141-G141-B141),9)</f>
        <v>0</v>
      </c>
      <c r="E141" s="9" t="n">
        <f aca="false">'Prices&amp;Fuel'!U141/(1-'Prices&amp;Fuel'!F141)</f>
        <v>2635.47557840617</v>
      </c>
      <c r="F141" s="9" t="n">
        <f aca="false">('Prices&amp;Fuel'!V141+'Prices&amp;Fuel'!X141)/(1-'Prices&amp;Fuel'!F141)</f>
        <v>3645.2442159383</v>
      </c>
      <c r="G141" s="9" t="n">
        <f aca="false">'Prices&amp;Fuel'!W141/(1-'Prices&amp;Fuel'!F141)</f>
        <v>1732.64781491003</v>
      </c>
      <c r="H141" s="10" t="n">
        <f aca="false">('Prices&amp;Fuel'!C141+'Prices&amp;Fuel'!D141)/2-0+(('Prices&amp;Fuel'!M141+'Prices&amp;Fuel'!P141)*(1-'Prices&amp;Fuel'!F141))</f>
        <v>3.44267254435181</v>
      </c>
      <c r="I141" s="10"/>
      <c r="J141" s="10"/>
      <c r="K141" s="10" t="n">
        <f aca="false">(((B141+E141)*('Prices&amp;Fuel'!B141+0.025))+(('Prices&amp;Fuel'!D141+0.025)*(D141+G141))+(('Prices&amp;Fuel'!C141+0.025)*(C141+F141))-(I141+J141)*0.025)/(B141+C141+D141+E141+F141+G141)</f>
        <v>2.70735296101847</v>
      </c>
      <c r="L141" s="9" t="n">
        <f aca="false">(B141+C141+D141+E141+F141+G141)*H141*'Prices&amp;Fuel'!H141</f>
        <v>1316888.62364923</v>
      </c>
      <c r="M141" s="9" t="n">
        <f aca="false">'Prices&amp;Fuel'!X141*('Prices&amp;Fuel'!N141+'Prices&amp;Fuel'!O141)*'Prices&amp;Fuel'!H141</f>
        <v>9438.64041395779</v>
      </c>
      <c r="N141" s="9" t="n">
        <f aca="false">('Prices&amp;Fuel'!U141+'Prices&amp;Fuel'!V141+'Prices&amp;Fuel'!W141)*('Prices&amp;Fuel'!L141+'Prices&amp;Fuel'!O141)*'Prices&amp;Fuel'!H141</f>
        <v>98255.8321277305</v>
      </c>
      <c r="O141" s="9" t="n">
        <f aca="false">((B141+C141+D141)*(1-'Prices&amp;Fuel'!G141))*('Prices&amp;Fuel'!M141+'Prices&amp;Fuel'!P141)*'Prices&amp;Fuel'!H141</f>
        <v>99834.2135</v>
      </c>
      <c r="P141" s="9" t="n">
        <f aca="false">((B141+C141+D141+E141+F141+G141)/(1-'Prices&amp;Fuel'!F141))*(1-'Prices&amp;Fuel'!F141)*'Prices&amp;Fuel'!H141*0.005</f>
        <v>1912.59640102828</v>
      </c>
      <c r="Q141" s="9" t="n">
        <f aca="false">((D141+C141+B141+E141+F141+G141)*K141*'Prices&amp;Fuel'!H141)+M141+N141+O141+P141</f>
        <v>1245055.98835415</v>
      </c>
      <c r="R141" s="5" t="n">
        <f aca="false">L141-Q141</f>
        <v>71832.6352950726</v>
      </c>
      <c r="T141" s="1" t="n">
        <f aca="false">T140</f>
        <v>12000</v>
      </c>
    </row>
    <row r="142" customFormat="false" ht="11.25" hidden="false" customHeight="false" outlineLevel="0" collapsed="false">
      <c r="A142" s="6" t="n">
        <f aca="false">+A141+365/12</f>
        <v>39916.0833333333</v>
      </c>
      <c r="B142" s="5" t="n">
        <f aca="false">IF(T142-((E142+F142+G142)*(1-'Prices&amp;Fuel'!F142))&lt;'Prices&amp;Fuel'!R142,(T142-(E142+F142+G142)*(1-'Prices&amp;Fuel'!F142)),'Prices&amp;Fuel'!R142)/(1-'Prices&amp;Fuel'!F142)</f>
        <v>6278.66323907455</v>
      </c>
      <c r="C142" s="9" t="n">
        <f aca="false">(T142/(1-'Prices&amp;Fuel'!F142))-D142-E142-F142-G142-B142</f>
        <v>0</v>
      </c>
      <c r="D142" s="9" t="n">
        <f aca="false">ROUND(IF(T142/(1-'Prices&amp;Fuel'!F142)-E142-F142-G142-B142&gt;'Prices&amp;Fuel'!T142,'Prices&amp;Fuel'!T142,T142/(1-'Prices&amp;Fuel'!F142)-E142-F142-G142-B142),9)</f>
        <v>0</v>
      </c>
      <c r="E142" s="9" t="n">
        <f aca="false">'Prices&amp;Fuel'!U142/(1-'Prices&amp;Fuel'!F142)</f>
        <v>1933.16195372751</v>
      </c>
      <c r="F142" s="9" t="n">
        <f aca="false">('Prices&amp;Fuel'!V142+'Prices&amp;Fuel'!X142)/(1-'Prices&amp;Fuel'!F142)</f>
        <v>2833.93316195373</v>
      </c>
      <c r="G142" s="9" t="n">
        <f aca="false">'Prices&amp;Fuel'!W142/(1-'Prices&amp;Fuel'!F142)</f>
        <v>1293.57326478149</v>
      </c>
      <c r="H142" s="10" t="n">
        <f aca="false">('Prices&amp;Fuel'!C142+'Prices&amp;Fuel'!D142)/2-0+(('Prices&amp;Fuel'!M142+'Prices&amp;Fuel'!P142)*(1-'Prices&amp;Fuel'!F142))</f>
        <v>3.7321490894207</v>
      </c>
      <c r="I142" s="10"/>
      <c r="J142" s="10"/>
      <c r="K142" s="10" t="n">
        <f aca="false">(((B142+E142)*('Prices&amp;Fuel'!B142+0.025))+(('Prices&amp;Fuel'!D142+0.025)*(D142+G142))+(('Prices&amp;Fuel'!C142+0.025)*(C142+F142))-(I142+J142)*0.025)/(B142+C142+D142+E142+F142+G142)</f>
        <v>2.99252867275403</v>
      </c>
      <c r="L142" s="9" t="n">
        <f aca="false">(B142+C142+D142+E142+F142+G142)*H142*'Prices&amp;Fuel'!H142</f>
        <v>1381566.75803748</v>
      </c>
      <c r="M142" s="9" t="n">
        <f aca="false">'Prices&amp;Fuel'!X142*('Prices&amp;Fuel'!N142+'Prices&amp;Fuel'!O142)*'Prices&amp;Fuel'!H142</f>
        <v>9134.1681425398</v>
      </c>
      <c r="N142" s="9" t="n">
        <f aca="false">('Prices&amp;Fuel'!U142+'Prices&amp;Fuel'!V142+'Prices&amp;Fuel'!W142)*('Prices&amp;Fuel'!L142+'Prices&amp;Fuel'!O142)*'Prices&amp;Fuel'!H142</f>
        <v>69689.8245838578</v>
      </c>
      <c r="O142" s="9" t="n">
        <f aca="false">((B142+C142+D142)*(1-'Prices&amp;Fuel'!G142))*('Prices&amp;Fuel'!M142+'Prices&amp;Fuel'!P142)*'Prices&amp;Fuel'!H142</f>
        <v>140224.29</v>
      </c>
      <c r="P142" s="9" t="n">
        <f aca="false">((B142+C142+D142+E142+F142+G142)/(1-'Prices&amp;Fuel'!F142))*(1-'Prices&amp;Fuel'!F142)*'Prices&amp;Fuel'!H142*0.005</f>
        <v>1850.89974293059</v>
      </c>
      <c r="Q142" s="9" t="n">
        <f aca="false">((D142+C142+B142+E142+F142+G142)*K142*'Prices&amp;Fuel'!H142)+M142+N142+O142+P142</f>
        <v>1328673.2926919</v>
      </c>
      <c r="R142" s="5" t="n">
        <f aca="false">L142-Q142</f>
        <v>52893.4653455818</v>
      </c>
      <c r="T142" s="1" t="n">
        <f aca="false">T141</f>
        <v>12000</v>
      </c>
    </row>
    <row r="143" customFormat="false" ht="11.25" hidden="false" customHeight="false" outlineLevel="0" collapsed="false">
      <c r="A143" s="6" t="n">
        <f aca="false">+A142+365/12</f>
        <v>39946.5</v>
      </c>
      <c r="B143" s="5" t="n">
        <f aca="false">IF(T143-((E143+F143+G143)*(1-'Prices&amp;Fuel'!F143))&lt;'Prices&amp;Fuel'!R143,(T143-(E143+F143+G143)*(1-'Prices&amp;Fuel'!F143)),'Prices&amp;Fuel'!R143)/(1-'Prices&amp;Fuel'!F143)</f>
        <v>8976.86375321337</v>
      </c>
      <c r="C143" s="9" t="n">
        <f aca="false">(T143/(1-'Prices&amp;Fuel'!F143))-D143-E143-F143-G143-B143</f>
        <v>1.38243194669485E-010</v>
      </c>
      <c r="D143" s="9" t="n">
        <f aca="false">ROUND(IF(T143/(1-'Prices&amp;Fuel'!F143)-E143-F143-G143-B143&gt;'Prices&amp;Fuel'!T143,'Prices&amp;Fuel'!T143,T143/(1-'Prices&amp;Fuel'!F143)-E143-F143-G143-B143),9)</f>
        <v>6556.298200514</v>
      </c>
      <c r="E143" s="9" t="n">
        <f aca="false">'Prices&amp;Fuel'!U143/(1-'Prices&amp;Fuel'!F143)</f>
        <v>1933.16195372751</v>
      </c>
      <c r="F143" s="9" t="n">
        <f aca="false">('Prices&amp;Fuel'!V143+'Prices&amp;Fuel'!X143)/(1-'Prices&amp;Fuel'!F143)</f>
        <v>3062.21079691517</v>
      </c>
      <c r="G143" s="9" t="n">
        <f aca="false">'Prices&amp;Fuel'!W143/(1-'Prices&amp;Fuel'!F143)</f>
        <v>1065.29562982005</v>
      </c>
      <c r="H143" s="10" t="n">
        <f aca="false">('Prices&amp;Fuel'!C143+'Prices&amp;Fuel'!D143)/2-0+(('Prices&amp;Fuel'!M143+'Prices&amp;Fuel'!P143)*(1-'Prices&amp;Fuel'!F143))</f>
        <v>3.93585480632103</v>
      </c>
      <c r="I143" s="10"/>
      <c r="J143" s="10"/>
      <c r="K143" s="10" t="n">
        <f aca="false">(((B143+E143)*('Prices&amp;Fuel'!B143+0.025))+(('Prices&amp;Fuel'!D143+0.025)*(D143+G143))+(('Prices&amp;Fuel'!C143+0.025)*(C143+F143))-(I143+J143)*0.025)/(B143+C143+D143+E143+F143+G143)</f>
        <v>3.19344415155913</v>
      </c>
      <c r="L143" s="9" t="n">
        <f aca="false">(B143+C143+D143+E143+F143+G143)*H143*'Prices&amp;Fuel'!H143</f>
        <v>2634695.60813881</v>
      </c>
      <c r="M143" s="9" t="n">
        <f aca="false">'Prices&amp;Fuel'!X143*('Prices&amp;Fuel'!N143+'Prices&amp;Fuel'!O143)*'Prices&amp;Fuel'!H143</f>
        <v>9438.64041395779</v>
      </c>
      <c r="N143" s="9" t="n">
        <f aca="false">('Prices&amp;Fuel'!U143+'Prices&amp;Fuel'!V143+'Prices&amp;Fuel'!W143)*('Prices&amp;Fuel'!L143+'Prices&amp;Fuel'!O143)*'Prices&amp;Fuel'!H143</f>
        <v>72012.8187366531</v>
      </c>
      <c r="O143" s="9" t="n">
        <f aca="false">((B143+C143+D143)*(1-'Prices&amp;Fuel'!G143))*('Prices&amp;Fuel'!M143+'Prices&amp;Fuel'!P143)*'Prices&amp;Fuel'!H143</f>
        <v>358472.933</v>
      </c>
      <c r="P143" s="9" t="n">
        <f aca="false">((B143+C143+D143+E143+F143+G143)/(1-'Prices&amp;Fuel'!F143))*(1-'Prices&amp;Fuel'!F143)*'Prices&amp;Fuel'!H143*0.005</f>
        <v>3347.04370179949</v>
      </c>
      <c r="Q143" s="9" t="n">
        <f aca="false">((D143+C143+B143+E143+F143+G143)*K143*'Prices&amp;Fuel'!H143)+M143+N143+O143+P143</f>
        <v>2580990.86275729</v>
      </c>
      <c r="R143" s="5" t="n">
        <f aca="false">L143-Q143</f>
        <v>53704.745381522</v>
      </c>
      <c r="T143" s="1" t="n">
        <v>21000</v>
      </c>
    </row>
    <row r="144" customFormat="false" ht="11.25" hidden="false" customHeight="false" outlineLevel="0" collapsed="false">
      <c r="A144" s="6" t="n">
        <f aca="false">+A143+365/12</f>
        <v>39976.9166666667</v>
      </c>
      <c r="B144" s="5" t="n">
        <f aca="false">IF(T144-((E144+F144+G144)*(1-'Prices&amp;Fuel'!F144))&lt;'Prices&amp;Fuel'!R144,(T144-(E144+F144+G144)*(1-'Prices&amp;Fuel'!F144)),'Prices&amp;Fuel'!R144)/(1-'Prices&amp;Fuel'!F144)</f>
        <v>8976.86375321337</v>
      </c>
      <c r="C144" s="9" t="n">
        <f aca="false">(T144/(1-'Prices&amp;Fuel'!F144))-D144-E144-F144-G144-B144</f>
        <v>1.38243194669485E-010</v>
      </c>
      <c r="D144" s="9" t="n">
        <f aca="false">ROUND(IF(T144/(1-'Prices&amp;Fuel'!F144)-E144-F144-G144-B144&gt;'Prices&amp;Fuel'!T144,'Prices&amp;Fuel'!T144,T144/(1-'Prices&amp;Fuel'!F144)-E144-F144-G144-B144),9)</f>
        <v>6556.298200514</v>
      </c>
      <c r="E144" s="9" t="n">
        <f aca="false">'Prices&amp;Fuel'!U144/(1-'Prices&amp;Fuel'!F144)</f>
        <v>1933.16195372751</v>
      </c>
      <c r="F144" s="9" t="n">
        <f aca="false">('Prices&amp;Fuel'!V144+'Prices&amp;Fuel'!X144)/(1-'Prices&amp;Fuel'!F144)</f>
        <v>3062.21079691517</v>
      </c>
      <c r="G144" s="9" t="n">
        <f aca="false">'Prices&amp;Fuel'!W144/(1-'Prices&amp;Fuel'!F144)</f>
        <v>1065.29562982005</v>
      </c>
      <c r="H144" s="10" t="n">
        <f aca="false">('Prices&amp;Fuel'!C144+'Prices&amp;Fuel'!D144)/2-0+(('Prices&amp;Fuel'!M144+'Prices&amp;Fuel'!P144)*(1-'Prices&amp;Fuel'!F144))</f>
        <v>5.34035211758121</v>
      </c>
      <c r="I144" s="10"/>
      <c r="J144" s="10"/>
      <c r="K144" s="10" t="n">
        <f aca="false">(((B144+E144)*('Prices&amp;Fuel'!B144+0.025))+(('Prices&amp;Fuel'!D144+0.025)*(D144+G144))+(('Prices&amp;Fuel'!C144+0.025)*(C144+F144))-(I144+J144)*0.025)/(B144+C144+D144+E144+F144+G144)</f>
        <v>4.59794146281931</v>
      </c>
      <c r="L144" s="9" t="n">
        <f aca="false">(B144+C144+D144+E144+F144+G144)*H144*'Prices&amp;Fuel'!H144</f>
        <v>3459559.72655647</v>
      </c>
      <c r="M144" s="9" t="n">
        <f aca="false">'Prices&amp;Fuel'!X144*('Prices&amp;Fuel'!N144+'Prices&amp;Fuel'!O144)*'Prices&amp;Fuel'!H144</f>
        <v>9134.1681425398</v>
      </c>
      <c r="N144" s="9" t="n">
        <f aca="false">('Prices&amp;Fuel'!U144+'Prices&amp;Fuel'!V144+'Prices&amp;Fuel'!W144)*('Prices&amp;Fuel'!L144+'Prices&amp;Fuel'!O144)*'Prices&amp;Fuel'!H144</f>
        <v>69689.8245838578</v>
      </c>
      <c r="O144" s="9" t="n">
        <f aca="false">((B144+C144+D144)*(1-'Prices&amp;Fuel'!G144))*('Prices&amp;Fuel'!M144+'Prices&amp;Fuel'!P144)*'Prices&amp;Fuel'!H144</f>
        <v>346909.29</v>
      </c>
      <c r="P144" s="9" t="n">
        <f aca="false">((B144+C144+D144+E144+F144+G144)/(1-'Prices&amp;Fuel'!F144))*(1-'Prices&amp;Fuel'!F144)*'Prices&amp;Fuel'!H144*0.005</f>
        <v>3239.07455012853</v>
      </c>
      <c r="Q144" s="9" t="n">
        <f aca="false">((D144+C144+B144+E144+F144+G144)*K144*'Prices&amp;Fuel'!H144)+M144+N144+O144+P144</f>
        <v>3407587.39231628</v>
      </c>
      <c r="R144" s="5" t="n">
        <f aca="false">L144-Q144</f>
        <v>51972.3342401828</v>
      </c>
      <c r="T144" s="1" t="n">
        <f aca="false">T143</f>
        <v>21000</v>
      </c>
    </row>
    <row r="145" customFormat="false" ht="11.25" hidden="false" customHeight="false" outlineLevel="0" collapsed="false">
      <c r="A145" s="6" t="n">
        <f aca="false">+A144+365/12</f>
        <v>40007.3333333333</v>
      </c>
      <c r="B145" s="5" t="n">
        <f aca="false">IF(T145-((E145+F145+G145)*(1-'Prices&amp;Fuel'!F145))&lt;'Prices&amp;Fuel'!R145,(T145-(E145+F145+G145)*(1-'Prices&amp;Fuel'!F145)),'Prices&amp;Fuel'!R145)/(1-'Prices&amp;Fuel'!F145)</f>
        <v>8976.86375321337</v>
      </c>
      <c r="C145" s="9" t="n">
        <f aca="false">(T145/(1-'Prices&amp;Fuel'!F145))-D145-E145-F145-G145-B145</f>
        <v>1.38243194669485E-010</v>
      </c>
      <c r="D145" s="9" t="n">
        <f aca="false">ROUND(IF(T145/(1-'Prices&amp;Fuel'!F145)-E145-F145-G145-B145&gt;'Prices&amp;Fuel'!T145,'Prices&amp;Fuel'!T145,T145/(1-'Prices&amp;Fuel'!F145)-E145-F145-G145-B145),9)</f>
        <v>6556.298200514</v>
      </c>
      <c r="E145" s="9" t="n">
        <f aca="false">'Prices&amp;Fuel'!U145/(1-'Prices&amp;Fuel'!F145)</f>
        <v>1933.16195372751</v>
      </c>
      <c r="F145" s="9" t="n">
        <f aca="false">('Prices&amp;Fuel'!V145+'Prices&amp;Fuel'!X145)/(1-'Prices&amp;Fuel'!F145)</f>
        <v>3062.21079691517</v>
      </c>
      <c r="G145" s="9" t="n">
        <f aca="false">'Prices&amp;Fuel'!W145/(1-'Prices&amp;Fuel'!F145)</f>
        <v>1065.29562982005</v>
      </c>
      <c r="H145" s="10" t="n">
        <f aca="false">('Prices&amp;Fuel'!C145+'Prices&amp;Fuel'!D145)/2-0+(('Prices&amp;Fuel'!M145+'Prices&amp;Fuel'!P145)*(1-'Prices&amp;Fuel'!F145))</f>
        <v>5.32963076406014</v>
      </c>
      <c r="I145" s="10"/>
      <c r="J145" s="10"/>
      <c r="K145" s="10" t="n">
        <f aca="false">(((B145+E145)*('Prices&amp;Fuel'!B145+0.025))+(('Prices&amp;Fuel'!D145+0.025)*(D145+G145))+(('Prices&amp;Fuel'!C145+0.025)*(C145+F145))-(I145+J145)*0.025)/(B145+C145+D145+E145+F145+G145)</f>
        <v>4.58722010929824</v>
      </c>
      <c r="L145" s="9" t="n">
        <f aca="false">(B145+C145+D145+E145+F145+G145)*H145*'Prices&amp;Fuel'!H145</f>
        <v>3567701.41635286</v>
      </c>
      <c r="M145" s="9" t="n">
        <f aca="false">'Prices&amp;Fuel'!X145*('Prices&amp;Fuel'!N145+'Prices&amp;Fuel'!O145)*'Prices&amp;Fuel'!H145</f>
        <v>9438.64041395779</v>
      </c>
      <c r="N145" s="9" t="n">
        <f aca="false">('Prices&amp;Fuel'!U145+'Prices&amp;Fuel'!V145+'Prices&amp;Fuel'!W145)*('Prices&amp;Fuel'!L145+'Prices&amp;Fuel'!O145)*'Prices&amp;Fuel'!H145</f>
        <v>72012.8187366531</v>
      </c>
      <c r="O145" s="9" t="n">
        <f aca="false">((B145+C145+D145)*(1-'Prices&amp;Fuel'!G145))*('Prices&amp;Fuel'!M145+'Prices&amp;Fuel'!P145)*'Prices&amp;Fuel'!H145</f>
        <v>358472.933</v>
      </c>
      <c r="P145" s="9" t="n">
        <f aca="false">((B145+C145+D145+E145+F145+G145)/(1-'Prices&amp;Fuel'!F145))*(1-'Prices&amp;Fuel'!F145)*'Prices&amp;Fuel'!H145*0.005</f>
        <v>3347.04370179949</v>
      </c>
      <c r="Q145" s="9" t="n">
        <f aca="false">((D145+C145+B145+E145+F145+G145)*K145*'Prices&amp;Fuel'!H145)+M145+N145+O145+P145</f>
        <v>3513996.67097134</v>
      </c>
      <c r="R145" s="5" t="n">
        <f aca="false">L145-Q145</f>
        <v>53704.7453815211</v>
      </c>
      <c r="T145" s="1" t="n">
        <f aca="false">T144</f>
        <v>21000</v>
      </c>
    </row>
    <row r="146" customFormat="false" ht="11.25" hidden="false" customHeight="false" outlineLevel="0" collapsed="false">
      <c r="A146" s="6" t="n">
        <f aca="false">+A145+365/12</f>
        <v>40037.75</v>
      </c>
      <c r="B146" s="5" t="n">
        <f aca="false">IF(T146-((E146+F146+G146)*(1-'Prices&amp;Fuel'!F146))&lt;'Prices&amp;Fuel'!R146,(T146-(E146+F146+G146)*(1-'Prices&amp;Fuel'!F146)),'Prices&amp;Fuel'!R146)/(1-'Prices&amp;Fuel'!F146)</f>
        <v>8976.86375321337</v>
      </c>
      <c r="C146" s="9" t="n">
        <f aca="false">(T146/(1-'Prices&amp;Fuel'!F146))-D146-E146-F146-G146-B146</f>
        <v>1.38243194669485E-010</v>
      </c>
      <c r="D146" s="9" t="n">
        <f aca="false">ROUND(IF(T146/(1-'Prices&amp;Fuel'!F146)-E146-F146-G146-B146&gt;'Prices&amp;Fuel'!T146,'Prices&amp;Fuel'!T146,T146/(1-'Prices&amp;Fuel'!F146)-E146-F146-G146-B146),9)</f>
        <v>6556.298200514</v>
      </c>
      <c r="E146" s="9" t="n">
        <f aca="false">'Prices&amp;Fuel'!U146/(1-'Prices&amp;Fuel'!F146)</f>
        <v>1933.16195372751</v>
      </c>
      <c r="F146" s="9" t="n">
        <f aca="false">('Prices&amp;Fuel'!V146+'Prices&amp;Fuel'!X146)/(1-'Prices&amp;Fuel'!F146)</f>
        <v>3062.21079691517</v>
      </c>
      <c r="G146" s="9" t="n">
        <f aca="false">'Prices&amp;Fuel'!W146/(1-'Prices&amp;Fuel'!F146)</f>
        <v>1065.29562982005</v>
      </c>
      <c r="H146" s="10" t="n">
        <f aca="false">('Prices&amp;Fuel'!C146+'Prices&amp;Fuel'!D146)/2-0+(('Prices&amp;Fuel'!M146+'Prices&amp;Fuel'!P146)*(1-'Prices&amp;Fuel'!F146))</f>
        <v>4.75067767392236</v>
      </c>
      <c r="I146" s="10"/>
      <c r="J146" s="10"/>
      <c r="K146" s="10" t="n">
        <f aca="false">(((B146+E146)*('Prices&amp;Fuel'!B146+0.025))+(('Prices&amp;Fuel'!D146+0.025)*(D146+G146))+(('Prices&amp;Fuel'!C146+0.025)*(C146+F146))-(I146+J146)*0.025)/(B146+C146+D146+E146+F146+G146)</f>
        <v>4.00826701916045</v>
      </c>
      <c r="L146" s="9" t="n">
        <f aca="false">(B146+C146+D146+E146+F146+G146)*H146*'Prices&amp;Fuel'!H146</f>
        <v>3180145.15755625</v>
      </c>
      <c r="M146" s="9" t="n">
        <f aca="false">'Prices&amp;Fuel'!X146*('Prices&amp;Fuel'!N146+'Prices&amp;Fuel'!O146)*'Prices&amp;Fuel'!H146</f>
        <v>9438.64041395779</v>
      </c>
      <c r="N146" s="9" t="n">
        <f aca="false">('Prices&amp;Fuel'!U146+'Prices&amp;Fuel'!V146+'Prices&amp;Fuel'!W146)*('Prices&amp;Fuel'!L146+'Prices&amp;Fuel'!O146)*'Prices&amp;Fuel'!H146</f>
        <v>72012.8187366531</v>
      </c>
      <c r="O146" s="9" t="n">
        <f aca="false">((B146+C146+D146)*(1-'Prices&amp;Fuel'!G146))*('Prices&amp;Fuel'!M146+'Prices&amp;Fuel'!P146)*'Prices&amp;Fuel'!H146</f>
        <v>358472.933</v>
      </c>
      <c r="P146" s="9" t="n">
        <f aca="false">((B146+C146+D146+E146+F146+G146)/(1-'Prices&amp;Fuel'!F146))*(1-'Prices&amp;Fuel'!F146)*'Prices&amp;Fuel'!H146*0.005</f>
        <v>3347.04370179949</v>
      </c>
      <c r="Q146" s="9" t="n">
        <f aca="false">((D146+C146+B146+E146+F146+G146)*K146*'Prices&amp;Fuel'!H146)+M146+N146+O146+P146</f>
        <v>3126440.41217473</v>
      </c>
      <c r="R146" s="5" t="n">
        <f aca="false">L146-Q146</f>
        <v>53704.7453815215</v>
      </c>
      <c r="T146" s="1" t="n">
        <f aca="false">T145</f>
        <v>21000</v>
      </c>
    </row>
    <row r="147" customFormat="false" ht="11.25" hidden="false" customHeight="false" outlineLevel="0" collapsed="false">
      <c r="A147" s="6" t="n">
        <f aca="false">+A146+365/12</f>
        <v>40068.1666666667</v>
      </c>
      <c r="B147" s="5" t="n">
        <f aca="false">IF(T147-((E147+F147+G147)*(1-'Prices&amp;Fuel'!F147))&lt;'Prices&amp;Fuel'!R147,(T147-(E147+F147+G147)*(1-'Prices&amp;Fuel'!F147)),'Prices&amp;Fuel'!R147)/(1-'Prices&amp;Fuel'!F147)</f>
        <v>8976.86375321337</v>
      </c>
      <c r="C147" s="9" t="n">
        <f aca="false">(T147/(1-'Prices&amp;Fuel'!F147))-D147-E147-F147-G147-B147</f>
        <v>1.38243194669485E-010</v>
      </c>
      <c r="D147" s="9" t="n">
        <f aca="false">ROUND(IF(T147/(1-'Prices&amp;Fuel'!F147)-E147-F147-G147-B147&gt;'Prices&amp;Fuel'!T147,'Prices&amp;Fuel'!T147,T147/(1-'Prices&amp;Fuel'!F147)-E147-F147-G147-B147),9)</f>
        <v>6556.298200514</v>
      </c>
      <c r="E147" s="9" t="n">
        <f aca="false">'Prices&amp;Fuel'!U147/(1-'Prices&amp;Fuel'!F147)</f>
        <v>1933.16195372751</v>
      </c>
      <c r="F147" s="9" t="n">
        <f aca="false">('Prices&amp;Fuel'!V147+'Prices&amp;Fuel'!X147)/(1-'Prices&amp;Fuel'!F147)</f>
        <v>3062.21079691517</v>
      </c>
      <c r="G147" s="9" t="n">
        <f aca="false">'Prices&amp;Fuel'!W147/(1-'Prices&amp;Fuel'!F147)</f>
        <v>1065.29562982005</v>
      </c>
      <c r="H147" s="10" t="n">
        <f aca="false">('Prices&amp;Fuel'!C147+'Prices&amp;Fuel'!D147)/2-0+(('Prices&amp;Fuel'!M147+'Prices&amp;Fuel'!P147)*(1-'Prices&amp;Fuel'!F147))</f>
        <v>5.57622189504476</v>
      </c>
      <c r="I147" s="10"/>
      <c r="J147" s="10"/>
      <c r="K147" s="10" t="n">
        <f aca="false">(((B147+E147)*('Prices&amp;Fuel'!B147+0.025))+(('Prices&amp;Fuel'!D147+0.025)*(D147+G147))+(('Prices&amp;Fuel'!C147+0.025)*(C147+F147))-(I147+J147)*0.025)/(B147+C147+D147+E147+F147+G147)</f>
        <v>4.83381124028285</v>
      </c>
      <c r="L147" s="9" t="n">
        <f aca="false">(B147+C147+D147+E147+F147+G147)*H147*'Prices&amp;Fuel'!H147</f>
        <v>3612359.6852218</v>
      </c>
      <c r="M147" s="9" t="n">
        <f aca="false">'Prices&amp;Fuel'!X147*('Prices&amp;Fuel'!N147+'Prices&amp;Fuel'!O147)*'Prices&amp;Fuel'!H147</f>
        <v>9134.1681425398</v>
      </c>
      <c r="N147" s="9" t="n">
        <f aca="false">('Prices&amp;Fuel'!U147+'Prices&amp;Fuel'!V147+'Prices&amp;Fuel'!W147)*('Prices&amp;Fuel'!L147+'Prices&amp;Fuel'!O147)*'Prices&amp;Fuel'!H147</f>
        <v>69689.8245838578</v>
      </c>
      <c r="O147" s="9" t="n">
        <f aca="false">((B147+C147+D147)*(1-'Prices&amp;Fuel'!G147))*('Prices&amp;Fuel'!M147+'Prices&amp;Fuel'!P147)*'Prices&amp;Fuel'!H147</f>
        <v>346909.29</v>
      </c>
      <c r="P147" s="9" t="n">
        <f aca="false">((B147+C147+D147+E147+F147+G147)/(1-'Prices&amp;Fuel'!F147))*(1-'Prices&amp;Fuel'!F147)*'Prices&amp;Fuel'!H147*0.005</f>
        <v>3239.07455012853</v>
      </c>
      <c r="Q147" s="9" t="n">
        <f aca="false">((D147+C147+B147+E147+F147+G147)*K147*'Prices&amp;Fuel'!H147)+M147+N147+O147+P147</f>
        <v>3560387.35098161</v>
      </c>
      <c r="R147" s="5" t="n">
        <f aca="false">L147-Q147</f>
        <v>51972.3342401818</v>
      </c>
      <c r="T147" s="1" t="n">
        <f aca="false">T146</f>
        <v>21000</v>
      </c>
    </row>
    <row r="148" customFormat="false" ht="11.25" hidden="false" customHeight="false" outlineLevel="0" collapsed="false">
      <c r="A148" s="6" t="n">
        <f aca="false">+A147+365/12</f>
        <v>40098.5833333333</v>
      </c>
      <c r="B148" s="5" t="n">
        <f aca="false">IF(T148-((E148+F148+G148)*(1-'Prices&amp;Fuel'!F148))&lt;'Prices&amp;Fuel'!R148,(T148-(E148+F148+G148)*(1-'Prices&amp;Fuel'!F148)),'Prices&amp;Fuel'!R148)/(1-'Prices&amp;Fuel'!F148)</f>
        <v>8976.86375321337</v>
      </c>
      <c r="C148" s="9" t="n">
        <f aca="false">(T148/(1-'Prices&amp;Fuel'!F148))-D148-E148-F148-G148-B148</f>
        <v>2.0190782379359E-010</v>
      </c>
      <c r="D148" s="9" t="n">
        <f aca="false">ROUND(IF(T148/(1-'Prices&amp;Fuel'!F148)-E148-F148-G148-B148&gt;'Prices&amp;Fuel'!T148,'Prices&amp;Fuel'!T148,T148/(1-'Prices&amp;Fuel'!F148)-E148-F148-G148-B148),9)</f>
        <v>3514.652956298</v>
      </c>
      <c r="E148" s="9" t="n">
        <f aca="false">'Prices&amp;Fuel'!U148/(1-'Prices&amp;Fuel'!F148)</f>
        <v>2910.02570694087</v>
      </c>
      <c r="F148" s="9" t="n">
        <f aca="false">('Prices&amp;Fuel'!V148+'Prices&amp;Fuel'!X148)/(1-'Prices&amp;Fuel'!F148)</f>
        <v>4628.27763496144</v>
      </c>
      <c r="G148" s="9" t="n">
        <f aca="false">'Prices&amp;Fuel'!W148/(1-'Prices&amp;Fuel'!F148)</f>
        <v>1564.01028277635</v>
      </c>
      <c r="H148" s="10" t="n">
        <f aca="false">('Prices&amp;Fuel'!C148+'Prices&amp;Fuel'!D148)/2-0+(('Prices&amp;Fuel'!M148+'Prices&amp;Fuel'!P148)*(1-'Prices&amp;Fuel'!F148))</f>
        <v>6.30527393447752</v>
      </c>
      <c r="I148" s="10"/>
      <c r="J148" s="10"/>
      <c r="K148" s="10" t="n">
        <f aca="false">(((B148+E148)*('Prices&amp;Fuel'!B148+0.025))+(('Prices&amp;Fuel'!D148+0.025)*(D148+G148))+(('Prices&amp;Fuel'!C148+0.025)*(C148+F148))-(I148+J148)*0.025)/(B148+C148+D148+E148+F148+G148)</f>
        <v>5.56603708923943</v>
      </c>
      <c r="L148" s="9" t="n">
        <f aca="false">(B148+C148+D148+E148+F148+G148)*H148*'Prices&amp;Fuel'!H148</f>
        <v>4220805.48210269</v>
      </c>
      <c r="M148" s="9" t="n">
        <f aca="false">'Prices&amp;Fuel'!X148*('Prices&amp;Fuel'!N148+'Prices&amp;Fuel'!O148)*'Prices&amp;Fuel'!H148</f>
        <v>13833.2050576453</v>
      </c>
      <c r="N148" s="9" t="n">
        <f aca="false">('Prices&amp;Fuel'!U148+'Prices&amp;Fuel'!V148+'Prices&amp;Fuel'!W148)*('Prices&amp;Fuel'!L148+'Prices&amp;Fuel'!O148)*'Prices&amp;Fuel'!H148</f>
        <v>108495.996910663</v>
      </c>
      <c r="O148" s="9" t="n">
        <f aca="false">((B148+C148+D148)*(1-'Prices&amp;Fuel'!G148))*('Prices&amp;Fuel'!M148+'Prices&amp;Fuel'!P148)*'Prices&amp;Fuel'!H148</f>
        <v>288278.114</v>
      </c>
      <c r="P148" s="9" t="n">
        <f aca="false">((B148+C148+D148+E148+F148+G148)/(1-'Prices&amp;Fuel'!F148))*(1-'Prices&amp;Fuel'!F148)*'Prices&amp;Fuel'!H148*0.005</f>
        <v>3347.04370179949</v>
      </c>
      <c r="Q148" s="9" t="n">
        <f aca="false">((D148+C148+B148+E148+F148+G148)*K148*'Prices&amp;Fuel'!H148)+M148+N148+O148+P148</f>
        <v>4139908.23637434</v>
      </c>
      <c r="R148" s="5" t="n">
        <f aca="false">L148-Q148</f>
        <v>80897.2457283493</v>
      </c>
      <c r="T148" s="1" t="n">
        <f aca="false">T147</f>
        <v>21000</v>
      </c>
    </row>
    <row r="149" customFormat="false" ht="11.25" hidden="false" customHeight="false" outlineLevel="0" collapsed="false">
      <c r="A149" s="6" t="n">
        <f aca="false">+A148+365/12</f>
        <v>40129</v>
      </c>
      <c r="B149" s="5" t="n">
        <f aca="false">IF(T149-((E149+F149+G149)*(1-'Prices&amp;Fuel'!F149))&lt;'Prices&amp;Fuel'!R149,(T149-(E149+F149+G149)*(1-'Prices&amp;Fuel'!F149)),'Prices&amp;Fuel'!R149)/(1-'Prices&amp;Fuel'!F149)</f>
        <v>4325.96401028278</v>
      </c>
      <c r="C149" s="9" t="n">
        <f aca="false">(T149/(1-'Prices&amp;Fuel'!F149))-D149-E149-F149-G149-B149</f>
        <v>0</v>
      </c>
      <c r="D149" s="9" t="n">
        <f aca="false">ROUND(IF(T149/(1-'Prices&amp;Fuel'!F149)-E149-F149-G149-B149&gt;'Prices&amp;Fuel'!T149,'Prices&amp;Fuel'!T149,T149/(1-'Prices&amp;Fuel'!F149)-E149-F149-G149-B149),9)</f>
        <v>0</v>
      </c>
      <c r="E149" s="9" t="n">
        <f aca="false">'Prices&amp;Fuel'!U149/(1-'Prices&amp;Fuel'!F149)</f>
        <v>2635.47557840617</v>
      </c>
      <c r="F149" s="9" t="n">
        <f aca="false">('Prices&amp;Fuel'!V149+'Prices&amp;Fuel'!X149)/(1-'Prices&amp;Fuel'!F149)</f>
        <v>3645.2442159383</v>
      </c>
      <c r="G149" s="9" t="n">
        <f aca="false">'Prices&amp;Fuel'!W149/(1-'Prices&amp;Fuel'!F149)</f>
        <v>1732.64781491003</v>
      </c>
      <c r="H149" s="10" t="n">
        <f aca="false">('Prices&amp;Fuel'!C149+'Prices&amp;Fuel'!D149)/2-0+(('Prices&amp;Fuel'!M149+'Prices&amp;Fuel'!P149)*(1-'Prices&amp;Fuel'!F149))</f>
        <v>4.4504797753324</v>
      </c>
      <c r="I149" s="10"/>
      <c r="J149" s="10"/>
      <c r="K149" s="10" t="n">
        <f aca="false">(((B149+E149)*('Prices&amp;Fuel'!B149+0.025))+(('Prices&amp;Fuel'!D149+0.025)*(D149+G149))+(('Prices&amp;Fuel'!C149+0.025)*(C149+F149))-(I149+J149)*0.025)/(B149+C149+D149+E149+F149+G149)</f>
        <v>3.71516019199906</v>
      </c>
      <c r="L149" s="9" t="n">
        <f aca="false">(B149+C149+D149+E149+F149+G149)*H149*'Prices&amp;Fuel'!H149</f>
        <v>1647478.37441611</v>
      </c>
      <c r="M149" s="9" t="n">
        <f aca="false">'Prices&amp;Fuel'!X149*('Prices&amp;Fuel'!N149+'Prices&amp;Fuel'!O149)*'Prices&amp;Fuel'!H149</f>
        <v>9134.1681425398</v>
      </c>
      <c r="N149" s="9" t="n">
        <f aca="false">('Prices&amp;Fuel'!U149+'Prices&amp;Fuel'!V149+'Prices&amp;Fuel'!W149)*('Prices&amp;Fuel'!L149+'Prices&amp;Fuel'!O149)*'Prices&amp;Fuel'!H149</f>
        <v>95086.2891558682</v>
      </c>
      <c r="O149" s="9" t="n">
        <f aca="false">((B149+C149+D149)*(1-'Prices&amp;Fuel'!G149))*('Prices&amp;Fuel'!M149+'Prices&amp;Fuel'!P149)*'Prices&amp;Fuel'!H149</f>
        <v>96613.755</v>
      </c>
      <c r="P149" s="9" t="n">
        <f aca="false">((B149+C149+D149+E149+F149+G149)/(1-'Prices&amp;Fuel'!F149))*(1-'Prices&amp;Fuel'!F149)*'Prices&amp;Fuel'!H149*0.005</f>
        <v>1850.89974293059</v>
      </c>
      <c r="Q149" s="9" t="n">
        <f aca="false">((D149+C149+B149+E149+F149+G149)*K149*'Prices&amp;Fuel'!H149)+M149+N149+O149+P149</f>
        <v>1577962.92090474</v>
      </c>
      <c r="R149" s="5" t="n">
        <f aca="false">L149-Q149</f>
        <v>69515.4535113606</v>
      </c>
      <c r="T149" s="1" t="n">
        <v>12000</v>
      </c>
    </row>
    <row r="150" customFormat="false" ht="11.25" hidden="false" customHeight="false" outlineLevel="0" collapsed="false">
      <c r="A150" s="6" t="n">
        <f aca="false">+A149+365/12</f>
        <v>40159.4166666667</v>
      </c>
      <c r="B150" s="5" t="n">
        <f aca="false">IF(T150-((E150+F150+G150)*(1-'Prices&amp;Fuel'!F150))&lt;'Prices&amp;Fuel'!R150,(T150-(E150+F150+G150)*(1-'Prices&amp;Fuel'!F150)),'Prices&amp;Fuel'!R150)/(1-'Prices&amp;Fuel'!F150)</f>
        <v>4325.96401028278</v>
      </c>
      <c r="C150" s="9" t="n">
        <f aca="false">(T150/(1-'Prices&amp;Fuel'!F150))-D150-E150-F150-G150-B150</f>
        <v>0</v>
      </c>
      <c r="D150" s="9" t="n">
        <f aca="false">ROUND(IF(T150/(1-'Prices&amp;Fuel'!F150)-E150-F150-G150-B150&gt;'Prices&amp;Fuel'!T150,'Prices&amp;Fuel'!T150,T150/(1-'Prices&amp;Fuel'!F150)-E150-F150-G150-B150),9)</f>
        <v>0</v>
      </c>
      <c r="E150" s="9" t="n">
        <f aca="false">'Prices&amp;Fuel'!U150/(1-'Prices&amp;Fuel'!F150)</f>
        <v>2635.47557840617</v>
      </c>
      <c r="F150" s="9" t="n">
        <f aca="false">('Prices&amp;Fuel'!V150+'Prices&amp;Fuel'!X150)/(1-'Prices&amp;Fuel'!F150)</f>
        <v>3645.2442159383</v>
      </c>
      <c r="G150" s="9" t="n">
        <f aca="false">'Prices&amp;Fuel'!W150/(1-'Prices&amp;Fuel'!F150)</f>
        <v>1732.64781491003</v>
      </c>
      <c r="H150" s="10" t="n">
        <f aca="false">('Prices&amp;Fuel'!C150+'Prices&amp;Fuel'!D150)/2-0+(('Prices&amp;Fuel'!M150+'Prices&amp;Fuel'!P150)*(1-'Prices&amp;Fuel'!F150))</f>
        <v>3.50700066547823</v>
      </c>
      <c r="I150" s="10"/>
      <c r="J150" s="10"/>
      <c r="K150" s="10" t="n">
        <f aca="false">(((B150+E150)*('Prices&amp;Fuel'!B150+0.025))+(('Prices&amp;Fuel'!D150+0.025)*(D150+G150))+(('Prices&amp;Fuel'!C150+0.025)*(C150+F150))-(I150+J150)*0.025)/(B150+C150+D150+E150+F150+G150)</f>
        <v>2.77168108214489</v>
      </c>
      <c r="L150" s="9" t="n">
        <f aca="false">(B150+C150+D150+E150+F150+G150)*H150*'Prices&amp;Fuel'!H150</f>
        <v>1341495.37023949</v>
      </c>
      <c r="M150" s="9" t="n">
        <f aca="false">'Prices&amp;Fuel'!X150*('Prices&amp;Fuel'!N150+'Prices&amp;Fuel'!O150)*'Prices&amp;Fuel'!H150</f>
        <v>9438.64041395779</v>
      </c>
      <c r="N150" s="9" t="n">
        <f aca="false">('Prices&amp;Fuel'!U150+'Prices&amp;Fuel'!V150+'Prices&amp;Fuel'!W150)*('Prices&amp;Fuel'!L150+'Prices&amp;Fuel'!O150)*'Prices&amp;Fuel'!H150</f>
        <v>98255.8321277305</v>
      </c>
      <c r="O150" s="9" t="n">
        <f aca="false">((B150+C150+D150)*(1-'Prices&amp;Fuel'!G150))*('Prices&amp;Fuel'!M150+'Prices&amp;Fuel'!P150)*'Prices&amp;Fuel'!H150</f>
        <v>99834.2135</v>
      </c>
      <c r="P150" s="9" t="n">
        <f aca="false">((B150+C150+D150+E150+F150+G150)/(1-'Prices&amp;Fuel'!F150))*(1-'Prices&amp;Fuel'!F150)*'Prices&amp;Fuel'!H150*0.005</f>
        <v>1912.59640102828</v>
      </c>
      <c r="Q150" s="9" t="n">
        <f aca="false">((D150+C150+B150+E150+F150+G150)*K150*'Prices&amp;Fuel'!H150)+M150+N150+O150+P150</f>
        <v>1269662.73494441</v>
      </c>
      <c r="R150" s="5" t="n">
        <f aca="false">L150-Q150</f>
        <v>71832.6352950728</v>
      </c>
      <c r="T150" s="1" t="n">
        <f aca="false">T149</f>
        <v>12000</v>
      </c>
    </row>
    <row r="151" customFormat="false" ht="11.25" hidden="false" customHeight="false" outlineLevel="0" collapsed="false">
      <c r="A151" s="6" t="n">
        <f aca="false">+A150+365/12</f>
        <v>40189.8333333333</v>
      </c>
      <c r="B151" s="5" t="n">
        <f aca="false">IF(T151-((E151+F151+G151)*(1-'Prices&amp;Fuel'!F151))&lt;'Prices&amp;Fuel'!R151,(T151-(E151+F151+G151)*(1-'Prices&amp;Fuel'!F151)),'Prices&amp;Fuel'!R151)/(1-'Prices&amp;Fuel'!F151)</f>
        <v>4325.96401028278</v>
      </c>
      <c r="C151" s="9" t="n">
        <f aca="false">(T151/(1-'Prices&amp;Fuel'!F151))-D151-E151-F151-G151-B151</f>
        <v>0</v>
      </c>
      <c r="D151" s="9" t="n">
        <f aca="false">ROUND(IF(T151/(1-'Prices&amp;Fuel'!F151)-E151-F151-G151-B151&gt;'Prices&amp;Fuel'!T151,'Prices&amp;Fuel'!T151,T151/(1-'Prices&amp;Fuel'!F151)-E151-F151-G151-B151),9)</f>
        <v>0</v>
      </c>
      <c r="E151" s="9" t="n">
        <f aca="false">'Prices&amp;Fuel'!U151/(1-'Prices&amp;Fuel'!F151)</f>
        <v>2635.47557840617</v>
      </c>
      <c r="F151" s="9" t="n">
        <f aca="false">('Prices&amp;Fuel'!V151+'Prices&amp;Fuel'!X151)/(1-'Prices&amp;Fuel'!F151)</f>
        <v>3645.2442159383</v>
      </c>
      <c r="G151" s="9" t="n">
        <f aca="false">'Prices&amp;Fuel'!W151/(1-'Prices&amp;Fuel'!F151)</f>
        <v>1732.64781491003</v>
      </c>
      <c r="H151" s="10" t="n">
        <f aca="false">('Prices&amp;Fuel'!C151+'Prices&amp;Fuel'!D151)/2-0+(('Prices&amp;Fuel'!M151+'Prices&amp;Fuel'!P151)*(1-'Prices&amp;Fuel'!F151))</f>
        <v>3.17753347177574</v>
      </c>
      <c r="I151" s="10"/>
      <c r="J151" s="10"/>
      <c r="K151" s="10" t="n">
        <f aca="false">(((B151+E151)*('Prices&amp;Fuel'!B151+0.025))+(('Prices&amp;Fuel'!D151+0.025)*(D151+G151))+(('Prices&amp;Fuel'!C151+0.025)*(C151+F151))-(I151+J151)*0.025)/(B151+C151+D151+E151+F151+G151)</f>
        <v>2.44221388844241</v>
      </c>
      <c r="L151" s="9" t="n">
        <f aca="false">(B151+C151+D151+E151+F151+G151)*H151*'Prices&amp;Fuel'!H151</f>
        <v>1215467.81645303</v>
      </c>
      <c r="M151" s="9" t="n">
        <f aca="false">'Prices&amp;Fuel'!X151*('Prices&amp;Fuel'!N151+'Prices&amp;Fuel'!O151)*'Prices&amp;Fuel'!H151</f>
        <v>9438.64041395779</v>
      </c>
      <c r="N151" s="9" t="n">
        <f aca="false">('Prices&amp;Fuel'!U151+'Prices&amp;Fuel'!V151+'Prices&amp;Fuel'!W151)*('Prices&amp;Fuel'!L151+'Prices&amp;Fuel'!O151)*'Prices&amp;Fuel'!H151</f>
        <v>98255.8321277305</v>
      </c>
      <c r="O151" s="9" t="n">
        <f aca="false">((B151+C151+D151)*(1-'Prices&amp;Fuel'!G151))*('Prices&amp;Fuel'!M151+'Prices&amp;Fuel'!P151)*'Prices&amp;Fuel'!H151</f>
        <v>99834.2135</v>
      </c>
      <c r="P151" s="9" t="n">
        <f aca="false">((B151+C151+D151+E151+F151+G151)/(1-'Prices&amp;Fuel'!F151))*(1-'Prices&amp;Fuel'!F151)*'Prices&amp;Fuel'!H151*0.005</f>
        <v>1912.59640102828</v>
      </c>
      <c r="Q151" s="9" t="n">
        <f aca="false">((D151+C151+B151+E151+F151+G151)*K151*'Prices&amp;Fuel'!H151)+M151+N151+O151+P151</f>
        <v>1143635.18115796</v>
      </c>
      <c r="R151" s="5" t="n">
        <f aca="false">L151-Q151</f>
        <v>71832.6352950728</v>
      </c>
      <c r="T151" s="1" t="n">
        <f aca="false">T150</f>
        <v>12000</v>
      </c>
    </row>
    <row r="152" customFormat="false" ht="11.25" hidden="false" customHeight="false" outlineLevel="0" collapsed="false">
      <c r="A152" s="6" t="n">
        <f aca="false">+A151+365/12</f>
        <v>40220.25</v>
      </c>
      <c r="B152" s="5" t="n">
        <f aca="false">IF(T152-((E152+F152+G152)*(1-'Prices&amp;Fuel'!F152))&lt;'Prices&amp;Fuel'!R152,(T152-(E152+F152+G152)*(1-'Prices&amp;Fuel'!F152)),'Prices&amp;Fuel'!R152)/(1-'Prices&amp;Fuel'!F152)</f>
        <v>4325.96401028278</v>
      </c>
      <c r="C152" s="9" t="n">
        <f aca="false">(T152/(1-'Prices&amp;Fuel'!F152))-D152-E152-F152-G152-B152</f>
        <v>0</v>
      </c>
      <c r="D152" s="9" t="n">
        <f aca="false">ROUND(IF(T152/(1-'Prices&amp;Fuel'!F152)-E152-F152-G152-B152&gt;'Prices&amp;Fuel'!T152,'Prices&amp;Fuel'!T152,T152/(1-'Prices&amp;Fuel'!F152)-E152-F152-G152-B152),9)</f>
        <v>0</v>
      </c>
      <c r="E152" s="9" t="n">
        <f aca="false">'Prices&amp;Fuel'!U152/(1-'Prices&amp;Fuel'!F152)</f>
        <v>2635.47557840617</v>
      </c>
      <c r="F152" s="9" t="n">
        <f aca="false">('Prices&amp;Fuel'!V152+'Prices&amp;Fuel'!X152)/(1-'Prices&amp;Fuel'!F152)</f>
        <v>3645.2442159383</v>
      </c>
      <c r="G152" s="9" t="n">
        <f aca="false">'Prices&amp;Fuel'!W152/(1-'Prices&amp;Fuel'!F152)</f>
        <v>1732.64781491003</v>
      </c>
      <c r="H152" s="10" t="n">
        <f aca="false">('Prices&amp;Fuel'!C152+'Prices&amp;Fuel'!D152)/2-0+(('Prices&amp;Fuel'!M152+'Prices&amp;Fuel'!P152)*(1-'Prices&amp;Fuel'!F152))</f>
        <v>3.46990478229532</v>
      </c>
      <c r="I152" s="10"/>
      <c r="J152" s="10"/>
      <c r="K152" s="10" t="n">
        <f aca="false">(((B152+E152)*('Prices&amp;Fuel'!B152+0.025))+(('Prices&amp;Fuel'!D152+0.025)*(D152+G152))+(('Prices&amp;Fuel'!C152+0.025)*(C152+F152))-(I152+J152)*0.025)/(B152+C152+D152+E152+F152+G152)</f>
        <v>2.73458519896199</v>
      </c>
      <c r="L152" s="9" t="n">
        <f aca="false">(B152+C152+D152+E152+F152+G152)*H152*'Prices&amp;Fuel'!H152</f>
        <v>1198856.56231489</v>
      </c>
      <c r="M152" s="9" t="n">
        <f aca="false">'Prices&amp;Fuel'!X152*('Prices&amp;Fuel'!N152+'Prices&amp;Fuel'!O152)*'Prices&amp;Fuel'!H152</f>
        <v>8525.22359970381</v>
      </c>
      <c r="N152" s="9" t="n">
        <f aca="false">('Prices&amp;Fuel'!U152+'Prices&amp;Fuel'!V152+'Prices&amp;Fuel'!W152)*('Prices&amp;Fuel'!L152+'Prices&amp;Fuel'!O152)*'Prices&amp;Fuel'!H152</f>
        <v>88747.2032121437</v>
      </c>
      <c r="O152" s="9" t="n">
        <f aca="false">((B152+C152+D152)*(1-'Prices&amp;Fuel'!G152))*('Prices&amp;Fuel'!M152+'Prices&amp;Fuel'!P152)*'Prices&amp;Fuel'!H152</f>
        <v>90172.838</v>
      </c>
      <c r="P152" s="9" t="n">
        <f aca="false">((B152+C152+D152+E152+F152+G152)/(1-'Prices&amp;Fuel'!F152))*(1-'Prices&amp;Fuel'!F152)*'Prices&amp;Fuel'!H152*0.005</f>
        <v>1727.50642673522</v>
      </c>
      <c r="Q152" s="9" t="n">
        <f aca="false">((D152+C152+B152+E152+F152+G152)*K152*'Prices&amp;Fuel'!H152)+M152+N152+O152+P152</f>
        <v>1133975.47237095</v>
      </c>
      <c r="R152" s="5" t="n">
        <f aca="false">L152-Q152</f>
        <v>64881.0899439366</v>
      </c>
      <c r="T152" s="1" t="n">
        <f aca="false">T151</f>
        <v>12000</v>
      </c>
    </row>
    <row r="153" customFormat="false" ht="11.25" hidden="false" customHeight="false" outlineLevel="0" collapsed="false">
      <c r="A153" s="6" t="n">
        <f aca="false">+A152+365/12</f>
        <v>40250.6666666667</v>
      </c>
      <c r="B153" s="5" t="n">
        <f aca="false">IF(T153-((E153+F153+G153)*(1-'Prices&amp;Fuel'!F153))&lt;'Prices&amp;Fuel'!R153,(T153-(E153+F153+G153)*(1-'Prices&amp;Fuel'!F153)),'Prices&amp;Fuel'!R153)/(1-'Prices&amp;Fuel'!F153)</f>
        <v>4325.96401028278</v>
      </c>
      <c r="C153" s="9" t="n">
        <f aca="false">(T153/(1-'Prices&amp;Fuel'!F153))-D153-E153-F153-G153-B153</f>
        <v>0</v>
      </c>
      <c r="D153" s="9" t="n">
        <f aca="false">ROUND(IF(T153/(1-'Prices&amp;Fuel'!F153)-E153-F153-G153-B153&gt;'Prices&amp;Fuel'!T153,'Prices&amp;Fuel'!T153,T153/(1-'Prices&amp;Fuel'!F153)-E153-F153-G153-B153),9)</f>
        <v>0</v>
      </c>
      <c r="E153" s="9" t="n">
        <f aca="false">'Prices&amp;Fuel'!U153/(1-'Prices&amp;Fuel'!F153)</f>
        <v>2635.47557840617</v>
      </c>
      <c r="F153" s="9" t="n">
        <f aca="false">('Prices&amp;Fuel'!V153+'Prices&amp;Fuel'!X153)/(1-'Prices&amp;Fuel'!F153)</f>
        <v>3645.2442159383</v>
      </c>
      <c r="G153" s="9" t="n">
        <f aca="false">'Prices&amp;Fuel'!W153/(1-'Prices&amp;Fuel'!F153)</f>
        <v>1732.64781491003</v>
      </c>
      <c r="H153" s="10" t="n">
        <f aca="false">('Prices&amp;Fuel'!C153+'Prices&amp;Fuel'!D153)/2-0+(('Prices&amp;Fuel'!M153+'Prices&amp;Fuel'!P153)*(1-'Prices&amp;Fuel'!F153))</f>
        <v>3.46990478229532</v>
      </c>
      <c r="I153" s="10"/>
      <c r="J153" s="10"/>
      <c r="K153" s="10" t="n">
        <f aca="false">(((B153+E153)*('Prices&amp;Fuel'!B153+0.025))+(('Prices&amp;Fuel'!D153+0.025)*(D153+G153))+(('Prices&amp;Fuel'!C153+0.025)*(C153+F153))-(I153+J153)*0.025)/(B153+C153+D153+E153+F153+G153)</f>
        <v>2.73458519896199</v>
      </c>
      <c r="L153" s="9" t="n">
        <f aca="false">(B153+C153+D153+E153+F153+G153)*H153*'Prices&amp;Fuel'!H153</f>
        <v>1327305.47970577</v>
      </c>
      <c r="M153" s="9" t="n">
        <f aca="false">'Prices&amp;Fuel'!X153*('Prices&amp;Fuel'!N153+'Prices&amp;Fuel'!O153)*'Prices&amp;Fuel'!H153</f>
        <v>9438.64041395779</v>
      </c>
      <c r="N153" s="9" t="n">
        <f aca="false">('Prices&amp;Fuel'!U153+'Prices&amp;Fuel'!V153+'Prices&amp;Fuel'!W153)*('Prices&amp;Fuel'!L153+'Prices&amp;Fuel'!O153)*'Prices&amp;Fuel'!H153</f>
        <v>98255.8321277305</v>
      </c>
      <c r="O153" s="9" t="n">
        <f aca="false">((B153+C153+D153)*(1-'Prices&amp;Fuel'!G153))*('Prices&amp;Fuel'!M153+'Prices&amp;Fuel'!P153)*'Prices&amp;Fuel'!H153</f>
        <v>99834.2135</v>
      </c>
      <c r="P153" s="9" t="n">
        <f aca="false">((B153+C153+D153+E153+F153+G153)/(1-'Prices&amp;Fuel'!F153))*(1-'Prices&amp;Fuel'!F153)*'Prices&amp;Fuel'!H153*0.005</f>
        <v>1912.59640102828</v>
      </c>
      <c r="Q153" s="9" t="n">
        <f aca="false">((D153+C153+B153+E153+F153+G153)*K153*'Prices&amp;Fuel'!H153)+M153+N153+O153+P153</f>
        <v>1255472.8444107</v>
      </c>
      <c r="R153" s="5" t="n">
        <f aca="false">L153-Q153</f>
        <v>71832.6352950726</v>
      </c>
      <c r="T153" s="1" t="n">
        <f aca="false">T152</f>
        <v>12000</v>
      </c>
    </row>
    <row r="154" customFormat="false" ht="11.25" hidden="false" customHeight="false" outlineLevel="0" collapsed="false">
      <c r="A154" s="6" t="n">
        <f aca="false">+A153+365/12</f>
        <v>40281.0833333333</v>
      </c>
      <c r="B154" s="5" t="n">
        <f aca="false">IF(T154-((E154+F154+G154)*(1-'Prices&amp;Fuel'!F154))&lt;'Prices&amp;Fuel'!R154,(T154-(E154+F154+G154)*(1-'Prices&amp;Fuel'!F154)),'Prices&amp;Fuel'!R154)/(1-'Prices&amp;Fuel'!F154)</f>
        <v>6278.66323907455</v>
      </c>
      <c r="C154" s="9" t="n">
        <f aca="false">(T154/(1-'Prices&amp;Fuel'!F154))-D154-E154-F154-G154-B154</f>
        <v>0</v>
      </c>
      <c r="D154" s="9" t="n">
        <f aca="false">ROUND(IF(T154/(1-'Prices&amp;Fuel'!F154)-E154-F154-G154-B154&gt;'Prices&amp;Fuel'!T154,'Prices&amp;Fuel'!T154,T154/(1-'Prices&amp;Fuel'!F154)-E154-F154-G154-B154),9)</f>
        <v>0</v>
      </c>
      <c r="E154" s="9" t="n">
        <f aca="false">'Prices&amp;Fuel'!U154/(1-'Prices&amp;Fuel'!F154)</f>
        <v>1933.16195372751</v>
      </c>
      <c r="F154" s="9" t="n">
        <f aca="false">('Prices&amp;Fuel'!V154+'Prices&amp;Fuel'!X154)/(1-'Prices&amp;Fuel'!F154)</f>
        <v>2833.93316195373</v>
      </c>
      <c r="G154" s="9" t="n">
        <f aca="false">'Prices&amp;Fuel'!W154/(1-'Prices&amp;Fuel'!F154)</f>
        <v>1293.57326478149</v>
      </c>
      <c r="H154" s="10" t="n">
        <f aca="false">('Prices&amp;Fuel'!C154+'Prices&amp;Fuel'!D154)/2-0+(('Prices&amp;Fuel'!M154+'Prices&amp;Fuel'!P154)*(1-'Prices&amp;Fuel'!F154))</f>
        <v>3.76227609281491</v>
      </c>
      <c r="I154" s="10"/>
      <c r="J154" s="10"/>
      <c r="K154" s="10" t="n">
        <f aca="false">(((B154+E154)*('Prices&amp;Fuel'!B154+0.025))+(('Prices&amp;Fuel'!D154+0.025)*(D154+G154))+(('Prices&amp;Fuel'!C154+0.025)*(C154+F154))-(I154+J154)*0.025)/(B154+C154+D154+E154+F154+G154)</f>
        <v>3.02265567614824</v>
      </c>
      <c r="L154" s="9" t="n">
        <f aca="false">(B154+C154+D154+E154+F154+G154)*H154*'Prices&amp;Fuel'!H154</f>
        <v>1392719.170605</v>
      </c>
      <c r="M154" s="9" t="n">
        <f aca="false">'Prices&amp;Fuel'!X154*('Prices&amp;Fuel'!N154+'Prices&amp;Fuel'!O154)*'Prices&amp;Fuel'!H154</f>
        <v>9134.1681425398</v>
      </c>
      <c r="N154" s="9" t="n">
        <f aca="false">('Prices&amp;Fuel'!U154+'Prices&amp;Fuel'!V154+'Prices&amp;Fuel'!W154)*('Prices&amp;Fuel'!L154+'Prices&amp;Fuel'!O154)*'Prices&amp;Fuel'!H154</f>
        <v>69689.8245838578</v>
      </c>
      <c r="O154" s="9" t="n">
        <f aca="false">((B154+C154+D154)*(1-'Prices&amp;Fuel'!G154))*('Prices&amp;Fuel'!M154+'Prices&amp;Fuel'!P154)*'Prices&amp;Fuel'!H154</f>
        <v>140224.29</v>
      </c>
      <c r="P154" s="9" t="n">
        <f aca="false">((B154+C154+D154+E154+F154+G154)/(1-'Prices&amp;Fuel'!F154))*(1-'Prices&amp;Fuel'!F154)*'Prices&amp;Fuel'!H154*0.005</f>
        <v>1850.89974293059</v>
      </c>
      <c r="Q154" s="9" t="n">
        <f aca="false">((D154+C154+B154+E154+F154+G154)*K154*'Prices&amp;Fuel'!H154)+M154+N154+O154+P154</f>
        <v>1339825.70525942</v>
      </c>
      <c r="R154" s="5" t="n">
        <f aca="false">L154-Q154</f>
        <v>52893.4653455818</v>
      </c>
      <c r="T154" s="1" t="n">
        <f aca="false">T153</f>
        <v>12000</v>
      </c>
    </row>
    <row r="155" customFormat="false" ht="11.25" hidden="false" customHeight="false" outlineLevel="0" collapsed="false">
      <c r="A155" s="6" t="n">
        <f aca="false">+A154+365/12</f>
        <v>40311.5</v>
      </c>
      <c r="B155" s="5" t="n">
        <f aca="false">IF(T155-((E155+F155+G155)*(1-'Prices&amp;Fuel'!F155))&lt;'Prices&amp;Fuel'!R155,(T155-(E155+F155+G155)*(1-'Prices&amp;Fuel'!F155)),'Prices&amp;Fuel'!R155)/(1-'Prices&amp;Fuel'!F155)</f>
        <v>8976.86375321337</v>
      </c>
      <c r="C155" s="9" t="n">
        <f aca="false">(T155/(1-'Prices&amp;Fuel'!F155))-D155-E155-F155-G155-B155</f>
        <v>1.38243194669485E-010</v>
      </c>
      <c r="D155" s="9" t="n">
        <f aca="false">ROUND(IF(T155/(1-'Prices&amp;Fuel'!F155)-E155-F155-G155-B155&gt;'Prices&amp;Fuel'!T155,'Prices&amp;Fuel'!T155,T155/(1-'Prices&amp;Fuel'!F155)-E155-F155-G155-B155),9)</f>
        <v>6556.298200514</v>
      </c>
      <c r="E155" s="9" t="n">
        <f aca="false">'Prices&amp;Fuel'!U155/(1-'Prices&amp;Fuel'!F155)</f>
        <v>1933.16195372751</v>
      </c>
      <c r="F155" s="9" t="n">
        <f aca="false">('Prices&amp;Fuel'!V155+'Prices&amp;Fuel'!X155)/(1-'Prices&amp;Fuel'!F155)</f>
        <v>3062.21079691517</v>
      </c>
      <c r="G155" s="9" t="n">
        <f aca="false">'Prices&amp;Fuel'!W155/(1-'Prices&amp;Fuel'!F155)</f>
        <v>1065.29562982005</v>
      </c>
      <c r="H155" s="10" t="n">
        <f aca="false">('Prices&amp;Fuel'!C155+'Prices&amp;Fuel'!D155)/2-0+(('Prices&amp;Fuel'!M155+'Prices&amp;Fuel'!P155)*(1-'Prices&amp;Fuel'!F155))</f>
        <v>3.96801886688424</v>
      </c>
      <c r="I155" s="10"/>
      <c r="J155" s="10"/>
      <c r="K155" s="10" t="n">
        <f aca="false">(((B155+E155)*('Prices&amp;Fuel'!B155+0.025))+(('Prices&amp;Fuel'!D155+0.025)*(D155+G155))+(('Prices&amp;Fuel'!C155+0.025)*(C155+F155))-(I155+J155)*0.025)/(B155+C155+D155+E155+F155+G155)</f>
        <v>3.22560821212234</v>
      </c>
      <c r="L155" s="9" t="n">
        <f aca="false">(B155+C155+D155+E155+F155+G155)*H155*'Prices&amp;Fuel'!H155</f>
        <v>2656226.51140529</v>
      </c>
      <c r="M155" s="9" t="n">
        <f aca="false">'Prices&amp;Fuel'!X155*('Prices&amp;Fuel'!N155+'Prices&amp;Fuel'!O155)*'Prices&amp;Fuel'!H155</f>
        <v>9438.64041395779</v>
      </c>
      <c r="N155" s="9" t="n">
        <f aca="false">('Prices&amp;Fuel'!U155+'Prices&amp;Fuel'!V155+'Prices&amp;Fuel'!W155)*('Prices&amp;Fuel'!L155+'Prices&amp;Fuel'!O155)*'Prices&amp;Fuel'!H155</f>
        <v>72012.8187366531</v>
      </c>
      <c r="O155" s="9" t="n">
        <f aca="false">((B155+C155+D155)*(1-'Prices&amp;Fuel'!G155))*('Prices&amp;Fuel'!M155+'Prices&amp;Fuel'!P155)*'Prices&amp;Fuel'!H155</f>
        <v>358472.933</v>
      </c>
      <c r="P155" s="9" t="n">
        <f aca="false">((B155+C155+D155+E155+F155+G155)/(1-'Prices&amp;Fuel'!F155))*(1-'Prices&amp;Fuel'!F155)*'Prices&amp;Fuel'!H155*0.005</f>
        <v>3347.04370179949</v>
      </c>
      <c r="Q155" s="9" t="n">
        <f aca="false">((D155+C155+B155+E155+F155+G155)*K155*'Prices&amp;Fuel'!H155)+M155+N155+O155+P155</f>
        <v>2602521.76602376</v>
      </c>
      <c r="R155" s="5" t="n">
        <f aca="false">L155-Q155</f>
        <v>53704.7453815225</v>
      </c>
      <c r="T155" s="1" t="n">
        <v>21000</v>
      </c>
    </row>
    <row r="156" customFormat="false" ht="11.25" hidden="false" customHeight="false" outlineLevel="0" collapsed="false">
      <c r="A156" s="6" t="n">
        <f aca="false">+A155+365/12</f>
        <v>40341.9166666667</v>
      </c>
      <c r="B156" s="5" t="n">
        <f aca="false">IF(T156-((E156+F156+G156)*(1-'Prices&amp;Fuel'!F156))&lt;'Prices&amp;Fuel'!R156,(T156-(E156+F156+G156)*(1-'Prices&amp;Fuel'!F156)),'Prices&amp;Fuel'!R156)/(1-'Prices&amp;Fuel'!F156)</f>
        <v>8976.86375321337</v>
      </c>
      <c r="C156" s="9" t="n">
        <f aca="false">(T156/(1-'Prices&amp;Fuel'!F156))-D156-E156-F156-G156-B156</f>
        <v>1.38243194669485E-010</v>
      </c>
      <c r="D156" s="9" t="n">
        <f aca="false">ROUND(IF(T156/(1-'Prices&amp;Fuel'!F156)-E156-F156-G156-B156&gt;'Prices&amp;Fuel'!T156,'Prices&amp;Fuel'!T156,T156/(1-'Prices&amp;Fuel'!F156)-E156-F156-G156-B156),9)</f>
        <v>6556.298200514</v>
      </c>
      <c r="E156" s="9" t="n">
        <f aca="false">'Prices&amp;Fuel'!U156/(1-'Prices&amp;Fuel'!F156)</f>
        <v>1933.16195372751</v>
      </c>
      <c r="F156" s="9" t="n">
        <f aca="false">('Prices&amp;Fuel'!V156+'Prices&amp;Fuel'!X156)/(1-'Prices&amp;Fuel'!F156)</f>
        <v>3062.21079691517</v>
      </c>
      <c r="G156" s="9" t="n">
        <f aca="false">'Prices&amp;Fuel'!W156/(1-'Prices&amp;Fuel'!F156)</f>
        <v>1065.29562982005</v>
      </c>
      <c r="H156" s="10" t="n">
        <f aca="false">('Prices&amp;Fuel'!C156+'Prices&amp;Fuel'!D156)/2-0+(('Prices&amp;Fuel'!M156+'Prices&amp;Fuel'!P156)*(1-'Prices&amp;Fuel'!F156))</f>
        <v>5.38656115125703</v>
      </c>
      <c r="I156" s="10"/>
      <c r="J156" s="10"/>
      <c r="K156" s="10" t="n">
        <f aca="false">(((B156+E156)*('Prices&amp;Fuel'!B156+0.025))+(('Prices&amp;Fuel'!D156+0.025)*(D156+G156))+(('Prices&amp;Fuel'!C156+0.025)*(C156+F156))-(I156+J156)*0.025)/(B156+C156+D156+E156+F156+G156)</f>
        <v>4.64415049649512</v>
      </c>
      <c r="L156" s="9" t="n">
        <f aca="false">(B156+C156+D156+E156+F156+G156)*H156*'Prices&amp;Fuel'!H156</f>
        <v>3489494.62754954</v>
      </c>
      <c r="M156" s="9" t="n">
        <f aca="false">'Prices&amp;Fuel'!X156*('Prices&amp;Fuel'!N156+'Prices&amp;Fuel'!O156)*'Prices&amp;Fuel'!H156</f>
        <v>9134.1681425398</v>
      </c>
      <c r="N156" s="9" t="n">
        <f aca="false">('Prices&amp;Fuel'!U156+'Prices&amp;Fuel'!V156+'Prices&amp;Fuel'!W156)*('Prices&amp;Fuel'!L156+'Prices&amp;Fuel'!O156)*'Prices&amp;Fuel'!H156</f>
        <v>69689.8245838578</v>
      </c>
      <c r="O156" s="9" t="n">
        <f aca="false">((B156+C156+D156)*(1-'Prices&amp;Fuel'!G156))*('Prices&amp;Fuel'!M156+'Prices&amp;Fuel'!P156)*'Prices&amp;Fuel'!H156</f>
        <v>346909.29</v>
      </c>
      <c r="P156" s="9" t="n">
        <f aca="false">((B156+C156+D156+E156+F156+G156)/(1-'Prices&amp;Fuel'!F156))*(1-'Prices&amp;Fuel'!F156)*'Prices&amp;Fuel'!H156*0.005</f>
        <v>3239.07455012853</v>
      </c>
      <c r="Q156" s="9" t="n">
        <f aca="false">((D156+C156+B156+E156+F156+G156)*K156*'Prices&amp;Fuel'!H156)+M156+N156+O156+P156</f>
        <v>3437522.29330936</v>
      </c>
      <c r="R156" s="5" t="n">
        <f aca="false">L156-Q156</f>
        <v>51972.3342401818</v>
      </c>
      <c r="T156" s="1" t="n">
        <f aca="false">T155</f>
        <v>21000</v>
      </c>
    </row>
    <row r="157" customFormat="false" ht="11.25" hidden="false" customHeight="false" outlineLevel="0" collapsed="false">
      <c r="A157" s="6" t="n">
        <f aca="false">+A156+365/12</f>
        <v>40372.3333333333</v>
      </c>
      <c r="B157" s="5" t="n">
        <f aca="false">IF(T157-((E157+F157+G157)*(1-'Prices&amp;Fuel'!F157))&lt;'Prices&amp;Fuel'!R157,(T157-(E157+F157+G157)*(1-'Prices&amp;Fuel'!F157)),'Prices&amp;Fuel'!R157)/(1-'Prices&amp;Fuel'!F157)</f>
        <v>8976.86375321337</v>
      </c>
      <c r="C157" s="9" t="n">
        <f aca="false">(T157/(1-'Prices&amp;Fuel'!F157))-D157-E157-F157-G157-B157</f>
        <v>1.38243194669485E-010</v>
      </c>
      <c r="D157" s="9" t="n">
        <f aca="false">ROUND(IF(T157/(1-'Prices&amp;Fuel'!F157)-E157-F157-G157-B157&gt;'Prices&amp;Fuel'!T157,'Prices&amp;Fuel'!T157,T157/(1-'Prices&amp;Fuel'!F157)-E157-F157-G157-B157),9)</f>
        <v>6556.298200514</v>
      </c>
      <c r="E157" s="9" t="n">
        <f aca="false">'Prices&amp;Fuel'!U157/(1-'Prices&amp;Fuel'!F157)</f>
        <v>1933.16195372751</v>
      </c>
      <c r="F157" s="9" t="n">
        <f aca="false">('Prices&amp;Fuel'!V157+'Prices&amp;Fuel'!X157)/(1-'Prices&amp;Fuel'!F157)</f>
        <v>3062.21079691517</v>
      </c>
      <c r="G157" s="9" t="n">
        <f aca="false">'Prices&amp;Fuel'!W157/(1-'Prices&amp;Fuel'!F157)</f>
        <v>1065.29562982005</v>
      </c>
      <c r="H157" s="10" t="n">
        <f aca="false">('Prices&amp;Fuel'!C157+'Prices&amp;Fuel'!D157)/2-0+(('Prices&amp;Fuel'!M157+'Prices&amp;Fuel'!P157)*(1-'Prices&amp;Fuel'!F157))</f>
        <v>5.37573258420075</v>
      </c>
      <c r="I157" s="10"/>
      <c r="J157" s="10"/>
      <c r="K157" s="10" t="n">
        <f aca="false">(((B157+E157)*('Prices&amp;Fuel'!B157+0.025))+(('Prices&amp;Fuel'!D157+0.025)*(D157+G157))+(('Prices&amp;Fuel'!C157+0.025)*(C157+F157))-(I157+J157)*0.025)/(B157+C157+D157+E157+F157+G157)</f>
        <v>4.63332192943884</v>
      </c>
      <c r="L157" s="9" t="n">
        <f aca="false">(B157+C157+D157+E157+F157+G157)*H157*'Prices&amp;Fuel'!H157</f>
        <v>3598562.37770148</v>
      </c>
      <c r="M157" s="9" t="n">
        <f aca="false">'Prices&amp;Fuel'!X157*('Prices&amp;Fuel'!N157+'Prices&amp;Fuel'!O157)*'Prices&amp;Fuel'!H157</f>
        <v>9438.64041395779</v>
      </c>
      <c r="N157" s="9" t="n">
        <f aca="false">('Prices&amp;Fuel'!U157+'Prices&amp;Fuel'!V157+'Prices&amp;Fuel'!W157)*('Prices&amp;Fuel'!L157+'Prices&amp;Fuel'!O157)*'Prices&amp;Fuel'!H157</f>
        <v>72012.8187366531</v>
      </c>
      <c r="O157" s="9" t="n">
        <f aca="false">((B157+C157+D157)*(1-'Prices&amp;Fuel'!G157))*('Prices&amp;Fuel'!M157+'Prices&amp;Fuel'!P157)*'Prices&amp;Fuel'!H157</f>
        <v>358472.933</v>
      </c>
      <c r="P157" s="9" t="n">
        <f aca="false">((B157+C157+D157+E157+F157+G157)/(1-'Prices&amp;Fuel'!F157))*(1-'Prices&amp;Fuel'!F157)*'Prices&amp;Fuel'!H157*0.005</f>
        <v>3347.04370179949</v>
      </c>
      <c r="Q157" s="9" t="n">
        <f aca="false">((D157+C157+B157+E157+F157+G157)*K157*'Prices&amp;Fuel'!H157)+M157+N157+O157+P157</f>
        <v>3544857.63231995</v>
      </c>
      <c r="R157" s="5" t="n">
        <f aca="false">L157-Q157</f>
        <v>53704.745381522</v>
      </c>
      <c r="T157" s="1" t="n">
        <f aca="false">T156</f>
        <v>21000</v>
      </c>
    </row>
    <row r="158" customFormat="false" ht="11.25" hidden="false" customHeight="false" outlineLevel="0" collapsed="false">
      <c r="A158" s="6" t="n">
        <f aca="false">+A157+365/12</f>
        <v>40402.75</v>
      </c>
      <c r="B158" s="5" t="n">
        <f aca="false">IF(T158-((E158+F158+G158)*(1-'Prices&amp;Fuel'!F158))&lt;'Prices&amp;Fuel'!R158,(T158-(E158+F158+G158)*(1-'Prices&amp;Fuel'!F158)),'Prices&amp;Fuel'!R158)/(1-'Prices&amp;Fuel'!F158)</f>
        <v>8976.86375321337</v>
      </c>
      <c r="C158" s="9" t="n">
        <f aca="false">(T158/(1-'Prices&amp;Fuel'!F158))-D158-E158-F158-G158-B158</f>
        <v>1.38243194669485E-010</v>
      </c>
      <c r="D158" s="9" t="n">
        <f aca="false">ROUND(IF(T158/(1-'Prices&amp;Fuel'!F158)-E158-F158-G158-B158&gt;'Prices&amp;Fuel'!T158,'Prices&amp;Fuel'!T158,T158/(1-'Prices&amp;Fuel'!F158)-E158-F158-G158-B158),9)</f>
        <v>6556.298200514</v>
      </c>
      <c r="E158" s="9" t="n">
        <f aca="false">'Prices&amp;Fuel'!U158/(1-'Prices&amp;Fuel'!F158)</f>
        <v>1933.16195372751</v>
      </c>
      <c r="F158" s="9" t="n">
        <f aca="false">('Prices&amp;Fuel'!V158+'Prices&amp;Fuel'!X158)/(1-'Prices&amp;Fuel'!F158)</f>
        <v>3062.21079691517</v>
      </c>
      <c r="G158" s="9" t="n">
        <f aca="false">'Prices&amp;Fuel'!W158/(1-'Prices&amp;Fuel'!F158)</f>
        <v>1065.29562982005</v>
      </c>
      <c r="H158" s="10" t="n">
        <f aca="false">('Prices&amp;Fuel'!C158+'Prices&amp;Fuel'!D158)/2-0+(('Prices&amp;Fuel'!M158+'Prices&amp;Fuel'!P158)*(1-'Prices&amp;Fuel'!F158))</f>
        <v>4.79098996316158</v>
      </c>
      <c r="I158" s="10"/>
      <c r="J158" s="10"/>
      <c r="K158" s="10" t="n">
        <f aca="false">(((B158+E158)*('Prices&amp;Fuel'!B158+0.025))+(('Prices&amp;Fuel'!D158+0.025)*(D158+G158))+(('Prices&amp;Fuel'!C158+0.025)*(C158+F158))-(I158+J158)*0.025)/(B158+C158+D158+E158+F158+G158)</f>
        <v>4.04857930839968</v>
      </c>
      <c r="L158" s="9" t="n">
        <f aca="false">(B158+C158+D158+E158+F158+G158)*H158*'Prices&amp;Fuel'!H158</f>
        <v>3207130.5563169</v>
      </c>
      <c r="M158" s="9" t="n">
        <f aca="false">'Prices&amp;Fuel'!X158*('Prices&amp;Fuel'!N158+'Prices&amp;Fuel'!O158)*'Prices&amp;Fuel'!H158</f>
        <v>9438.64041395779</v>
      </c>
      <c r="N158" s="9" t="n">
        <f aca="false">('Prices&amp;Fuel'!U158+'Prices&amp;Fuel'!V158+'Prices&amp;Fuel'!W158)*('Prices&amp;Fuel'!L158+'Prices&amp;Fuel'!O158)*'Prices&amp;Fuel'!H158</f>
        <v>72012.8187366531</v>
      </c>
      <c r="O158" s="9" t="n">
        <f aca="false">((B158+C158+D158)*(1-'Prices&amp;Fuel'!G158))*('Prices&amp;Fuel'!M158+'Prices&amp;Fuel'!P158)*'Prices&amp;Fuel'!H158</f>
        <v>358472.933</v>
      </c>
      <c r="P158" s="9" t="n">
        <f aca="false">((B158+C158+D158+E158+F158+G158)/(1-'Prices&amp;Fuel'!F158))*(1-'Prices&amp;Fuel'!F158)*'Prices&amp;Fuel'!H158*0.005</f>
        <v>3347.04370179949</v>
      </c>
      <c r="Q158" s="9" t="n">
        <f aca="false">((D158+C158+B158+E158+F158+G158)*K158*'Prices&amp;Fuel'!H158)+M158+N158+O158+P158</f>
        <v>3153425.81093538</v>
      </c>
      <c r="R158" s="5" t="n">
        <f aca="false">L158-Q158</f>
        <v>53704.7453815215</v>
      </c>
      <c r="T158" s="1" t="n">
        <f aca="false">T157</f>
        <v>21000</v>
      </c>
    </row>
    <row r="159" customFormat="false" ht="11.25" hidden="false" customHeight="false" outlineLevel="0" collapsed="false">
      <c r="A159" s="6" t="n">
        <f aca="false">+A158+365/12</f>
        <v>40433.1666666667</v>
      </c>
      <c r="B159" s="5" t="n">
        <f aca="false">IF(T159-((E159+F159+G159)*(1-'Prices&amp;Fuel'!F159))&lt;'Prices&amp;Fuel'!R159,(T159-(E159+F159+G159)*(1-'Prices&amp;Fuel'!F159)),'Prices&amp;Fuel'!R159)/(1-'Prices&amp;Fuel'!F159)</f>
        <v>8976.86375321337</v>
      </c>
      <c r="C159" s="9" t="n">
        <f aca="false">(T159/(1-'Prices&amp;Fuel'!F159))-D159-E159-F159-G159-B159</f>
        <v>1.38243194669485E-010</v>
      </c>
      <c r="D159" s="9" t="n">
        <f aca="false">ROUND(IF(T159/(1-'Prices&amp;Fuel'!F159)-E159-F159-G159-B159&gt;'Prices&amp;Fuel'!T159,'Prices&amp;Fuel'!T159,T159/(1-'Prices&amp;Fuel'!F159)-E159-F159-G159-B159),9)</f>
        <v>6556.298200514</v>
      </c>
      <c r="E159" s="9" t="n">
        <f aca="false">'Prices&amp;Fuel'!U159/(1-'Prices&amp;Fuel'!F159)</f>
        <v>1933.16195372751</v>
      </c>
      <c r="F159" s="9" t="n">
        <f aca="false">('Prices&amp;Fuel'!V159+'Prices&amp;Fuel'!X159)/(1-'Prices&amp;Fuel'!F159)</f>
        <v>3062.21079691517</v>
      </c>
      <c r="G159" s="9" t="n">
        <f aca="false">'Prices&amp;Fuel'!W159/(1-'Prices&amp;Fuel'!F159)</f>
        <v>1065.29562982005</v>
      </c>
      <c r="H159" s="10" t="n">
        <f aca="false">('Prices&amp;Fuel'!C159+'Prices&amp;Fuel'!D159)/2-0+(('Prices&amp;Fuel'!M159+'Prices&amp;Fuel'!P159)*(1-'Prices&amp;Fuel'!F159))</f>
        <v>5.62478962649521</v>
      </c>
      <c r="I159" s="10"/>
      <c r="J159" s="10"/>
      <c r="K159" s="10" t="n">
        <f aca="false">(((B159+E159)*('Prices&amp;Fuel'!B159+0.025))+(('Prices&amp;Fuel'!D159+0.025)*(D159+G159))+(('Prices&amp;Fuel'!C159+0.025)*(C159+F159))-(I159+J159)*0.025)/(B159+C159+D159+E159+F159+G159)</f>
        <v>4.8823789717333</v>
      </c>
      <c r="L159" s="9" t="n">
        <f aca="false">(B159+C159+D159+E159+F159+G159)*H159*'Prices&amp;Fuel'!H159</f>
        <v>3643822.58580152</v>
      </c>
      <c r="M159" s="9" t="n">
        <f aca="false">'Prices&amp;Fuel'!X159*('Prices&amp;Fuel'!N159+'Prices&amp;Fuel'!O159)*'Prices&amp;Fuel'!H159</f>
        <v>9134.1681425398</v>
      </c>
      <c r="N159" s="9" t="n">
        <f aca="false">('Prices&amp;Fuel'!U159+'Prices&amp;Fuel'!V159+'Prices&amp;Fuel'!W159)*('Prices&amp;Fuel'!L159+'Prices&amp;Fuel'!O159)*'Prices&amp;Fuel'!H159</f>
        <v>69689.8245838578</v>
      </c>
      <c r="O159" s="9" t="n">
        <f aca="false">((B159+C159+D159)*(1-'Prices&amp;Fuel'!G159))*('Prices&amp;Fuel'!M159+'Prices&amp;Fuel'!P159)*'Prices&amp;Fuel'!H159</f>
        <v>346909.29</v>
      </c>
      <c r="P159" s="9" t="n">
        <f aca="false">((B159+C159+D159+E159+F159+G159)/(1-'Prices&amp;Fuel'!F159))*(1-'Prices&amp;Fuel'!F159)*'Prices&amp;Fuel'!H159*0.005</f>
        <v>3239.07455012853</v>
      </c>
      <c r="Q159" s="9" t="n">
        <f aca="false">((D159+C159+B159+E159+F159+G159)*K159*'Prices&amp;Fuel'!H159)+M159+N159+O159+P159</f>
        <v>3591850.25156134</v>
      </c>
      <c r="R159" s="5" t="n">
        <f aca="false">L159-Q159</f>
        <v>51972.3342401823</v>
      </c>
      <c r="T159" s="1" t="n">
        <f aca="false">T158</f>
        <v>21000</v>
      </c>
    </row>
    <row r="160" customFormat="false" ht="11.25" hidden="false" customHeight="false" outlineLevel="0" collapsed="false">
      <c r="A160" s="6" t="n">
        <f aca="false">+A159+365/12</f>
        <v>40463.5833333333</v>
      </c>
      <c r="B160" s="5" t="n">
        <f aca="false">IF(T160-((E160+F160+G160)*(1-'Prices&amp;Fuel'!F160))&lt;'Prices&amp;Fuel'!R160,(T160-(E160+F160+G160)*(1-'Prices&amp;Fuel'!F160)),'Prices&amp;Fuel'!R160)/(1-'Prices&amp;Fuel'!F160)</f>
        <v>8976.86375321337</v>
      </c>
      <c r="C160" s="9" t="n">
        <f aca="false">(T160/(1-'Prices&amp;Fuel'!F160))-D160-E160-F160-G160-B160</f>
        <v>2.0190782379359E-010</v>
      </c>
      <c r="D160" s="9" t="n">
        <f aca="false">ROUND(IF(T160/(1-'Prices&amp;Fuel'!F160)-E160-F160-G160-B160&gt;'Prices&amp;Fuel'!T160,'Prices&amp;Fuel'!T160,T160/(1-'Prices&amp;Fuel'!F160)-E160-F160-G160-B160),9)</f>
        <v>3514.652956298</v>
      </c>
      <c r="E160" s="9" t="n">
        <f aca="false">'Prices&amp;Fuel'!U160/(1-'Prices&amp;Fuel'!F160)</f>
        <v>2910.02570694087</v>
      </c>
      <c r="F160" s="9" t="n">
        <f aca="false">('Prices&amp;Fuel'!V160+'Prices&amp;Fuel'!X160)/(1-'Prices&amp;Fuel'!F160)</f>
        <v>4628.27763496144</v>
      </c>
      <c r="G160" s="9" t="n">
        <f aca="false">'Prices&amp;Fuel'!W160/(1-'Prices&amp;Fuel'!F160)</f>
        <v>1564.01028277635</v>
      </c>
      <c r="H160" s="10" t="n">
        <f aca="false">('Prices&amp;Fuel'!C160+'Prices&amp;Fuel'!D160)/2-0+(('Prices&amp;Fuel'!M160+'Prices&amp;Fuel'!P160)*(1-'Prices&amp;Fuel'!F160))</f>
        <v>6.3611321863223</v>
      </c>
      <c r="I160" s="10"/>
      <c r="J160" s="10"/>
      <c r="K160" s="10" t="n">
        <f aca="false">(((B160+E160)*('Prices&amp;Fuel'!B160+0.025))+(('Prices&amp;Fuel'!D160+0.025)*(D160+G160))+(('Prices&amp;Fuel'!C160+0.025)*(C160+F160))-(I160+J160)*0.025)/(B160+C160+D160+E160+F160+G160)</f>
        <v>5.6218953410842</v>
      </c>
      <c r="L160" s="9" t="n">
        <f aca="false">(B160+C160+D160+E160+F160+G160)*H160*'Prices&amp;Fuel'!H160</f>
        <v>4258197.48410881</v>
      </c>
      <c r="M160" s="9" t="n">
        <f aca="false">'Prices&amp;Fuel'!X160*('Prices&amp;Fuel'!N160+'Prices&amp;Fuel'!O160)*'Prices&amp;Fuel'!H160</f>
        <v>13833.2050576453</v>
      </c>
      <c r="N160" s="9" t="n">
        <f aca="false">('Prices&amp;Fuel'!U160+'Prices&amp;Fuel'!V160+'Prices&amp;Fuel'!W160)*('Prices&amp;Fuel'!L160+'Prices&amp;Fuel'!O160)*'Prices&amp;Fuel'!H160</f>
        <v>108495.996910663</v>
      </c>
      <c r="O160" s="9" t="n">
        <f aca="false">((B160+C160+D160)*(1-'Prices&amp;Fuel'!G160))*('Prices&amp;Fuel'!M160+'Prices&amp;Fuel'!P160)*'Prices&amp;Fuel'!H160</f>
        <v>288278.114</v>
      </c>
      <c r="P160" s="9" t="n">
        <f aca="false">((B160+C160+D160+E160+F160+G160)/(1-'Prices&amp;Fuel'!F160))*(1-'Prices&amp;Fuel'!F160)*'Prices&amp;Fuel'!H160*0.005</f>
        <v>3347.04370179949</v>
      </c>
      <c r="Q160" s="9" t="n">
        <f aca="false">((D160+C160+B160+E160+F160+G160)*K160*'Prices&amp;Fuel'!H160)+M160+N160+O160+P160</f>
        <v>4177300.23838046</v>
      </c>
      <c r="R160" s="5" t="n">
        <f aca="false">L160-Q160</f>
        <v>80897.2457283493</v>
      </c>
      <c r="T160" s="1" t="n">
        <f aca="false">T159</f>
        <v>21000</v>
      </c>
    </row>
    <row r="161" customFormat="false" ht="11.25" hidden="false" customHeight="false" outlineLevel="0" collapsed="false">
      <c r="A161" s="6" t="n">
        <f aca="false">+A160+365/12</f>
        <v>40494</v>
      </c>
      <c r="B161" s="5" t="n">
        <f aca="false">IF(T161-((E161+F161+G161)*(1-'Prices&amp;Fuel'!F161))&lt;'Prices&amp;Fuel'!R161,(T161-(E161+F161+G161)*(1-'Prices&amp;Fuel'!F161)),'Prices&amp;Fuel'!R161)/(1-'Prices&amp;Fuel'!F161)</f>
        <v>4325.96401028278</v>
      </c>
      <c r="C161" s="9" t="n">
        <f aca="false">(T161/(1-'Prices&amp;Fuel'!F161))-D161-E161-F161-G161-B161</f>
        <v>0</v>
      </c>
      <c r="D161" s="9" t="n">
        <f aca="false">ROUND(IF(T161/(1-'Prices&amp;Fuel'!F161)-E161-F161-G161-B161&gt;'Prices&amp;Fuel'!T161,'Prices&amp;Fuel'!T161,T161/(1-'Prices&amp;Fuel'!F161)-E161-F161-G161-B161),9)</f>
        <v>0</v>
      </c>
      <c r="E161" s="9" t="n">
        <f aca="false">'Prices&amp;Fuel'!U161/(1-'Prices&amp;Fuel'!F161)</f>
        <v>2635.47557840617</v>
      </c>
      <c r="F161" s="9" t="n">
        <f aca="false">('Prices&amp;Fuel'!V161+'Prices&amp;Fuel'!X161)/(1-'Prices&amp;Fuel'!F161)</f>
        <v>3645.2442159383</v>
      </c>
      <c r="G161" s="9" t="n">
        <f aca="false">'Prices&amp;Fuel'!W161/(1-'Prices&amp;Fuel'!F161)</f>
        <v>1732.64781491003</v>
      </c>
      <c r="H161" s="10" t="n">
        <f aca="false">('Prices&amp;Fuel'!C161+'Prices&amp;Fuel'!D161)/2-0+(('Prices&amp;Fuel'!M161+'Prices&amp;Fuel'!P161)*(1-'Prices&amp;Fuel'!F161))</f>
        <v>4.48779008558572</v>
      </c>
      <c r="I161" s="10"/>
      <c r="J161" s="10"/>
      <c r="K161" s="10" t="n">
        <f aca="false">(((B161+E161)*('Prices&amp;Fuel'!B161+0.025))+(('Prices&amp;Fuel'!D161+0.025)*(D161+G161))+(('Prices&amp;Fuel'!C161+0.025)*(C161+F161))-(I161+J161)*0.025)/(B161+C161+D161+E161+F161+G161)</f>
        <v>3.75247050225239</v>
      </c>
      <c r="L161" s="9" t="n">
        <f aca="false">(B161+C161+D161+E161+F161+G161)*H161*'Prices&amp;Fuel'!H161</f>
        <v>1661289.90314741</v>
      </c>
      <c r="M161" s="9" t="n">
        <f aca="false">'Prices&amp;Fuel'!X161*('Prices&amp;Fuel'!N161+'Prices&amp;Fuel'!O161)*'Prices&amp;Fuel'!H161</f>
        <v>9134.1681425398</v>
      </c>
      <c r="N161" s="9" t="n">
        <f aca="false">('Prices&amp;Fuel'!U161+'Prices&amp;Fuel'!V161+'Prices&amp;Fuel'!W161)*('Prices&amp;Fuel'!L161+'Prices&amp;Fuel'!O161)*'Prices&amp;Fuel'!H161</f>
        <v>95086.2891558682</v>
      </c>
      <c r="O161" s="9" t="n">
        <f aca="false">((B161+C161+D161)*(1-'Prices&amp;Fuel'!G161))*('Prices&amp;Fuel'!M161+'Prices&amp;Fuel'!P161)*'Prices&amp;Fuel'!H161</f>
        <v>96613.755</v>
      </c>
      <c r="P161" s="9" t="n">
        <f aca="false">((B161+C161+D161+E161+F161+G161)/(1-'Prices&amp;Fuel'!F161))*(1-'Prices&amp;Fuel'!F161)*'Prices&amp;Fuel'!H161*0.005</f>
        <v>1850.89974293059</v>
      </c>
      <c r="Q161" s="9" t="n">
        <f aca="false">((D161+C161+B161+E161+F161+G161)*K161*'Prices&amp;Fuel'!H161)+M161+N161+O161+P161</f>
        <v>1591774.44963605</v>
      </c>
      <c r="R161" s="5" t="n">
        <f aca="false">L161-Q161</f>
        <v>69515.4535113603</v>
      </c>
      <c r="T161" s="1" t="n">
        <v>12000</v>
      </c>
    </row>
    <row r="162" customFormat="false" ht="11.25" hidden="false" customHeight="false" outlineLevel="0" collapsed="false">
      <c r="A162" s="6" t="n">
        <f aca="false">+A161+365/12</f>
        <v>40524.4166666667</v>
      </c>
      <c r="B162" s="5" t="n">
        <f aca="false">IF(T162-((E162+F162+G162)*(1-'Prices&amp;Fuel'!F162))&lt;'Prices&amp;Fuel'!R162,(T162-(E162+F162+G162)*(1-'Prices&amp;Fuel'!F162)),'Prices&amp;Fuel'!R162)/(1-'Prices&amp;Fuel'!F162)</f>
        <v>4325.96401028278</v>
      </c>
      <c r="C162" s="9" t="n">
        <f aca="false">(T162/(1-'Prices&amp;Fuel'!F162))-D162-E162-F162-G162-B162</f>
        <v>0</v>
      </c>
      <c r="D162" s="9" t="n">
        <f aca="false">ROUND(IF(T162/(1-'Prices&amp;Fuel'!F162)-E162-F162-G162-B162&gt;'Prices&amp;Fuel'!T162,'Prices&amp;Fuel'!T162,T162/(1-'Prices&amp;Fuel'!F162)-E162-F162-G162-B162),9)</f>
        <v>0</v>
      </c>
      <c r="E162" s="9" t="n">
        <f aca="false">'Prices&amp;Fuel'!U162/(1-'Prices&amp;Fuel'!F162)</f>
        <v>2635.47557840617</v>
      </c>
      <c r="F162" s="9" t="n">
        <f aca="false">('Prices&amp;Fuel'!V162+'Prices&amp;Fuel'!X162)/(1-'Prices&amp;Fuel'!F162)</f>
        <v>3645.2442159383</v>
      </c>
      <c r="G162" s="9" t="n">
        <f aca="false">'Prices&amp;Fuel'!W162/(1-'Prices&amp;Fuel'!F162)</f>
        <v>1732.64781491003</v>
      </c>
      <c r="H162" s="10" t="n">
        <f aca="false">('Prices&amp;Fuel'!C162+'Prices&amp;Fuel'!D162)/2-0+(('Prices&amp;Fuel'!M162+'Prices&amp;Fuel'!P162)*(1-'Prices&amp;Fuel'!F162))</f>
        <v>3.53487618463301</v>
      </c>
      <c r="I162" s="10"/>
      <c r="J162" s="10"/>
      <c r="K162" s="10" t="n">
        <f aca="false">(((B162+E162)*('Prices&amp;Fuel'!B162+0.025))+(('Prices&amp;Fuel'!D162+0.025)*(D162+G162))+(('Prices&amp;Fuel'!C162+0.025)*(C162+F162))-(I162+J162)*0.025)/(B162+C162+D162+E162+F162+G162)</f>
        <v>2.79955660129968</v>
      </c>
      <c r="L162" s="9" t="n">
        <f aca="false">(B162+C162+D162+E162+F162+G162)*H162*'Prices&amp;Fuel'!H162</f>
        <v>1352158.29376193</v>
      </c>
      <c r="M162" s="9" t="n">
        <f aca="false">'Prices&amp;Fuel'!X162*('Prices&amp;Fuel'!N162+'Prices&amp;Fuel'!O162)*'Prices&amp;Fuel'!H162</f>
        <v>9438.64041395779</v>
      </c>
      <c r="N162" s="9" t="n">
        <f aca="false">('Prices&amp;Fuel'!U162+'Prices&amp;Fuel'!V162+'Prices&amp;Fuel'!W162)*('Prices&amp;Fuel'!L162+'Prices&amp;Fuel'!O162)*'Prices&amp;Fuel'!H162</f>
        <v>98255.8321277305</v>
      </c>
      <c r="O162" s="9" t="n">
        <f aca="false">((B162+C162+D162)*(1-'Prices&amp;Fuel'!G162))*('Prices&amp;Fuel'!M162+'Prices&amp;Fuel'!P162)*'Prices&amp;Fuel'!H162</f>
        <v>99834.2135</v>
      </c>
      <c r="P162" s="9" t="n">
        <f aca="false">((B162+C162+D162+E162+F162+G162)/(1-'Prices&amp;Fuel'!F162))*(1-'Prices&amp;Fuel'!F162)*'Prices&amp;Fuel'!H162*0.005</f>
        <v>1912.59640102828</v>
      </c>
      <c r="Q162" s="9" t="n">
        <f aca="false">((D162+C162+B162+E162+F162+G162)*K162*'Prices&amp;Fuel'!H162)+M162+N162+O162+P162</f>
        <v>1280325.65846686</v>
      </c>
      <c r="R162" s="5" t="n">
        <f aca="false">L162-Q162</f>
        <v>71832.6352950721</v>
      </c>
      <c r="T162" s="1" t="n">
        <f aca="false">T161</f>
        <v>12000</v>
      </c>
    </row>
    <row r="163" customFormat="false" ht="11.25" hidden="false" customHeight="false" outlineLevel="0" collapsed="false">
      <c r="A163" s="6" t="n">
        <f aca="false">+A162+365/12</f>
        <v>40554.8333333333</v>
      </c>
      <c r="B163" s="5" t="n">
        <f aca="false">IF(T163-((E163+F163+G163)*(1-'Prices&amp;Fuel'!F163))&lt;'Prices&amp;Fuel'!R163,(T163-(E163+F163+G163)*(1-'Prices&amp;Fuel'!F163)),'Prices&amp;Fuel'!R163)/(1-'Prices&amp;Fuel'!F163)</f>
        <v>4325.96401028278</v>
      </c>
      <c r="C163" s="9" t="n">
        <f aca="false">(T163/(1-'Prices&amp;Fuel'!F163))-D163-E163-F163-G163-B163</f>
        <v>0</v>
      </c>
      <c r="D163" s="9" t="n">
        <f aca="false">ROUND(IF(T163/(1-'Prices&amp;Fuel'!F163)-E163-F163-G163-B163&gt;'Prices&amp;Fuel'!T163,'Prices&amp;Fuel'!T163,T163/(1-'Prices&amp;Fuel'!F163)-E163-F163-G163-B163),9)</f>
        <v>0</v>
      </c>
      <c r="E163" s="9" t="n">
        <f aca="false">'Prices&amp;Fuel'!U163/(1-'Prices&amp;Fuel'!F163)</f>
        <v>2635.47557840617</v>
      </c>
      <c r="F163" s="9" t="n">
        <f aca="false">('Prices&amp;Fuel'!V163+'Prices&amp;Fuel'!X163)/(1-'Prices&amp;Fuel'!F163)</f>
        <v>3645.2442159383</v>
      </c>
      <c r="G163" s="9" t="n">
        <f aca="false">'Prices&amp;Fuel'!W163/(1-'Prices&amp;Fuel'!F163)</f>
        <v>1732.64781491003</v>
      </c>
      <c r="H163" s="10" t="n">
        <f aca="false">('Prices&amp;Fuel'!C163+'Prices&amp;Fuel'!D163)/2-0+(('Prices&amp;Fuel'!M163+'Prices&amp;Fuel'!P163)*(1-'Prices&amp;Fuel'!F163))</f>
        <v>3.2021143189935</v>
      </c>
      <c r="I163" s="10"/>
      <c r="J163" s="10"/>
      <c r="K163" s="10" t="n">
        <f aca="false">(((B163+E163)*('Prices&amp;Fuel'!B163+0.025))+(('Prices&amp;Fuel'!D163+0.025)*(D163+G163))+(('Prices&amp;Fuel'!C163+0.025)*(C163+F163))-(I163+J163)*0.025)/(B163+C163+D163+E163+F163+G163)</f>
        <v>2.46679473566017</v>
      </c>
      <c r="L163" s="9" t="n">
        <f aca="false">(B163+C163+D163+E163+F163+G163)*H163*'Prices&amp;Fuel'!H163</f>
        <v>1224870.46443762</v>
      </c>
      <c r="M163" s="9" t="n">
        <f aca="false">'Prices&amp;Fuel'!X163*('Prices&amp;Fuel'!N163+'Prices&amp;Fuel'!O163)*'Prices&amp;Fuel'!H163</f>
        <v>9438.64041395779</v>
      </c>
      <c r="N163" s="9" t="n">
        <f aca="false">('Prices&amp;Fuel'!U163+'Prices&amp;Fuel'!V163+'Prices&amp;Fuel'!W163)*('Prices&amp;Fuel'!L163+'Prices&amp;Fuel'!O163)*'Prices&amp;Fuel'!H163</f>
        <v>98255.8321277305</v>
      </c>
      <c r="O163" s="9" t="n">
        <f aca="false">((B163+C163+D163)*(1-'Prices&amp;Fuel'!G163))*('Prices&amp;Fuel'!M163+'Prices&amp;Fuel'!P163)*'Prices&amp;Fuel'!H163</f>
        <v>99834.2135</v>
      </c>
      <c r="P163" s="9" t="n">
        <f aca="false">((B163+C163+D163+E163+F163+G163)/(1-'Prices&amp;Fuel'!F163))*(1-'Prices&amp;Fuel'!F163)*'Prices&amp;Fuel'!H163*0.005</f>
        <v>1912.59640102828</v>
      </c>
      <c r="Q163" s="9" t="n">
        <f aca="false">((D163+C163+B163+E163+F163+G163)*K163*'Prices&amp;Fuel'!H163)+M163+N163+O163+P163</f>
        <v>1153037.82914254</v>
      </c>
      <c r="R163" s="5" t="n">
        <f aca="false">L163-Q163</f>
        <v>71832.6352950728</v>
      </c>
      <c r="T163" s="1" t="n">
        <f aca="false">T162</f>
        <v>12000</v>
      </c>
    </row>
    <row r="164" customFormat="false" ht="11.25" hidden="false" customHeight="false" outlineLevel="0" collapsed="false">
      <c r="A164" s="6" t="n">
        <f aca="false">+A163+365/12</f>
        <v>40585.25</v>
      </c>
      <c r="B164" s="5" t="n">
        <f aca="false">IF(T164-((E164+F164+G164)*(1-'Prices&amp;Fuel'!F164))&lt;'Prices&amp;Fuel'!R164,(T164-(E164+F164+G164)*(1-'Prices&amp;Fuel'!F164)),'Prices&amp;Fuel'!R164)/(1-'Prices&amp;Fuel'!F164)</f>
        <v>4325.96401028278</v>
      </c>
      <c r="C164" s="9" t="n">
        <f aca="false">(T164/(1-'Prices&amp;Fuel'!F164))-D164-E164-F164-G164-B164</f>
        <v>0</v>
      </c>
      <c r="D164" s="9" t="n">
        <f aca="false">ROUND(IF(T164/(1-'Prices&amp;Fuel'!F164)-E164-F164-G164-B164&gt;'Prices&amp;Fuel'!T164,'Prices&amp;Fuel'!T164,T164/(1-'Prices&amp;Fuel'!F164)-E164-F164-G164-B164),9)</f>
        <v>0</v>
      </c>
      <c r="E164" s="9" t="n">
        <f aca="false">'Prices&amp;Fuel'!U164/(1-'Prices&amp;Fuel'!F164)</f>
        <v>2635.47557840617</v>
      </c>
      <c r="F164" s="9" t="n">
        <f aca="false">('Prices&amp;Fuel'!V164+'Prices&amp;Fuel'!X164)/(1-'Prices&amp;Fuel'!F164)</f>
        <v>3645.2442159383</v>
      </c>
      <c r="G164" s="9" t="n">
        <f aca="false">'Prices&amp;Fuel'!W164/(1-'Prices&amp;Fuel'!F164)</f>
        <v>1732.64781491003</v>
      </c>
      <c r="H164" s="10" t="n">
        <f aca="false">('Prices&amp;Fuel'!C164+'Prices&amp;Fuel'!D164)/2-0+(('Prices&amp;Fuel'!M164+'Prices&amp;Fuel'!P164)*(1-'Prices&amp;Fuel'!F164))</f>
        <v>3.49740934261828</v>
      </c>
      <c r="I164" s="10"/>
      <c r="J164" s="10"/>
      <c r="K164" s="10" t="n">
        <f aca="false">(((B164+E164)*('Prices&amp;Fuel'!B164+0.025))+(('Prices&amp;Fuel'!D164+0.025)*(D164+G164))+(('Prices&amp;Fuel'!C164+0.025)*(C164+F164))-(I164+J164)*0.025)/(B164+C164+D164+E164+F164+G164)</f>
        <v>2.76208975928494</v>
      </c>
      <c r="L164" s="9" t="n">
        <f aca="false">(B164+C164+D164+E164+F164+G164)*H164*'Prices&amp;Fuel'!H164</f>
        <v>1208359.42325937</v>
      </c>
      <c r="M164" s="9" t="n">
        <f aca="false">'Prices&amp;Fuel'!X164*('Prices&amp;Fuel'!N164+'Prices&amp;Fuel'!O164)*'Prices&amp;Fuel'!H164</f>
        <v>8525.22359970381</v>
      </c>
      <c r="N164" s="9" t="n">
        <f aca="false">('Prices&amp;Fuel'!U164+'Prices&amp;Fuel'!V164+'Prices&amp;Fuel'!W164)*('Prices&amp;Fuel'!L164+'Prices&amp;Fuel'!O164)*'Prices&amp;Fuel'!H164</f>
        <v>88747.2032121437</v>
      </c>
      <c r="O164" s="9" t="n">
        <f aca="false">((B164+C164+D164)*(1-'Prices&amp;Fuel'!G164))*('Prices&amp;Fuel'!M164+'Prices&amp;Fuel'!P164)*'Prices&amp;Fuel'!H164</f>
        <v>90172.838</v>
      </c>
      <c r="P164" s="9" t="n">
        <f aca="false">((B164+C164+D164+E164+F164+G164)/(1-'Prices&amp;Fuel'!F164))*(1-'Prices&amp;Fuel'!F164)*'Prices&amp;Fuel'!H164*0.005</f>
        <v>1727.50642673522</v>
      </c>
      <c r="Q164" s="9" t="n">
        <f aca="false">((D164+C164+B164+E164+F164+G164)*K164*'Prices&amp;Fuel'!H164)+M164+N164+O164+P164</f>
        <v>1143478.33331544</v>
      </c>
      <c r="R164" s="5" t="n">
        <f aca="false">L164-Q164</f>
        <v>64881.0899439366</v>
      </c>
      <c r="T164" s="1" t="n">
        <f aca="false">T163</f>
        <v>12000</v>
      </c>
    </row>
    <row r="165" customFormat="false" ht="11.25" hidden="false" customHeight="false" outlineLevel="0" collapsed="false">
      <c r="A165" s="6" t="n">
        <f aca="false">+A164+365/12</f>
        <v>40615.6666666667</v>
      </c>
      <c r="B165" s="5" t="n">
        <f aca="false">IF(T165-((E165+F165+G165)*(1-'Prices&amp;Fuel'!F165))&lt;'Prices&amp;Fuel'!R165,(T165-(E165+F165+G165)*(1-'Prices&amp;Fuel'!F165)),'Prices&amp;Fuel'!R165)/(1-'Prices&amp;Fuel'!F165)</f>
        <v>4325.96401028278</v>
      </c>
      <c r="C165" s="9" t="n">
        <f aca="false">(T165/(1-'Prices&amp;Fuel'!F165))-D165-E165-F165-G165-B165</f>
        <v>0</v>
      </c>
      <c r="D165" s="9" t="n">
        <f aca="false">ROUND(IF(T165/(1-'Prices&amp;Fuel'!F165)-E165-F165-G165-B165&gt;'Prices&amp;Fuel'!T165,'Prices&amp;Fuel'!T165,T165/(1-'Prices&amp;Fuel'!F165)-E165-F165-G165-B165),9)</f>
        <v>0</v>
      </c>
      <c r="E165" s="9" t="n">
        <f aca="false">'Prices&amp;Fuel'!U165/(1-'Prices&amp;Fuel'!F165)</f>
        <v>2635.47557840617</v>
      </c>
      <c r="F165" s="9" t="n">
        <f aca="false">('Prices&amp;Fuel'!V165+'Prices&amp;Fuel'!X165)/(1-'Prices&amp;Fuel'!F165)</f>
        <v>3645.2442159383</v>
      </c>
      <c r="G165" s="9" t="n">
        <f aca="false">'Prices&amp;Fuel'!W165/(1-'Prices&amp;Fuel'!F165)</f>
        <v>1732.64781491003</v>
      </c>
      <c r="H165" s="10" t="n">
        <f aca="false">('Prices&amp;Fuel'!C165+'Prices&amp;Fuel'!D165)/2-0+(('Prices&amp;Fuel'!M165+'Prices&amp;Fuel'!P165)*(1-'Prices&amp;Fuel'!F165))</f>
        <v>3.49740934261828</v>
      </c>
      <c r="I165" s="10"/>
      <c r="J165" s="10"/>
      <c r="K165" s="10" t="n">
        <f aca="false">(((B165+E165)*('Prices&amp;Fuel'!B165+0.025))+(('Prices&amp;Fuel'!D165+0.025)*(D165+G165))+(('Prices&amp;Fuel'!C165+0.025)*(C165+F165))-(I165+J165)*0.025)/(B165+C165+D165+E165+F165+G165)</f>
        <v>2.76208975928494</v>
      </c>
      <c r="L165" s="9" t="n">
        <f aca="false">(B165+C165+D165+E165+F165+G165)*H165*'Prices&amp;Fuel'!H165</f>
        <v>1337826.50432288</v>
      </c>
      <c r="M165" s="9" t="n">
        <f aca="false">'Prices&amp;Fuel'!X165*('Prices&amp;Fuel'!N165+'Prices&amp;Fuel'!O165)*'Prices&amp;Fuel'!H165</f>
        <v>9438.64041395779</v>
      </c>
      <c r="N165" s="9" t="n">
        <f aca="false">('Prices&amp;Fuel'!U165+'Prices&amp;Fuel'!V165+'Prices&amp;Fuel'!W165)*('Prices&amp;Fuel'!L165+'Prices&amp;Fuel'!O165)*'Prices&amp;Fuel'!H165</f>
        <v>98255.8321277305</v>
      </c>
      <c r="O165" s="9" t="n">
        <f aca="false">((B165+C165+D165)*(1-'Prices&amp;Fuel'!G165))*('Prices&amp;Fuel'!M165+'Prices&amp;Fuel'!P165)*'Prices&amp;Fuel'!H165</f>
        <v>99834.2135</v>
      </c>
      <c r="P165" s="9" t="n">
        <f aca="false">((B165+C165+D165+E165+F165+G165)/(1-'Prices&amp;Fuel'!F165))*(1-'Prices&amp;Fuel'!F165)*'Prices&amp;Fuel'!H165*0.005</f>
        <v>1912.59640102828</v>
      </c>
      <c r="Q165" s="9" t="n">
        <f aca="false">((D165+C165+B165+E165+F165+G165)*K165*'Prices&amp;Fuel'!H165)+M165+N165+O165+P165</f>
        <v>1265993.86902781</v>
      </c>
      <c r="R165" s="5" t="n">
        <f aca="false">L165-Q165</f>
        <v>71832.6352950723</v>
      </c>
      <c r="T165" s="1" t="n">
        <f aca="false">T164</f>
        <v>12000</v>
      </c>
    </row>
    <row r="166" customFormat="false" ht="11.25" hidden="false" customHeight="false" outlineLevel="0" collapsed="false">
      <c r="A166" s="6" t="n">
        <f aca="false">+A165+365/12</f>
        <v>40646.0833333333</v>
      </c>
      <c r="B166" s="5" t="n">
        <f aca="false">IF(T166-((E166+F166+G166)*(1-'Prices&amp;Fuel'!F166))&lt;'Prices&amp;Fuel'!R166,(T166-(E166+F166+G166)*(1-'Prices&amp;Fuel'!F166)),'Prices&amp;Fuel'!R166)/(1-'Prices&amp;Fuel'!F166)</f>
        <v>6278.66323907455</v>
      </c>
      <c r="C166" s="9" t="n">
        <f aca="false">(T166/(1-'Prices&amp;Fuel'!F166))-D166-E166-F166-G166-B166</f>
        <v>0</v>
      </c>
      <c r="D166" s="9" t="n">
        <f aca="false">ROUND(IF(T166/(1-'Prices&amp;Fuel'!F166)-E166-F166-G166-B166&gt;'Prices&amp;Fuel'!T166,'Prices&amp;Fuel'!T166,T166/(1-'Prices&amp;Fuel'!F166)-E166-F166-G166-B166),9)</f>
        <v>0</v>
      </c>
      <c r="E166" s="9" t="n">
        <f aca="false">'Prices&amp;Fuel'!U166/(1-'Prices&amp;Fuel'!F166)</f>
        <v>1933.16195372751</v>
      </c>
      <c r="F166" s="9" t="n">
        <f aca="false">('Prices&amp;Fuel'!V166+'Prices&amp;Fuel'!X166)/(1-'Prices&amp;Fuel'!F166)</f>
        <v>2833.93316195373</v>
      </c>
      <c r="G166" s="9" t="n">
        <f aca="false">'Prices&amp;Fuel'!W166/(1-'Prices&amp;Fuel'!F166)</f>
        <v>1293.57326478149</v>
      </c>
      <c r="H166" s="10" t="n">
        <f aca="false">('Prices&amp;Fuel'!C166+'Prices&amp;Fuel'!D166)/2-0+(('Prices&amp;Fuel'!M166+'Prices&amp;Fuel'!P166)*(1-'Prices&amp;Fuel'!F166))</f>
        <v>3.79270436624306</v>
      </c>
      <c r="I166" s="10"/>
      <c r="J166" s="10"/>
      <c r="K166" s="10" t="n">
        <f aca="false">(((B166+E166)*('Prices&amp;Fuel'!B166+0.025))+(('Prices&amp;Fuel'!D166+0.025)*(D166+G166))+(('Prices&amp;Fuel'!C166+0.025)*(C166+F166))-(I166+J166)*0.025)/(B166+C166+D166+E166+F166+G166)</f>
        <v>3.05308394957639</v>
      </c>
      <c r="L166" s="9" t="n">
        <f aca="false">(B166+C166+D166+E166+F166+G166)*H166*'Prices&amp;Fuel'!H166</f>
        <v>1403983.1072982</v>
      </c>
      <c r="M166" s="9" t="n">
        <f aca="false">'Prices&amp;Fuel'!X166*('Prices&amp;Fuel'!N166+'Prices&amp;Fuel'!O166)*'Prices&amp;Fuel'!H166</f>
        <v>9134.1681425398</v>
      </c>
      <c r="N166" s="9" t="n">
        <f aca="false">('Prices&amp;Fuel'!U166+'Prices&amp;Fuel'!V166+'Prices&amp;Fuel'!W166)*('Prices&amp;Fuel'!L166+'Prices&amp;Fuel'!O166)*'Prices&amp;Fuel'!H166</f>
        <v>69689.8245838578</v>
      </c>
      <c r="O166" s="9" t="n">
        <f aca="false">((B166+C166+D166)*(1-'Prices&amp;Fuel'!G166))*('Prices&amp;Fuel'!M166+'Prices&amp;Fuel'!P166)*'Prices&amp;Fuel'!H166</f>
        <v>140224.29</v>
      </c>
      <c r="P166" s="9" t="n">
        <f aca="false">((B166+C166+D166+E166+F166+G166)/(1-'Prices&amp;Fuel'!F166))*(1-'Prices&amp;Fuel'!F166)*'Prices&amp;Fuel'!H166*0.005</f>
        <v>1850.89974293059</v>
      </c>
      <c r="Q166" s="9" t="n">
        <f aca="false">((D166+C166+B166+E166+F166+G166)*K166*'Prices&amp;Fuel'!H166)+M166+N166+O166+P166</f>
        <v>1351089.64195262</v>
      </c>
      <c r="R166" s="5" t="n">
        <f aca="false">L166-Q166</f>
        <v>52893.465345582</v>
      </c>
      <c r="T166" s="1" t="n">
        <f aca="false">T165</f>
        <v>12000</v>
      </c>
    </row>
    <row r="167" customFormat="false" ht="11.25" hidden="false" customHeight="false" outlineLevel="0" collapsed="false">
      <c r="A167" s="6" t="n">
        <f aca="false">+A166+365/12</f>
        <v>40676.5</v>
      </c>
      <c r="B167" s="5" t="n">
        <f aca="false">IF(T167-((E167+F167+G167)*(1-'Prices&amp;Fuel'!F167))&lt;'Prices&amp;Fuel'!R167,(T167-(E167+F167+G167)*(1-'Prices&amp;Fuel'!F167)),'Prices&amp;Fuel'!R167)/(1-'Prices&amp;Fuel'!F167)</f>
        <v>8976.86375321337</v>
      </c>
      <c r="C167" s="9" t="n">
        <f aca="false">(T167/(1-'Prices&amp;Fuel'!F167))-D167-E167-F167-G167-B167</f>
        <v>1.38243194669485E-010</v>
      </c>
      <c r="D167" s="9" t="n">
        <f aca="false">ROUND(IF(T167/(1-'Prices&amp;Fuel'!F167)-E167-F167-G167-B167&gt;'Prices&amp;Fuel'!T167,'Prices&amp;Fuel'!T167,T167/(1-'Prices&amp;Fuel'!F167)-E167-F167-G167-B167),9)</f>
        <v>6556.298200514</v>
      </c>
      <c r="E167" s="9" t="n">
        <f aca="false">'Prices&amp;Fuel'!U167/(1-'Prices&amp;Fuel'!F167)</f>
        <v>1933.16195372751</v>
      </c>
      <c r="F167" s="9" t="n">
        <f aca="false">('Prices&amp;Fuel'!V167+'Prices&amp;Fuel'!X167)/(1-'Prices&amp;Fuel'!F167)</f>
        <v>3062.21079691517</v>
      </c>
      <c r="G167" s="9" t="n">
        <f aca="false">'Prices&amp;Fuel'!W167/(1-'Prices&amp;Fuel'!F167)</f>
        <v>1065.29562982005</v>
      </c>
      <c r="H167" s="10" t="n">
        <f aca="false">('Prices&amp;Fuel'!C167+'Prices&amp;Fuel'!D167)/2-0+(('Prices&amp;Fuel'!M167+'Prices&amp;Fuel'!P167)*(1-'Prices&amp;Fuel'!F167))</f>
        <v>4.00050456805308</v>
      </c>
      <c r="I167" s="10"/>
      <c r="J167" s="10"/>
      <c r="K167" s="10" t="n">
        <f aca="false">(((B167+E167)*('Prices&amp;Fuel'!B167+0.025))+(('Prices&amp;Fuel'!D167+0.025)*(D167+G167))+(('Prices&amp;Fuel'!C167+0.025)*(C167+F167))-(I167+J167)*0.025)/(B167+C167+D167+E167+F167+G167)</f>
        <v>3.25809391329118</v>
      </c>
      <c r="L167" s="9" t="n">
        <f aca="false">(B167+C167+D167+E167+F167+G167)*H167*'Prices&amp;Fuel'!H167</f>
        <v>2677972.72370443</v>
      </c>
      <c r="M167" s="9" t="n">
        <f aca="false">'Prices&amp;Fuel'!X167*('Prices&amp;Fuel'!N167+'Prices&amp;Fuel'!O167)*'Prices&amp;Fuel'!H167</f>
        <v>9438.64041395779</v>
      </c>
      <c r="N167" s="9" t="n">
        <f aca="false">('Prices&amp;Fuel'!U167+'Prices&amp;Fuel'!V167+'Prices&amp;Fuel'!W167)*('Prices&amp;Fuel'!L167+'Prices&amp;Fuel'!O167)*'Prices&amp;Fuel'!H167</f>
        <v>72012.8187366531</v>
      </c>
      <c r="O167" s="9" t="n">
        <f aca="false">((B167+C167+D167)*(1-'Prices&amp;Fuel'!G167))*('Prices&amp;Fuel'!M167+'Prices&amp;Fuel'!P167)*'Prices&amp;Fuel'!H167</f>
        <v>358472.933</v>
      </c>
      <c r="P167" s="9" t="n">
        <f aca="false">((B167+C167+D167+E167+F167+G167)/(1-'Prices&amp;Fuel'!F167))*(1-'Prices&amp;Fuel'!F167)*'Prices&amp;Fuel'!H167*0.005</f>
        <v>3347.04370179949</v>
      </c>
      <c r="Q167" s="9" t="n">
        <f aca="false">((D167+C167+B167+E167+F167+G167)*K167*'Prices&amp;Fuel'!H167)+M167+N167+O167+P167</f>
        <v>2624267.97832291</v>
      </c>
      <c r="R167" s="5" t="n">
        <f aca="false">L167-Q167</f>
        <v>53704.745381522</v>
      </c>
      <c r="T167" s="1" t="n">
        <v>21000</v>
      </c>
    </row>
    <row r="168" customFormat="false" ht="11.25" hidden="false" customHeight="false" outlineLevel="0" collapsed="false">
      <c r="A168" s="6" t="n">
        <f aca="false">+A167+365/12</f>
        <v>40706.9166666667</v>
      </c>
      <c r="B168" s="5" t="n">
        <f aca="false">IF(T168-((E168+F168+G168)*(1-'Prices&amp;Fuel'!F168))&lt;'Prices&amp;Fuel'!R168,(T168-(E168+F168+G168)*(1-'Prices&amp;Fuel'!F168)),'Prices&amp;Fuel'!R168)/(1-'Prices&amp;Fuel'!F168)</f>
        <v>8976.86375321337</v>
      </c>
      <c r="C168" s="9" t="n">
        <f aca="false">(T168/(1-'Prices&amp;Fuel'!F168))-D168-E168-F168-G168-B168</f>
        <v>1.38243194669485E-010</v>
      </c>
      <c r="D168" s="9" t="n">
        <f aca="false">ROUND(IF(T168/(1-'Prices&amp;Fuel'!F168)-E168-F168-G168-B168&gt;'Prices&amp;Fuel'!T168,'Prices&amp;Fuel'!T168,T168/(1-'Prices&amp;Fuel'!F168)-E168-F168-G168-B168),9)</f>
        <v>6556.298200514</v>
      </c>
      <c r="E168" s="9" t="n">
        <f aca="false">'Prices&amp;Fuel'!U168/(1-'Prices&amp;Fuel'!F168)</f>
        <v>1933.16195372751</v>
      </c>
      <c r="F168" s="9" t="n">
        <f aca="false">('Prices&amp;Fuel'!V168+'Prices&amp;Fuel'!X168)/(1-'Prices&amp;Fuel'!F168)</f>
        <v>3062.21079691517</v>
      </c>
      <c r="G168" s="9" t="n">
        <f aca="false">'Prices&amp;Fuel'!W168/(1-'Prices&amp;Fuel'!F168)</f>
        <v>1065.29562982005</v>
      </c>
      <c r="H168" s="10" t="n">
        <f aca="false">('Prices&amp;Fuel'!C168+'Prices&amp;Fuel'!D168)/2-0+(('Prices&amp;Fuel'!M168+'Prices&amp;Fuel'!P168)*(1-'Prices&amp;Fuel'!F168))</f>
        <v>5.4332322752696</v>
      </c>
      <c r="I168" s="10"/>
      <c r="J168" s="10"/>
      <c r="K168" s="10" t="n">
        <f aca="false">(((B168+E168)*('Prices&amp;Fuel'!B168+0.025))+(('Prices&amp;Fuel'!D168+0.025)*(D168+G168))+(('Prices&amp;Fuel'!C168+0.025)*(C168+F168))-(I168+J168)*0.025)/(B168+C168+D168+E168+F168+G168)</f>
        <v>4.69082162050769</v>
      </c>
      <c r="L168" s="9" t="n">
        <f aca="false">(B168+C168+D168+E168+F168+G168)*H168*'Prices&amp;Fuel'!H168</f>
        <v>3519728.87755254</v>
      </c>
      <c r="M168" s="9" t="n">
        <f aca="false">'Prices&amp;Fuel'!X168*('Prices&amp;Fuel'!N168+'Prices&amp;Fuel'!O168)*'Prices&amp;Fuel'!H168</f>
        <v>9134.1681425398</v>
      </c>
      <c r="N168" s="9" t="n">
        <f aca="false">('Prices&amp;Fuel'!U168+'Prices&amp;Fuel'!V168+'Prices&amp;Fuel'!W168)*('Prices&amp;Fuel'!L168+'Prices&amp;Fuel'!O168)*'Prices&amp;Fuel'!H168</f>
        <v>69689.8245838578</v>
      </c>
      <c r="O168" s="9" t="n">
        <f aca="false">((B168+C168+D168)*(1-'Prices&amp;Fuel'!G168))*('Prices&amp;Fuel'!M168+'Prices&amp;Fuel'!P168)*'Prices&amp;Fuel'!H168</f>
        <v>346909.29</v>
      </c>
      <c r="P168" s="9" t="n">
        <f aca="false">((B168+C168+D168+E168+F168+G168)/(1-'Prices&amp;Fuel'!F168))*(1-'Prices&amp;Fuel'!F168)*'Prices&amp;Fuel'!H168*0.005</f>
        <v>3239.07455012853</v>
      </c>
      <c r="Q168" s="9" t="n">
        <f aca="false">((D168+C168+B168+E168+F168+G168)*K168*'Prices&amp;Fuel'!H168)+M168+N168+O168+P168</f>
        <v>3467756.54331236</v>
      </c>
      <c r="R168" s="5" t="n">
        <f aca="false">L168-Q168</f>
        <v>51972.3342401823</v>
      </c>
      <c r="T168" s="1" t="n">
        <f aca="false">T167</f>
        <v>21000</v>
      </c>
    </row>
    <row r="169" customFormat="false" ht="11.25" hidden="false" customHeight="false" outlineLevel="0" collapsed="false">
      <c r="A169" s="6" t="n">
        <f aca="false">+A168+365/12</f>
        <v>40737.3333333333</v>
      </c>
      <c r="B169" s="5" t="n">
        <f aca="false">IF(T169-((E169+F169+G169)*(1-'Prices&amp;Fuel'!F169))&lt;'Prices&amp;Fuel'!R169,(T169-(E169+F169+G169)*(1-'Prices&amp;Fuel'!F169)),'Prices&amp;Fuel'!R169)/(1-'Prices&amp;Fuel'!F169)</f>
        <v>8976.86375321337</v>
      </c>
      <c r="C169" s="9" t="n">
        <f aca="false">(T169/(1-'Prices&amp;Fuel'!F169))-D169-E169-F169-G169-B169</f>
        <v>1.38243194669485E-010</v>
      </c>
      <c r="D169" s="9" t="n">
        <f aca="false">ROUND(IF(T169/(1-'Prices&amp;Fuel'!F169)-E169-F169-G169-B169&gt;'Prices&amp;Fuel'!T169,'Prices&amp;Fuel'!T169,T169/(1-'Prices&amp;Fuel'!F169)-E169-F169-G169-B169),9)</f>
        <v>6556.298200514</v>
      </c>
      <c r="E169" s="9" t="n">
        <f aca="false">'Prices&amp;Fuel'!U169/(1-'Prices&amp;Fuel'!F169)</f>
        <v>1933.16195372751</v>
      </c>
      <c r="F169" s="9" t="n">
        <f aca="false">('Prices&amp;Fuel'!V169+'Prices&amp;Fuel'!X169)/(1-'Prices&amp;Fuel'!F169)</f>
        <v>3062.21079691517</v>
      </c>
      <c r="G169" s="9" t="n">
        <f aca="false">'Prices&amp;Fuel'!W169/(1-'Prices&amp;Fuel'!F169)</f>
        <v>1065.29562982005</v>
      </c>
      <c r="H169" s="10" t="n">
        <f aca="false">('Prices&amp;Fuel'!C169+'Prices&amp;Fuel'!D169)/2-0+(('Prices&amp;Fuel'!M169+'Prices&amp;Fuel'!P169)*(1-'Prices&amp;Fuel'!F169))</f>
        <v>5.42229542254275</v>
      </c>
      <c r="I169" s="10"/>
      <c r="J169" s="10"/>
      <c r="K169" s="10" t="n">
        <f aca="false">(((B169+E169)*('Prices&amp;Fuel'!B169+0.025))+(('Prices&amp;Fuel'!D169+0.025)*(D169+G169))+(('Prices&amp;Fuel'!C169+0.025)*(C169+F169))-(I169+J169)*0.025)/(B169+C169+D169+E169+F169+G169)</f>
        <v>4.67988476778085</v>
      </c>
      <c r="L169" s="9" t="n">
        <f aca="false">(B169+C169+D169+E169+F169+G169)*H169*'Prices&amp;Fuel'!H169</f>
        <v>3629731.94866358</v>
      </c>
      <c r="M169" s="9" t="n">
        <f aca="false">'Prices&amp;Fuel'!X169*('Prices&amp;Fuel'!N169+'Prices&amp;Fuel'!O169)*'Prices&amp;Fuel'!H169</f>
        <v>9438.64041395779</v>
      </c>
      <c r="N169" s="9" t="n">
        <f aca="false">('Prices&amp;Fuel'!U169+'Prices&amp;Fuel'!V169+'Prices&amp;Fuel'!W169)*('Prices&amp;Fuel'!L169+'Prices&amp;Fuel'!O169)*'Prices&amp;Fuel'!H169</f>
        <v>72012.8187366531</v>
      </c>
      <c r="O169" s="9" t="n">
        <f aca="false">((B169+C169+D169)*(1-'Prices&amp;Fuel'!G169))*('Prices&amp;Fuel'!M169+'Prices&amp;Fuel'!P169)*'Prices&amp;Fuel'!H169</f>
        <v>358472.933</v>
      </c>
      <c r="P169" s="9" t="n">
        <f aca="false">((B169+C169+D169+E169+F169+G169)/(1-'Prices&amp;Fuel'!F169))*(1-'Prices&amp;Fuel'!F169)*'Prices&amp;Fuel'!H169*0.005</f>
        <v>3347.04370179949</v>
      </c>
      <c r="Q169" s="9" t="n">
        <f aca="false">((D169+C169+B169+E169+F169+G169)*K169*'Prices&amp;Fuel'!H169)+M169+N169+O169+P169</f>
        <v>3576027.20328206</v>
      </c>
      <c r="R169" s="5" t="n">
        <f aca="false">L169-Q169</f>
        <v>53704.7453815215</v>
      </c>
      <c r="T169" s="1" t="n">
        <f aca="false">T168</f>
        <v>21000</v>
      </c>
    </row>
    <row r="170" customFormat="false" ht="11.25" hidden="false" customHeight="false" outlineLevel="0" collapsed="false">
      <c r="A170" s="6" t="n">
        <f aca="false">+A169+365/12</f>
        <v>40767.75</v>
      </c>
      <c r="B170" s="5" t="n">
        <f aca="false">IF(T170-((E170+F170+G170)*(1-'Prices&amp;Fuel'!F170))&lt;'Prices&amp;Fuel'!R170,(T170-(E170+F170+G170)*(1-'Prices&amp;Fuel'!F170)),'Prices&amp;Fuel'!R170)/(1-'Prices&amp;Fuel'!F170)</f>
        <v>8976.86375321337</v>
      </c>
      <c r="C170" s="9" t="n">
        <f aca="false">(T170/(1-'Prices&amp;Fuel'!F170))-D170-E170-F170-G170-B170</f>
        <v>1.38243194669485E-010</v>
      </c>
      <c r="D170" s="9" t="n">
        <f aca="false">ROUND(IF(T170/(1-'Prices&amp;Fuel'!F170)-E170-F170-G170-B170&gt;'Prices&amp;Fuel'!T170,'Prices&amp;Fuel'!T170,T170/(1-'Prices&amp;Fuel'!F170)-E170-F170-G170-B170),9)</f>
        <v>6556.298200514</v>
      </c>
      <c r="E170" s="9" t="n">
        <f aca="false">'Prices&amp;Fuel'!U170/(1-'Prices&amp;Fuel'!F170)</f>
        <v>1933.16195372751</v>
      </c>
      <c r="F170" s="9" t="n">
        <f aca="false">('Prices&amp;Fuel'!V170+'Prices&amp;Fuel'!X170)/(1-'Prices&amp;Fuel'!F170)</f>
        <v>3062.21079691517</v>
      </c>
      <c r="G170" s="9" t="n">
        <f aca="false">'Prices&amp;Fuel'!W170/(1-'Prices&amp;Fuel'!F170)</f>
        <v>1065.29562982005</v>
      </c>
      <c r="H170" s="10" t="n">
        <f aca="false">('Prices&amp;Fuel'!C170+'Prices&amp;Fuel'!D170)/2-0+(('Prices&amp;Fuel'!M170+'Prices&amp;Fuel'!P170)*(1-'Prices&amp;Fuel'!F170))</f>
        <v>4.8317053752932</v>
      </c>
      <c r="I170" s="10"/>
      <c r="J170" s="10"/>
      <c r="K170" s="10" t="n">
        <f aca="false">(((B170+E170)*('Prices&amp;Fuel'!B170+0.025))+(('Prices&amp;Fuel'!D170+0.025)*(D170+G170))+(('Prices&amp;Fuel'!C170+0.025)*(C170+F170))-(I170+J170)*0.025)/(B170+C170+D170+E170+F170+G170)</f>
        <v>4.08929472053129</v>
      </c>
      <c r="L170" s="9" t="n">
        <f aca="false">(B170+C170+D170+E170+F170+G170)*H170*'Prices&amp;Fuel'!H170</f>
        <v>3234385.80906516</v>
      </c>
      <c r="M170" s="9" t="n">
        <f aca="false">'Prices&amp;Fuel'!X170*('Prices&amp;Fuel'!N170+'Prices&amp;Fuel'!O170)*'Prices&amp;Fuel'!H170</f>
        <v>9438.64041395779</v>
      </c>
      <c r="N170" s="9" t="n">
        <f aca="false">('Prices&amp;Fuel'!U170+'Prices&amp;Fuel'!V170+'Prices&amp;Fuel'!W170)*('Prices&amp;Fuel'!L170+'Prices&amp;Fuel'!O170)*'Prices&amp;Fuel'!H170</f>
        <v>72012.8187366531</v>
      </c>
      <c r="O170" s="9" t="n">
        <f aca="false">((B170+C170+D170)*(1-'Prices&amp;Fuel'!G170))*('Prices&amp;Fuel'!M170+'Prices&amp;Fuel'!P170)*'Prices&amp;Fuel'!H170</f>
        <v>358472.933</v>
      </c>
      <c r="P170" s="9" t="n">
        <f aca="false">((B170+C170+D170+E170+F170+G170)/(1-'Prices&amp;Fuel'!F170))*(1-'Prices&amp;Fuel'!F170)*'Prices&amp;Fuel'!H170*0.005</f>
        <v>3347.04370179949</v>
      </c>
      <c r="Q170" s="9" t="n">
        <f aca="false">((D170+C170+B170+E170+F170+G170)*K170*'Prices&amp;Fuel'!H170)+M170+N170+O170+P170</f>
        <v>3180681.06368364</v>
      </c>
      <c r="R170" s="5" t="n">
        <f aca="false">L170-Q170</f>
        <v>53704.7453815211</v>
      </c>
      <c r="T170" s="1" t="n">
        <f aca="false">T169</f>
        <v>21000</v>
      </c>
    </row>
    <row r="171" customFormat="false" ht="11.25" hidden="false" customHeight="false" outlineLevel="0" collapsed="false">
      <c r="A171" s="6" t="n">
        <f aca="false">+A170+365/12</f>
        <v>40798.1666666667</v>
      </c>
      <c r="B171" s="5" t="n">
        <f aca="false">IF(T171-((E171+F171+G171)*(1-'Prices&amp;Fuel'!F171))&lt;'Prices&amp;Fuel'!R171,(T171-(E171+F171+G171)*(1-'Prices&amp;Fuel'!F171)),'Prices&amp;Fuel'!R171)/(1-'Prices&amp;Fuel'!F171)</f>
        <v>8976.86375321337</v>
      </c>
      <c r="C171" s="9" t="n">
        <f aca="false">(T171/(1-'Prices&amp;Fuel'!F171))-D171-E171-F171-G171-B171</f>
        <v>1.38243194669485E-010</v>
      </c>
      <c r="D171" s="9" t="n">
        <f aca="false">ROUND(IF(T171/(1-'Prices&amp;Fuel'!F171)-E171-F171-G171-B171&gt;'Prices&amp;Fuel'!T171,'Prices&amp;Fuel'!T171,T171/(1-'Prices&amp;Fuel'!F171)-E171-F171-G171-B171),9)</f>
        <v>6556.298200514</v>
      </c>
      <c r="E171" s="9" t="n">
        <f aca="false">'Prices&amp;Fuel'!U171/(1-'Prices&amp;Fuel'!F171)</f>
        <v>1933.16195372751</v>
      </c>
      <c r="F171" s="9" t="n">
        <f aca="false">('Prices&amp;Fuel'!V171+'Prices&amp;Fuel'!X171)/(1-'Prices&amp;Fuel'!F171)</f>
        <v>3062.21079691517</v>
      </c>
      <c r="G171" s="9" t="n">
        <f aca="false">'Prices&amp;Fuel'!W171/(1-'Prices&amp;Fuel'!F171)</f>
        <v>1065.29562982005</v>
      </c>
      <c r="H171" s="10" t="n">
        <f aca="false">('Prices&amp;Fuel'!C171+'Prices&amp;Fuel'!D171)/2-0+(('Prices&amp;Fuel'!M171+'Prices&amp;Fuel'!P171)*(1-'Prices&amp;Fuel'!F171))</f>
        <v>5.67384303526016</v>
      </c>
      <c r="I171" s="10"/>
      <c r="J171" s="10"/>
      <c r="K171" s="10" t="n">
        <f aca="false">(((B171+E171)*('Prices&amp;Fuel'!B171+0.025))+(('Prices&amp;Fuel'!D171+0.025)*(D171+G171))+(('Prices&amp;Fuel'!C171+0.025)*(C171+F171))-(I171+J171)*0.025)/(B171+C171+D171+E171+F171+G171)</f>
        <v>4.93143238049825</v>
      </c>
      <c r="L171" s="9" t="n">
        <f aca="false">(B171+C171+D171+E171+F171+G171)*H171*'Prices&amp;Fuel'!H171</f>
        <v>3675600.11538704</v>
      </c>
      <c r="M171" s="9" t="n">
        <f aca="false">'Prices&amp;Fuel'!X171*('Prices&amp;Fuel'!N171+'Prices&amp;Fuel'!O171)*'Prices&amp;Fuel'!H171</f>
        <v>9134.1681425398</v>
      </c>
      <c r="N171" s="9" t="n">
        <f aca="false">('Prices&amp;Fuel'!U171+'Prices&amp;Fuel'!V171+'Prices&amp;Fuel'!W171)*('Prices&amp;Fuel'!L171+'Prices&amp;Fuel'!O171)*'Prices&amp;Fuel'!H171</f>
        <v>69689.8245838578</v>
      </c>
      <c r="O171" s="9" t="n">
        <f aca="false">((B171+C171+D171)*(1-'Prices&amp;Fuel'!G171))*('Prices&amp;Fuel'!M171+'Prices&amp;Fuel'!P171)*'Prices&amp;Fuel'!H171</f>
        <v>346909.29</v>
      </c>
      <c r="P171" s="9" t="n">
        <f aca="false">((B171+C171+D171+E171+F171+G171)/(1-'Prices&amp;Fuel'!F171))*(1-'Prices&amp;Fuel'!F171)*'Prices&amp;Fuel'!H171*0.005</f>
        <v>3239.07455012853</v>
      </c>
      <c r="Q171" s="9" t="n">
        <f aca="false">((D171+C171+B171+E171+F171+G171)*K171*'Prices&amp;Fuel'!H171)+M171+N171+O171+P171</f>
        <v>3623627.78114686</v>
      </c>
      <c r="R171" s="5" t="n">
        <f aca="false">L171-Q171</f>
        <v>51972.3342401832</v>
      </c>
      <c r="T171" s="1" t="n">
        <f aca="false">T170</f>
        <v>21000</v>
      </c>
    </row>
    <row r="172" customFormat="false" ht="11.25" hidden="false" customHeight="false" outlineLevel="0" collapsed="false">
      <c r="A172" s="6" t="n">
        <f aca="false">+A171+365/12</f>
        <v>40828.5833333333</v>
      </c>
      <c r="B172" s="5" t="n">
        <f aca="false">IF(T172-((E172+F172+G172)*(1-'Prices&amp;Fuel'!F172))&lt;'Prices&amp;Fuel'!R172,(T172-(E172+F172+G172)*(1-'Prices&amp;Fuel'!F172)),'Prices&amp;Fuel'!R172)/(1-'Prices&amp;Fuel'!F172)</f>
        <v>8976.86375321337</v>
      </c>
      <c r="C172" s="9" t="n">
        <f aca="false">(T172/(1-'Prices&amp;Fuel'!F172))-D172-E172-F172-G172-B172</f>
        <v>2.0190782379359E-010</v>
      </c>
      <c r="D172" s="9" t="n">
        <f aca="false">ROUND(IF(T172/(1-'Prices&amp;Fuel'!F172)-E172-F172-G172-B172&gt;'Prices&amp;Fuel'!T172,'Prices&amp;Fuel'!T172,T172/(1-'Prices&amp;Fuel'!F172)-E172-F172-G172-B172),9)</f>
        <v>3514.652956298</v>
      </c>
      <c r="E172" s="9" t="n">
        <f aca="false">'Prices&amp;Fuel'!U172/(1-'Prices&amp;Fuel'!F172)</f>
        <v>2910.02570694087</v>
      </c>
      <c r="F172" s="9" t="n">
        <f aca="false">('Prices&amp;Fuel'!V172+'Prices&amp;Fuel'!X172)/(1-'Prices&amp;Fuel'!F172)</f>
        <v>4628.27763496144</v>
      </c>
      <c r="G172" s="9" t="n">
        <f aca="false">'Prices&amp;Fuel'!W172/(1-'Prices&amp;Fuel'!F172)</f>
        <v>1564.01028277635</v>
      </c>
      <c r="H172" s="10" t="n">
        <f aca="false">('Prices&amp;Fuel'!C172+'Prices&amp;Fuel'!D172)/2-0+(('Prices&amp;Fuel'!M172+'Prices&amp;Fuel'!P172)*(1-'Prices&amp;Fuel'!F172))</f>
        <v>6.41754902068552</v>
      </c>
      <c r="I172" s="10"/>
      <c r="J172" s="10"/>
      <c r="K172" s="10" t="n">
        <f aca="false">(((B172+E172)*('Prices&amp;Fuel'!B172+0.025))+(('Prices&amp;Fuel'!D172+0.025)*(D172+G172))+(('Prices&amp;Fuel'!C172+0.025)*(C172+F172))-(I172+J172)*0.025)/(B172+C172+D172+E172+F172+G172)</f>
        <v>5.67831217544743</v>
      </c>
      <c r="L172" s="9" t="n">
        <f aca="false">(B172+C172+D172+E172+F172+G172)*H172*'Prices&amp;Fuel'!H172</f>
        <v>4295963.40613499</v>
      </c>
      <c r="M172" s="9" t="n">
        <f aca="false">'Prices&amp;Fuel'!X172*('Prices&amp;Fuel'!N172+'Prices&amp;Fuel'!O172)*'Prices&amp;Fuel'!H172</f>
        <v>13833.2050576453</v>
      </c>
      <c r="N172" s="9" t="n">
        <f aca="false">('Prices&amp;Fuel'!U172+'Prices&amp;Fuel'!V172+'Prices&amp;Fuel'!W172)*('Prices&amp;Fuel'!L172+'Prices&amp;Fuel'!O172)*'Prices&amp;Fuel'!H172</f>
        <v>108495.996910663</v>
      </c>
      <c r="O172" s="9" t="n">
        <f aca="false">((B172+C172+D172)*(1-'Prices&amp;Fuel'!G172))*('Prices&amp;Fuel'!M172+'Prices&amp;Fuel'!P172)*'Prices&amp;Fuel'!H172</f>
        <v>288278.114</v>
      </c>
      <c r="P172" s="9" t="n">
        <f aca="false">((B172+C172+D172+E172+F172+G172)/(1-'Prices&amp;Fuel'!F172))*(1-'Prices&amp;Fuel'!F172)*'Prices&amp;Fuel'!H172*0.005</f>
        <v>3347.04370179949</v>
      </c>
      <c r="Q172" s="9" t="n">
        <f aca="false">((D172+C172+B172+E172+F172+G172)*K172*'Prices&amp;Fuel'!H172)+M172+N172+O172+P172</f>
        <v>4215066.16040664</v>
      </c>
      <c r="R172" s="5" t="n">
        <f aca="false">L172-Q172</f>
        <v>80897.2457283502</v>
      </c>
      <c r="T172" s="1" t="n">
        <f aca="false">T171</f>
        <v>21000</v>
      </c>
    </row>
    <row r="173" customFormat="false" ht="11.25" hidden="false" customHeight="false" outlineLevel="0" collapsed="false">
      <c r="A173" s="6" t="n">
        <f aca="false">+A172+365/12</f>
        <v>40859</v>
      </c>
      <c r="B173" s="5" t="n">
        <f aca="false">IF(T173-((E173+F173+G173)*(1-'Prices&amp;Fuel'!F173))&lt;'Prices&amp;Fuel'!R173,(T173-(E173+F173+G173)*(1-'Prices&amp;Fuel'!F173)),'Prices&amp;Fuel'!R173)/(1-'Prices&amp;Fuel'!F173)</f>
        <v>4325.96401028278</v>
      </c>
      <c r="C173" s="9" t="n">
        <f aca="false">(T173/(1-'Prices&amp;Fuel'!F173))-D173-E173-F173-G173-B173</f>
        <v>0</v>
      </c>
      <c r="D173" s="9" t="n">
        <f aca="false">ROUND(IF(T173/(1-'Prices&amp;Fuel'!F173)-E173-F173-G173-B173&gt;'Prices&amp;Fuel'!T173,'Prices&amp;Fuel'!T173,T173/(1-'Prices&amp;Fuel'!F173)-E173-F173-G173-B173),9)</f>
        <v>0</v>
      </c>
      <c r="E173" s="9" t="n">
        <f aca="false">'Prices&amp;Fuel'!U173/(1-'Prices&amp;Fuel'!F173)</f>
        <v>2635.47557840617</v>
      </c>
      <c r="F173" s="9" t="n">
        <f aca="false">('Prices&amp;Fuel'!V173+'Prices&amp;Fuel'!X173)/(1-'Prices&amp;Fuel'!F173)</f>
        <v>3645.2442159383</v>
      </c>
      <c r="G173" s="9" t="n">
        <f aca="false">'Prices&amp;Fuel'!W173/(1-'Prices&amp;Fuel'!F173)</f>
        <v>1732.64781491003</v>
      </c>
      <c r="H173" s="10" t="n">
        <f aca="false">('Prices&amp;Fuel'!C173+'Prices&amp;Fuel'!D173)/2-0+(('Prices&amp;Fuel'!M173+'Prices&amp;Fuel'!P173)*(1-'Prices&amp;Fuel'!F173))</f>
        <v>4.52547349894158</v>
      </c>
      <c r="I173" s="10"/>
      <c r="J173" s="10"/>
      <c r="K173" s="10" t="n">
        <f aca="false">(((B173+E173)*('Prices&amp;Fuel'!B173+0.025))+(('Prices&amp;Fuel'!D173+0.025)*(D173+G173))+(('Prices&amp;Fuel'!C173+0.025)*(C173+F173))-(I173+J173)*0.025)/(B173+C173+D173+E173+F173+G173)</f>
        <v>3.79015391560824</v>
      </c>
      <c r="L173" s="9" t="n">
        <f aca="false">(B173+C173+D173+E173+F173+G173)*H173*'Prices&amp;Fuel'!H173</f>
        <v>1675239.54716603</v>
      </c>
      <c r="M173" s="9" t="n">
        <f aca="false">'Prices&amp;Fuel'!X173*('Prices&amp;Fuel'!N173+'Prices&amp;Fuel'!O173)*'Prices&amp;Fuel'!H173</f>
        <v>9134.1681425398</v>
      </c>
      <c r="N173" s="9" t="n">
        <f aca="false">('Prices&amp;Fuel'!U173+'Prices&amp;Fuel'!V173+'Prices&amp;Fuel'!W173)*('Prices&amp;Fuel'!L173+'Prices&amp;Fuel'!O173)*'Prices&amp;Fuel'!H173</f>
        <v>95086.2891558682</v>
      </c>
      <c r="O173" s="9" t="n">
        <f aca="false">((B173+C173+D173)*(1-'Prices&amp;Fuel'!G173))*('Prices&amp;Fuel'!M173+'Prices&amp;Fuel'!P173)*'Prices&amp;Fuel'!H173</f>
        <v>96613.755</v>
      </c>
      <c r="P173" s="9" t="n">
        <f aca="false">((B173+C173+D173+E173+F173+G173)/(1-'Prices&amp;Fuel'!F173))*(1-'Prices&amp;Fuel'!F173)*'Prices&amp;Fuel'!H173*0.005</f>
        <v>1850.89974293059</v>
      </c>
      <c r="Q173" s="9" t="n">
        <f aca="false">((D173+C173+B173+E173+F173+G173)*K173*'Prices&amp;Fuel'!H173)+M173+N173+O173+P173</f>
        <v>1605724.09365467</v>
      </c>
      <c r="R173" s="5" t="n">
        <f aca="false">L173-Q173</f>
        <v>69515.453511361</v>
      </c>
      <c r="T173" s="1" t="n">
        <v>12000</v>
      </c>
    </row>
    <row r="174" customFormat="false" ht="11.25" hidden="false" customHeight="false" outlineLevel="0" collapsed="false">
      <c r="A174" s="6" t="n">
        <f aca="false">+A173+365/12</f>
        <v>40889.4166666667</v>
      </c>
      <c r="B174" s="5" t="n">
        <f aca="false">IF(T174-((E174+F174+G174)*(1-'Prices&amp;Fuel'!F174))&lt;'Prices&amp;Fuel'!R174,(T174-(E174+F174+G174)*(1-'Prices&amp;Fuel'!F174)),'Prices&amp;Fuel'!R174)/(1-'Prices&amp;Fuel'!F174)</f>
        <v>4325.96401028278</v>
      </c>
      <c r="C174" s="9" t="n">
        <f aca="false">(T174/(1-'Prices&amp;Fuel'!F174))-D174-E174-F174-G174-B174</f>
        <v>0</v>
      </c>
      <c r="D174" s="9" t="n">
        <f aca="false">ROUND(IF(T174/(1-'Prices&amp;Fuel'!F174)-E174-F174-G174-B174&gt;'Prices&amp;Fuel'!T174,'Prices&amp;Fuel'!T174,T174/(1-'Prices&amp;Fuel'!F174)-E174-F174-G174-B174),9)</f>
        <v>0</v>
      </c>
      <c r="E174" s="9" t="n">
        <f aca="false">'Prices&amp;Fuel'!U174/(1-'Prices&amp;Fuel'!F174)</f>
        <v>2635.47557840617</v>
      </c>
      <c r="F174" s="9" t="n">
        <f aca="false">('Prices&amp;Fuel'!V174+'Prices&amp;Fuel'!X174)/(1-'Prices&amp;Fuel'!F174)</f>
        <v>3645.2442159383</v>
      </c>
      <c r="G174" s="9" t="n">
        <f aca="false">'Prices&amp;Fuel'!W174/(1-'Prices&amp;Fuel'!F174)</f>
        <v>1732.64781491003</v>
      </c>
      <c r="H174" s="10" t="n">
        <f aca="false">('Prices&amp;Fuel'!C174+'Prices&amp;Fuel'!D174)/2-0+(('Prices&amp;Fuel'!M174+'Prices&amp;Fuel'!P174)*(1-'Prices&amp;Fuel'!F174))</f>
        <v>3.56303045897934</v>
      </c>
      <c r="I174" s="10"/>
      <c r="J174" s="10"/>
      <c r="K174" s="10" t="n">
        <f aca="false">(((B174+E174)*('Prices&amp;Fuel'!B174+0.025))+(('Prices&amp;Fuel'!D174+0.025)*(D174+G174))+(('Prices&amp;Fuel'!C174+0.025)*(C174+F174))-(I174+J174)*0.025)/(B174+C174+D174+E174+F174+G174)</f>
        <v>2.82771087564601</v>
      </c>
      <c r="L174" s="9" t="n">
        <f aca="false">(B174+C174+D174+E174+F174+G174)*H174*'Prices&amp;Fuel'!H174</f>
        <v>1362927.8465196</v>
      </c>
      <c r="M174" s="9" t="n">
        <f aca="false">'Prices&amp;Fuel'!X174*('Prices&amp;Fuel'!N174+'Prices&amp;Fuel'!O174)*'Prices&amp;Fuel'!H174</f>
        <v>9438.64041395779</v>
      </c>
      <c r="N174" s="9" t="n">
        <f aca="false">('Prices&amp;Fuel'!U174+'Prices&amp;Fuel'!V174+'Prices&amp;Fuel'!W174)*('Prices&amp;Fuel'!L174+'Prices&amp;Fuel'!O174)*'Prices&amp;Fuel'!H174</f>
        <v>98255.8321277305</v>
      </c>
      <c r="O174" s="9" t="n">
        <f aca="false">((B174+C174+D174)*(1-'Prices&amp;Fuel'!G174))*('Prices&amp;Fuel'!M174+'Prices&amp;Fuel'!P174)*'Prices&amp;Fuel'!H174</f>
        <v>99834.2135</v>
      </c>
      <c r="P174" s="9" t="n">
        <f aca="false">((B174+C174+D174+E174+F174+G174)/(1-'Prices&amp;Fuel'!F174))*(1-'Prices&amp;Fuel'!F174)*'Prices&amp;Fuel'!H174*0.005</f>
        <v>1912.59640102828</v>
      </c>
      <c r="Q174" s="9" t="n">
        <f aca="false">((D174+C174+B174+E174+F174+G174)*K174*'Prices&amp;Fuel'!H174)+M174+N174+O174+P174</f>
        <v>1291095.21122453</v>
      </c>
      <c r="R174" s="5" t="n">
        <f aca="false">L174-Q174</f>
        <v>71832.6352950728</v>
      </c>
      <c r="T174" s="1" t="n">
        <f aca="false">T173</f>
        <v>12000</v>
      </c>
    </row>
    <row r="175" customFormat="false" ht="11.25" hidden="false" customHeight="false" outlineLevel="0" collapsed="false">
      <c r="A175" s="6" t="n">
        <f aca="false">+A174+365/12</f>
        <v>40919.8333333333</v>
      </c>
      <c r="B175" s="5" t="n">
        <f aca="false">IF(T175-((E175+F175+G175)*(1-'Prices&amp;Fuel'!F175))&lt;'Prices&amp;Fuel'!R175,(T175-(E175+F175+G175)*(1-'Prices&amp;Fuel'!F175)),'Prices&amp;Fuel'!R175)/(1-'Prices&amp;Fuel'!F175)</f>
        <v>4325.96401028278</v>
      </c>
      <c r="C175" s="9" t="n">
        <f aca="false">(T175/(1-'Prices&amp;Fuel'!F175))-D175-E175-F175-G175-B175</f>
        <v>0</v>
      </c>
      <c r="D175" s="9" t="n">
        <f aca="false">ROUND(IF(T175/(1-'Prices&amp;Fuel'!F175)-E175-F175-G175-B175&gt;'Prices&amp;Fuel'!T175,'Prices&amp;Fuel'!T175,T175/(1-'Prices&amp;Fuel'!F175)-E175-F175-G175-B175),9)</f>
        <v>0</v>
      </c>
      <c r="E175" s="9" t="n">
        <f aca="false">'Prices&amp;Fuel'!U175/(1-'Prices&amp;Fuel'!F175)</f>
        <v>2635.47557840617</v>
      </c>
      <c r="F175" s="9" t="n">
        <f aca="false">('Prices&amp;Fuel'!V175+'Prices&amp;Fuel'!X175)/(1-'Prices&amp;Fuel'!F175)</f>
        <v>3645.2442159383</v>
      </c>
      <c r="G175" s="9" t="n">
        <f aca="false">'Prices&amp;Fuel'!W175/(1-'Prices&amp;Fuel'!F175)</f>
        <v>1732.64781491003</v>
      </c>
      <c r="H175" s="10" t="n">
        <f aca="false">('Prices&amp;Fuel'!C175+'Prices&amp;Fuel'!D175)/2-0+(('Prices&amp;Fuel'!M175+'Prices&amp;Fuel'!P175)*(1-'Prices&amp;Fuel'!F175))</f>
        <v>3.22694097468344</v>
      </c>
      <c r="I175" s="10"/>
      <c r="J175" s="10"/>
      <c r="K175" s="10" t="n">
        <f aca="false">(((B175+E175)*('Prices&amp;Fuel'!B175+0.025))+(('Prices&amp;Fuel'!D175+0.025)*(D175+G175))+(('Prices&amp;Fuel'!C175+0.025)*(C175+F175))-(I175+J175)*0.025)/(B175+C175+D175+E175+F175+G175)</f>
        <v>2.4916213913501</v>
      </c>
      <c r="L175" s="9" t="n">
        <f aca="false">(B175+C175+D175+E175+F175+G175)*H175*'Prices&amp;Fuel'!H175</f>
        <v>1234367.13890204</v>
      </c>
      <c r="M175" s="9" t="n">
        <f aca="false">'Prices&amp;Fuel'!X175*('Prices&amp;Fuel'!N175+'Prices&amp;Fuel'!O175)*'Prices&amp;Fuel'!H175</f>
        <v>9415.61121091419</v>
      </c>
      <c r="N175" s="9" t="n">
        <f aca="false">('Prices&amp;Fuel'!U175+'Prices&amp;Fuel'!V175+'Prices&amp;Fuel'!W175)*('Prices&amp;Fuel'!L175+'Prices&amp;Fuel'!O175)*'Prices&amp;Fuel'!H175</f>
        <v>98016.0991355782</v>
      </c>
      <c r="O175" s="9" t="n">
        <f aca="false">((B175+C175+D175)*(1-'Prices&amp;Fuel'!G175))*('Prices&amp;Fuel'!M175+'Prices&amp;Fuel'!P175)*'Prices&amp;Fuel'!H175</f>
        <v>99834.2135</v>
      </c>
      <c r="P175" s="9" t="n">
        <f aca="false">((B175+C175+D175+E175+F175+G175)/(1-'Prices&amp;Fuel'!F175))*(1-'Prices&amp;Fuel'!F175)*'Prices&amp;Fuel'!H175*0.005</f>
        <v>1912.59640102828</v>
      </c>
      <c r="Q175" s="9" t="n">
        <f aca="false">((D175+C175+B175+E175+F175+G175)*K175*'Prices&amp;Fuel'!H175)+M175+N175+O175+P175</f>
        <v>1162271.74141178</v>
      </c>
      <c r="R175" s="5" t="n">
        <f aca="false">L175-Q175</f>
        <v>72095.3974902683</v>
      </c>
      <c r="T175" s="1" t="n">
        <f aca="false">T174</f>
        <v>12000</v>
      </c>
    </row>
    <row r="176" customFormat="false" ht="11.25" hidden="false" customHeight="false" outlineLevel="0" collapsed="false">
      <c r="A176" s="6" t="n">
        <f aca="false">+A175+365/12</f>
        <v>40950.25</v>
      </c>
      <c r="B176" s="5" t="n">
        <f aca="false">IF(T176-((E176+F176+G176)*(1-'Prices&amp;Fuel'!F176))&lt;'Prices&amp;Fuel'!R176,(T176-(E176+F176+G176)*(1-'Prices&amp;Fuel'!F176)),'Prices&amp;Fuel'!R176)/(1-'Prices&amp;Fuel'!F176)</f>
        <v>4325.96401028278</v>
      </c>
      <c r="C176" s="9" t="n">
        <f aca="false">(T176/(1-'Prices&amp;Fuel'!F176))-D176-E176-F176-G176-B176</f>
        <v>0</v>
      </c>
      <c r="D176" s="9" t="n">
        <f aca="false">ROUND(IF(T176/(1-'Prices&amp;Fuel'!F176)-E176-F176-G176-B176&gt;'Prices&amp;Fuel'!T176,'Prices&amp;Fuel'!T176,T176/(1-'Prices&amp;Fuel'!F176)-E176-F176-G176-B176),9)</f>
        <v>0</v>
      </c>
      <c r="E176" s="9" t="n">
        <f aca="false">'Prices&amp;Fuel'!U176/(1-'Prices&amp;Fuel'!F176)</f>
        <v>2635.47557840617</v>
      </c>
      <c r="F176" s="9" t="n">
        <f aca="false">('Prices&amp;Fuel'!V176+'Prices&amp;Fuel'!X176)/(1-'Prices&amp;Fuel'!F176)</f>
        <v>3645.2442159383</v>
      </c>
      <c r="G176" s="9" t="n">
        <f aca="false">'Prices&amp;Fuel'!W176/(1-'Prices&amp;Fuel'!F176)</f>
        <v>1732.64781491003</v>
      </c>
      <c r="H176" s="10" t="n">
        <f aca="false">('Prices&amp;Fuel'!C176+'Prices&amp;Fuel'!D176)/2-0+(('Prices&amp;Fuel'!M176+'Prices&amp;Fuel'!P176)*(1-'Prices&amp;Fuel'!F176))</f>
        <v>3.52518894854446</v>
      </c>
      <c r="I176" s="10"/>
      <c r="J176" s="10"/>
      <c r="K176" s="10" t="n">
        <f aca="false">(((B176+E176)*('Prices&amp;Fuel'!B176+0.025))+(('Prices&amp;Fuel'!D176+0.025)*(D176+G176))+(('Prices&amp;Fuel'!C176+0.025)*(C176+F176))-(I176+J176)*0.025)/(B176+C176+D176+E176+F176+G176)</f>
        <v>2.78986936521113</v>
      </c>
      <c r="L176" s="9" t="n">
        <f aca="false">(B176+C176+D176+E176+F176+G176)*H176*'Prices&amp;Fuel'!H176</f>
        <v>1261455.78827092</v>
      </c>
      <c r="M176" s="9" t="n">
        <f aca="false">'Prices&amp;Fuel'!X176*('Prices&amp;Fuel'!N176+'Prices&amp;Fuel'!O176)*'Prices&amp;Fuel'!H176</f>
        <v>8808.15242311328</v>
      </c>
      <c r="N176" s="9" t="n">
        <f aca="false">('Prices&amp;Fuel'!U176+'Prices&amp;Fuel'!V176+'Prices&amp;Fuel'!W176)*('Prices&amp;Fuel'!L176+'Prices&amp;Fuel'!O176)*'Prices&amp;Fuel'!H176</f>
        <v>91692.4798365087</v>
      </c>
      <c r="O176" s="9" t="n">
        <f aca="false">((B176+C176+D176)*(1-'Prices&amp;Fuel'!G176))*('Prices&amp;Fuel'!M176+'Prices&amp;Fuel'!P176)*'Prices&amp;Fuel'!H176</f>
        <v>93393.2965</v>
      </c>
      <c r="P176" s="9" t="n">
        <f aca="false">((B176+C176+D176+E176+F176+G176)/(1-'Prices&amp;Fuel'!F176))*(1-'Prices&amp;Fuel'!F176)*'Prices&amp;Fuel'!H176*0.005</f>
        <v>1789.2030848329</v>
      </c>
      <c r="Q176" s="9" t="n">
        <f aca="false">((D176+C176+B176+E176+F176+G176)*K176*'Prices&amp;Fuel'!H176)+M176+N176+O176+P176</f>
        <v>1194011.70674777</v>
      </c>
      <c r="R176" s="5" t="n">
        <f aca="false">L176-Q176</f>
        <v>67444.0815231544</v>
      </c>
      <c r="T176" s="1" t="n">
        <f aca="false">T175</f>
        <v>12000</v>
      </c>
    </row>
    <row r="177" customFormat="false" ht="11.25" hidden="false" customHeight="false" outlineLevel="0" collapsed="false">
      <c r="A177" s="6" t="n">
        <f aca="false">+A176+365/12</f>
        <v>40980.6666666667</v>
      </c>
      <c r="B177" s="5" t="n">
        <f aca="false">IF(T177-((E177+F177+G177)*(1-'Prices&amp;Fuel'!F177))&lt;'Prices&amp;Fuel'!R177,(T177-(E177+F177+G177)*(1-'Prices&amp;Fuel'!F177)),'Prices&amp;Fuel'!R177)/(1-'Prices&amp;Fuel'!F177)</f>
        <v>4325.96401028278</v>
      </c>
      <c r="C177" s="9" t="n">
        <f aca="false">(T177/(1-'Prices&amp;Fuel'!F177))-D177-E177-F177-G177-B177</f>
        <v>0</v>
      </c>
      <c r="D177" s="9" t="n">
        <f aca="false">ROUND(IF(T177/(1-'Prices&amp;Fuel'!F177)-E177-F177-G177-B177&gt;'Prices&amp;Fuel'!T177,'Prices&amp;Fuel'!T177,T177/(1-'Prices&amp;Fuel'!F177)-E177-F177-G177-B177),9)</f>
        <v>0</v>
      </c>
      <c r="E177" s="9" t="n">
        <f aca="false">'Prices&amp;Fuel'!U177/(1-'Prices&amp;Fuel'!F177)</f>
        <v>2635.47557840617</v>
      </c>
      <c r="F177" s="9" t="n">
        <f aca="false">('Prices&amp;Fuel'!V177+'Prices&amp;Fuel'!X177)/(1-'Prices&amp;Fuel'!F177)</f>
        <v>3645.2442159383</v>
      </c>
      <c r="G177" s="9" t="n">
        <f aca="false">'Prices&amp;Fuel'!W177/(1-'Prices&amp;Fuel'!F177)</f>
        <v>1732.64781491003</v>
      </c>
      <c r="H177" s="10" t="n">
        <f aca="false">('Prices&amp;Fuel'!C177+'Prices&amp;Fuel'!D177)/2-0+(('Prices&amp;Fuel'!M177+'Prices&amp;Fuel'!P177)*(1-'Prices&amp;Fuel'!F177))</f>
        <v>3.52518894854446</v>
      </c>
      <c r="I177" s="10"/>
      <c r="J177" s="10"/>
      <c r="K177" s="10" t="n">
        <f aca="false">(((B177+E177)*('Prices&amp;Fuel'!B177+0.025))+(('Prices&amp;Fuel'!D177+0.025)*(D177+G177))+(('Prices&amp;Fuel'!C177+0.025)*(C177+F177))-(I177+J177)*0.025)/(B177+C177+D177+E177+F177+G177)</f>
        <v>2.78986936521113</v>
      </c>
      <c r="L177" s="9" t="n">
        <f aca="false">(B177+C177+D177+E177+F177+G177)*H177*'Prices&amp;Fuel'!H177</f>
        <v>1348452.73918616</v>
      </c>
      <c r="M177" s="9" t="n">
        <f aca="false">'Prices&amp;Fuel'!X177*('Prices&amp;Fuel'!N177+'Prices&amp;Fuel'!O177)*'Prices&amp;Fuel'!H177</f>
        <v>9415.61121091419</v>
      </c>
      <c r="N177" s="9" t="n">
        <f aca="false">('Prices&amp;Fuel'!U177+'Prices&amp;Fuel'!V177+'Prices&amp;Fuel'!W177)*('Prices&amp;Fuel'!L177+'Prices&amp;Fuel'!O177)*'Prices&amp;Fuel'!H177</f>
        <v>98016.0991355782</v>
      </c>
      <c r="O177" s="9" t="n">
        <f aca="false">((B177+C177+D177)*(1-'Prices&amp;Fuel'!G177))*('Prices&amp;Fuel'!M177+'Prices&amp;Fuel'!P177)*'Prices&amp;Fuel'!H177</f>
        <v>99834.2135</v>
      </c>
      <c r="P177" s="9" t="n">
        <f aca="false">((B177+C177+D177+E177+F177+G177)/(1-'Prices&amp;Fuel'!F177))*(1-'Prices&amp;Fuel'!F177)*'Prices&amp;Fuel'!H177*0.005</f>
        <v>1912.59640102828</v>
      </c>
      <c r="Q177" s="9" t="n">
        <f aca="false">((D177+C177+B177+E177+F177+G177)*K177*'Prices&amp;Fuel'!H177)+M177+N177+O177+P177</f>
        <v>1276357.34169589</v>
      </c>
      <c r="R177" s="5" t="n">
        <f aca="false">L177-Q177</f>
        <v>72095.3974902686</v>
      </c>
      <c r="T177" s="1" t="n">
        <f aca="false">T176</f>
        <v>12000</v>
      </c>
    </row>
    <row r="178" customFormat="false" ht="11.25" hidden="false" customHeight="false" outlineLevel="0" collapsed="false">
      <c r="A178" s="6" t="n">
        <f aca="false">+A177+365/12</f>
        <v>41011.0833333333</v>
      </c>
      <c r="B178" s="5" t="n">
        <f aca="false">IF(T178-((E178+F178+G178)*(1-'Prices&amp;Fuel'!F178))&lt;'Prices&amp;Fuel'!R178,(T178-(E178+F178+G178)*(1-'Prices&amp;Fuel'!F178)),'Prices&amp;Fuel'!R178)/(1-'Prices&amp;Fuel'!F178)</f>
        <v>6278.66323907455</v>
      </c>
      <c r="C178" s="9" t="n">
        <f aca="false">(T178/(1-'Prices&amp;Fuel'!F178))-D178-E178-F178-G178-B178</f>
        <v>0</v>
      </c>
      <c r="D178" s="9" t="n">
        <f aca="false">ROUND(IF(T178/(1-'Prices&amp;Fuel'!F178)-E178-F178-G178-B178&gt;'Prices&amp;Fuel'!T178,'Prices&amp;Fuel'!T178,T178/(1-'Prices&amp;Fuel'!F178)-E178-F178-G178-B178),9)</f>
        <v>0</v>
      </c>
      <c r="E178" s="9" t="n">
        <f aca="false">'Prices&amp;Fuel'!U178/(1-'Prices&amp;Fuel'!F178)</f>
        <v>1933.16195372751</v>
      </c>
      <c r="F178" s="9" t="n">
        <f aca="false">('Prices&amp;Fuel'!V178+'Prices&amp;Fuel'!X178)/(1-'Prices&amp;Fuel'!F178)</f>
        <v>2833.93316195373</v>
      </c>
      <c r="G178" s="9" t="n">
        <f aca="false">'Prices&amp;Fuel'!W178/(1-'Prices&amp;Fuel'!F178)</f>
        <v>1293.57326478149</v>
      </c>
      <c r="H178" s="10" t="n">
        <f aca="false">('Prices&amp;Fuel'!C178+'Prices&amp;Fuel'!D178)/2-0+(('Prices&amp;Fuel'!M178+'Prices&amp;Fuel'!P178)*(1-'Prices&amp;Fuel'!F178))</f>
        <v>3.82343692240549</v>
      </c>
      <c r="I178" s="10"/>
      <c r="J178" s="10"/>
      <c r="K178" s="10" t="n">
        <f aca="false">(((B178+E178)*('Prices&amp;Fuel'!B178+0.025))+(('Prices&amp;Fuel'!D178+0.025)*(D178+G178))+(('Prices&amp;Fuel'!C178+0.025)*(C178+F178))-(I178+J178)*0.025)/(B178+C178+D178+E178+F178+G178)</f>
        <v>3.08381650573882</v>
      </c>
      <c r="L178" s="9" t="n">
        <f aca="false">(B178+C178+D178+E178+F178+G178)*H178*'Prices&amp;Fuel'!H178</f>
        <v>1415359.68335833</v>
      </c>
      <c r="M178" s="9" t="n">
        <f aca="false">'Prices&amp;Fuel'!X178*('Prices&amp;Fuel'!N178+'Prices&amp;Fuel'!O178)*'Prices&amp;Fuel'!H178</f>
        <v>9111.88181701374</v>
      </c>
      <c r="N178" s="9" t="n">
        <f aca="false">('Prices&amp;Fuel'!U178+'Prices&amp;Fuel'!V178+'Prices&amp;Fuel'!W178)*('Prices&amp;Fuel'!L178+'Prices&amp;Fuel'!O178)*'Prices&amp;Fuel'!H178</f>
        <v>69519.7893828091</v>
      </c>
      <c r="O178" s="9" t="n">
        <f aca="false">((B178+C178+D178)*(1-'Prices&amp;Fuel'!G178))*('Prices&amp;Fuel'!M178+'Prices&amp;Fuel'!P178)*'Prices&amp;Fuel'!H178</f>
        <v>140224.29</v>
      </c>
      <c r="P178" s="9" t="n">
        <f aca="false">((B178+C178+D178+E178+F178+G178)/(1-'Prices&amp;Fuel'!F178))*(1-'Prices&amp;Fuel'!F178)*'Prices&amp;Fuel'!H178*0.005</f>
        <v>1850.89974293059</v>
      </c>
      <c r="Q178" s="9" t="n">
        <f aca="false">((D178+C178+B178+E178+F178+G178)*K178*'Prices&amp;Fuel'!H178)+M178+N178+O178+P178</f>
        <v>1362273.89648617</v>
      </c>
      <c r="R178" s="5" t="n">
        <f aca="false">L178-Q178</f>
        <v>53085.7868721567</v>
      </c>
      <c r="T178" s="1" t="n">
        <f aca="false">T177</f>
        <v>12000</v>
      </c>
    </row>
    <row r="179" customFormat="false" ht="11.25" hidden="false" customHeight="false" outlineLevel="0" collapsed="false">
      <c r="A179" s="6" t="n">
        <f aca="false">+A178+365/12</f>
        <v>41041.5</v>
      </c>
      <c r="B179" s="5" t="n">
        <f aca="false">IF(T179-((E179+F179+G179)*(1-'Prices&amp;Fuel'!F179))&lt;'Prices&amp;Fuel'!R179,(T179-(E179+F179+G179)*(1-'Prices&amp;Fuel'!F179)),'Prices&amp;Fuel'!R179)/(1-'Prices&amp;Fuel'!F179)</f>
        <v>8976.86375321337</v>
      </c>
      <c r="C179" s="9" t="n">
        <f aca="false">(T179/(1-'Prices&amp;Fuel'!F179))-D179-E179-F179-G179-B179</f>
        <v>1.38243194669485E-010</v>
      </c>
      <c r="D179" s="9" t="n">
        <f aca="false">ROUND(IF(T179/(1-'Prices&amp;Fuel'!F179)-E179-F179-G179-B179&gt;'Prices&amp;Fuel'!T179,'Prices&amp;Fuel'!T179,T179/(1-'Prices&amp;Fuel'!F179)-E179-F179-G179-B179),9)</f>
        <v>6556.298200514</v>
      </c>
      <c r="E179" s="9" t="n">
        <f aca="false">'Prices&amp;Fuel'!U179/(1-'Prices&amp;Fuel'!F179)</f>
        <v>1933.16195372751</v>
      </c>
      <c r="F179" s="9" t="n">
        <f aca="false">('Prices&amp;Fuel'!V179+'Prices&amp;Fuel'!X179)/(1-'Prices&amp;Fuel'!F179)</f>
        <v>3062.21079691517</v>
      </c>
      <c r="G179" s="9" t="n">
        <f aca="false">'Prices&amp;Fuel'!W179/(1-'Prices&amp;Fuel'!F179)</f>
        <v>1065.29562982005</v>
      </c>
      <c r="H179" s="10" t="n">
        <f aca="false">('Prices&amp;Fuel'!C179+'Prices&amp;Fuel'!D179)/2-0+(('Prices&amp;Fuel'!M179+'Prices&amp;Fuel'!P179)*(1-'Prices&amp;Fuel'!F179))</f>
        <v>4.03331512623362</v>
      </c>
      <c r="I179" s="10"/>
      <c r="J179" s="10"/>
      <c r="K179" s="10" t="n">
        <f aca="false">(((B179+E179)*('Prices&amp;Fuel'!B179+0.025))+(('Prices&amp;Fuel'!D179+0.025)*(D179+G179))+(('Prices&amp;Fuel'!C179+0.025)*(C179+F179))-(I179+J179)*0.025)/(B179+C179+D179+E179+F179+G179)</f>
        <v>3.29090447147171</v>
      </c>
      <c r="L179" s="9" t="n">
        <f aca="false">(B179+C179+D179+E179+F179+G179)*H179*'Prices&amp;Fuel'!H179</f>
        <v>2699936.39812656</v>
      </c>
      <c r="M179" s="9" t="n">
        <f aca="false">'Prices&amp;Fuel'!X179*('Prices&amp;Fuel'!N179+'Prices&amp;Fuel'!O179)*'Prices&amp;Fuel'!H179</f>
        <v>9415.61121091419</v>
      </c>
      <c r="N179" s="9" t="n">
        <f aca="false">('Prices&amp;Fuel'!U179+'Prices&amp;Fuel'!V179+'Prices&amp;Fuel'!W179)*('Prices&amp;Fuel'!L179+'Prices&amp;Fuel'!O179)*'Prices&amp;Fuel'!H179</f>
        <v>71837.1156955693</v>
      </c>
      <c r="O179" s="9" t="n">
        <f aca="false">((B179+C179+D179)*(1-'Prices&amp;Fuel'!G179))*('Prices&amp;Fuel'!M179+'Prices&amp;Fuel'!P179)*'Prices&amp;Fuel'!H179</f>
        <v>358472.933</v>
      </c>
      <c r="P179" s="9" t="n">
        <f aca="false">((B179+C179+D179+E179+F179+G179)/(1-'Prices&amp;Fuel'!F179))*(1-'Prices&amp;Fuel'!F179)*'Prices&amp;Fuel'!H179*0.005</f>
        <v>3347.04370179949</v>
      </c>
      <c r="Q179" s="9" t="n">
        <f aca="false">((D179+C179+B179+E179+F179+G179)*K179*'Prices&amp;Fuel'!H179)+M179+N179+O179+P179</f>
        <v>2646032.92050091</v>
      </c>
      <c r="R179" s="5" t="n">
        <f aca="false">L179-Q179</f>
        <v>53903.4776256494</v>
      </c>
      <c r="T179" s="1" t="n">
        <v>21000</v>
      </c>
    </row>
    <row r="180" customFormat="false" ht="11.25" hidden="false" customHeight="false" outlineLevel="0" collapsed="false">
      <c r="A180" s="6" t="n">
        <f aca="false">+A179+365/12</f>
        <v>41071.9166666667</v>
      </c>
      <c r="B180" s="5" t="n">
        <f aca="false">IF(T180-((E180+F180+G180)*(1-'Prices&amp;Fuel'!F180))&lt;'Prices&amp;Fuel'!R180,(T180-(E180+F180+G180)*(1-'Prices&amp;Fuel'!F180)),'Prices&amp;Fuel'!R180)/(1-'Prices&amp;Fuel'!F180)</f>
        <v>8976.86375321337</v>
      </c>
      <c r="C180" s="9" t="n">
        <f aca="false">(T180/(1-'Prices&amp;Fuel'!F180))-D180-E180-F180-G180-B180</f>
        <v>1.38243194669485E-010</v>
      </c>
      <c r="D180" s="9" t="n">
        <f aca="false">ROUND(IF(T180/(1-'Prices&amp;Fuel'!F180)-E180-F180-G180-B180&gt;'Prices&amp;Fuel'!T180,'Prices&amp;Fuel'!T180,T180/(1-'Prices&amp;Fuel'!F180)-E180-F180-G180-B180),9)</f>
        <v>6556.298200514</v>
      </c>
      <c r="E180" s="9" t="n">
        <f aca="false">'Prices&amp;Fuel'!U180/(1-'Prices&amp;Fuel'!F180)</f>
        <v>1933.16195372751</v>
      </c>
      <c r="F180" s="9" t="n">
        <f aca="false">('Prices&amp;Fuel'!V180+'Prices&amp;Fuel'!X180)/(1-'Prices&amp;Fuel'!F180)</f>
        <v>3062.21079691517</v>
      </c>
      <c r="G180" s="9" t="n">
        <f aca="false">'Prices&amp;Fuel'!W180/(1-'Prices&amp;Fuel'!F180)</f>
        <v>1065.29562982005</v>
      </c>
      <c r="H180" s="10" t="n">
        <f aca="false">('Prices&amp;Fuel'!C180+'Prices&amp;Fuel'!D180)/2-0+(('Prices&amp;Fuel'!M180+'Prices&amp;Fuel'!P180)*(1-'Prices&amp;Fuel'!F180))</f>
        <v>5.48037011052229</v>
      </c>
      <c r="I180" s="10"/>
      <c r="J180" s="10"/>
      <c r="K180" s="10" t="n">
        <f aca="false">(((B180+E180)*('Prices&amp;Fuel'!B180+0.025))+(('Prices&amp;Fuel'!D180+0.025)*(D180+G180))+(('Prices&amp;Fuel'!C180+0.025)*(C180+F180))-(I180+J180)*0.025)/(B180+C180+D180+E180+F180+G180)</f>
        <v>4.73795945576039</v>
      </c>
      <c r="L180" s="9" t="n">
        <f aca="false">(B180+C180+D180+E180+F180+G180)*H180*'Prices&amp;Fuel'!H180</f>
        <v>3550265.47005557</v>
      </c>
      <c r="M180" s="9" t="n">
        <f aca="false">'Prices&amp;Fuel'!X180*('Prices&amp;Fuel'!N180+'Prices&amp;Fuel'!O180)*'Prices&amp;Fuel'!H180</f>
        <v>9111.88181701374</v>
      </c>
      <c r="N180" s="9" t="n">
        <f aca="false">('Prices&amp;Fuel'!U180+'Prices&amp;Fuel'!V180+'Prices&amp;Fuel'!W180)*('Prices&amp;Fuel'!L180+'Prices&amp;Fuel'!O180)*'Prices&amp;Fuel'!H180</f>
        <v>69519.7893828091</v>
      </c>
      <c r="O180" s="9" t="n">
        <f aca="false">((B180+C180+D180)*(1-'Prices&amp;Fuel'!G180))*('Prices&amp;Fuel'!M180+'Prices&amp;Fuel'!P180)*'Prices&amp;Fuel'!H180</f>
        <v>346909.29</v>
      </c>
      <c r="P180" s="9" t="n">
        <f aca="false">((B180+C180+D180+E180+F180+G180)/(1-'Prices&amp;Fuel'!F180))*(1-'Prices&amp;Fuel'!F180)*'Prices&amp;Fuel'!H180*0.005</f>
        <v>3239.07455012853</v>
      </c>
      <c r="Q180" s="9" t="n">
        <f aca="false">((D180+C180+B180+E180+F180+G180)*K180*'Prices&amp;Fuel'!H180)+M180+N180+O180+P180</f>
        <v>3498100.81428881</v>
      </c>
      <c r="R180" s="5" t="n">
        <f aca="false">L180-Q180</f>
        <v>52164.6557667572</v>
      </c>
      <c r="T180" s="1" t="n">
        <f aca="false">T179</f>
        <v>21000</v>
      </c>
    </row>
    <row r="181" customFormat="false" ht="11.25" hidden="false" customHeight="false" outlineLevel="0" collapsed="false">
      <c r="A181" s="6" t="n">
        <f aca="false">+A180+365/12</f>
        <v>41102.3333333333</v>
      </c>
      <c r="B181" s="5" t="n">
        <f aca="false">IF(T181-((E181+F181+G181)*(1-'Prices&amp;Fuel'!F181))&lt;'Prices&amp;Fuel'!R181,(T181-(E181+F181+G181)*(1-'Prices&amp;Fuel'!F181)),'Prices&amp;Fuel'!R181)/(1-'Prices&amp;Fuel'!F181)</f>
        <v>8976.86375321337</v>
      </c>
      <c r="C181" s="9" t="n">
        <f aca="false">(T181/(1-'Prices&amp;Fuel'!F181))-D181-E181-F181-G181-B181</f>
        <v>1.38243194669485E-010</v>
      </c>
      <c r="D181" s="9" t="n">
        <f aca="false">ROUND(IF(T181/(1-'Prices&amp;Fuel'!F181)-E181-F181-G181-B181&gt;'Prices&amp;Fuel'!T181,'Prices&amp;Fuel'!T181,T181/(1-'Prices&amp;Fuel'!F181)-E181-F181-G181-B181),9)</f>
        <v>6556.298200514</v>
      </c>
      <c r="E181" s="9" t="n">
        <f aca="false">'Prices&amp;Fuel'!U181/(1-'Prices&amp;Fuel'!F181)</f>
        <v>1933.16195372751</v>
      </c>
      <c r="F181" s="9" t="n">
        <f aca="false">('Prices&amp;Fuel'!V181+'Prices&amp;Fuel'!X181)/(1-'Prices&amp;Fuel'!F181)</f>
        <v>3062.21079691517</v>
      </c>
      <c r="G181" s="9" t="n">
        <f aca="false">'Prices&amp;Fuel'!W181/(1-'Prices&amp;Fuel'!F181)</f>
        <v>1065.29562982005</v>
      </c>
      <c r="H181" s="10" t="n">
        <f aca="false">('Prices&amp;Fuel'!C181+'Prices&amp;Fuel'!D181)/2-0+(('Prices&amp;Fuel'!M181+'Prices&amp;Fuel'!P181)*(1-'Prices&amp;Fuel'!F181))</f>
        <v>5.46932388926818</v>
      </c>
      <c r="I181" s="10"/>
      <c r="J181" s="10"/>
      <c r="K181" s="10" t="n">
        <f aca="false">(((B181+E181)*('Prices&amp;Fuel'!B181+0.025))+(('Prices&amp;Fuel'!D181+0.025)*(D181+G181))+(('Prices&amp;Fuel'!C181+0.025)*(C181+F181))-(I181+J181)*0.025)/(B181+C181+D181+E181+F181+G181)</f>
        <v>4.72691323450628</v>
      </c>
      <c r="L181" s="9" t="n">
        <f aca="false">(B181+C181+D181+E181+F181+G181)*H181*'Prices&amp;Fuel'!H181</f>
        <v>3661213.21533531</v>
      </c>
      <c r="M181" s="9" t="n">
        <f aca="false">'Prices&amp;Fuel'!X181*('Prices&amp;Fuel'!N181+'Prices&amp;Fuel'!O181)*'Prices&amp;Fuel'!H181</f>
        <v>9415.61121091419</v>
      </c>
      <c r="N181" s="9" t="n">
        <f aca="false">('Prices&amp;Fuel'!U181+'Prices&amp;Fuel'!V181+'Prices&amp;Fuel'!W181)*('Prices&amp;Fuel'!L181+'Prices&amp;Fuel'!O181)*'Prices&amp;Fuel'!H181</f>
        <v>71837.1156955693</v>
      </c>
      <c r="O181" s="9" t="n">
        <f aca="false">((B181+C181+D181)*(1-'Prices&amp;Fuel'!G181))*('Prices&amp;Fuel'!M181+'Prices&amp;Fuel'!P181)*'Prices&amp;Fuel'!H181</f>
        <v>358472.933</v>
      </c>
      <c r="P181" s="9" t="n">
        <f aca="false">((B181+C181+D181+E181+F181+G181)/(1-'Prices&amp;Fuel'!F181))*(1-'Prices&amp;Fuel'!F181)*'Prices&amp;Fuel'!H181*0.005</f>
        <v>3347.04370179949</v>
      </c>
      <c r="Q181" s="9" t="n">
        <f aca="false">((D181+C181+B181+E181+F181+G181)*K181*'Prices&amp;Fuel'!H181)+M181+N181+O181+P181</f>
        <v>3607309.73770966</v>
      </c>
      <c r="R181" s="5" t="n">
        <f aca="false">L181-Q181</f>
        <v>53903.4776256499</v>
      </c>
      <c r="T181" s="1" t="n">
        <f aca="false">T180</f>
        <v>21000</v>
      </c>
    </row>
    <row r="182" customFormat="false" ht="11.25" hidden="false" customHeight="false" outlineLevel="0" collapsed="false">
      <c r="A182" s="6" t="n">
        <f aca="false">+A181+365/12</f>
        <v>41132.75</v>
      </c>
      <c r="B182" s="5" t="n">
        <f aca="false">IF(T182-((E182+F182+G182)*(1-'Prices&amp;Fuel'!F182))&lt;'Prices&amp;Fuel'!R182,(T182-(E182+F182+G182)*(1-'Prices&amp;Fuel'!F182)),'Prices&amp;Fuel'!R182)/(1-'Prices&amp;Fuel'!F182)</f>
        <v>8976.86375321337</v>
      </c>
      <c r="C182" s="9" t="n">
        <f aca="false">(T182/(1-'Prices&amp;Fuel'!F182))-D182-E182-F182-G182-B182</f>
        <v>1.38243194669485E-010</v>
      </c>
      <c r="D182" s="9" t="n">
        <f aca="false">ROUND(IF(T182/(1-'Prices&amp;Fuel'!F182)-E182-F182-G182-B182&gt;'Prices&amp;Fuel'!T182,'Prices&amp;Fuel'!T182,T182/(1-'Prices&amp;Fuel'!F182)-E182-F182-G182-B182),9)</f>
        <v>6556.298200514</v>
      </c>
      <c r="E182" s="9" t="n">
        <f aca="false">'Prices&amp;Fuel'!U182/(1-'Prices&amp;Fuel'!F182)</f>
        <v>1933.16195372751</v>
      </c>
      <c r="F182" s="9" t="n">
        <f aca="false">('Prices&amp;Fuel'!V182+'Prices&amp;Fuel'!X182)/(1-'Prices&amp;Fuel'!F182)</f>
        <v>3062.21079691517</v>
      </c>
      <c r="G182" s="9" t="n">
        <f aca="false">'Prices&amp;Fuel'!W182/(1-'Prices&amp;Fuel'!F182)</f>
        <v>1065.29562982005</v>
      </c>
      <c r="H182" s="10" t="n">
        <f aca="false">('Prices&amp;Fuel'!C182+'Prices&amp;Fuel'!D182)/2-0+(('Prices&amp;Fuel'!M182+'Prices&amp;Fuel'!P182)*(1-'Prices&amp;Fuel'!F182))</f>
        <v>4.87282794154613</v>
      </c>
      <c r="I182" s="10"/>
      <c r="J182" s="10"/>
      <c r="K182" s="10" t="n">
        <f aca="false">(((B182+E182)*('Prices&amp;Fuel'!B182+0.025))+(('Prices&amp;Fuel'!D182+0.025)*(D182+G182))+(('Prices&amp;Fuel'!C182+0.025)*(C182+F182))-(I182+J182)*0.025)/(B182+C182+D182+E182+F182+G182)</f>
        <v>4.13041728678423</v>
      </c>
      <c r="L182" s="9" t="n">
        <f aca="false">(B182+C182+D182+E182+F182+G182)*H182*'Prices&amp;Fuel'!H182</f>
        <v>3261913.6143409</v>
      </c>
      <c r="M182" s="9" t="n">
        <f aca="false">'Prices&amp;Fuel'!X182*('Prices&amp;Fuel'!N182+'Prices&amp;Fuel'!O182)*'Prices&amp;Fuel'!H182</f>
        <v>9415.61121091419</v>
      </c>
      <c r="N182" s="9" t="n">
        <f aca="false">('Prices&amp;Fuel'!U182+'Prices&amp;Fuel'!V182+'Prices&amp;Fuel'!W182)*('Prices&amp;Fuel'!L182+'Prices&amp;Fuel'!O182)*'Prices&amp;Fuel'!H182</f>
        <v>71837.1156955693</v>
      </c>
      <c r="O182" s="9" t="n">
        <f aca="false">((B182+C182+D182)*(1-'Prices&amp;Fuel'!G182))*('Prices&amp;Fuel'!M182+'Prices&amp;Fuel'!P182)*'Prices&amp;Fuel'!H182</f>
        <v>358472.933</v>
      </c>
      <c r="P182" s="9" t="n">
        <f aca="false">((B182+C182+D182+E182+F182+G182)/(1-'Prices&amp;Fuel'!F182))*(1-'Prices&amp;Fuel'!F182)*'Prices&amp;Fuel'!H182*0.005</f>
        <v>3347.04370179949</v>
      </c>
      <c r="Q182" s="9" t="n">
        <f aca="false">((D182+C182+B182+E182+F182+G182)*K182*'Prices&amp;Fuel'!H182)+M182+N182+O182+P182</f>
        <v>3208010.13671526</v>
      </c>
      <c r="R182" s="5" t="n">
        <f aca="false">L182-Q182</f>
        <v>53903.477625649</v>
      </c>
      <c r="T182" s="1" t="n">
        <f aca="false">T181</f>
        <v>21000</v>
      </c>
    </row>
    <row r="183" customFormat="false" ht="11.25" hidden="false" customHeight="false" outlineLevel="0" collapsed="false">
      <c r="A183" s="6" t="n">
        <f aca="false">+A182+365/12</f>
        <v>41163.1666666667</v>
      </c>
      <c r="B183" s="5" t="n">
        <f aca="false">IF(T183-((E183+F183+G183)*(1-'Prices&amp;Fuel'!F183))&lt;'Prices&amp;Fuel'!R183,(T183-(E183+F183+G183)*(1-'Prices&amp;Fuel'!F183)),'Prices&amp;Fuel'!R183)/(1-'Prices&amp;Fuel'!F183)</f>
        <v>8976.86375321337</v>
      </c>
      <c r="C183" s="9" t="n">
        <f aca="false">(T183/(1-'Prices&amp;Fuel'!F183))-D183-E183-F183-G183-B183</f>
        <v>1.38243194669485E-010</v>
      </c>
      <c r="D183" s="9" t="n">
        <f aca="false">ROUND(IF(T183/(1-'Prices&amp;Fuel'!F183)-E183-F183-G183-B183&gt;'Prices&amp;Fuel'!T183,'Prices&amp;Fuel'!T183,T183/(1-'Prices&amp;Fuel'!F183)-E183-F183-G183-B183),9)</f>
        <v>6556.298200514</v>
      </c>
      <c r="E183" s="9" t="n">
        <f aca="false">'Prices&amp;Fuel'!U183/(1-'Prices&amp;Fuel'!F183)</f>
        <v>1933.16195372751</v>
      </c>
      <c r="F183" s="9" t="n">
        <f aca="false">('Prices&amp;Fuel'!V183+'Prices&amp;Fuel'!X183)/(1-'Prices&amp;Fuel'!F183)</f>
        <v>3062.21079691517</v>
      </c>
      <c r="G183" s="9" t="n">
        <f aca="false">'Prices&amp;Fuel'!W183/(1-'Prices&amp;Fuel'!F183)</f>
        <v>1065.29562982005</v>
      </c>
      <c r="H183" s="10" t="n">
        <f aca="false">('Prices&amp;Fuel'!C183+'Prices&amp;Fuel'!D183)/2-0+(('Prices&amp;Fuel'!M183+'Prices&amp;Fuel'!P183)*(1-'Prices&amp;Fuel'!F183))</f>
        <v>5.72338697811276</v>
      </c>
      <c r="I183" s="10"/>
      <c r="J183" s="10"/>
      <c r="K183" s="10" t="n">
        <f aca="false">(((B183+E183)*('Prices&amp;Fuel'!B183+0.025))+(('Prices&amp;Fuel'!D183+0.025)*(D183+G183))+(('Prices&amp;Fuel'!C183+0.025)*(C183+F183))-(I183+J183)*0.025)/(B183+C183+D183+E183+F183+G183)</f>
        <v>4.98097632335086</v>
      </c>
      <c r="L183" s="9" t="n">
        <f aca="false">(B183+C183+D183+E183+F183+G183)*H183*'Prices&amp;Fuel'!H183</f>
        <v>3707695.42026842</v>
      </c>
      <c r="M183" s="9" t="n">
        <f aca="false">'Prices&amp;Fuel'!X183*('Prices&amp;Fuel'!N183+'Prices&amp;Fuel'!O183)*'Prices&amp;Fuel'!H183</f>
        <v>9111.88181701374</v>
      </c>
      <c r="N183" s="9" t="n">
        <f aca="false">('Prices&amp;Fuel'!U183+'Prices&amp;Fuel'!V183+'Prices&amp;Fuel'!W183)*('Prices&amp;Fuel'!L183+'Prices&amp;Fuel'!O183)*'Prices&amp;Fuel'!H183</f>
        <v>69519.7893828091</v>
      </c>
      <c r="O183" s="9" t="n">
        <f aca="false">((B183+C183+D183)*(1-'Prices&amp;Fuel'!G183))*('Prices&amp;Fuel'!M183+'Prices&amp;Fuel'!P183)*'Prices&amp;Fuel'!H183</f>
        <v>346909.29</v>
      </c>
      <c r="P183" s="9" t="n">
        <f aca="false">((B183+C183+D183+E183+F183+G183)/(1-'Prices&amp;Fuel'!F183))*(1-'Prices&amp;Fuel'!F183)*'Prices&amp;Fuel'!H183*0.005</f>
        <v>3239.07455012853</v>
      </c>
      <c r="Q183" s="9" t="n">
        <f aca="false">((D183+C183+B183+E183+F183+G183)*K183*'Prices&amp;Fuel'!H183)+M183+N183+O183+P183</f>
        <v>3655530.76450166</v>
      </c>
      <c r="R183" s="5" t="n">
        <f aca="false">L183-Q183</f>
        <v>52164.6557667572</v>
      </c>
      <c r="T183" s="1" t="n">
        <f aca="false">T182</f>
        <v>21000</v>
      </c>
    </row>
    <row r="184" customFormat="false" ht="11.25" hidden="false" customHeight="false" outlineLevel="0" collapsed="false">
      <c r="A184" s="6" t="n">
        <f aca="false">+A183+365/12</f>
        <v>41193.5833333333</v>
      </c>
      <c r="B184" s="5" t="n">
        <f aca="false">IF(T184-((E184+F184+G184)*(1-'Prices&amp;Fuel'!F184))&lt;'Prices&amp;Fuel'!R184,(T184-(E184+F184+G184)*(1-'Prices&amp;Fuel'!F184)),'Prices&amp;Fuel'!R184)/(1-'Prices&amp;Fuel'!F184)</f>
        <v>8976.86375321337</v>
      </c>
      <c r="C184" s="9" t="n">
        <f aca="false">(T184/(1-'Prices&amp;Fuel'!F184))-D184-E184-F184-G184-B184</f>
        <v>2.0190782379359E-010</v>
      </c>
      <c r="D184" s="9" t="n">
        <f aca="false">ROUND(IF(T184/(1-'Prices&amp;Fuel'!F184)-E184-F184-G184-B184&gt;'Prices&amp;Fuel'!T184,'Prices&amp;Fuel'!T184,T184/(1-'Prices&amp;Fuel'!F184)-E184-F184-G184-B184),9)</f>
        <v>3514.652956298</v>
      </c>
      <c r="E184" s="9" t="n">
        <f aca="false">'Prices&amp;Fuel'!U184/(1-'Prices&amp;Fuel'!F184)</f>
        <v>2910.02570694087</v>
      </c>
      <c r="F184" s="9" t="n">
        <f aca="false">('Prices&amp;Fuel'!V184+'Prices&amp;Fuel'!X184)/(1-'Prices&amp;Fuel'!F184)</f>
        <v>4628.27763496144</v>
      </c>
      <c r="G184" s="9" t="n">
        <f aca="false">'Prices&amp;Fuel'!W184/(1-'Prices&amp;Fuel'!F184)</f>
        <v>1564.01028277635</v>
      </c>
      <c r="H184" s="10" t="n">
        <f aca="false">('Prices&amp;Fuel'!C184+'Prices&amp;Fuel'!D184)/2-0+(('Prices&amp;Fuel'!M184+'Prices&amp;Fuel'!P184)*(1-'Prices&amp;Fuel'!F184))</f>
        <v>6.47453002339238</v>
      </c>
      <c r="I184" s="10"/>
      <c r="J184" s="10"/>
      <c r="K184" s="10" t="n">
        <f aca="false">(((B184+E184)*('Prices&amp;Fuel'!B184+0.025))+(('Prices&amp;Fuel'!D184+0.025)*(D184+G184))+(('Prices&amp;Fuel'!C184+0.025)*(C184+F184))-(I184+J184)*0.025)/(B184+C184+D184+E184+F184+G184)</f>
        <v>5.73529317815428</v>
      </c>
      <c r="L184" s="9" t="n">
        <f aca="false">(B184+C184+D184+E184+F184+G184)*H184*'Prices&amp;Fuel'!H184</f>
        <v>4334106.98738143</v>
      </c>
      <c r="M184" s="9" t="n">
        <f aca="false">'Prices&amp;Fuel'!X184*('Prices&amp;Fuel'!N184+'Prices&amp;Fuel'!O184)*'Prices&amp;Fuel'!H184</f>
        <v>13799.4536195097</v>
      </c>
      <c r="N184" s="9" t="n">
        <f aca="false">('Prices&amp;Fuel'!U184+'Prices&amp;Fuel'!V184+'Prices&amp;Fuel'!W184)*('Prices&amp;Fuel'!L184+'Prices&amp;Fuel'!O184)*'Prices&amp;Fuel'!H184</f>
        <v>108231.279087683</v>
      </c>
      <c r="O184" s="9" t="n">
        <f aca="false">((B184+C184+D184)*(1-'Prices&amp;Fuel'!G184))*('Prices&amp;Fuel'!M184+'Prices&amp;Fuel'!P184)*'Prices&amp;Fuel'!H184</f>
        <v>288278.114</v>
      </c>
      <c r="P184" s="9" t="n">
        <f aca="false">((B184+C184+D184+E184+F184+G184)/(1-'Prices&amp;Fuel'!F184))*(1-'Prices&amp;Fuel'!F184)*'Prices&amp;Fuel'!H184*0.005</f>
        <v>3347.04370179949</v>
      </c>
      <c r="Q184" s="9" t="n">
        <f aca="false">((D184+C184+B184+E184+F184+G184)*K184*'Prices&amp;Fuel'!H184)+M184+N184+O184+P184</f>
        <v>4252911.27239196</v>
      </c>
      <c r="R184" s="5" t="n">
        <f aca="false">L184-Q184</f>
        <v>81195.7149894647</v>
      </c>
      <c r="T184" s="1" t="n">
        <f aca="false">T183</f>
        <v>21000</v>
      </c>
    </row>
    <row r="185" customFormat="false" ht="11.25" hidden="false" customHeight="false" outlineLevel="0" collapsed="false">
      <c r="A185" s="6" t="n">
        <f aca="false">+A184+365/12</f>
        <v>41224</v>
      </c>
      <c r="B185" s="5" t="n">
        <f aca="false">IF(T185-((E185+F185+G185)*(1-'Prices&amp;Fuel'!F185))&lt;'Prices&amp;Fuel'!R185,(T185-(E185+F185+G185)*(1-'Prices&amp;Fuel'!F185)),'Prices&amp;Fuel'!R185)/(1-'Prices&amp;Fuel'!F185)</f>
        <v>4325.96401028278</v>
      </c>
      <c r="C185" s="9" t="n">
        <f aca="false">(T185/(1-'Prices&amp;Fuel'!F185))-D185-E185-F185-G185-B185</f>
        <v>0</v>
      </c>
      <c r="D185" s="9" t="n">
        <f aca="false">ROUND(IF(T185/(1-'Prices&amp;Fuel'!F185)-E185-F185-G185-B185&gt;'Prices&amp;Fuel'!T185,'Prices&amp;Fuel'!T185,T185/(1-'Prices&amp;Fuel'!F185)-E185-F185-G185-B185),9)</f>
        <v>0</v>
      </c>
      <c r="E185" s="9" t="n">
        <f aca="false">'Prices&amp;Fuel'!U185/(1-'Prices&amp;Fuel'!F185)</f>
        <v>2635.47557840617</v>
      </c>
      <c r="F185" s="9" t="n">
        <f aca="false">('Prices&amp;Fuel'!V185+'Prices&amp;Fuel'!X185)/(1-'Prices&amp;Fuel'!F185)</f>
        <v>3645.2442159383</v>
      </c>
      <c r="G185" s="9" t="n">
        <f aca="false">'Prices&amp;Fuel'!W185/(1-'Prices&amp;Fuel'!F185)</f>
        <v>1732.64781491003</v>
      </c>
      <c r="H185" s="10" t="n">
        <f aca="false">('Prices&amp;Fuel'!C185+'Prices&amp;Fuel'!D185)/2-0+(('Prices&amp;Fuel'!M185+'Prices&amp;Fuel'!P185)*(1-'Prices&amp;Fuel'!F185))</f>
        <v>4.56353374643099</v>
      </c>
      <c r="I185" s="10"/>
      <c r="J185" s="10"/>
      <c r="K185" s="10" t="n">
        <f aca="false">(((B185+E185)*('Prices&amp;Fuel'!B185+0.025))+(('Prices&amp;Fuel'!D185+0.025)*(D185+G185))+(('Prices&amp;Fuel'!C185+0.025)*(C185+F185))-(I185+J185)*0.025)/(B185+C185+D185+E185+F185+G185)</f>
        <v>3.82821416309766</v>
      </c>
      <c r="L185" s="9" t="n">
        <f aca="false">(B185+C185+D185+E185+F185+G185)*H185*'Prices&amp;Fuel'!H185</f>
        <v>1689328.68762484</v>
      </c>
      <c r="M185" s="9" t="n">
        <f aca="false">'Prices&amp;Fuel'!X185*('Prices&amp;Fuel'!N185+'Prices&amp;Fuel'!O185)*'Prices&amp;Fuel'!H185</f>
        <v>9111.88181701374</v>
      </c>
      <c r="N185" s="9" t="n">
        <f aca="false">('Prices&amp;Fuel'!U185+'Prices&amp;Fuel'!V185+'Prices&amp;Fuel'!W185)*('Prices&amp;Fuel'!L185+'Prices&amp;Fuel'!O185)*'Prices&amp;Fuel'!H185</f>
        <v>94854.2894860434</v>
      </c>
      <c r="O185" s="9" t="n">
        <f aca="false">((B185+C185+D185)*(1-'Prices&amp;Fuel'!G185))*('Prices&amp;Fuel'!M185+'Prices&amp;Fuel'!P185)*'Prices&amp;Fuel'!H185</f>
        <v>96613.755</v>
      </c>
      <c r="P185" s="9" t="n">
        <f aca="false">((B185+C185+D185+E185+F185+G185)/(1-'Prices&amp;Fuel'!F185))*(1-'Prices&amp;Fuel'!F185)*'Prices&amp;Fuel'!H185*0.005</f>
        <v>1850.89974293059</v>
      </c>
      <c r="Q185" s="9" t="n">
        <f aca="false">((D185+C185+B185+E185+F185+G185)*K185*'Prices&amp;Fuel'!H185)+M185+N185+O185+P185</f>
        <v>1619558.94811813</v>
      </c>
      <c r="R185" s="5" t="n">
        <f aca="false">L185-Q185</f>
        <v>69769.7395067113</v>
      </c>
      <c r="T185" s="1" t="n">
        <v>12000</v>
      </c>
    </row>
    <row r="186" customFormat="false" ht="11.25" hidden="false" customHeight="false" outlineLevel="0" collapsed="false">
      <c r="A186" s="6" t="n">
        <f aca="false">+A185+365/12</f>
        <v>41254.4166666667</v>
      </c>
      <c r="B186" s="5" t="n">
        <f aca="false">IF(T186-((E186+F186+G186)*(1-'Prices&amp;Fuel'!F186))&lt;'Prices&amp;Fuel'!R186,(T186-(E186+F186+G186)*(1-'Prices&amp;Fuel'!F186)),'Prices&amp;Fuel'!R186)/(1-'Prices&amp;Fuel'!F186)</f>
        <v>4325.96401028278</v>
      </c>
      <c r="C186" s="9" t="n">
        <f aca="false">(T186/(1-'Prices&amp;Fuel'!F186))-D186-E186-F186-G186-B186</f>
        <v>0</v>
      </c>
      <c r="D186" s="9" t="n">
        <f aca="false">ROUND(IF(T186/(1-'Prices&amp;Fuel'!F186)-E186-F186-G186-B186&gt;'Prices&amp;Fuel'!T186,'Prices&amp;Fuel'!T186,T186/(1-'Prices&amp;Fuel'!F186)-E186-F186-G186-B186),9)</f>
        <v>0</v>
      </c>
      <c r="E186" s="9" t="n">
        <f aca="false">'Prices&amp;Fuel'!U186/(1-'Prices&amp;Fuel'!F186)</f>
        <v>2635.47557840617</v>
      </c>
      <c r="F186" s="9" t="n">
        <f aca="false">('Prices&amp;Fuel'!V186+'Prices&amp;Fuel'!X186)/(1-'Prices&amp;Fuel'!F186)</f>
        <v>3645.2442159383</v>
      </c>
      <c r="G186" s="9" t="n">
        <f aca="false">'Prices&amp;Fuel'!W186/(1-'Prices&amp;Fuel'!F186)</f>
        <v>1732.64781491003</v>
      </c>
      <c r="H186" s="10" t="n">
        <f aca="false">('Prices&amp;Fuel'!C186+'Prices&amp;Fuel'!D186)/2-0+(('Prices&amp;Fuel'!M186+'Prices&amp;Fuel'!P186)*(1-'Prices&amp;Fuel'!F186))</f>
        <v>3.59146627606913</v>
      </c>
      <c r="I186" s="10"/>
      <c r="J186" s="10"/>
      <c r="K186" s="10" t="n">
        <f aca="false">(((B186+E186)*('Prices&amp;Fuel'!B186+0.025))+(('Prices&amp;Fuel'!D186+0.025)*(D186+G186))+(('Prices&amp;Fuel'!C186+0.025)*(C186+F186))-(I186+J186)*0.025)/(B186+C186+D186+E186+F186+G186)</f>
        <v>2.8561466927358</v>
      </c>
      <c r="L186" s="9" t="n">
        <f aca="false">(B186+C186+D186+E186+F186+G186)*H186*'Prices&amp;Fuel'!H186</f>
        <v>1373805.09480485</v>
      </c>
      <c r="M186" s="9" t="n">
        <f aca="false">'Prices&amp;Fuel'!X186*('Prices&amp;Fuel'!N186+'Prices&amp;Fuel'!O186)*'Prices&amp;Fuel'!H186</f>
        <v>9415.61121091419</v>
      </c>
      <c r="N186" s="9" t="n">
        <f aca="false">('Prices&amp;Fuel'!U186+'Prices&amp;Fuel'!V186+'Prices&amp;Fuel'!W186)*('Prices&amp;Fuel'!L186+'Prices&amp;Fuel'!O186)*'Prices&amp;Fuel'!H186</f>
        <v>98016.0991355782</v>
      </c>
      <c r="O186" s="9" t="n">
        <f aca="false">((B186+C186+D186)*(1-'Prices&amp;Fuel'!G186))*('Prices&amp;Fuel'!M186+'Prices&amp;Fuel'!P186)*'Prices&amp;Fuel'!H186</f>
        <v>99834.2135</v>
      </c>
      <c r="P186" s="9" t="n">
        <f aca="false">((B186+C186+D186+E186+F186+G186)/(1-'Prices&amp;Fuel'!F186))*(1-'Prices&amp;Fuel'!F186)*'Prices&amp;Fuel'!H186*0.005</f>
        <v>1912.59640102828</v>
      </c>
      <c r="Q186" s="9" t="n">
        <f aca="false">((D186+C186+B186+E186+F186+G186)*K186*'Prices&amp;Fuel'!H186)+M186+N186+O186+P186</f>
        <v>1301709.69731458</v>
      </c>
      <c r="R186" s="5" t="n">
        <f aca="false">L186-Q186</f>
        <v>72095.3974902686</v>
      </c>
      <c r="T186" s="1" t="n">
        <f aca="false">T185</f>
        <v>12000</v>
      </c>
    </row>
    <row r="187" customFormat="false" ht="11.25" hidden="false" customHeight="false" outlineLevel="0" collapsed="false">
      <c r="A187" s="6" t="n">
        <f aca="false">+A186+365/12</f>
        <v>41284.8333333333</v>
      </c>
      <c r="B187" s="5" t="n">
        <f aca="false">IF(T187-((E187+F187+G187)*(1-'Prices&amp;Fuel'!F187))&lt;'Prices&amp;Fuel'!R187,(T187-(E187+F187+G187)*(1-'Prices&amp;Fuel'!F187)),'Prices&amp;Fuel'!R187)/(1-'Prices&amp;Fuel'!F187)</f>
        <v>4325.96401028278</v>
      </c>
      <c r="C187" s="9" t="n">
        <f aca="false">(T187/(1-'Prices&amp;Fuel'!F187))-D187-E187-F187-G187-B187</f>
        <v>0</v>
      </c>
      <c r="D187" s="9" t="n">
        <f aca="false">ROUND(IF(T187/(1-'Prices&amp;Fuel'!F187)-E187-F187-G187-B187&gt;'Prices&amp;Fuel'!T187,'Prices&amp;Fuel'!T187,T187/(1-'Prices&amp;Fuel'!F187)-E187-F187-G187-B187),9)</f>
        <v>0</v>
      </c>
      <c r="E187" s="9" t="n">
        <f aca="false">'Prices&amp;Fuel'!U187/(1-'Prices&amp;Fuel'!F187)</f>
        <v>2635.47557840617</v>
      </c>
      <c r="F187" s="9" t="n">
        <f aca="false">('Prices&amp;Fuel'!V187+'Prices&amp;Fuel'!X187)/(1-'Prices&amp;Fuel'!F187)</f>
        <v>3645.2442159383</v>
      </c>
      <c r="G187" s="9" t="n">
        <f aca="false">'Prices&amp;Fuel'!W187/(1-'Prices&amp;Fuel'!F187)</f>
        <v>1732.64781491003</v>
      </c>
      <c r="H187" s="10" t="n">
        <f aca="false">('Prices&amp;Fuel'!C187+'Prices&amp;Fuel'!D187)/2-0+(('Prices&amp;Fuel'!M187+'Prices&amp;Fuel'!P187)*(1-'Prices&amp;Fuel'!F187))</f>
        <v>3.25201589693027</v>
      </c>
      <c r="I187" s="10"/>
      <c r="J187" s="10"/>
      <c r="K187" s="10" t="n">
        <f aca="false">(((B187+E187)*('Prices&amp;Fuel'!B187+0.025))+(('Prices&amp;Fuel'!D187+0.025)*(D187+G187))+(('Prices&amp;Fuel'!C187+0.025)*(C187+F187))-(I187+J187)*0.025)/(B187+C187+D187+E187+F187+G187)</f>
        <v>2.51669631359694</v>
      </c>
      <c r="L187" s="9" t="n">
        <f aca="false">(B187+C187+D187+E187+F187+G187)*H187*'Prices&amp;Fuel'!H187</f>
        <v>1243958.78011112</v>
      </c>
      <c r="M187" s="9" t="n">
        <f aca="false">'Prices&amp;Fuel'!X187*('Prices&amp;Fuel'!N187+'Prices&amp;Fuel'!O187)*'Prices&amp;Fuel'!H187</f>
        <v>9438.64041395779</v>
      </c>
      <c r="N187" s="9" t="n">
        <f aca="false">('Prices&amp;Fuel'!U187+'Prices&amp;Fuel'!V187+'Prices&amp;Fuel'!W187)*('Prices&amp;Fuel'!L187+'Prices&amp;Fuel'!O187)*'Prices&amp;Fuel'!H187</f>
        <v>98255.8321277305</v>
      </c>
      <c r="O187" s="9" t="n">
        <f aca="false">((B187+C187+D187)*(1-'Prices&amp;Fuel'!G187))*('Prices&amp;Fuel'!M187+'Prices&amp;Fuel'!P187)*'Prices&amp;Fuel'!H187</f>
        <v>99834.2135</v>
      </c>
      <c r="P187" s="9" t="n">
        <f aca="false">((B187+C187+D187+E187+F187+G187)/(1-'Prices&amp;Fuel'!F187))*(1-'Prices&amp;Fuel'!F187)*'Prices&amp;Fuel'!H187*0.005</f>
        <v>1912.59640102828</v>
      </c>
      <c r="Q187" s="9" t="n">
        <f aca="false">((D187+C187+B187+E187+F187+G187)*K187*'Prices&amp;Fuel'!H187)+M187+N187+O187+P187</f>
        <v>1172126.14481604</v>
      </c>
      <c r="R187" s="5" t="n">
        <f aca="false">L187-Q187</f>
        <v>71832.6352950726</v>
      </c>
      <c r="T187" s="1" t="n">
        <f aca="false">T186</f>
        <v>12000</v>
      </c>
    </row>
    <row r="188" customFormat="false" ht="11.25" hidden="false" customHeight="false" outlineLevel="0" collapsed="false">
      <c r="A188" s="6" t="n">
        <f aca="false">+A187+365/12</f>
        <v>41315.25</v>
      </c>
      <c r="B188" s="5" t="n">
        <f aca="false">IF(T188-((E188+F188+G188)*(1-'Prices&amp;Fuel'!F188))&lt;'Prices&amp;Fuel'!R188,(T188-(E188+F188+G188)*(1-'Prices&amp;Fuel'!F188)),'Prices&amp;Fuel'!R188)/(1-'Prices&amp;Fuel'!F188)</f>
        <v>4325.96401028278</v>
      </c>
      <c r="C188" s="9" t="n">
        <f aca="false">(T188/(1-'Prices&amp;Fuel'!F188))-D188-E188-F188-G188-B188</f>
        <v>0</v>
      </c>
      <c r="D188" s="9" t="n">
        <f aca="false">ROUND(IF(T188/(1-'Prices&amp;Fuel'!F188)-E188-F188-G188-B188&gt;'Prices&amp;Fuel'!T188,'Prices&amp;Fuel'!T188,T188/(1-'Prices&amp;Fuel'!F188)-E188-F188-G188-B188),9)</f>
        <v>0</v>
      </c>
      <c r="E188" s="9" t="n">
        <f aca="false">'Prices&amp;Fuel'!U188/(1-'Prices&amp;Fuel'!F188)</f>
        <v>2635.47557840617</v>
      </c>
      <c r="F188" s="9" t="n">
        <f aca="false">('Prices&amp;Fuel'!V188+'Prices&amp;Fuel'!X188)/(1-'Prices&amp;Fuel'!F188)</f>
        <v>3645.2442159383</v>
      </c>
      <c r="G188" s="9" t="n">
        <f aca="false">'Prices&amp;Fuel'!W188/(1-'Prices&amp;Fuel'!F188)</f>
        <v>1732.64781491003</v>
      </c>
      <c r="H188" s="10" t="n">
        <f aca="false">('Prices&amp;Fuel'!C188+'Prices&amp;Fuel'!D188)/2-0+(('Prices&amp;Fuel'!M188+'Prices&amp;Fuel'!P188)*(1-'Prices&amp;Fuel'!F188))</f>
        <v>3.5532463505299</v>
      </c>
      <c r="I188" s="10"/>
      <c r="J188" s="10"/>
      <c r="K188" s="10" t="n">
        <f aca="false">(((B188+E188)*('Prices&amp;Fuel'!B188+0.025))+(('Prices&amp;Fuel'!D188+0.025)*(D188+G188))+(('Prices&amp;Fuel'!C188+0.025)*(C188+F188))-(I188+J188)*0.025)/(B188+C188+D188+E188+F188+G188)</f>
        <v>2.81792676719657</v>
      </c>
      <c r="L188" s="9" t="n">
        <f aca="false">(B188+C188+D188+E188+F188+G188)*H188*'Prices&amp;Fuel'!H188</f>
        <v>1227651.18126277</v>
      </c>
      <c r="M188" s="9" t="n">
        <f aca="false">'Prices&amp;Fuel'!X188*('Prices&amp;Fuel'!N188+'Prices&amp;Fuel'!O188)*'Prices&amp;Fuel'!H188</f>
        <v>8525.22359970381</v>
      </c>
      <c r="N188" s="9" t="n">
        <f aca="false">('Prices&amp;Fuel'!U188+'Prices&amp;Fuel'!V188+'Prices&amp;Fuel'!W188)*('Prices&amp;Fuel'!L188+'Prices&amp;Fuel'!O188)*'Prices&amp;Fuel'!H188</f>
        <v>88747.2032121437</v>
      </c>
      <c r="O188" s="9" t="n">
        <f aca="false">((B188+C188+D188)*(1-'Prices&amp;Fuel'!G188))*('Prices&amp;Fuel'!M188+'Prices&amp;Fuel'!P188)*'Prices&amp;Fuel'!H188</f>
        <v>90172.838</v>
      </c>
      <c r="P188" s="9" t="n">
        <f aca="false">((B188+C188+D188+E188+F188+G188)/(1-'Prices&amp;Fuel'!F188))*(1-'Prices&amp;Fuel'!F188)*'Prices&amp;Fuel'!H188*0.005</f>
        <v>1727.50642673522</v>
      </c>
      <c r="Q188" s="9" t="n">
        <f aca="false">((D188+C188+B188+E188+F188+G188)*K188*'Prices&amp;Fuel'!H188)+M188+N188+O188+P188</f>
        <v>1162770.09131884</v>
      </c>
      <c r="R188" s="5" t="n">
        <f aca="false">L188-Q188</f>
        <v>64881.0899439366</v>
      </c>
      <c r="T188" s="1" t="n">
        <f aca="false">T187</f>
        <v>12000</v>
      </c>
    </row>
    <row r="189" customFormat="false" ht="11.25" hidden="false" customHeight="false" outlineLevel="0" collapsed="false">
      <c r="A189" s="6" t="n">
        <f aca="false">+A188+365/12</f>
        <v>41345.6666666667</v>
      </c>
      <c r="B189" s="5" t="n">
        <f aca="false">IF(T189-((E189+F189+G189)*(1-'Prices&amp;Fuel'!F189))&lt;'Prices&amp;Fuel'!R189,(T189-(E189+F189+G189)*(1-'Prices&amp;Fuel'!F189)),'Prices&amp;Fuel'!R189)/(1-'Prices&amp;Fuel'!F189)</f>
        <v>4325.96401028278</v>
      </c>
      <c r="C189" s="9" t="n">
        <f aca="false">(T189/(1-'Prices&amp;Fuel'!F189))-D189-E189-F189-G189-B189</f>
        <v>0</v>
      </c>
      <c r="D189" s="9" t="n">
        <f aca="false">ROUND(IF(T189/(1-'Prices&amp;Fuel'!F189)-E189-F189-G189-B189&gt;'Prices&amp;Fuel'!T189,'Prices&amp;Fuel'!T189,T189/(1-'Prices&amp;Fuel'!F189)-E189-F189-G189-B189),9)</f>
        <v>0</v>
      </c>
      <c r="E189" s="9" t="n">
        <f aca="false">'Prices&amp;Fuel'!U189/(1-'Prices&amp;Fuel'!F189)</f>
        <v>2635.47557840617</v>
      </c>
      <c r="F189" s="9" t="n">
        <f aca="false">('Prices&amp;Fuel'!V189+'Prices&amp;Fuel'!X189)/(1-'Prices&amp;Fuel'!F189)</f>
        <v>3645.2442159383</v>
      </c>
      <c r="G189" s="9" t="n">
        <f aca="false">'Prices&amp;Fuel'!W189/(1-'Prices&amp;Fuel'!F189)</f>
        <v>1732.64781491003</v>
      </c>
      <c r="H189" s="10" t="n">
        <f aca="false">('Prices&amp;Fuel'!C189+'Prices&amp;Fuel'!D189)/2-0+(('Prices&amp;Fuel'!M189+'Prices&amp;Fuel'!P189)*(1-'Prices&amp;Fuel'!F189))</f>
        <v>3.5532463505299</v>
      </c>
      <c r="I189" s="10"/>
      <c r="J189" s="10"/>
      <c r="K189" s="10" t="n">
        <f aca="false">(((B189+E189)*('Prices&amp;Fuel'!B189+0.025))+(('Prices&amp;Fuel'!D189+0.025)*(D189+G189))+(('Prices&amp;Fuel'!C189+0.025)*(C189+F189))-(I189+J189)*0.025)/(B189+C189+D189+E189+F189+G189)</f>
        <v>2.81792676719657</v>
      </c>
      <c r="L189" s="9" t="n">
        <f aca="false">(B189+C189+D189+E189+F189+G189)*H189*'Prices&amp;Fuel'!H189</f>
        <v>1359185.23639807</v>
      </c>
      <c r="M189" s="9" t="n">
        <f aca="false">'Prices&amp;Fuel'!X189*('Prices&amp;Fuel'!N189+'Prices&amp;Fuel'!O189)*'Prices&amp;Fuel'!H189</f>
        <v>9438.64041395779</v>
      </c>
      <c r="N189" s="9" t="n">
        <f aca="false">('Prices&amp;Fuel'!U189+'Prices&amp;Fuel'!V189+'Prices&amp;Fuel'!W189)*('Prices&amp;Fuel'!L189+'Prices&amp;Fuel'!O189)*'Prices&amp;Fuel'!H189</f>
        <v>98255.8321277305</v>
      </c>
      <c r="O189" s="9" t="n">
        <f aca="false">((B189+C189+D189)*(1-'Prices&amp;Fuel'!G189))*('Prices&amp;Fuel'!M189+'Prices&amp;Fuel'!P189)*'Prices&amp;Fuel'!H189</f>
        <v>99834.2135</v>
      </c>
      <c r="P189" s="9" t="n">
        <f aca="false">((B189+C189+D189+E189+F189+G189)/(1-'Prices&amp;Fuel'!F189))*(1-'Prices&amp;Fuel'!F189)*'Prices&amp;Fuel'!H189*0.005</f>
        <v>1912.59640102828</v>
      </c>
      <c r="Q189" s="9" t="n">
        <f aca="false">((D189+C189+B189+E189+F189+G189)*K189*'Prices&amp;Fuel'!H189)+M189+N189+O189+P189</f>
        <v>1287352.601103</v>
      </c>
      <c r="R189" s="5" t="n">
        <f aca="false">L189-Q189</f>
        <v>71832.6352950726</v>
      </c>
      <c r="T189" s="1" t="n">
        <f aca="false">T188</f>
        <v>12000</v>
      </c>
    </row>
    <row r="190" customFormat="false" ht="11.25" hidden="false" customHeight="false" outlineLevel="0" collapsed="false">
      <c r="A190" s="6" t="n">
        <f aca="false">+A189+365/12</f>
        <v>41376.0833333333</v>
      </c>
      <c r="B190" s="5" t="n">
        <f aca="false">IF(T190-((E190+F190+G190)*(1-'Prices&amp;Fuel'!F190))&lt;'Prices&amp;Fuel'!R190,(T190-(E190+F190+G190)*(1-'Prices&amp;Fuel'!F190)),'Prices&amp;Fuel'!R190)/(1-'Prices&amp;Fuel'!F190)</f>
        <v>6278.66323907455</v>
      </c>
      <c r="C190" s="9" t="n">
        <f aca="false">(T190/(1-'Prices&amp;Fuel'!F190))-D190-E190-F190-G190-B190</f>
        <v>0</v>
      </c>
      <c r="D190" s="9" t="n">
        <f aca="false">ROUND(IF(T190/(1-'Prices&amp;Fuel'!F190)-E190-F190-G190-B190&gt;'Prices&amp;Fuel'!T190,'Prices&amp;Fuel'!T190,T190/(1-'Prices&amp;Fuel'!F190)-E190-F190-G190-B190),9)</f>
        <v>0</v>
      </c>
      <c r="E190" s="9" t="n">
        <f aca="false">'Prices&amp;Fuel'!U190/(1-'Prices&amp;Fuel'!F190)</f>
        <v>1933.16195372751</v>
      </c>
      <c r="F190" s="9" t="n">
        <f aca="false">('Prices&amp;Fuel'!V190+'Prices&amp;Fuel'!X190)/(1-'Prices&amp;Fuel'!F190)</f>
        <v>2833.93316195373</v>
      </c>
      <c r="G190" s="9" t="n">
        <f aca="false">'Prices&amp;Fuel'!W190/(1-'Prices&amp;Fuel'!F190)</f>
        <v>1293.57326478149</v>
      </c>
      <c r="H190" s="10" t="n">
        <f aca="false">('Prices&amp;Fuel'!C190+'Prices&amp;Fuel'!D190)/2-0+(('Prices&amp;Fuel'!M190+'Prices&amp;Fuel'!P190)*(1-'Prices&amp;Fuel'!F190))</f>
        <v>3.85447680412954</v>
      </c>
      <c r="I190" s="10"/>
      <c r="J190" s="10"/>
      <c r="K190" s="10" t="n">
        <f aca="false">(((B190+E190)*('Prices&amp;Fuel'!B190+0.025))+(('Prices&amp;Fuel'!D190+0.025)*(D190+G190))+(('Prices&amp;Fuel'!C190+0.025)*(C190+F190))-(I190+J190)*0.025)/(B190+C190+D190+E190+F190+G190)</f>
        <v>3.11485638746287</v>
      </c>
      <c r="L190" s="9" t="n">
        <f aca="false">(B190+C190+D190+E190+F190+G190)*H190*'Prices&amp;Fuel'!H190</f>
        <v>1426850.02517906</v>
      </c>
      <c r="M190" s="9" t="n">
        <f aca="false">'Prices&amp;Fuel'!X190*('Prices&amp;Fuel'!N190+'Prices&amp;Fuel'!O190)*'Prices&amp;Fuel'!H190</f>
        <v>9134.1681425398</v>
      </c>
      <c r="N190" s="9" t="n">
        <f aca="false">('Prices&amp;Fuel'!U190+'Prices&amp;Fuel'!V190+'Prices&amp;Fuel'!W190)*('Prices&amp;Fuel'!L190+'Prices&amp;Fuel'!O190)*'Prices&amp;Fuel'!H190</f>
        <v>69689.8245838578</v>
      </c>
      <c r="O190" s="9" t="n">
        <f aca="false">((B190+C190+D190)*(1-'Prices&amp;Fuel'!G190))*('Prices&amp;Fuel'!M190+'Prices&amp;Fuel'!P190)*'Prices&amp;Fuel'!H190</f>
        <v>140224.29</v>
      </c>
      <c r="P190" s="9" t="n">
        <f aca="false">((B190+C190+D190+E190+F190+G190)/(1-'Prices&amp;Fuel'!F190))*(1-'Prices&amp;Fuel'!F190)*'Prices&amp;Fuel'!H190*0.005</f>
        <v>1850.89974293059</v>
      </c>
      <c r="Q190" s="9" t="n">
        <f aca="false">((D190+C190+B190+E190+F190+G190)*K190*'Prices&amp;Fuel'!H190)+M190+N190+O190+P190</f>
        <v>1373956.55983348</v>
      </c>
      <c r="R190" s="5" t="n">
        <f aca="false">L190-Q190</f>
        <v>52893.4653455818</v>
      </c>
      <c r="T190" s="1" t="n">
        <f aca="false">T189</f>
        <v>12000</v>
      </c>
    </row>
    <row r="191" customFormat="false" ht="11.25" hidden="false" customHeight="false" outlineLevel="0" collapsed="false">
      <c r="A191" s="6" t="n">
        <f aca="false">+A190+365/12</f>
        <v>41406.5</v>
      </c>
      <c r="B191" s="5" t="n">
        <f aca="false">IF(T191-((E191+F191+G191)*(1-'Prices&amp;Fuel'!F191))&lt;'Prices&amp;Fuel'!R191,(T191-(E191+F191+G191)*(1-'Prices&amp;Fuel'!F191)),'Prices&amp;Fuel'!R191)/(1-'Prices&amp;Fuel'!F191)</f>
        <v>8976.86375321337</v>
      </c>
      <c r="C191" s="9" t="n">
        <f aca="false">(T191/(1-'Prices&amp;Fuel'!F191))-D191-E191-F191-G191-B191</f>
        <v>1.38243194669485E-010</v>
      </c>
      <c r="D191" s="9" t="n">
        <f aca="false">ROUND(IF(T191/(1-'Prices&amp;Fuel'!F191)-E191-F191-G191-B191&gt;'Prices&amp;Fuel'!T191,'Prices&amp;Fuel'!T191,T191/(1-'Prices&amp;Fuel'!F191)-E191-F191-G191-B191),9)</f>
        <v>6556.298200514</v>
      </c>
      <c r="E191" s="9" t="n">
        <f aca="false">'Prices&amp;Fuel'!U191/(1-'Prices&amp;Fuel'!F191)</f>
        <v>1933.16195372751</v>
      </c>
      <c r="F191" s="9" t="n">
        <f aca="false">('Prices&amp;Fuel'!V191+'Prices&amp;Fuel'!X191)/(1-'Prices&amp;Fuel'!F191)</f>
        <v>3062.21079691517</v>
      </c>
      <c r="G191" s="9" t="n">
        <f aca="false">'Prices&amp;Fuel'!W191/(1-'Prices&amp;Fuel'!F191)</f>
        <v>1065.29562982005</v>
      </c>
      <c r="H191" s="10" t="n">
        <f aca="false">('Prices&amp;Fuel'!C191+'Prices&amp;Fuel'!D191)/2-0+(('Prices&amp;Fuel'!M191+'Prices&amp;Fuel'!P191)*(1-'Prices&amp;Fuel'!F191))</f>
        <v>4.06645378999595</v>
      </c>
      <c r="I191" s="10"/>
      <c r="J191" s="10"/>
      <c r="K191" s="10" t="n">
        <f aca="false">(((B191+E191)*('Prices&amp;Fuel'!B191+0.025))+(('Prices&amp;Fuel'!D191+0.025)*(D191+G191))+(('Prices&amp;Fuel'!C191+0.025)*(C191+F191))-(I191+J191)*0.025)/(B191+C191+D191+E191+F191+G191)</f>
        <v>3.32404313523405</v>
      </c>
      <c r="L191" s="9" t="n">
        <f aca="false">(B191+C191+D191+E191+F191+G191)*H191*'Prices&amp;Fuel'!H191</f>
        <v>2722119.70929292</v>
      </c>
      <c r="M191" s="9" t="n">
        <f aca="false">'Prices&amp;Fuel'!X191*('Prices&amp;Fuel'!N191+'Prices&amp;Fuel'!O191)*'Prices&amp;Fuel'!H191</f>
        <v>9438.64041395779</v>
      </c>
      <c r="N191" s="9" t="n">
        <f aca="false">('Prices&amp;Fuel'!U191+'Prices&amp;Fuel'!V191+'Prices&amp;Fuel'!W191)*('Prices&amp;Fuel'!L191+'Prices&amp;Fuel'!O191)*'Prices&amp;Fuel'!H191</f>
        <v>72012.8187366531</v>
      </c>
      <c r="O191" s="9" t="n">
        <f aca="false">((B191+C191+D191)*(1-'Prices&amp;Fuel'!G191))*('Prices&amp;Fuel'!M191+'Prices&amp;Fuel'!P191)*'Prices&amp;Fuel'!H191</f>
        <v>358472.933</v>
      </c>
      <c r="P191" s="9" t="n">
        <f aca="false">((B191+C191+D191+E191+F191+G191)/(1-'Prices&amp;Fuel'!F191))*(1-'Prices&amp;Fuel'!F191)*'Prices&amp;Fuel'!H191*0.005</f>
        <v>3347.04370179949</v>
      </c>
      <c r="Q191" s="9" t="n">
        <f aca="false">((D191+C191+B191+E191+F191+G191)*K191*'Prices&amp;Fuel'!H191)+M191+N191+O191+P191</f>
        <v>2668414.9639114</v>
      </c>
      <c r="R191" s="5" t="n">
        <f aca="false">L191-Q191</f>
        <v>53704.745381522</v>
      </c>
      <c r="T191" s="1" t="n">
        <v>21000</v>
      </c>
    </row>
    <row r="192" customFormat="false" ht="11.25" hidden="false" customHeight="false" outlineLevel="0" collapsed="false">
      <c r="A192" s="6" t="n">
        <f aca="false">+A191+365/12</f>
        <v>41436.9166666667</v>
      </c>
      <c r="B192" s="5" t="n">
        <f aca="false">IF(T192-((E192+F192+G192)*(1-'Prices&amp;Fuel'!F192))&lt;'Prices&amp;Fuel'!R192,(T192-(E192+F192+G192)*(1-'Prices&amp;Fuel'!F192)),'Prices&amp;Fuel'!R192)/(1-'Prices&amp;Fuel'!F192)</f>
        <v>8976.86375321337</v>
      </c>
      <c r="C192" s="9" t="n">
        <f aca="false">(T192/(1-'Prices&amp;Fuel'!F192))-D192-E192-F192-G192-B192</f>
        <v>1.38243194669485E-010</v>
      </c>
      <c r="D192" s="9" t="n">
        <f aca="false">ROUND(IF(T192/(1-'Prices&amp;Fuel'!F192)-E192-F192-G192-B192&gt;'Prices&amp;Fuel'!T192,'Prices&amp;Fuel'!T192,T192/(1-'Prices&amp;Fuel'!F192)-E192-F192-G192-B192),9)</f>
        <v>6556.298200514</v>
      </c>
      <c r="E192" s="9" t="n">
        <f aca="false">'Prices&amp;Fuel'!U192/(1-'Prices&amp;Fuel'!F192)</f>
        <v>1933.16195372751</v>
      </c>
      <c r="F192" s="9" t="n">
        <f aca="false">('Prices&amp;Fuel'!V192+'Prices&amp;Fuel'!X192)/(1-'Prices&amp;Fuel'!F192)</f>
        <v>3062.21079691517</v>
      </c>
      <c r="G192" s="9" t="n">
        <f aca="false">'Prices&amp;Fuel'!W192/(1-'Prices&amp;Fuel'!F192)</f>
        <v>1065.29562982005</v>
      </c>
      <c r="H192" s="10" t="n">
        <f aca="false">('Prices&amp;Fuel'!C192+'Prices&amp;Fuel'!D192)/2-0+(('Prices&amp;Fuel'!M192+'Prices&amp;Fuel'!P192)*(1-'Prices&amp;Fuel'!F192))</f>
        <v>5.52797932412751</v>
      </c>
      <c r="I192" s="10"/>
      <c r="J192" s="10"/>
      <c r="K192" s="10" t="n">
        <f aca="false">(((B192+E192)*('Prices&amp;Fuel'!B192+0.025))+(('Prices&amp;Fuel'!D192+0.025)*(D192+G192))+(('Prices&amp;Fuel'!C192+0.025)*(C192+F192))-(I192+J192)*0.025)/(B192+C192+D192+E192+F192+G192)</f>
        <v>4.78556866936561</v>
      </c>
      <c r="L192" s="9" t="n">
        <f aca="false">(B192+C192+D192+E192+F192+G192)*H192*'Prices&amp;Fuel'!H192</f>
        <v>3581107.42848363</v>
      </c>
      <c r="M192" s="9" t="n">
        <f aca="false">'Prices&amp;Fuel'!X192*('Prices&amp;Fuel'!N192+'Prices&amp;Fuel'!O192)*'Prices&amp;Fuel'!H192</f>
        <v>9134.1681425398</v>
      </c>
      <c r="N192" s="9" t="n">
        <f aca="false">('Prices&amp;Fuel'!U192+'Prices&amp;Fuel'!V192+'Prices&amp;Fuel'!W192)*('Prices&amp;Fuel'!L192+'Prices&amp;Fuel'!O192)*'Prices&amp;Fuel'!H192</f>
        <v>69689.8245838578</v>
      </c>
      <c r="O192" s="9" t="n">
        <f aca="false">((B192+C192+D192)*(1-'Prices&amp;Fuel'!G192))*('Prices&amp;Fuel'!M192+'Prices&amp;Fuel'!P192)*'Prices&amp;Fuel'!H192</f>
        <v>346909.29</v>
      </c>
      <c r="P192" s="9" t="n">
        <f aca="false">((B192+C192+D192+E192+F192+G192)/(1-'Prices&amp;Fuel'!F192))*(1-'Prices&amp;Fuel'!F192)*'Prices&amp;Fuel'!H192*0.005</f>
        <v>3239.07455012853</v>
      </c>
      <c r="Q192" s="9" t="n">
        <f aca="false">((D192+C192+B192+E192+F192+G192)*K192*'Prices&amp;Fuel'!H192)+M192+N192+O192+P192</f>
        <v>3529135.09424345</v>
      </c>
      <c r="R192" s="5" t="n">
        <f aca="false">L192-Q192</f>
        <v>51972.3342401828</v>
      </c>
      <c r="T192" s="1" t="n">
        <f aca="false">T191</f>
        <v>21000</v>
      </c>
    </row>
    <row r="193" customFormat="false" ht="11.25" hidden="false" customHeight="false" outlineLevel="0" collapsed="false">
      <c r="A193" s="6" t="n">
        <f aca="false">+A192+365/12</f>
        <v>41467.3333333333</v>
      </c>
      <c r="B193" s="5" t="n">
        <f aca="false">IF(T193-((E193+F193+G193)*(1-'Prices&amp;Fuel'!F193))&lt;'Prices&amp;Fuel'!R193,(T193-(E193+F193+G193)*(1-'Prices&amp;Fuel'!F193)),'Prices&amp;Fuel'!R193)/(1-'Prices&amp;Fuel'!F193)</f>
        <v>8976.86375321337</v>
      </c>
      <c r="C193" s="9" t="n">
        <f aca="false">(T193/(1-'Prices&amp;Fuel'!F193))-D193-E193-F193-G193-B193</f>
        <v>1.38243194669485E-010</v>
      </c>
      <c r="D193" s="9" t="n">
        <f aca="false">ROUND(IF(T193/(1-'Prices&amp;Fuel'!F193)-E193-F193-G193-B193&gt;'Prices&amp;Fuel'!T193,'Prices&amp;Fuel'!T193,T193/(1-'Prices&amp;Fuel'!F193)-E193-F193-G193-B193),9)</f>
        <v>6556.298200514</v>
      </c>
      <c r="E193" s="9" t="n">
        <f aca="false">'Prices&amp;Fuel'!U193/(1-'Prices&amp;Fuel'!F193)</f>
        <v>1933.16195372751</v>
      </c>
      <c r="F193" s="9" t="n">
        <f aca="false">('Prices&amp;Fuel'!V193+'Prices&amp;Fuel'!X193)/(1-'Prices&amp;Fuel'!F193)</f>
        <v>3062.21079691517</v>
      </c>
      <c r="G193" s="9" t="n">
        <f aca="false">'Prices&amp;Fuel'!W193/(1-'Prices&amp;Fuel'!F193)</f>
        <v>1065.29562982005</v>
      </c>
      <c r="H193" s="10" t="n">
        <f aca="false">('Prices&amp;Fuel'!C193+'Prices&amp;Fuel'!D193)/2-0+(('Prices&amp;Fuel'!M193+'Prices&amp;Fuel'!P193)*(1-'Prices&amp;Fuel'!F193))</f>
        <v>5.51682264066086</v>
      </c>
      <c r="I193" s="10"/>
      <c r="J193" s="10"/>
      <c r="K193" s="10" t="n">
        <f aca="false">(((B193+E193)*('Prices&amp;Fuel'!B193+0.025))+(('Prices&amp;Fuel'!D193+0.025)*(D193+G193))+(('Prices&amp;Fuel'!C193+0.025)*(C193+F193))-(I193+J193)*0.025)/(B193+C193+D193+E193+F193+G193)</f>
        <v>4.77441198589896</v>
      </c>
      <c r="L193" s="9" t="n">
        <f aca="false">(B193+C193+D193+E193+F193+G193)*H193*'Prices&amp;Fuel'!H193</f>
        <v>3693009.29467375</v>
      </c>
      <c r="M193" s="9" t="n">
        <f aca="false">'Prices&amp;Fuel'!X193*('Prices&amp;Fuel'!N193+'Prices&amp;Fuel'!O193)*'Prices&amp;Fuel'!H193</f>
        <v>9438.64041395779</v>
      </c>
      <c r="N193" s="9" t="n">
        <f aca="false">('Prices&amp;Fuel'!U193+'Prices&amp;Fuel'!V193+'Prices&amp;Fuel'!W193)*('Prices&amp;Fuel'!L193+'Prices&amp;Fuel'!O193)*'Prices&amp;Fuel'!H193</f>
        <v>72012.8187366531</v>
      </c>
      <c r="O193" s="9" t="n">
        <f aca="false">((B193+C193+D193)*(1-'Prices&amp;Fuel'!G193))*('Prices&amp;Fuel'!M193+'Prices&amp;Fuel'!P193)*'Prices&amp;Fuel'!H193</f>
        <v>358472.933</v>
      </c>
      <c r="P193" s="9" t="n">
        <f aca="false">((B193+C193+D193+E193+F193+G193)/(1-'Prices&amp;Fuel'!F193))*(1-'Prices&amp;Fuel'!F193)*'Prices&amp;Fuel'!H193*0.005</f>
        <v>3347.04370179949</v>
      </c>
      <c r="Q193" s="9" t="n">
        <f aca="false">((D193+C193+B193+E193+F193+G193)*K193*'Prices&amp;Fuel'!H193)+M193+N193+O193+P193</f>
        <v>3639304.54929223</v>
      </c>
      <c r="R193" s="5" t="n">
        <f aca="false">L193-Q193</f>
        <v>53704.7453815215</v>
      </c>
      <c r="T193" s="1" t="n">
        <f aca="false">T192</f>
        <v>21000</v>
      </c>
    </row>
    <row r="194" customFormat="false" ht="11.25" hidden="false" customHeight="false" outlineLevel="0" collapsed="false">
      <c r="A194" s="6" t="n">
        <f aca="false">+A193+365/12</f>
        <v>41497.75</v>
      </c>
      <c r="B194" s="5" t="n">
        <f aca="false">IF(T194-((E194+F194+G194)*(1-'Prices&amp;Fuel'!F194))&lt;'Prices&amp;Fuel'!R194,(T194-(E194+F194+G194)*(1-'Prices&amp;Fuel'!F194)),'Prices&amp;Fuel'!R194)/(1-'Prices&amp;Fuel'!F194)</f>
        <v>8976.86375321337</v>
      </c>
      <c r="C194" s="9" t="n">
        <f aca="false">(T194/(1-'Prices&amp;Fuel'!F194))-D194-E194-F194-G194-B194</f>
        <v>1.38243194669485E-010</v>
      </c>
      <c r="D194" s="9" t="n">
        <f aca="false">ROUND(IF(T194/(1-'Prices&amp;Fuel'!F194)-E194-F194-G194-B194&gt;'Prices&amp;Fuel'!T194,'Prices&amp;Fuel'!T194,T194/(1-'Prices&amp;Fuel'!F194)-E194-F194-G194-B194),9)</f>
        <v>6556.298200514</v>
      </c>
      <c r="E194" s="9" t="n">
        <f aca="false">'Prices&amp;Fuel'!U194/(1-'Prices&amp;Fuel'!F194)</f>
        <v>1933.16195372751</v>
      </c>
      <c r="F194" s="9" t="n">
        <f aca="false">('Prices&amp;Fuel'!V194+'Prices&amp;Fuel'!X194)/(1-'Prices&amp;Fuel'!F194)</f>
        <v>3062.21079691517</v>
      </c>
      <c r="G194" s="9" t="n">
        <f aca="false">'Prices&amp;Fuel'!W194/(1-'Prices&amp;Fuel'!F194)</f>
        <v>1065.29562982005</v>
      </c>
      <c r="H194" s="10" t="n">
        <f aca="false">('Prices&amp;Fuel'!C194+'Prices&amp;Fuel'!D194)/2-0+(('Prices&amp;Fuel'!M194+'Prices&amp;Fuel'!P194)*(1-'Prices&amp;Fuel'!F194))</f>
        <v>4.91436173346159</v>
      </c>
      <c r="I194" s="10"/>
      <c r="J194" s="10"/>
      <c r="K194" s="10" t="n">
        <f aca="false">(((B194+E194)*('Prices&amp;Fuel'!B194+0.025))+(('Prices&amp;Fuel'!D194+0.025)*(D194+G194))+(('Prices&amp;Fuel'!C194+0.025)*(C194+F194))-(I194+J194)*0.025)/(B194+C194+D194+E194+F194+G194)</f>
        <v>4.17195107869969</v>
      </c>
      <c r="L194" s="9" t="n">
        <f aca="false">(B194+C194+D194+E194+F194+G194)*H194*'Prices&amp;Fuel'!H194</f>
        <v>3289716.6976694</v>
      </c>
      <c r="M194" s="9" t="n">
        <f aca="false">'Prices&amp;Fuel'!X194*('Prices&amp;Fuel'!N194+'Prices&amp;Fuel'!O194)*'Prices&amp;Fuel'!H194</f>
        <v>9438.64041395779</v>
      </c>
      <c r="N194" s="9" t="n">
        <f aca="false">('Prices&amp;Fuel'!U194+'Prices&amp;Fuel'!V194+'Prices&amp;Fuel'!W194)*('Prices&amp;Fuel'!L194+'Prices&amp;Fuel'!O194)*'Prices&amp;Fuel'!H194</f>
        <v>72012.8187366531</v>
      </c>
      <c r="O194" s="9" t="n">
        <f aca="false">((B194+C194+D194)*(1-'Prices&amp;Fuel'!G194))*('Prices&amp;Fuel'!M194+'Prices&amp;Fuel'!P194)*'Prices&amp;Fuel'!H194</f>
        <v>358472.933</v>
      </c>
      <c r="P194" s="9" t="n">
        <f aca="false">((B194+C194+D194+E194+F194+G194)/(1-'Prices&amp;Fuel'!F194))*(1-'Prices&amp;Fuel'!F194)*'Prices&amp;Fuel'!H194*0.005</f>
        <v>3347.04370179949</v>
      </c>
      <c r="Q194" s="9" t="n">
        <f aca="false">((D194+C194+B194+E194+F194+G194)*K194*'Prices&amp;Fuel'!H194)+M194+N194+O194+P194</f>
        <v>3236011.95228788</v>
      </c>
      <c r="R194" s="5" t="n">
        <f aca="false">L194-Q194</f>
        <v>53704.7453815215</v>
      </c>
      <c r="T194" s="1" t="n">
        <f aca="false">T193</f>
        <v>21000</v>
      </c>
    </row>
    <row r="195" customFormat="false" ht="11.25" hidden="false" customHeight="false" outlineLevel="0" collapsed="false">
      <c r="A195" s="6" t="n">
        <f aca="false">+A194+365/12</f>
        <v>41528.1666666667</v>
      </c>
      <c r="B195" s="5" t="n">
        <f aca="false">IF(T195-((E195+F195+G195)*(1-'Prices&amp;Fuel'!F195))&lt;'Prices&amp;Fuel'!R195,(T195-(E195+F195+G195)*(1-'Prices&amp;Fuel'!F195)),'Prices&amp;Fuel'!R195)/(1-'Prices&amp;Fuel'!F195)</f>
        <v>8976.86375321337</v>
      </c>
      <c r="C195" s="9" t="n">
        <f aca="false">(T195/(1-'Prices&amp;Fuel'!F195))-D195-E195-F195-G195-B195</f>
        <v>1.38243194669485E-010</v>
      </c>
      <c r="D195" s="9" t="n">
        <f aca="false">ROUND(IF(T195/(1-'Prices&amp;Fuel'!F195)-E195-F195-G195-B195&gt;'Prices&amp;Fuel'!T195,'Prices&amp;Fuel'!T195,T195/(1-'Prices&amp;Fuel'!F195)-E195-F195-G195-B195),9)</f>
        <v>6556.298200514</v>
      </c>
      <c r="E195" s="9" t="n">
        <f aca="false">'Prices&amp;Fuel'!U195/(1-'Prices&amp;Fuel'!F195)</f>
        <v>1933.16195372751</v>
      </c>
      <c r="F195" s="9" t="n">
        <f aca="false">('Prices&amp;Fuel'!V195+'Prices&amp;Fuel'!X195)/(1-'Prices&amp;Fuel'!F195)</f>
        <v>3062.21079691517</v>
      </c>
      <c r="G195" s="9" t="n">
        <f aca="false">'Prices&amp;Fuel'!W195/(1-'Prices&amp;Fuel'!F195)</f>
        <v>1065.29562982005</v>
      </c>
      <c r="H195" s="10" t="n">
        <f aca="false">('Prices&amp;Fuel'!C195+'Prices&amp;Fuel'!D195)/2-0+(('Prices&amp;Fuel'!M195+'Prices&amp;Fuel'!P195)*(1-'Prices&amp;Fuel'!F195))</f>
        <v>5.77342636039389</v>
      </c>
      <c r="I195" s="10"/>
      <c r="J195" s="10"/>
      <c r="K195" s="10" t="n">
        <f aca="false">(((B195+E195)*('Prices&amp;Fuel'!B195+0.025))+(('Prices&amp;Fuel'!D195+0.025)*(D195+G195))+(('Prices&amp;Fuel'!C195+0.025)*(C195+F195))-(I195+J195)*0.025)/(B195+C195+D195+E195+F195+G195)</f>
        <v>5.03101570563198</v>
      </c>
      <c r="L195" s="9" t="n">
        <f aca="false">(B195+C195+D195+E195+F195+G195)*H195*'Prices&amp;Fuel'!H195</f>
        <v>3740111.67819861</v>
      </c>
      <c r="M195" s="9" t="n">
        <f aca="false">'Prices&amp;Fuel'!X195*('Prices&amp;Fuel'!N195+'Prices&amp;Fuel'!O195)*'Prices&amp;Fuel'!H195</f>
        <v>9134.1681425398</v>
      </c>
      <c r="N195" s="9" t="n">
        <f aca="false">('Prices&amp;Fuel'!U195+'Prices&amp;Fuel'!V195+'Prices&amp;Fuel'!W195)*('Prices&amp;Fuel'!L195+'Prices&amp;Fuel'!O195)*'Prices&amp;Fuel'!H195</f>
        <v>69689.8245838578</v>
      </c>
      <c r="O195" s="9" t="n">
        <f aca="false">((B195+C195+D195)*(1-'Prices&amp;Fuel'!G195))*('Prices&amp;Fuel'!M195+'Prices&amp;Fuel'!P195)*'Prices&amp;Fuel'!H195</f>
        <v>346909.29</v>
      </c>
      <c r="P195" s="9" t="n">
        <f aca="false">((B195+C195+D195+E195+F195+G195)/(1-'Prices&amp;Fuel'!F195))*(1-'Prices&amp;Fuel'!F195)*'Prices&amp;Fuel'!H195*0.005</f>
        <v>3239.07455012853</v>
      </c>
      <c r="Q195" s="9" t="n">
        <f aca="false">((D195+C195+B195+E195+F195+G195)*K195*'Prices&amp;Fuel'!H195)+M195+N195+O195+P195</f>
        <v>3688139.34395843</v>
      </c>
      <c r="R195" s="5" t="n">
        <f aca="false">L195-Q195</f>
        <v>51972.3342401818</v>
      </c>
      <c r="T195" s="1" t="n">
        <f aca="false">T194</f>
        <v>21000</v>
      </c>
    </row>
    <row r="196" customFormat="false" ht="11.25" hidden="false" customHeight="false" outlineLevel="0" collapsed="false">
      <c r="A196" s="6" t="n">
        <f aca="false">+A195+365/12</f>
        <v>41558.5833333333</v>
      </c>
      <c r="B196" s="5" t="n">
        <f aca="false">IF(T196-((E196+F196+G196)*(1-'Prices&amp;Fuel'!F196))&lt;'Prices&amp;Fuel'!R196,(T196-(E196+F196+G196)*(1-'Prices&amp;Fuel'!F196)),'Prices&amp;Fuel'!R196)/(1-'Prices&amp;Fuel'!F196)</f>
        <v>8976.86375321337</v>
      </c>
      <c r="C196" s="9" t="n">
        <f aca="false">(T196/(1-'Prices&amp;Fuel'!F196))-D196-E196-F196-G196-B196</f>
        <v>2.0190782379359E-010</v>
      </c>
      <c r="D196" s="9" t="n">
        <f aca="false">ROUND(IF(T196/(1-'Prices&amp;Fuel'!F196)-E196-F196-G196-B196&gt;'Prices&amp;Fuel'!T196,'Prices&amp;Fuel'!T196,T196/(1-'Prices&amp;Fuel'!F196)-E196-F196-G196-B196),9)</f>
        <v>3514.652956298</v>
      </c>
      <c r="E196" s="9" t="n">
        <f aca="false">'Prices&amp;Fuel'!U196/(1-'Prices&amp;Fuel'!F196)</f>
        <v>2910.02570694087</v>
      </c>
      <c r="F196" s="9" t="n">
        <f aca="false">('Prices&amp;Fuel'!V196+'Prices&amp;Fuel'!X196)/(1-'Prices&amp;Fuel'!F196)</f>
        <v>4628.27763496144</v>
      </c>
      <c r="G196" s="9" t="n">
        <f aca="false">'Prices&amp;Fuel'!W196/(1-'Prices&amp;Fuel'!F196)</f>
        <v>1564.01028277635</v>
      </c>
      <c r="H196" s="10" t="n">
        <f aca="false">('Prices&amp;Fuel'!C196+'Prices&amp;Fuel'!D196)/2-0+(('Prices&amp;Fuel'!M196+'Prices&amp;Fuel'!P196)*(1-'Prices&amp;Fuel'!F196))</f>
        <v>6.5320808361263</v>
      </c>
      <c r="I196" s="10"/>
      <c r="J196" s="10"/>
      <c r="K196" s="10" t="n">
        <f aca="false">(((B196+E196)*('Prices&amp;Fuel'!B196+0.025))+(('Prices&amp;Fuel'!D196+0.025)*(D196+G196))+(('Prices&amp;Fuel'!C196+0.025)*(C196+F196))-(I196+J196)*0.025)/(B196+C196+D196+E196+F196+G196)</f>
        <v>5.79284399088821</v>
      </c>
      <c r="L196" s="9" t="n">
        <f aca="false">(B196+C196+D196+E196+F196+G196)*H196*'Prices&amp;Fuel'!H196</f>
        <v>4372632.00444033</v>
      </c>
      <c r="M196" s="9" t="n">
        <f aca="false">'Prices&amp;Fuel'!X196*('Prices&amp;Fuel'!N196+'Prices&amp;Fuel'!O196)*'Prices&amp;Fuel'!H196</f>
        <v>13833.2050576453</v>
      </c>
      <c r="N196" s="9" t="n">
        <f aca="false">('Prices&amp;Fuel'!U196+'Prices&amp;Fuel'!V196+'Prices&amp;Fuel'!W196)*('Prices&amp;Fuel'!L196+'Prices&amp;Fuel'!O196)*'Prices&amp;Fuel'!H196</f>
        <v>108495.996910663</v>
      </c>
      <c r="O196" s="9" t="n">
        <f aca="false">((B196+C196+D196)*(1-'Prices&amp;Fuel'!G196))*('Prices&amp;Fuel'!M196+'Prices&amp;Fuel'!P196)*'Prices&amp;Fuel'!H196</f>
        <v>288278.114</v>
      </c>
      <c r="P196" s="9" t="n">
        <f aca="false">((B196+C196+D196+E196+F196+G196)/(1-'Prices&amp;Fuel'!F196))*(1-'Prices&amp;Fuel'!F196)*'Prices&amp;Fuel'!H196*0.005</f>
        <v>3347.04370179949</v>
      </c>
      <c r="Q196" s="9" t="n">
        <f aca="false">((D196+C196+B196+E196+F196+G196)*K196*'Prices&amp;Fuel'!H196)+M196+N196+O196+P196</f>
        <v>4291734.75871198</v>
      </c>
      <c r="R196" s="5" t="n">
        <f aca="false">L196-Q196</f>
        <v>80897.2457283493</v>
      </c>
      <c r="T196" s="1" t="n">
        <f aca="false">T195</f>
        <v>21000</v>
      </c>
    </row>
    <row r="197" customFormat="false" ht="11.25" hidden="false" customHeight="false" outlineLevel="0" collapsed="false">
      <c r="A197" s="6" t="n">
        <f aca="false">+A196+365/12</f>
        <v>41589</v>
      </c>
      <c r="B197" s="5"/>
      <c r="C197" s="9"/>
      <c r="D197" s="9"/>
      <c r="E197" s="9"/>
      <c r="F197" s="9"/>
      <c r="G197" s="9"/>
      <c r="H197" s="7"/>
      <c r="I197" s="7"/>
      <c r="J197" s="7"/>
      <c r="K197" s="7"/>
      <c r="L197" s="7"/>
      <c r="M197" s="7"/>
      <c r="N197" s="7"/>
      <c r="O197" s="7"/>
      <c r="P197" s="7"/>
      <c r="Q197" s="7"/>
      <c r="R197" s="7"/>
    </row>
    <row r="198" customFormat="false" ht="11.25" hidden="false" customHeight="false" outlineLevel="0" collapsed="false">
      <c r="A198" s="6" t="n">
        <f aca="false">+A197+365/12</f>
        <v>41619.4166666667</v>
      </c>
      <c r="B198" s="5"/>
      <c r="C198" s="9"/>
      <c r="D198" s="9"/>
      <c r="E198" s="9"/>
      <c r="F198" s="9"/>
      <c r="G198" s="9"/>
      <c r="H198" s="7"/>
      <c r="I198" s="7"/>
      <c r="J198" s="7"/>
      <c r="K198" s="7"/>
      <c r="L198" s="7"/>
      <c r="M198" s="7"/>
      <c r="N198" s="7"/>
      <c r="O198" s="7"/>
      <c r="P198" s="7"/>
      <c r="Q198" s="7"/>
      <c r="R198" s="7"/>
    </row>
    <row r="199" customFormat="false" ht="11.25" hidden="false" customHeight="false" outlineLevel="0" collapsed="false">
      <c r="A199" s="6" t="n">
        <f aca="false">+A198+365/12</f>
        <v>41649.8333333333</v>
      </c>
      <c r="B199" s="5"/>
      <c r="C199" s="9"/>
      <c r="D199" s="9"/>
      <c r="E199" s="9"/>
      <c r="F199" s="9"/>
      <c r="G199" s="9"/>
      <c r="H199" s="7"/>
      <c r="I199" s="7"/>
      <c r="J199" s="7"/>
      <c r="K199" s="7"/>
      <c r="L199" s="7"/>
      <c r="M199" s="7"/>
      <c r="N199" s="7"/>
      <c r="O199" s="7"/>
      <c r="P199" s="7"/>
      <c r="Q199" s="7"/>
      <c r="R199" s="7"/>
    </row>
    <row r="200" customFormat="false" ht="12.75" hidden="false" customHeight="false" outlineLevel="0" collapsed="false">
      <c r="A200" s="6" t="n">
        <f aca="false">+A199+365/12</f>
        <v>41680.25</v>
      </c>
      <c r="B200" s="5"/>
      <c r="C200" s="9"/>
      <c r="D200" s="9"/>
      <c r="E200" s="9"/>
      <c r="F200" s="9"/>
      <c r="G200" s="9"/>
      <c r="H200" s="0"/>
      <c r="I200" s="0"/>
      <c r="J200" s="0"/>
      <c r="K200" s="0"/>
      <c r="L200" s="0"/>
      <c r="M200" s="0"/>
      <c r="N200" s="0"/>
      <c r="O200" s="0"/>
      <c r="P200" s="0"/>
      <c r="Q200" s="0"/>
      <c r="R200" s="0"/>
      <c r="S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0"/>
      <c r="AW200" s="0"/>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c r="IW200" s="0"/>
    </row>
    <row r="201" customFormat="false" ht="12.75" hidden="false" customHeight="false" outlineLevel="0" collapsed="false">
      <c r="A201" s="6" t="n">
        <f aca="false">+A200+365/12</f>
        <v>41710.6666666667</v>
      </c>
      <c r="B201" s="5"/>
      <c r="C201" s="9"/>
      <c r="D201" s="9"/>
      <c r="E201" s="9"/>
      <c r="F201" s="9"/>
      <c r="G201" s="9"/>
      <c r="H201" s="0"/>
      <c r="I201" s="0"/>
      <c r="J201" s="0"/>
      <c r="K201" s="0"/>
      <c r="L201" s="0"/>
      <c r="M201" s="0"/>
      <c r="N201" s="0"/>
      <c r="O201" s="0"/>
      <c r="P201" s="0"/>
      <c r="Q201" s="0"/>
      <c r="R201" s="0"/>
      <c r="S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A202" s="6" t="n">
        <f aca="false">+A201+365/12</f>
        <v>41741.0833333333</v>
      </c>
      <c r="B202" s="5"/>
      <c r="C202" s="9"/>
      <c r="D202" s="9"/>
      <c r="E202" s="9"/>
      <c r="F202" s="9"/>
      <c r="G202" s="9"/>
      <c r="H202" s="0"/>
      <c r="I202" s="0"/>
      <c r="J202" s="0"/>
      <c r="K202" s="0"/>
      <c r="L202" s="0"/>
      <c r="M202" s="0"/>
      <c r="N202" s="0"/>
      <c r="O202" s="0"/>
      <c r="P202" s="0"/>
      <c r="Q202" s="0"/>
      <c r="R202" s="0"/>
      <c r="S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0"/>
      <c r="AW202" s="0"/>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row>
    <row r="203" customFormat="false" ht="11.25" hidden="false" customHeight="false" outlineLevel="0" collapsed="false">
      <c r="A203" s="6" t="n">
        <f aca="false">+A202+365/12</f>
        <v>41771.5</v>
      </c>
      <c r="B203" s="5"/>
      <c r="C203" s="9"/>
      <c r="D203" s="9"/>
      <c r="E203" s="9"/>
      <c r="F203" s="9"/>
      <c r="G203" s="9"/>
      <c r="R203" s="14"/>
    </row>
    <row r="204" customFormat="false" ht="11.25" hidden="false" customHeight="false" outlineLevel="0" collapsed="false">
      <c r="A204" s="6" t="n">
        <f aca="false">+A203+365/12</f>
        <v>41801.9166666667</v>
      </c>
      <c r="B204" s="5"/>
      <c r="C204" s="9"/>
      <c r="D204" s="9"/>
      <c r="E204" s="9"/>
      <c r="F204" s="9"/>
      <c r="G204" s="9"/>
      <c r="R204" s="14"/>
    </row>
    <row r="205" customFormat="false" ht="11.25" hidden="false" customHeight="false" outlineLevel="0" collapsed="false">
      <c r="A205" s="6" t="n">
        <f aca="false">+A204+365/12</f>
        <v>41832.3333333333</v>
      </c>
      <c r="B205" s="5"/>
      <c r="C205" s="9"/>
      <c r="D205" s="9"/>
      <c r="E205" s="9"/>
      <c r="F205" s="9"/>
      <c r="G205" s="9"/>
      <c r="R205" s="14"/>
    </row>
    <row r="206" customFormat="false" ht="11.25" hidden="false" customHeight="false" outlineLevel="0" collapsed="false">
      <c r="A206" s="6" t="n">
        <f aca="false">+A205+365/12</f>
        <v>41862.75</v>
      </c>
      <c r="B206" s="5"/>
      <c r="C206" s="9"/>
      <c r="D206" s="9"/>
      <c r="E206" s="9"/>
      <c r="F206" s="9"/>
      <c r="G206" s="9"/>
    </row>
    <row r="207" customFormat="false" ht="11.25" hidden="false" customHeight="false" outlineLevel="0" collapsed="false">
      <c r="A207" s="6" t="n">
        <f aca="false">+A206+365/12</f>
        <v>41893.1666666667</v>
      </c>
      <c r="B207" s="5"/>
      <c r="C207" s="9"/>
      <c r="D207" s="9"/>
      <c r="E207" s="9"/>
      <c r="F207" s="9"/>
      <c r="G207" s="9"/>
    </row>
    <row r="208" customFormat="false" ht="11.25" hidden="false" customHeight="false" outlineLevel="0" collapsed="false">
      <c r="A208" s="6" t="n">
        <f aca="false">+A207+365/12</f>
        <v>41923.5833333333</v>
      </c>
    </row>
    <row r="209" customFormat="false" ht="11.25" hidden="false" customHeight="false" outlineLevel="0" collapsed="false">
      <c r="A209" s="6" t="n">
        <f aca="false">+A208+365/12</f>
        <v>41954</v>
      </c>
    </row>
    <row r="210" customFormat="false" ht="11.25" hidden="false" customHeight="false" outlineLevel="0" collapsed="false">
      <c r="A210" s="6" t="n">
        <f aca="false">+A209+365/12</f>
        <v>41984.4166666667</v>
      </c>
    </row>
    <row r="211" customFormat="false" ht="11.25" hidden="false" customHeight="false" outlineLevel="0" collapsed="false">
      <c r="A211" s="6" t="n">
        <f aca="false">+A210+365/12</f>
        <v>42014.8333333333</v>
      </c>
      <c r="O211" s="7"/>
      <c r="P211" s="7"/>
    </row>
    <row r="212" customFormat="false" ht="11.25" hidden="false" customHeight="false" outlineLevel="0" collapsed="false">
      <c r="A212" s="6" t="n">
        <f aca="false">+A211+365/12</f>
        <v>42045.25</v>
      </c>
    </row>
  </sheetData>
  <mergeCells count="1">
    <mergeCell ref="B3:R3"/>
  </mergeCells>
  <printOptions headings="false" gridLines="true" gridLinesSet="true" horizontalCentered="true" verticalCentered="false"/>
  <pageMargins left="0" right="0" top="0.25" bottom="0.25" header="0.511811023622047" footer="0.511811023622047"/>
  <pageSetup paperSize="5" scale="8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35"/>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BD42" activeCellId="0" sqref="BD42"/>
    </sheetView>
  </sheetViews>
  <sheetFormatPr defaultColWidth="9.0546875" defaultRowHeight="12.75" customHeight="true" zeroHeight="false" outlineLevelRow="0" outlineLevelCol="0"/>
  <cols>
    <col collapsed="false" customWidth="true" hidden="false" outlineLevel="0" max="1" min="1" style="15" width="9.14"/>
    <col collapsed="false" customWidth="true" hidden="false" outlineLevel="0" max="2" min="2" style="16" width="70.99"/>
  </cols>
  <sheetData>
    <row r="1" customFormat="false" ht="12.75" hidden="false" customHeight="false" outlineLevel="0" collapsed="false">
      <c r="A1" s="17" t="s">
        <v>33</v>
      </c>
      <c r="B1" s="17"/>
    </row>
    <row r="3" customFormat="false" ht="12.75" hidden="false" customHeight="false" outlineLevel="0" collapsed="false">
      <c r="A3" s="15" t="s">
        <v>34</v>
      </c>
      <c r="B3" s="16" t="s">
        <v>35</v>
      </c>
    </row>
    <row r="5" customFormat="false" ht="12.75" hidden="false" customHeight="false" outlineLevel="0" collapsed="false">
      <c r="A5" s="15" t="s">
        <v>36</v>
      </c>
      <c r="B5" s="16" t="s">
        <v>37</v>
      </c>
    </row>
    <row r="7" customFormat="false" ht="38.25" hidden="false" customHeight="false" outlineLevel="0" collapsed="false">
      <c r="A7" s="15" t="s">
        <v>38</v>
      </c>
      <c r="B7" s="16" t="s">
        <v>39</v>
      </c>
    </row>
    <row r="9" customFormat="false" ht="38.25" hidden="false" customHeight="false" outlineLevel="0" collapsed="false">
      <c r="A9" s="15" t="s">
        <v>40</v>
      </c>
      <c r="B9" s="16" t="s">
        <v>41</v>
      </c>
    </row>
    <row r="11" customFormat="false" ht="38.25" hidden="false" customHeight="false" outlineLevel="0" collapsed="false">
      <c r="A11" s="15" t="s">
        <v>42</v>
      </c>
      <c r="B11" s="16" t="s">
        <v>43</v>
      </c>
    </row>
    <row r="13" customFormat="false" ht="25.5" hidden="false" customHeight="false" outlineLevel="0" collapsed="false">
      <c r="A13" s="15" t="s">
        <v>44</v>
      </c>
      <c r="B13" s="16" t="s">
        <v>45</v>
      </c>
    </row>
    <row r="15" customFormat="false" ht="25.5" hidden="false" customHeight="false" outlineLevel="0" collapsed="false">
      <c r="A15" s="15" t="s">
        <v>46</v>
      </c>
      <c r="B15" s="16" t="s">
        <v>47</v>
      </c>
    </row>
    <row r="17" customFormat="false" ht="12.75" hidden="false" customHeight="false" outlineLevel="0" collapsed="false">
      <c r="A17" s="15" t="s">
        <v>48</v>
      </c>
      <c r="B17" s="16" t="s">
        <v>49</v>
      </c>
    </row>
    <row r="19" customFormat="false" ht="38.25" hidden="false" customHeight="false" outlineLevel="0" collapsed="false">
      <c r="A19" s="15" t="s">
        <v>50</v>
      </c>
      <c r="B19" s="16" t="s">
        <v>51</v>
      </c>
    </row>
    <row r="21" customFormat="false" ht="38.25" hidden="false" customHeight="false" outlineLevel="0" collapsed="false">
      <c r="A21" s="15" t="s">
        <v>52</v>
      </c>
      <c r="B21" s="16" t="s">
        <v>53</v>
      </c>
    </row>
    <row r="23" customFormat="false" ht="12.75" hidden="false" customHeight="false" outlineLevel="0" collapsed="false">
      <c r="A23" s="15" t="s">
        <v>54</v>
      </c>
      <c r="B23" s="16" t="s">
        <v>55</v>
      </c>
    </row>
    <row r="25" customFormat="false" ht="25.5" hidden="false" customHeight="false" outlineLevel="0" collapsed="false">
      <c r="A25" s="15" t="s">
        <v>56</v>
      </c>
      <c r="B25" s="16" t="s">
        <v>57</v>
      </c>
    </row>
    <row r="27" customFormat="false" ht="38.25" hidden="false" customHeight="false" outlineLevel="0" collapsed="false">
      <c r="A27" s="0"/>
      <c r="B27" s="16" t="s">
        <v>58</v>
      </c>
    </row>
    <row r="28" customFormat="false" ht="38.25" hidden="false" customHeight="false" outlineLevel="0" collapsed="false">
      <c r="A28" s="0"/>
      <c r="B28" s="16" t="s">
        <v>59</v>
      </c>
    </row>
    <row r="29" customFormat="false" ht="25.5" hidden="false" customHeight="false" outlineLevel="0" collapsed="false">
      <c r="A29" s="15" t="s">
        <v>60</v>
      </c>
      <c r="B29" s="16" t="s">
        <v>61</v>
      </c>
    </row>
    <row r="30" customFormat="false" ht="12.75" hidden="false" customHeight="false" outlineLevel="0" collapsed="false">
      <c r="A30" s="0"/>
    </row>
    <row r="31" customFormat="false" ht="38.25" hidden="false" customHeight="false" outlineLevel="0" collapsed="false">
      <c r="A31" s="0"/>
      <c r="B31" s="16" t="s">
        <v>62</v>
      </c>
    </row>
    <row r="32" customFormat="false" ht="12.75" hidden="false" customHeight="false" outlineLevel="0" collapsed="false">
      <c r="A32" s="15" t="s">
        <v>63</v>
      </c>
      <c r="B32" s="16" t="s">
        <v>64</v>
      </c>
    </row>
    <row r="33" customFormat="false" ht="12.75" hidden="false" customHeight="false" outlineLevel="0" collapsed="false">
      <c r="A33" s="0"/>
    </row>
    <row r="34" customFormat="false" ht="38.25" hidden="false" customHeight="false" outlineLevel="0" collapsed="false">
      <c r="A34" s="0"/>
      <c r="B34" s="16" t="s">
        <v>65</v>
      </c>
    </row>
    <row r="35" customFormat="false" ht="12.75" hidden="false" customHeight="false" outlineLevel="0" collapsed="false">
      <c r="A35" s="15" t="s">
        <v>66</v>
      </c>
      <c r="B35" s="16" t="s">
        <v>67</v>
      </c>
    </row>
  </sheetData>
  <mergeCells count="1">
    <mergeCell ref="A1:B1"/>
  </mergeCells>
  <printOptions headings="false" gridLines="true" gridLinesSet="true" horizontalCentered="true" verticalCentered="false"/>
  <pageMargins left="0.747916666666667" right="0.747916666666667" top="0.320138888888889" bottom="0.229861111111111" header="0.511811023622047" footer="0.511811023622047"/>
  <pageSetup paperSize="1" scale="9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E19" activeCellId="0" sqref="E19"/>
    </sheetView>
  </sheetViews>
  <sheetFormatPr defaultColWidth="9.0546875" defaultRowHeight="12.75" customHeight="true" zeroHeight="false" outlineLevelRow="0" outlineLevelCol="0"/>
  <cols>
    <col collapsed="false" customWidth="true" hidden="false" outlineLevel="0" max="1" min="1" style="6" width="9.14"/>
    <col collapsed="false" customWidth="true" hidden="false" outlineLevel="0" max="2" min="2" style="0" width="7.7"/>
    <col collapsed="false" customWidth="true" hidden="false" outlineLevel="0" max="3" min="3" style="18" width="9.14"/>
    <col collapsed="false" customWidth="true" hidden="false" outlineLevel="0" max="4" min="4" style="19" width="4.41"/>
    <col collapsed="false" customWidth="true" hidden="false" outlineLevel="0" max="9" min="9" style="0" width="10.85"/>
    <col collapsed="false" customWidth="true" hidden="false" outlineLevel="0" max="10" min="10" style="11" width="8.7"/>
    <col collapsed="false" customWidth="true" hidden="false" outlineLevel="0" max="11" min="11" style="0" width="10.28"/>
  </cols>
  <sheetData>
    <row r="1" customFormat="false" ht="38.25" hidden="false" customHeight="false" outlineLevel="0" collapsed="false">
      <c r="A1" s="8"/>
      <c r="B1" s="0" t="s">
        <v>68</v>
      </c>
      <c r="C1" s="20" t="s">
        <v>69</v>
      </c>
      <c r="E1" s="21" t="n">
        <v>1</v>
      </c>
      <c r="F1" s="22" t="s">
        <v>70</v>
      </c>
      <c r="G1" s="15" t="s">
        <v>71</v>
      </c>
      <c r="H1" s="15" t="s">
        <v>72</v>
      </c>
    </row>
    <row r="2" customFormat="false" ht="12.75" hidden="false" customHeight="false" outlineLevel="0" collapsed="false">
      <c r="A2" s="23"/>
    </row>
    <row r="3" customFormat="false" ht="12.75" hidden="false" customHeight="false" outlineLevel="0" collapsed="false">
      <c r="A3" s="24"/>
    </row>
    <row r="4" customFormat="false" ht="12.75" hidden="false" customHeight="false" outlineLevel="0" collapsed="false">
      <c r="A4" s="24" t="n">
        <v>35718</v>
      </c>
      <c r="B4" s="25" t="n">
        <f aca="false">B16+21000</f>
        <v>74852</v>
      </c>
      <c r="D4" s="19" t="n">
        <v>31</v>
      </c>
    </row>
    <row r="5" customFormat="false" ht="12.75" hidden="false" customHeight="false" outlineLevel="0" collapsed="false">
      <c r="A5" s="6" t="n">
        <v>35749</v>
      </c>
      <c r="B5" s="11" t="n">
        <f aca="false">Transport!S5</f>
        <v>43756.8279</v>
      </c>
      <c r="D5" s="19" t="n">
        <v>30</v>
      </c>
    </row>
    <row r="6" customFormat="false" ht="12.75" hidden="false" customHeight="false" outlineLevel="0" collapsed="false">
      <c r="A6" s="6" t="n">
        <f aca="false">+A5+365/12</f>
        <v>35779.4166666667</v>
      </c>
      <c r="B6" s="11" t="n">
        <f aca="false">Transport!S6</f>
        <v>42228</v>
      </c>
      <c r="D6" s="19" t="n">
        <v>31</v>
      </c>
    </row>
    <row r="7" customFormat="false" ht="12.75" hidden="false" customHeight="false" outlineLevel="0" collapsed="false">
      <c r="A7" s="6" t="n">
        <f aca="false">+A6+365/12</f>
        <v>35809.8333333333</v>
      </c>
      <c r="B7" s="11" t="n">
        <f aca="false">Transport!S7</f>
        <v>43810</v>
      </c>
      <c r="D7" s="19" t="n">
        <v>31</v>
      </c>
    </row>
    <row r="8" customFormat="false" ht="12.75" hidden="false" customHeight="false" outlineLevel="0" collapsed="false">
      <c r="A8" s="6" t="n">
        <f aca="false">+A7+365/12</f>
        <v>35840.25</v>
      </c>
      <c r="B8" s="11" t="n">
        <f aca="false">Transport!S8</f>
        <v>43513.25</v>
      </c>
      <c r="D8" s="19" t="n">
        <v>28</v>
      </c>
    </row>
    <row r="9" customFormat="false" ht="12.75" hidden="false" customHeight="false" outlineLevel="0" collapsed="false">
      <c r="A9" s="6" t="n">
        <f aca="false">+A8+365/12</f>
        <v>35870.6666666667</v>
      </c>
      <c r="B9" s="11" t="n">
        <f aca="false">Transport!S9</f>
        <v>45082.7741935484</v>
      </c>
      <c r="D9" s="19" t="n">
        <v>31</v>
      </c>
    </row>
    <row r="10" customFormat="false" ht="12.75" hidden="false" customHeight="false" outlineLevel="0" collapsed="false">
      <c r="A10" s="6" t="n">
        <f aca="false">+A9+365/12</f>
        <v>35901.0833333333</v>
      </c>
      <c r="B10" s="11" t="n">
        <f aca="false">Transport!S10</f>
        <v>41812</v>
      </c>
      <c r="D10" s="19" t="n">
        <v>30</v>
      </c>
    </row>
    <row r="11" customFormat="false" ht="12.75" hidden="false" customHeight="false" outlineLevel="0" collapsed="false">
      <c r="A11" s="6" t="n">
        <f aca="false">+A10+365/12</f>
        <v>35931.5</v>
      </c>
      <c r="B11" s="11" t="n">
        <f aca="false">Transport!S11</f>
        <v>46797</v>
      </c>
      <c r="D11" s="19" t="n">
        <v>31</v>
      </c>
    </row>
    <row r="12" customFormat="false" ht="12.75" hidden="false" customHeight="false" outlineLevel="0" collapsed="false">
      <c r="A12" s="6" t="n">
        <f aca="false">+A11+365/12</f>
        <v>35961.9166666667</v>
      </c>
      <c r="B12" s="11" t="n">
        <f aca="false">Transport!S12</f>
        <v>49445</v>
      </c>
      <c r="D12" s="19" t="n">
        <v>30</v>
      </c>
    </row>
    <row r="13" customFormat="false" ht="12.75" hidden="false" customHeight="false" outlineLevel="0" collapsed="false">
      <c r="A13" s="6" t="n">
        <f aca="false">+A12+365/12</f>
        <v>35992.3333333333</v>
      </c>
      <c r="B13" s="11" t="n">
        <f aca="false">Transport!S13</f>
        <v>49264</v>
      </c>
      <c r="D13" s="19" t="n">
        <v>31</v>
      </c>
    </row>
    <row r="14" customFormat="false" ht="12.75" hidden="false" customHeight="false" outlineLevel="0" collapsed="false">
      <c r="A14" s="6" t="n">
        <f aca="false">+A13+365/12</f>
        <v>36022.75</v>
      </c>
      <c r="B14" s="11" t="n">
        <f aca="false">Transport!S14</f>
        <v>47724</v>
      </c>
      <c r="D14" s="19" t="n">
        <v>31</v>
      </c>
    </row>
    <row r="15" customFormat="false" ht="12.75" hidden="false" customHeight="false" outlineLevel="0" collapsed="false">
      <c r="A15" s="6" t="n">
        <f aca="false">+A14+365/12</f>
        <v>36053.1666666667</v>
      </c>
      <c r="B15" s="11" t="n">
        <f aca="false">Transport!S15</f>
        <v>48366</v>
      </c>
      <c r="C15" s="18" t="n">
        <v>0.05</v>
      </c>
      <c r="D15" s="19" t="n">
        <v>30</v>
      </c>
      <c r="E15" s="11" t="n">
        <f aca="false">(B15*C15*D15*$E$1)</f>
        <v>72549</v>
      </c>
    </row>
    <row r="16" customFormat="false" ht="12.75" hidden="false" customHeight="false" outlineLevel="0" collapsed="false">
      <c r="A16" s="6" t="n">
        <f aca="false">+A15+365/12</f>
        <v>36083.5833333333</v>
      </c>
      <c r="B16" s="11" t="n">
        <f aca="false">Transport!S16</f>
        <v>53852</v>
      </c>
      <c r="C16" s="18" t="n">
        <v>0.02</v>
      </c>
      <c r="D16" s="19" t="n">
        <v>31</v>
      </c>
      <c r="E16" s="11" t="n">
        <f aca="false">(B16*C16*D16*$E$1)</f>
        <v>33388.24</v>
      </c>
    </row>
    <row r="17" customFormat="false" ht="12.75" hidden="false" customHeight="false" outlineLevel="0" collapsed="false">
      <c r="A17" s="6" t="n">
        <f aca="false">+A16+365/12</f>
        <v>36114</v>
      </c>
      <c r="B17" s="11" t="n">
        <f aca="false">Transport!S17</f>
        <v>25793</v>
      </c>
      <c r="C17" s="18" t="n">
        <v>0.02</v>
      </c>
      <c r="D17" s="19" t="n">
        <v>30</v>
      </c>
      <c r="E17" s="11" t="n">
        <f aca="false">(B17*C17*D17*$E$1)</f>
        <v>15475.8</v>
      </c>
    </row>
    <row r="18" customFormat="false" ht="12.75" hidden="false" customHeight="false" outlineLevel="0" collapsed="false">
      <c r="A18" s="6" t="n">
        <f aca="false">+A17+365/12</f>
        <v>36144.4166666667</v>
      </c>
      <c r="B18" s="11" t="n">
        <f aca="false">Transport!S18</f>
        <v>25793</v>
      </c>
      <c r="C18" s="18" t="n">
        <v>0.02</v>
      </c>
      <c r="D18" s="19" t="n">
        <v>31</v>
      </c>
      <c r="E18" s="11" t="n">
        <f aca="false">(B18*C18*D18*$E$1)</f>
        <v>15991.66</v>
      </c>
    </row>
    <row r="19" customFormat="false" ht="12.75" hidden="false" customHeight="false" outlineLevel="0" collapsed="false">
      <c r="A19" s="6" t="n">
        <f aca="false">+A18+365/12</f>
        <v>36174.8333333333</v>
      </c>
      <c r="B19" s="11" t="n">
        <f aca="false">Transport!S19</f>
        <v>25793</v>
      </c>
      <c r="C19" s="18" t="n">
        <v>0.27</v>
      </c>
      <c r="D19" s="19" t="n">
        <v>31</v>
      </c>
      <c r="E19" s="11" t="n">
        <f aca="false">(B19*C19*D19*$E$1)</f>
        <v>215887.41</v>
      </c>
      <c r="G19" s="0" t="n">
        <f aca="false">B19*D19*'Prices&amp;Fuel'!M19</f>
        <v>651500.2284</v>
      </c>
      <c r="H19" s="25" t="n">
        <f aca="false">E19-G19</f>
        <v>-435612.8184</v>
      </c>
      <c r="J19" s="11" t="n">
        <f aca="false">B19*D19</f>
        <v>799583</v>
      </c>
    </row>
    <row r="20" customFormat="false" ht="12.75" hidden="false" customHeight="false" outlineLevel="0" collapsed="false">
      <c r="A20" s="6" t="n">
        <f aca="false">+A19+365/12</f>
        <v>36205.25</v>
      </c>
      <c r="B20" s="11" t="n">
        <f aca="false">Transport!S20</f>
        <v>25793</v>
      </c>
      <c r="C20" s="18" t="n">
        <f aca="false">C19</f>
        <v>0.27</v>
      </c>
      <c r="D20" s="19" t="n">
        <v>28</v>
      </c>
      <c r="E20" s="11" t="n">
        <f aca="false">(B20*C20*D20*$E$1)</f>
        <v>194995.08</v>
      </c>
      <c r="G20" s="0" t="n">
        <f aca="false">B20*D20*'Prices&amp;Fuel'!M20</f>
        <v>588451.8192</v>
      </c>
      <c r="H20" s="25" t="n">
        <f aca="false">E20-G20</f>
        <v>-393456.7392</v>
      </c>
      <c r="J20" s="11" t="n">
        <f aca="false">B20*D20</f>
        <v>722204</v>
      </c>
    </row>
    <row r="21" customFormat="false" ht="12.75" hidden="false" customHeight="false" outlineLevel="0" collapsed="false">
      <c r="A21" s="6" t="n">
        <f aca="false">+A20+365/12</f>
        <v>36235.6666666667</v>
      </c>
      <c r="B21" s="11" t="n">
        <f aca="false">Transport!S21</f>
        <v>25793</v>
      </c>
      <c r="C21" s="18" t="n">
        <f aca="false">C20</f>
        <v>0.27</v>
      </c>
      <c r="D21" s="19" t="n">
        <v>31</v>
      </c>
      <c r="E21" s="11" t="n">
        <f aca="false">(B21*C21*D21*$E$1)</f>
        <v>215887.41</v>
      </c>
      <c r="G21" s="0" t="n">
        <f aca="false">B21*D21*'Prices&amp;Fuel'!M21</f>
        <v>623274.9485</v>
      </c>
      <c r="H21" s="25" t="n">
        <f aca="false">E21-G21</f>
        <v>-407387.5385</v>
      </c>
      <c r="J21" s="11" t="n">
        <f aca="false">B21*D21</f>
        <v>799583</v>
      </c>
    </row>
    <row r="22" customFormat="false" ht="12.75" hidden="false" customHeight="false" outlineLevel="0" collapsed="false">
      <c r="A22" s="6" t="n">
        <f aca="false">+A21+365/12</f>
        <v>36266.0833333333</v>
      </c>
      <c r="B22" s="11" t="n">
        <f aca="false">Transport!S22</f>
        <v>23894</v>
      </c>
      <c r="C22" s="18" t="n">
        <f aca="false">C21</f>
        <v>0.27</v>
      </c>
      <c r="D22" s="19" t="n">
        <v>30</v>
      </c>
      <c r="E22" s="11" t="n">
        <f aca="false">(B22*C22*D22*$E$1)</f>
        <v>193541.4</v>
      </c>
      <c r="G22" s="0" t="n">
        <f aca="false">B22*D22*'Prices&amp;Fuel'!M22</f>
        <v>558761.19</v>
      </c>
      <c r="H22" s="25" t="n">
        <f aca="false">E22-G22</f>
        <v>-365219.79</v>
      </c>
      <c r="J22" s="11" t="n">
        <f aca="false">B22*D22</f>
        <v>716820</v>
      </c>
    </row>
    <row r="23" customFormat="false" ht="12.75" hidden="false" customHeight="false" outlineLevel="0" collapsed="false">
      <c r="A23" s="6" t="n">
        <f aca="false">+A22+365/12</f>
        <v>36296.5</v>
      </c>
      <c r="B23" s="11" t="n">
        <f aca="false">Transport!S23</f>
        <v>19894</v>
      </c>
      <c r="C23" s="18" t="n">
        <f aca="false">C22</f>
        <v>0.27</v>
      </c>
      <c r="D23" s="19" t="n">
        <v>31</v>
      </c>
      <c r="E23" s="11" t="n">
        <f aca="false">(B23*C23*D23*$E$1)</f>
        <v>166512.78</v>
      </c>
      <c r="G23" s="0" t="n">
        <f aca="false">B23*D23*'Prices&amp;Fuel'!M23</f>
        <v>480728.563</v>
      </c>
      <c r="H23" s="25" t="n">
        <f aca="false">E23-G23</f>
        <v>-314215.783</v>
      </c>
      <c r="J23" s="11" t="n">
        <f aca="false">B23*D23</f>
        <v>616714</v>
      </c>
    </row>
    <row r="24" customFormat="false" ht="12.75" hidden="false" customHeight="false" outlineLevel="0" collapsed="false">
      <c r="A24" s="6" t="n">
        <f aca="false">+A23+365/12</f>
        <v>36326.9166666667</v>
      </c>
      <c r="B24" s="11" t="n">
        <f aca="false">Transport!S24</f>
        <v>19894</v>
      </c>
      <c r="C24" s="18" t="n">
        <f aca="false">C23</f>
        <v>0.27</v>
      </c>
      <c r="D24" s="19" t="n">
        <v>30</v>
      </c>
      <c r="E24" s="11" t="n">
        <f aca="false">(B24*C24*D24*$E$1)</f>
        <v>161141.4</v>
      </c>
      <c r="G24" s="0" t="n">
        <f aca="false">B24*D24*'Prices&amp;Fuel'!M24</f>
        <v>465221.19</v>
      </c>
      <c r="H24" s="25" t="n">
        <f aca="false">E24-G24</f>
        <v>-304079.79</v>
      </c>
      <c r="J24" s="11" t="n">
        <f aca="false">B24*D24</f>
        <v>596820</v>
      </c>
    </row>
    <row r="25" customFormat="false" ht="12.75" hidden="false" customHeight="false" outlineLevel="0" collapsed="false">
      <c r="A25" s="6" t="n">
        <f aca="false">+A24+365/12</f>
        <v>36357.3333333333</v>
      </c>
      <c r="B25" s="11" t="n">
        <f aca="false">Transport!S25</f>
        <v>19894</v>
      </c>
      <c r="C25" s="18" t="n">
        <f aca="false">C24</f>
        <v>0.27</v>
      </c>
      <c r="D25" s="19" t="n">
        <v>31</v>
      </c>
      <c r="E25" s="11" t="n">
        <f aca="false">(B25*C25*D25*$E$1)</f>
        <v>166512.78</v>
      </c>
      <c r="G25" s="0" t="n">
        <f aca="false">B25*D25*'Prices&amp;Fuel'!M25</f>
        <v>480728.563</v>
      </c>
      <c r="H25" s="25" t="n">
        <f aca="false">E25-G25</f>
        <v>-314215.783</v>
      </c>
      <c r="J25" s="11" t="n">
        <f aca="false">B25*D25</f>
        <v>616714</v>
      </c>
    </row>
    <row r="26" customFormat="false" ht="12.75" hidden="false" customHeight="false" outlineLevel="0" collapsed="false">
      <c r="A26" s="6" t="n">
        <f aca="false">+A25+365/12</f>
        <v>36387.75</v>
      </c>
      <c r="B26" s="11" t="n">
        <f aca="false">Transport!S26</f>
        <v>19894</v>
      </c>
      <c r="C26" s="18" t="n">
        <f aca="false">C25</f>
        <v>0.27</v>
      </c>
      <c r="D26" s="19" t="n">
        <v>31</v>
      </c>
      <c r="E26" s="11" t="n">
        <f aca="false">(B26*C26*D26*$E$1)</f>
        <v>166512.78</v>
      </c>
      <c r="G26" s="0" t="n">
        <f aca="false">B26*D26*'Prices&amp;Fuel'!M26</f>
        <v>480728.563</v>
      </c>
      <c r="H26" s="25" t="n">
        <f aca="false">E26-G26</f>
        <v>-314215.783</v>
      </c>
      <c r="J26" s="11" t="n">
        <f aca="false">B26*D26</f>
        <v>616714</v>
      </c>
    </row>
    <row r="27" customFormat="false" ht="12.75" hidden="false" customHeight="false" outlineLevel="0" collapsed="false">
      <c r="A27" s="6" t="n">
        <f aca="false">+A26+365/12</f>
        <v>36418.1666666667</v>
      </c>
      <c r="B27" s="11" t="n">
        <f aca="false">Transport!S27</f>
        <v>19894</v>
      </c>
      <c r="C27" s="18" t="n">
        <f aca="false">C26</f>
        <v>0.27</v>
      </c>
      <c r="D27" s="19" t="n">
        <v>30</v>
      </c>
      <c r="E27" s="11" t="n">
        <f aca="false">(B27*C27*D27*$E$1)</f>
        <v>161141.4</v>
      </c>
      <c r="G27" s="0" t="n">
        <f aca="false">B27*D27*'Prices&amp;Fuel'!M27</f>
        <v>465221.19</v>
      </c>
      <c r="H27" s="25" t="n">
        <f aca="false">E27-G27</f>
        <v>-304079.79</v>
      </c>
      <c r="J27" s="11" t="n">
        <f aca="false">B27*D27</f>
        <v>596820</v>
      </c>
    </row>
    <row r="28" customFormat="false" ht="12.75" hidden="false" customHeight="false" outlineLevel="0" collapsed="false">
      <c r="A28" s="6" t="n">
        <f aca="false">+A27+365/12</f>
        <v>36448.5833333333</v>
      </c>
      <c r="B28" s="11" t="n">
        <f aca="false">Transport!S28</f>
        <v>22852</v>
      </c>
      <c r="C28" s="18" t="n">
        <f aca="false">C27</f>
        <v>0.27</v>
      </c>
      <c r="D28" s="19" t="n">
        <v>31</v>
      </c>
      <c r="E28" s="11" t="n">
        <f aca="false">(B28*C28*D28*$E$1)</f>
        <v>191271.24</v>
      </c>
      <c r="G28" s="0" t="n">
        <f aca="false">B28*D28*'Prices&amp;Fuel'!M28</f>
        <v>552207.154</v>
      </c>
      <c r="H28" s="25" t="n">
        <f aca="false">E28-G28</f>
        <v>-360935.914</v>
      </c>
      <c r="J28" s="11" t="n">
        <f aca="false">B28*D28</f>
        <v>708412</v>
      </c>
    </row>
    <row r="29" customFormat="false" ht="12.75" hidden="false" customHeight="false" outlineLevel="0" collapsed="false">
      <c r="A29" s="6" t="n">
        <f aca="false">+A28+365/12</f>
        <v>36479</v>
      </c>
      <c r="B29" s="11" t="n">
        <f aca="false">Transport!S29</f>
        <v>15793</v>
      </c>
      <c r="C29" s="18" t="n">
        <f aca="false">C28</f>
        <v>0.27</v>
      </c>
      <c r="D29" s="19" t="n">
        <v>30</v>
      </c>
      <c r="E29" s="11" t="n">
        <f aca="false">(B29*C29*D29*$E$1)</f>
        <v>127923.3</v>
      </c>
      <c r="G29" s="0" t="n">
        <f aca="false">B29*D29*'Prices&amp;Fuel'!M29</f>
        <v>369319.305</v>
      </c>
      <c r="H29" s="25" t="n">
        <f aca="false">E29-G29</f>
        <v>-241396.005</v>
      </c>
      <c r="J29" s="11" t="n">
        <f aca="false">B29*D29</f>
        <v>473790</v>
      </c>
    </row>
    <row r="30" customFormat="false" ht="12.75" hidden="false" customHeight="false" outlineLevel="0" collapsed="false">
      <c r="A30" s="6" t="n">
        <f aca="false">+A29+365/12</f>
        <v>36509.4166666667</v>
      </c>
      <c r="B30" s="11" t="n">
        <f aca="false">Transport!S30</f>
        <v>15793</v>
      </c>
      <c r="C30" s="18" t="n">
        <f aca="false">C29</f>
        <v>0.27</v>
      </c>
      <c r="D30" s="19" t="n">
        <v>31</v>
      </c>
      <c r="E30" s="11" t="n">
        <f aca="false">(B30*C30*D30*$E$1)</f>
        <v>132187.41</v>
      </c>
      <c r="F30" s="25" t="n">
        <f aca="false">SUM(E19:E30)</f>
        <v>2093514.39</v>
      </c>
      <c r="G30" s="0" t="n">
        <f aca="false">B30*D30*'Prices&amp;Fuel'!M30</f>
        <v>381629.9485</v>
      </c>
      <c r="H30" s="25" t="n">
        <f aca="false">E30-G30</f>
        <v>-249442.5385</v>
      </c>
      <c r="I30" s="25" t="n">
        <f aca="false">SUM(H19:H30)</f>
        <v>-4004258.2726</v>
      </c>
      <c r="J30" s="11" t="n">
        <f aca="false">B30*D30</f>
        <v>489583</v>
      </c>
      <c r="K30" s="25" t="n">
        <f aca="false">SUM(J19:J30)</f>
        <v>7753757</v>
      </c>
      <c r="L30" s="0" t="n">
        <f aca="false">F30/K30</f>
        <v>0.27</v>
      </c>
    </row>
    <row r="31" customFormat="false" ht="12.75" hidden="false" customHeight="false" outlineLevel="0" collapsed="false">
      <c r="A31" s="6" t="n">
        <f aca="false">+A30+365/12</f>
        <v>36539.8333333333</v>
      </c>
      <c r="B31" s="11" t="n">
        <f aca="false">Transport!S31</f>
        <v>15793</v>
      </c>
      <c r="C31" s="18" t="n">
        <f aca="false">C30</f>
        <v>0.27</v>
      </c>
      <c r="D31" s="19" t="n">
        <v>31</v>
      </c>
      <c r="E31" s="11" t="n">
        <f aca="false">(B31*C31*D31*$E$1)</f>
        <v>132187.41</v>
      </c>
      <c r="G31" s="0" t="n">
        <f aca="false">B31*D31*'Prices&amp;Fuel'!M31</f>
        <v>381140.3655</v>
      </c>
      <c r="H31" s="25" t="n">
        <f aca="false">E31-G31</f>
        <v>-248952.9555</v>
      </c>
      <c r="J31" s="11" t="n">
        <f aca="false">B31*D31</f>
        <v>489583</v>
      </c>
    </row>
    <row r="32" customFormat="false" ht="12.75" hidden="false" customHeight="false" outlineLevel="0" collapsed="false">
      <c r="A32" s="6" t="n">
        <f aca="false">+A31+365/12</f>
        <v>36570.25</v>
      </c>
      <c r="B32" s="11" t="n">
        <f aca="false">Transport!S32</f>
        <v>15793</v>
      </c>
      <c r="C32" s="18" t="n">
        <f aca="false">C31</f>
        <v>0.27</v>
      </c>
      <c r="D32" s="19" t="n">
        <v>29</v>
      </c>
      <c r="E32" s="11" t="n">
        <f aca="false">(B32*C32*D32*$E$1)</f>
        <v>123659.19</v>
      </c>
      <c r="G32" s="0" t="n">
        <f aca="false">B32*D32*'Prices&amp;Fuel'!M32</f>
        <v>356550.6645</v>
      </c>
      <c r="H32" s="25" t="n">
        <f aca="false">E32-G32</f>
        <v>-232891.4745</v>
      </c>
      <c r="J32" s="11" t="n">
        <f aca="false">B32*D32</f>
        <v>457997</v>
      </c>
    </row>
    <row r="33" customFormat="false" ht="12.75" hidden="false" customHeight="false" outlineLevel="0" collapsed="false">
      <c r="A33" s="6" t="n">
        <f aca="false">+A32+365/12</f>
        <v>36600.6666666667</v>
      </c>
      <c r="B33" s="11" t="n">
        <f aca="false">Transport!S33</f>
        <v>15793</v>
      </c>
      <c r="C33" s="18" t="n">
        <f aca="false">C32</f>
        <v>0.27</v>
      </c>
      <c r="D33" s="19" t="n">
        <v>31</v>
      </c>
      <c r="E33" s="11" t="n">
        <f aca="false">(B33*C33*D33*$E$1)</f>
        <v>132187.41</v>
      </c>
      <c r="G33" s="0" t="n">
        <f aca="false">B33*D33*'Prices&amp;Fuel'!M33</f>
        <v>376195.5772</v>
      </c>
      <c r="H33" s="25" t="n">
        <f aca="false">E33-G33</f>
        <v>-244008.1672</v>
      </c>
      <c r="J33" s="11" t="n">
        <f aca="false">B33*D33</f>
        <v>489583</v>
      </c>
    </row>
    <row r="34" customFormat="false" ht="12.75" hidden="false" customHeight="false" outlineLevel="0" collapsed="false">
      <c r="A34" s="6" t="n">
        <f aca="false">+A33+365/12</f>
        <v>36631.0833333333</v>
      </c>
      <c r="B34" s="11" t="n">
        <f aca="false">Transport!S34</f>
        <v>23894</v>
      </c>
      <c r="C34" s="18" t="n">
        <f aca="false">C33</f>
        <v>0.27</v>
      </c>
      <c r="D34" s="19" t="n">
        <v>30</v>
      </c>
      <c r="E34" s="11" t="n">
        <f aca="false">(B34*C34*D34*$E$1)</f>
        <v>193541.4</v>
      </c>
      <c r="G34" s="0" t="n">
        <f aca="false">B34*D34*'Prices&amp;Fuel'!M34</f>
        <v>550804.488</v>
      </c>
      <c r="H34" s="25" t="n">
        <f aca="false">E34-G34</f>
        <v>-357263.088</v>
      </c>
      <c r="J34" s="11" t="n">
        <f aca="false">B34*D34</f>
        <v>716820</v>
      </c>
    </row>
    <row r="35" customFormat="false" ht="12.75" hidden="false" customHeight="false" outlineLevel="0" collapsed="false">
      <c r="A35" s="6" t="n">
        <f aca="false">+A34+365/12</f>
        <v>36661.5</v>
      </c>
      <c r="B35" s="11" t="n">
        <f aca="false">Transport!S35</f>
        <v>19893.9999999997</v>
      </c>
      <c r="C35" s="18" t="n">
        <f aca="false">C34</f>
        <v>0.27</v>
      </c>
      <c r="D35" s="19" t="n">
        <v>31</v>
      </c>
      <c r="E35" s="11" t="n">
        <f aca="false">(B35*C35*D35*$E$1)</f>
        <v>166512.779999997</v>
      </c>
      <c r="G35" s="0" t="n">
        <f aca="false">B35*D35*'Prices&amp;Fuel'!M35</f>
        <v>473883.037599992</v>
      </c>
      <c r="H35" s="25" t="n">
        <f aca="false">E35-G35</f>
        <v>-307370.257599995</v>
      </c>
      <c r="J35" s="11" t="n">
        <f aca="false">B35*D35</f>
        <v>616713.99999999</v>
      </c>
    </row>
    <row r="36" customFormat="false" ht="12.75" hidden="false" customHeight="false" outlineLevel="0" collapsed="false">
      <c r="A36" s="6" t="n">
        <f aca="false">+A35+365/12</f>
        <v>36691.9166666667</v>
      </c>
      <c r="B36" s="11" t="n">
        <f aca="false">Transport!S36</f>
        <v>19893.9999999998</v>
      </c>
      <c r="C36" s="18" t="n">
        <f aca="false">C35</f>
        <v>0.27</v>
      </c>
      <c r="D36" s="19" t="n">
        <v>30</v>
      </c>
      <c r="E36" s="11" t="n">
        <f aca="false">(B36*C36*D36*$E$1)</f>
        <v>161141.399999998</v>
      </c>
      <c r="G36" s="0" t="n">
        <f aca="false">B36*D36*'Prices&amp;Fuel'!M36</f>
        <v>458596.487999995</v>
      </c>
      <c r="H36" s="25" t="n">
        <f aca="false">E36-G36</f>
        <v>-297455.087999997</v>
      </c>
      <c r="J36" s="11" t="n">
        <f aca="false">B36*D36</f>
        <v>596819.999999994</v>
      </c>
    </row>
    <row r="37" customFormat="false" ht="12.75" hidden="false" customHeight="false" outlineLevel="0" collapsed="false">
      <c r="A37" s="6" t="n">
        <f aca="false">+A36+365/12</f>
        <v>36722.3333333333</v>
      </c>
      <c r="B37" s="11" t="n">
        <f aca="false">Transport!S37</f>
        <v>19893.9999999998</v>
      </c>
      <c r="C37" s="18" t="n">
        <f aca="false">C36</f>
        <v>0.27</v>
      </c>
      <c r="D37" s="19" t="n">
        <v>31</v>
      </c>
      <c r="E37" s="11" t="n">
        <f aca="false">(B37*C37*D37*$E$1)</f>
        <v>166512.779999998</v>
      </c>
      <c r="G37" s="0" t="n">
        <f aca="false">B37*D37*'Prices&amp;Fuel'!M37</f>
        <v>473883.037599995</v>
      </c>
      <c r="H37" s="25" t="n">
        <f aca="false">E37-G37</f>
        <v>-307370.257599997</v>
      </c>
      <c r="J37" s="11" t="n">
        <f aca="false">B37*D37</f>
        <v>616713.999999993</v>
      </c>
    </row>
    <row r="38" customFormat="false" ht="12.75" hidden="false" customHeight="false" outlineLevel="0" collapsed="false">
      <c r="A38" s="6" t="n">
        <f aca="false">+A37+365/12</f>
        <v>36752.75</v>
      </c>
      <c r="B38" s="11" t="n">
        <f aca="false">Transport!S38</f>
        <v>19893.9999999998</v>
      </c>
      <c r="C38" s="18" t="n">
        <f aca="false">C37</f>
        <v>0.27</v>
      </c>
      <c r="D38" s="19" t="n">
        <v>31</v>
      </c>
      <c r="E38" s="11" t="n">
        <f aca="false">(B38*C38*D38*$E$1)</f>
        <v>166512.779999998</v>
      </c>
      <c r="G38" s="0" t="n">
        <f aca="false">B38*D38*'Prices&amp;Fuel'!M38</f>
        <v>473883.037599995</v>
      </c>
      <c r="H38" s="25" t="n">
        <f aca="false">E38-G38</f>
        <v>-307370.257599997</v>
      </c>
      <c r="J38" s="11" t="n">
        <f aca="false">B38*D38</f>
        <v>616713.999999993</v>
      </c>
    </row>
    <row r="39" customFormat="false" ht="12.75" hidden="false" customHeight="false" outlineLevel="0" collapsed="false">
      <c r="A39" s="6" t="n">
        <f aca="false">+A38+365/12</f>
        <v>36783.1666666667</v>
      </c>
      <c r="B39" s="11" t="n">
        <f aca="false">Transport!S39</f>
        <v>19893.9999999998</v>
      </c>
      <c r="C39" s="18" t="n">
        <f aca="false">C38</f>
        <v>0.27</v>
      </c>
      <c r="D39" s="19" t="n">
        <v>30</v>
      </c>
      <c r="E39" s="11" t="n">
        <f aca="false">(B39*C39*D39*$E$1)</f>
        <v>161141.399999998</v>
      </c>
      <c r="G39" s="0" t="n">
        <f aca="false">B39*D39*'Prices&amp;Fuel'!M39</f>
        <v>458596.487999995</v>
      </c>
      <c r="H39" s="25" t="n">
        <f aca="false">E39-G39</f>
        <v>-297455.087999997</v>
      </c>
      <c r="J39" s="11" t="n">
        <f aca="false">B39*D39</f>
        <v>596819.999999994</v>
      </c>
    </row>
    <row r="40" customFormat="false" ht="12.75" hidden="false" customHeight="false" outlineLevel="0" collapsed="false">
      <c r="A40" s="6" t="n">
        <f aca="false">+A39+365/12</f>
        <v>36813.5833333333</v>
      </c>
      <c r="B40" s="11" t="n">
        <f aca="false">Transport!S40</f>
        <v>22852.0000000004</v>
      </c>
      <c r="C40" s="18" t="n">
        <f aca="false">C39</f>
        <v>0.27</v>
      </c>
      <c r="D40" s="19" t="n">
        <v>31</v>
      </c>
      <c r="E40" s="11" t="n">
        <f aca="false">(B40*C40*D40*$E$1)</f>
        <v>191271.240000003</v>
      </c>
      <c r="G40" s="0" t="n">
        <f aca="false">B40*D40*'Prices&amp;Fuel'!M40</f>
        <v>544343.78080001</v>
      </c>
      <c r="H40" s="25" t="n">
        <f aca="false">E40-G40</f>
        <v>-353072.540800006</v>
      </c>
      <c r="J40" s="11" t="n">
        <f aca="false">B40*D40</f>
        <v>708412.000000013</v>
      </c>
    </row>
    <row r="41" customFormat="false" ht="12.75" hidden="false" customHeight="false" outlineLevel="0" collapsed="false">
      <c r="A41" s="6" t="n">
        <f aca="false">+A40+365/12</f>
        <v>36844</v>
      </c>
      <c r="B41" s="11" t="n">
        <f aca="false">Transport!S41</f>
        <v>15793</v>
      </c>
      <c r="C41" s="18" t="n">
        <f aca="false">C40</f>
        <v>0.27</v>
      </c>
      <c r="D41" s="19" t="n">
        <v>30</v>
      </c>
      <c r="E41" s="11" t="n">
        <f aca="false">(B41*C41*D41*$E$1)</f>
        <v>127923.3</v>
      </c>
      <c r="G41" s="0" t="n">
        <f aca="false">B41*D41*'Prices&amp;Fuel'!M41</f>
        <v>364060.236</v>
      </c>
      <c r="H41" s="25" t="n">
        <f aca="false">E41-G41</f>
        <v>-236136.936</v>
      </c>
      <c r="J41" s="11" t="n">
        <f aca="false">B41*D41</f>
        <v>473790</v>
      </c>
    </row>
    <row r="42" customFormat="false" ht="12.75" hidden="false" customHeight="false" outlineLevel="0" collapsed="false">
      <c r="A42" s="6" t="n">
        <f aca="false">+A41+365/12</f>
        <v>36874.4166666667</v>
      </c>
      <c r="B42" s="11" t="n">
        <f aca="false">Transport!S42</f>
        <v>15793</v>
      </c>
      <c r="C42" s="18" t="n">
        <f aca="false">C41</f>
        <v>0.27</v>
      </c>
      <c r="D42" s="19" t="n">
        <v>31</v>
      </c>
      <c r="E42" s="11" t="n">
        <f aca="false">(B42*C42*D42*$E$1)</f>
        <v>132187.41</v>
      </c>
      <c r="F42" s="25" t="n">
        <f aca="false">SUM(E31:E42)</f>
        <v>1854778.49999999</v>
      </c>
      <c r="G42" s="0" t="n">
        <f aca="false">B42*D42*'Prices&amp;Fuel'!M42</f>
        <v>376195.5772</v>
      </c>
      <c r="H42" s="25" t="n">
        <f aca="false">E42-G42</f>
        <v>-244008.1672</v>
      </c>
      <c r="I42" s="25" t="n">
        <f aca="false">SUM(H31:H42)</f>
        <v>-3433354.27799999</v>
      </c>
      <c r="J42" s="11" t="n">
        <f aca="false">B42*D42</f>
        <v>489583</v>
      </c>
      <c r="K42" s="25" t="n">
        <f aca="false">SUM(J31:J42)</f>
        <v>6869549.99999998</v>
      </c>
      <c r="L42" s="0" t="n">
        <f aca="false">F42/K42</f>
        <v>0.27</v>
      </c>
    </row>
    <row r="43" customFormat="false" ht="12.75" hidden="false" customHeight="false" outlineLevel="0" collapsed="false">
      <c r="A43" s="6" t="n">
        <f aca="false">+A42+365/12</f>
        <v>36904.8333333333</v>
      </c>
      <c r="B43" s="11" t="n">
        <f aca="false">Transport!S43</f>
        <v>15793</v>
      </c>
      <c r="C43" s="18" t="n">
        <f aca="false">C42</f>
        <v>0.27</v>
      </c>
      <c r="D43" s="19" t="n">
        <v>31</v>
      </c>
      <c r="E43" s="11" t="n">
        <f aca="false">(B43*C43*D43*$E$1)</f>
        <v>132187.41</v>
      </c>
      <c r="G43" s="0" t="n">
        <f aca="false">B43*D43*'Prices&amp;Fuel'!M43</f>
        <v>376195.5772</v>
      </c>
      <c r="H43" s="25" t="n">
        <f aca="false">E43-G43</f>
        <v>-244008.1672</v>
      </c>
      <c r="J43" s="11" t="n">
        <f aca="false">B43*D43</f>
        <v>489583</v>
      </c>
    </row>
    <row r="44" customFormat="false" ht="12.75" hidden="false" customHeight="false" outlineLevel="0" collapsed="false">
      <c r="A44" s="6" t="n">
        <f aca="false">+A43+365/12</f>
        <v>36935.25</v>
      </c>
      <c r="B44" s="11" t="n">
        <f aca="false">Transport!S44</f>
        <v>15793</v>
      </c>
      <c r="C44" s="18" t="n">
        <f aca="false">C43</f>
        <v>0.27</v>
      </c>
      <c r="D44" s="19" t="n">
        <v>28</v>
      </c>
      <c r="E44" s="11" t="n">
        <f aca="false">(B44*C44*D44*$E$1)</f>
        <v>119395.08</v>
      </c>
      <c r="G44" s="0" t="n">
        <f aca="false">B44*D44*'Prices&amp;Fuel'!M44</f>
        <v>339789.5536</v>
      </c>
      <c r="H44" s="25" t="n">
        <f aca="false">E44-G44</f>
        <v>-220394.4736</v>
      </c>
      <c r="J44" s="11" t="n">
        <f aca="false">B44*D44</f>
        <v>442204</v>
      </c>
    </row>
    <row r="45" customFormat="false" ht="12.75" hidden="false" customHeight="false" outlineLevel="0" collapsed="false">
      <c r="A45" s="6" t="n">
        <f aca="false">+A44+365/12</f>
        <v>36965.6666666667</v>
      </c>
      <c r="B45" s="11" t="n">
        <f aca="false">Transport!S45</f>
        <v>15793</v>
      </c>
      <c r="C45" s="18" t="n">
        <f aca="false">C44</f>
        <v>0.27</v>
      </c>
      <c r="D45" s="19" t="n">
        <v>31</v>
      </c>
      <c r="E45" s="11" t="n">
        <f aca="false">(B45*C45*D45*$E$1)</f>
        <v>132187.41</v>
      </c>
      <c r="G45" s="0" t="n">
        <f aca="false">B45*D45*'Prices&amp;Fuel'!M45</f>
        <v>376195.5772</v>
      </c>
      <c r="H45" s="25" t="n">
        <f aca="false">E45-G45</f>
        <v>-244008.1672</v>
      </c>
      <c r="J45" s="11" t="n">
        <f aca="false">B45*D45</f>
        <v>489583</v>
      </c>
    </row>
    <row r="46" customFormat="false" ht="12.75" hidden="false" customHeight="false" outlineLevel="0" collapsed="false">
      <c r="A46" s="6" t="n">
        <f aca="false">+A45+365/12</f>
        <v>36996.0833333333</v>
      </c>
      <c r="B46" s="11" t="n">
        <f aca="false">Transport!S46</f>
        <v>23894</v>
      </c>
      <c r="C46" s="18" t="n">
        <f aca="false">C45</f>
        <v>0.27</v>
      </c>
      <c r="D46" s="19" t="n">
        <v>30</v>
      </c>
      <c r="E46" s="11" t="n">
        <f aca="false">(B46*C46*D46*$E$1)</f>
        <v>193541.4</v>
      </c>
      <c r="F46" s="25" t="n">
        <f aca="false">SUM(E43:E46)</f>
        <v>577311.3</v>
      </c>
      <c r="G46" s="0" t="n">
        <f aca="false">B46*D46*'Prices&amp;Fuel'!M46</f>
        <v>550804.488</v>
      </c>
      <c r="H46" s="25" t="n">
        <f aca="false">E46-G46</f>
        <v>-357263.088</v>
      </c>
      <c r="I46" s="25" t="n">
        <f aca="false">SUM(H43:H46)</f>
        <v>-1065673.896</v>
      </c>
      <c r="J46" s="11" t="n">
        <f aca="false">B46*D46</f>
        <v>716820</v>
      </c>
      <c r="K46" s="25" t="n">
        <f aca="false">SUM(J43:J46)</f>
        <v>2138190</v>
      </c>
      <c r="L46" s="0" t="n">
        <f aca="false">F46/K46</f>
        <v>0.27</v>
      </c>
    </row>
    <row r="47" customFormat="false" ht="12.75" hidden="false" customHeight="false" outlineLevel="0" collapsed="false">
      <c r="H47" s="25" t="n">
        <f aca="false">E47-G47</f>
        <v>0</v>
      </c>
    </row>
  </sheetData>
  <printOptions headings="false" gridLines="false" gridLinesSet="true" horizontalCentered="true" verticalCentered="false"/>
  <pageMargins left="0.340277777777778"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7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2" topLeftCell="B3" activePane="bottomRight" state="frozen"/>
      <selection pane="topLeft" activeCell="A1" activeCellId="0" sqref="A1"/>
      <selection pane="topRight" activeCell="B1" activeCellId="0" sqref="B1"/>
      <selection pane="bottomLeft" activeCell="A3" activeCellId="0" sqref="A3"/>
      <selection pane="bottomRight" activeCell="A23" activeCellId="0" sqref="A23"/>
    </sheetView>
  </sheetViews>
  <sheetFormatPr defaultColWidth="9.13671875" defaultRowHeight="11.25" customHeight="true" zeroHeight="false" outlineLevelRow="0" outlineLevelCol="0"/>
  <cols>
    <col collapsed="false" customWidth="false" hidden="false" outlineLevel="0" max="1" min="1" style="6" width="9.14"/>
    <col collapsed="false" customWidth="false" hidden="false" outlineLevel="0" max="2" min="2" style="1" width="9.14"/>
    <col collapsed="false" customWidth="true" hidden="true" outlineLevel="0" max="5" min="3" style="1" width="9.06"/>
    <col collapsed="false" customWidth="false" hidden="false" outlineLevel="0" max="19" min="6" style="1" width="9.14"/>
    <col collapsed="false" customWidth="true" hidden="false" outlineLevel="0" max="20" min="20" style="1" width="10.28"/>
    <col collapsed="false" customWidth="true" hidden="false" outlineLevel="0" max="21" min="21" style="1" width="11.42"/>
    <col collapsed="false" customWidth="false" hidden="false" outlineLevel="0" max="257" min="22" style="1" width="9.14"/>
  </cols>
  <sheetData>
    <row r="1" customFormat="false" ht="33.75" hidden="false" customHeight="false" outlineLevel="0" collapsed="false">
      <c r="A1" s="8"/>
      <c r="F1" s="3" t="s">
        <v>73</v>
      </c>
      <c r="G1" s="3"/>
      <c r="H1" s="3"/>
      <c r="I1" s="3" t="s">
        <v>74</v>
      </c>
      <c r="J1" s="3"/>
      <c r="K1" s="3"/>
      <c r="L1" s="2" t="s">
        <v>75</v>
      </c>
      <c r="M1" s="3" t="s">
        <v>76</v>
      </c>
      <c r="N1" s="3"/>
      <c r="O1" s="3"/>
      <c r="P1" s="3"/>
      <c r="Q1" s="4" t="s">
        <v>77</v>
      </c>
      <c r="R1" s="4" t="s">
        <v>78</v>
      </c>
      <c r="S1" s="4" t="s">
        <v>79</v>
      </c>
      <c r="T1" s="4" t="s">
        <v>80</v>
      </c>
      <c r="U1" s="1" t="s">
        <v>71</v>
      </c>
      <c r="V1" s="4" t="s">
        <v>81</v>
      </c>
    </row>
    <row r="2" customFormat="false" ht="11.25" hidden="false" customHeight="false" outlineLevel="0" collapsed="false">
      <c r="A2" s="23"/>
      <c r="B2" s="19"/>
      <c r="C2" s="19"/>
      <c r="D2" s="19"/>
      <c r="E2" s="19"/>
      <c r="F2" s="26" t="s">
        <v>29</v>
      </c>
      <c r="G2" s="26" t="s">
        <v>30</v>
      </c>
      <c r="H2" s="26" t="s">
        <v>31</v>
      </c>
      <c r="I2" s="26" t="s">
        <v>29</v>
      </c>
      <c r="J2" s="26" t="s">
        <v>30</v>
      </c>
      <c r="K2" s="26" t="s">
        <v>31</v>
      </c>
      <c r="L2" s="26" t="s">
        <v>30</v>
      </c>
      <c r="M2" s="26" t="s">
        <v>29</v>
      </c>
      <c r="N2" s="26" t="s">
        <v>30</v>
      </c>
      <c r="O2" s="26" t="s">
        <v>31</v>
      </c>
      <c r="P2" s="19" t="s">
        <v>82</v>
      </c>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row>
    <row r="3" customFormat="false" ht="11.25" hidden="false" customHeight="false" outlineLevel="0" collapsed="false">
      <c r="A3" s="24"/>
    </row>
    <row r="4" customFormat="false" ht="11.25" hidden="false" customHeight="false" outlineLevel="0" collapsed="false">
      <c r="A4" s="24"/>
    </row>
    <row r="5" customFormat="false" ht="11.25" hidden="false" customHeight="false" outlineLevel="0" collapsed="false">
      <c r="A5" s="6" t="n">
        <v>35749</v>
      </c>
      <c r="B5" s="1" t="n">
        <v>30</v>
      </c>
      <c r="C5" s="27" t="n">
        <v>-0.134658140919536</v>
      </c>
      <c r="E5" s="28" t="n">
        <v>0.0175000000000001</v>
      </c>
      <c r="F5" s="1" t="n">
        <v>7761</v>
      </c>
      <c r="G5" s="1" t="n">
        <v>14039</v>
      </c>
      <c r="H5" s="1" t="n">
        <v>18200</v>
      </c>
      <c r="I5" s="1" t="n">
        <v>2563</v>
      </c>
      <c r="J5" s="1" t="n">
        <v>2862</v>
      </c>
      <c r="K5" s="1" t="n">
        <v>1685</v>
      </c>
      <c r="M5" s="7" t="n">
        <f aca="false">F5+I5</f>
        <v>10324</v>
      </c>
      <c r="N5" s="7" t="n">
        <f aca="false">G5+J5+L5</f>
        <v>16901</v>
      </c>
      <c r="O5" s="7" t="n">
        <f aca="false">H5+K5</f>
        <v>19885</v>
      </c>
      <c r="P5" s="7" t="n">
        <f aca="false">SUM(M5:O5)</f>
        <v>47110</v>
      </c>
      <c r="Q5" s="7" t="n">
        <f aca="false">'Index Price Deals'!B5+'Index Price Deals'!C5+'Index Price Deals'!D5-'Prices&amp;Fuel'!AE5</f>
        <v>1653.1721</v>
      </c>
      <c r="R5" s="1" t="n">
        <f aca="false">('Long Term Deals'!BB5+'Long Term Deals'!BC5+'Long Term Deals'!BD5+'Long Term Deals'!BE5+'Long Term Deals'!BF5+'Long Term Deals'!BG5)*(1-'Prices&amp;Fuel'!F5)</f>
        <v>1700</v>
      </c>
      <c r="S5" s="14" t="n">
        <f aca="false">P5-Q5-R5-V5</f>
        <v>43756.8279</v>
      </c>
      <c r="T5" s="7" t="n">
        <f aca="false">(('Long Term Deals'!BH5-'Long Term Deals'!BK5)/(1-'Prices&amp;Fuel'!F5)-'Prices&amp;Fuel'!P5)*R5*B5</f>
        <v>4176.23439917485</v>
      </c>
      <c r="U5" s="7" t="n">
        <f aca="false">((F5+G5+H5)*B5*'Prices&amp;Fuel'!M5)+((I5+J5+K5)*B5*'Prices&amp;Fuel'!L5)+(L5*B5*'Prices&amp;Fuel'!N5)-T5-((V5)*B5*'Prices&amp;Fuel'!M5)</f>
        <v>1055120.52560083</v>
      </c>
    </row>
    <row r="6" customFormat="false" ht="11.25" hidden="false" customHeight="false" outlineLevel="0" collapsed="false">
      <c r="A6" s="6" t="n">
        <f aca="false">+A5+365/12</f>
        <v>35779.4166666667</v>
      </c>
      <c r="B6" s="1" t="n">
        <v>31</v>
      </c>
      <c r="C6" s="27" t="n">
        <v>-0.154639662050322</v>
      </c>
      <c r="E6" s="28" t="n">
        <v>0.0225</v>
      </c>
      <c r="F6" s="1" t="n">
        <v>7761</v>
      </c>
      <c r="G6" s="1" t="n">
        <v>14039</v>
      </c>
      <c r="H6" s="1" t="n">
        <v>18200</v>
      </c>
      <c r="I6" s="1" t="n">
        <v>2563</v>
      </c>
      <c r="J6" s="1" t="n">
        <v>2862</v>
      </c>
      <c r="K6" s="1" t="n">
        <v>1685</v>
      </c>
      <c r="M6" s="7" t="n">
        <f aca="false">F6+I6</f>
        <v>10324</v>
      </c>
      <c r="N6" s="7" t="n">
        <f aca="false">G6+J6+L6</f>
        <v>16901</v>
      </c>
      <c r="O6" s="7" t="n">
        <f aca="false">H6+K6</f>
        <v>19885</v>
      </c>
      <c r="P6" s="7" t="n">
        <f aca="false">SUM(M6:O6)</f>
        <v>47110</v>
      </c>
      <c r="Q6" s="7" t="n">
        <f aca="false">'Index Price Deals'!B6+'Index Price Deals'!C6+'Index Price Deals'!D6-'Prices&amp;Fuel'!AE6</f>
        <v>3182</v>
      </c>
      <c r="R6" s="1" t="n">
        <f aca="false">('Long Term Deals'!BB6+'Long Term Deals'!BC6+'Long Term Deals'!BD6+'Long Term Deals'!BE6+'Long Term Deals'!BF6+'Long Term Deals'!BG6)*(1-'Prices&amp;Fuel'!F6)</f>
        <v>1700</v>
      </c>
      <c r="S6" s="14" t="n">
        <f aca="false">P6-Q6-R6-V6</f>
        <v>42228</v>
      </c>
      <c r="T6" s="7" t="n">
        <f aca="false">(('Long Term Deals'!BH6-'Long Term Deals'!BK6)/(1-'Prices&amp;Fuel'!F6)-'Prices&amp;Fuel'!P6)*R6*B6</f>
        <v>4315.44221248067</v>
      </c>
      <c r="U6" s="7" t="n">
        <f aca="false">((F6+G6+H6)*B6*'Prices&amp;Fuel'!M6)+((I6+J6+K6)*B6*'Prices&amp;Fuel'!L6)+(L6*B6*'Prices&amp;Fuel'!N6)-T6-((V6)*B6*'Prices&amp;Fuel'!M6)</f>
        <v>1090291.20978752</v>
      </c>
    </row>
    <row r="7" customFormat="false" ht="11.25" hidden="false" customHeight="false" outlineLevel="0" collapsed="false">
      <c r="A7" s="6" t="n">
        <f aca="false">+A6+365/12</f>
        <v>35809.8333333333</v>
      </c>
      <c r="B7" s="1" t="n">
        <v>31</v>
      </c>
      <c r="C7" s="27" t="n">
        <v>-0.164633782410118</v>
      </c>
      <c r="E7" s="28" t="n">
        <v>0.0225</v>
      </c>
      <c r="F7" s="1" t="n">
        <v>7761</v>
      </c>
      <c r="G7" s="1" t="n">
        <v>14039</v>
      </c>
      <c r="H7" s="1" t="n">
        <v>18200</v>
      </c>
      <c r="I7" s="1" t="n">
        <v>2563</v>
      </c>
      <c r="J7" s="1" t="n">
        <v>2862</v>
      </c>
      <c r="K7" s="1" t="n">
        <v>1685</v>
      </c>
      <c r="L7" s="1" t="n">
        <v>683</v>
      </c>
      <c r="M7" s="7" t="n">
        <f aca="false">F7+I7</f>
        <v>10324</v>
      </c>
      <c r="N7" s="7" t="n">
        <f aca="false">G7+J7+L7</f>
        <v>17584</v>
      </c>
      <c r="O7" s="7" t="n">
        <f aca="false">H7+K7</f>
        <v>19885</v>
      </c>
      <c r="P7" s="7" t="n">
        <f aca="false">SUM(M7:O7)</f>
        <v>47793</v>
      </c>
      <c r="Q7" s="7" t="n">
        <f aca="false">'Index Price Deals'!B7+'Index Price Deals'!C7+'Index Price Deals'!D7-'Prices&amp;Fuel'!AE7</f>
        <v>2283</v>
      </c>
      <c r="R7" s="1" t="n">
        <f aca="false">('Long Term Deals'!BB7+'Long Term Deals'!BC7+'Long Term Deals'!BD7+'Long Term Deals'!BE7+'Long Term Deals'!BF7+'Long Term Deals'!BG7)*(1-'Prices&amp;Fuel'!F7)</f>
        <v>1700</v>
      </c>
      <c r="S7" s="14" t="n">
        <f aca="false">P7-Q7-R7-V7</f>
        <v>43810</v>
      </c>
      <c r="T7" s="7" t="n">
        <f aca="false">(('Long Term Deals'!BH7-'Long Term Deals'!BK7)/(1-'Prices&amp;Fuel'!F7)-'Prices&amp;Fuel'!P7)*R7*B7</f>
        <v>4315.44221248067</v>
      </c>
      <c r="U7" s="7" t="n">
        <f aca="false">((F7+G7+H7)*B7*'Prices&amp;Fuel'!M7)+((I7+J7+K7)*B7*'Prices&amp;Fuel'!L7)+(L7*B7*'Prices&amp;Fuel'!N7)-T7-((V7)*B7*'Prices&amp;Fuel'!M7)</f>
        <v>1094525.80978752</v>
      </c>
      <c r="Z7" s="1" t="n">
        <f aca="false">P7*B7</f>
        <v>1481583</v>
      </c>
    </row>
    <row r="8" customFormat="false" ht="11.25" hidden="false" customHeight="false" outlineLevel="0" collapsed="false">
      <c r="A8" s="6" t="n">
        <f aca="false">+A7+365/12</f>
        <v>35840.25</v>
      </c>
      <c r="B8" s="1" t="n">
        <v>28</v>
      </c>
      <c r="C8" s="27" t="n">
        <v>-0.149641845916684</v>
      </c>
      <c r="E8" s="28" t="n">
        <v>0.0225</v>
      </c>
      <c r="F8" s="1" t="n">
        <v>7761</v>
      </c>
      <c r="G8" s="1" t="n">
        <v>14039</v>
      </c>
      <c r="H8" s="1" t="n">
        <v>18200</v>
      </c>
      <c r="I8" s="1" t="n">
        <v>2563</v>
      </c>
      <c r="J8" s="1" t="n">
        <v>2862</v>
      </c>
      <c r="K8" s="1" t="n">
        <v>1685</v>
      </c>
      <c r="L8" s="1" t="n">
        <v>683</v>
      </c>
      <c r="M8" s="7" t="n">
        <f aca="false">F8+I8</f>
        <v>10324</v>
      </c>
      <c r="N8" s="7" t="n">
        <f aca="false">G8+J8+L8</f>
        <v>17584</v>
      </c>
      <c r="O8" s="7" t="n">
        <f aca="false">H8+K8</f>
        <v>19885</v>
      </c>
      <c r="P8" s="7" t="n">
        <f aca="false">SUM(M8:O8)</f>
        <v>47793</v>
      </c>
      <c r="Q8" s="7" t="n">
        <f aca="false">'Index Price Deals'!B8+'Index Price Deals'!C8+'Index Price Deals'!D8-'Prices&amp;Fuel'!AE8</f>
        <v>2579.75</v>
      </c>
      <c r="R8" s="1" t="n">
        <f aca="false">('Long Term Deals'!BB8+'Long Term Deals'!BC8+'Long Term Deals'!BD8+'Long Term Deals'!BE8+'Long Term Deals'!BF8+'Long Term Deals'!BG8)*(1-'Prices&amp;Fuel'!F8)</f>
        <v>1700</v>
      </c>
      <c r="S8" s="14" t="n">
        <f aca="false">P8-Q8-R8-V8</f>
        <v>43513.25</v>
      </c>
      <c r="T8" s="7" t="n">
        <f aca="false">(('Long Term Deals'!BH8-'Long Term Deals'!BK8)/(1-'Prices&amp;Fuel'!F8)-'Prices&amp;Fuel'!P8)*R8*B8</f>
        <v>4282.52082262211</v>
      </c>
      <c r="U8" s="7" t="n">
        <f aca="false">((F8+G8+H8)*B8*'Prices&amp;Fuel'!M8)+((I8+J8+K8)*B8*'Prices&amp;Fuel'!L8)+(L8*B8*'Prices&amp;Fuel'!N8)-T8-((V8)*B8*'Prices&amp;Fuel'!M8)</f>
        <v>988219.255177378</v>
      </c>
      <c r="Z8" s="1" t="n">
        <f aca="false">P8*B8</f>
        <v>1338204</v>
      </c>
    </row>
    <row r="9" customFormat="false" ht="11.25" hidden="false" customHeight="false" outlineLevel="0" collapsed="false">
      <c r="A9" s="6" t="n">
        <f aca="false">+A8+365/12</f>
        <v>35870.6666666667</v>
      </c>
      <c r="B9" s="1" t="n">
        <v>31</v>
      </c>
      <c r="C9" s="27" t="n">
        <v>-0.124654781125134</v>
      </c>
      <c r="E9" s="28" t="n">
        <v>0.0174999999999996</v>
      </c>
      <c r="F9" s="1" t="n">
        <v>7761</v>
      </c>
      <c r="G9" s="1" t="n">
        <v>14039</v>
      </c>
      <c r="H9" s="1" t="n">
        <v>18200</v>
      </c>
      <c r="I9" s="1" t="n">
        <v>2563</v>
      </c>
      <c r="J9" s="1" t="n">
        <v>2862</v>
      </c>
      <c r="K9" s="1" t="n">
        <v>1685</v>
      </c>
      <c r="L9" s="1" t="n">
        <v>683</v>
      </c>
      <c r="M9" s="7" t="n">
        <f aca="false">F9+I9</f>
        <v>10324</v>
      </c>
      <c r="N9" s="7" t="n">
        <f aca="false">G9+J9+L9</f>
        <v>17584</v>
      </c>
      <c r="O9" s="7" t="n">
        <f aca="false">H9+K9</f>
        <v>19885</v>
      </c>
      <c r="P9" s="7" t="n">
        <f aca="false">SUM(M9:O9)</f>
        <v>47793</v>
      </c>
      <c r="Q9" s="7" t="n">
        <f aca="false">'Index Price Deals'!B9+'Index Price Deals'!C9+'Index Price Deals'!D9-'Prices&amp;Fuel'!AE9</f>
        <v>1010.22580645161</v>
      </c>
      <c r="R9" s="1" t="n">
        <f aca="false">('Long Term Deals'!BB9+'Long Term Deals'!BC9+'Long Term Deals'!BD9+'Long Term Deals'!BE9+'Long Term Deals'!BF9+'Long Term Deals'!BG9)*(1-'Prices&amp;Fuel'!F9)</f>
        <v>1700</v>
      </c>
      <c r="S9" s="14" t="n">
        <f aca="false">P9-Q9-R9-V9</f>
        <v>45082.7741935484</v>
      </c>
      <c r="T9" s="7" t="n">
        <f aca="false">(('Long Term Deals'!BH9-'Long Term Deals'!BK9)/(1-'Prices&amp;Fuel'!F9)-'Prices&amp;Fuel'!P9)*R9*B9</f>
        <v>4741.36233933162</v>
      </c>
      <c r="U9" s="7" t="n">
        <f aca="false">((F9+G9+H9)*B9*'Prices&amp;Fuel'!M9)+((I9+J9+K9)*B9*'Prices&amp;Fuel'!L9)+(L9*B9*'Prices&amp;Fuel'!N9)-T9-((V9)*B9*'Prices&amp;Fuel'!M9)</f>
        <v>1094099.88966067</v>
      </c>
      <c r="Z9" s="1" t="n">
        <f aca="false">P9*B9</f>
        <v>1481583</v>
      </c>
    </row>
    <row r="10" customFormat="false" ht="11.25" hidden="false" customHeight="false" outlineLevel="0" collapsed="false">
      <c r="A10" s="6" t="n">
        <f aca="false">+A9+365/12</f>
        <v>35901.0833333333</v>
      </c>
      <c r="B10" s="1" t="n">
        <v>30</v>
      </c>
      <c r="C10" s="27" t="n">
        <v>-0.0646876001983481</v>
      </c>
      <c r="E10" s="28" t="n">
        <v>0.00499999999999989</v>
      </c>
      <c r="F10" s="1" t="n">
        <v>7761</v>
      </c>
      <c r="G10" s="1" t="n">
        <v>14039</v>
      </c>
      <c r="H10" s="1" t="n">
        <v>18200</v>
      </c>
      <c r="I10" s="1" t="n">
        <v>1880</v>
      </c>
      <c r="J10" s="1" t="n">
        <v>2073</v>
      </c>
      <c r="K10" s="1" t="n">
        <v>1258</v>
      </c>
      <c r="L10" s="1" t="n">
        <v>683</v>
      </c>
      <c r="M10" s="7" t="n">
        <f aca="false">F10+I10</f>
        <v>9641</v>
      </c>
      <c r="N10" s="7" t="n">
        <f aca="false">G10+J10+L10</f>
        <v>16795</v>
      </c>
      <c r="O10" s="7" t="n">
        <f aca="false">H10+K10</f>
        <v>19458</v>
      </c>
      <c r="P10" s="7" t="n">
        <f aca="false">SUM(M10:O10)</f>
        <v>45894</v>
      </c>
      <c r="Q10" s="7" t="n">
        <f aca="false">'Index Price Deals'!B10+'Index Price Deals'!C10+'Index Price Deals'!D10-'Prices&amp;Fuel'!AE10</f>
        <v>2382</v>
      </c>
      <c r="R10" s="1" t="n">
        <f aca="false">('Long Term Deals'!BB10+'Long Term Deals'!BC10+'Long Term Deals'!BD10+'Long Term Deals'!BE10+'Long Term Deals'!BF10+'Long Term Deals'!BG10)*(1-'Prices&amp;Fuel'!F10)</f>
        <v>1700</v>
      </c>
      <c r="S10" s="14" t="n">
        <f aca="false">P10-Q10-R10-V10</f>
        <v>41812</v>
      </c>
      <c r="T10" s="7" t="n">
        <f aca="false">(('Long Term Deals'!BH10-'Long Term Deals'!BK10)/(1-'Prices&amp;Fuel'!F10)-'Prices&amp;Fuel'!P10)*R10*B10</f>
        <v>2802.97781230577</v>
      </c>
      <c r="U10" s="7" t="n">
        <f aca="false">((F10+G10+H10)*B10*'Prices&amp;Fuel'!M10)+((I10+J10+K10)*B10*'Prices&amp;Fuel'!L10)+(L10*B10*'Prices&amp;Fuel'!N10)-T10-((V10)*B10*'Prices&amp;Fuel'!M10)</f>
        <v>1039102.69818769</v>
      </c>
      <c r="Z10" s="1" t="n">
        <f aca="false">P10*B10</f>
        <v>1376820</v>
      </c>
    </row>
    <row r="11" customFormat="false" ht="11.25" hidden="false" customHeight="false" outlineLevel="0" collapsed="false">
      <c r="A11" s="6" t="n">
        <f aca="false">+A10+365/12</f>
        <v>35931.5</v>
      </c>
      <c r="B11" s="1" t="n">
        <v>31</v>
      </c>
      <c r="C11" s="27" t="n">
        <v>-0.0647848561621245</v>
      </c>
      <c r="E11" s="28" t="n">
        <v>0.00499999999999989</v>
      </c>
      <c r="F11" s="1" t="n">
        <v>8730</v>
      </c>
      <c r="G11" s="1" t="n">
        <v>15795</v>
      </c>
      <c r="H11" s="1" t="n">
        <v>20475</v>
      </c>
      <c r="I11" s="1" t="n">
        <v>1880</v>
      </c>
      <c r="J11" s="1" t="n">
        <v>2295</v>
      </c>
      <c r="K11" s="1" t="n">
        <v>1036</v>
      </c>
      <c r="L11" s="1" t="n">
        <v>683</v>
      </c>
      <c r="M11" s="7" t="n">
        <f aca="false">F11+I11</f>
        <v>10610</v>
      </c>
      <c r="N11" s="7" t="n">
        <f aca="false">G11+J11+L11</f>
        <v>18773</v>
      </c>
      <c r="O11" s="7" t="n">
        <f aca="false">H11+K11</f>
        <v>21511</v>
      </c>
      <c r="P11" s="7" t="n">
        <f aca="false">SUM(M11:O11)</f>
        <v>50894</v>
      </c>
      <c r="Q11" s="7" t="n">
        <f aca="false">'Index Price Deals'!B11+'Index Price Deals'!C11+'Index Price Deals'!D11-'Prices&amp;Fuel'!AE11</f>
        <v>2397</v>
      </c>
      <c r="R11" s="1" t="n">
        <f aca="false">('Long Term Deals'!BB11+'Long Term Deals'!BC11+'Long Term Deals'!BD11+'Long Term Deals'!BE11+'Long Term Deals'!BF11+'Long Term Deals'!BG11)*(1-'Prices&amp;Fuel'!F11)</f>
        <v>1700</v>
      </c>
      <c r="S11" s="14" t="n">
        <f aca="false">P11-Q11-R11-V11</f>
        <v>46797</v>
      </c>
      <c r="T11" s="7" t="n">
        <f aca="false">(('Long Term Deals'!BH11-'Long Term Deals'!BK11)/(1-'Prices&amp;Fuel'!F11)-'Prices&amp;Fuel'!P11)*R11*B11</f>
        <v>3610.83476504534</v>
      </c>
      <c r="U11" s="7" t="n">
        <f aca="false">((F11+G11+H11)*B11*'Prices&amp;Fuel'!M11)+((I11+J11+K11)*B11*'Prices&amp;Fuel'!L11)+(L11*B11*'Prices&amp;Fuel'!N11)-T11-((V11)*B11*'Prices&amp;Fuel'!M11)</f>
        <v>1199458.53043495</v>
      </c>
      <c r="Z11" s="1" t="n">
        <f aca="false">P11*B11</f>
        <v>1577714</v>
      </c>
    </row>
    <row r="12" customFormat="false" ht="11.25" hidden="false" customHeight="false" outlineLevel="0" collapsed="false">
      <c r="A12" s="6" t="n">
        <f aca="false">+A11+365/12</f>
        <v>35961.9166666667</v>
      </c>
      <c r="B12" s="1" t="n">
        <v>30</v>
      </c>
      <c r="C12" s="27" t="n">
        <v>-0.0647878396668096</v>
      </c>
      <c r="E12" s="28" t="n">
        <v>0.00499999999999989</v>
      </c>
      <c r="F12" s="1" t="n">
        <v>8730</v>
      </c>
      <c r="G12" s="1" t="n">
        <v>15795</v>
      </c>
      <c r="H12" s="1" t="n">
        <v>20475</v>
      </c>
      <c r="I12" s="1" t="n">
        <v>1880</v>
      </c>
      <c r="J12" s="1" t="n">
        <v>2295</v>
      </c>
      <c r="K12" s="1" t="n">
        <v>1036</v>
      </c>
      <c r="L12" s="1" t="n">
        <v>683</v>
      </c>
      <c r="M12" s="7" t="n">
        <f aca="false">F12+I12</f>
        <v>10610</v>
      </c>
      <c r="N12" s="7" t="n">
        <f aca="false">G12+J12+L12</f>
        <v>18773</v>
      </c>
      <c r="O12" s="7" t="n">
        <f aca="false">H12+K12</f>
        <v>21511</v>
      </c>
      <c r="P12" s="7" t="n">
        <f aca="false">SUM(M12:O12)</f>
        <v>50894</v>
      </c>
      <c r="Q12" s="7" t="n">
        <f aca="false">'Index Price Deals'!B12+'Index Price Deals'!C12+'Index Price Deals'!D12-'Prices&amp;Fuel'!AE12</f>
        <v>1449</v>
      </c>
      <c r="R12" s="1" t="n">
        <f aca="false">('Long Term Deals'!BB12+'Long Term Deals'!BC12+'Long Term Deals'!BD12+'Long Term Deals'!BE12+'Long Term Deals'!BF12+'Long Term Deals'!BG12)*(1-'Prices&amp;Fuel'!F12)</f>
        <v>0</v>
      </c>
      <c r="S12" s="14" t="n">
        <f aca="false">P12-Q12-R12-V12</f>
        <v>49445</v>
      </c>
      <c r="T12" s="7" t="n">
        <f aca="false">(('Long Term Deals'!BH12-'Long Term Deals'!BK12)/(1-'Prices&amp;Fuel'!F12)-'Prices&amp;Fuel'!P12)*R12*B12</f>
        <v>-0</v>
      </c>
      <c r="U12" s="7" t="n">
        <f aca="false">((F12+G12+H12)*B12*'Prices&amp;Fuel'!M12)+((I12+J12+K12)*B12*'Prices&amp;Fuel'!L12)+(L12*B12*'Prices&amp;Fuel'!N12)-T12-((V12)*B12*'Prices&amp;Fuel'!M12)</f>
        <v>1164260.676</v>
      </c>
      <c r="Z12" s="1" t="n">
        <f aca="false">P12*B12</f>
        <v>1526820</v>
      </c>
    </row>
    <row r="13" customFormat="false" ht="11.25" hidden="false" customHeight="false" outlineLevel="0" collapsed="false">
      <c r="A13" s="6" t="n">
        <f aca="false">+A12+365/12</f>
        <v>35992.3333333333</v>
      </c>
      <c r="B13" s="1" t="n">
        <v>31</v>
      </c>
      <c r="C13" s="27" t="n">
        <v>-0.064787508166289</v>
      </c>
      <c r="E13" s="28" t="n">
        <v>0.00949999999999984</v>
      </c>
      <c r="F13" s="1" t="n">
        <v>8730</v>
      </c>
      <c r="G13" s="1" t="n">
        <v>15795</v>
      </c>
      <c r="H13" s="1" t="n">
        <v>20475</v>
      </c>
      <c r="I13" s="1" t="n">
        <v>1880</v>
      </c>
      <c r="J13" s="1" t="n">
        <v>2295</v>
      </c>
      <c r="K13" s="1" t="n">
        <v>1036</v>
      </c>
      <c r="L13" s="1" t="n">
        <v>683</v>
      </c>
      <c r="M13" s="7" t="n">
        <f aca="false">F13+I13</f>
        <v>10610</v>
      </c>
      <c r="N13" s="7" t="n">
        <f aca="false">G13+J13+L13</f>
        <v>18773</v>
      </c>
      <c r="O13" s="7" t="n">
        <f aca="false">H13+K13</f>
        <v>21511</v>
      </c>
      <c r="P13" s="7" t="n">
        <f aca="false">SUM(M13:O13)</f>
        <v>50894</v>
      </c>
      <c r="Q13" s="7" t="n">
        <f aca="false">'Index Price Deals'!B13+'Index Price Deals'!C13+'Index Price Deals'!D13-'Prices&amp;Fuel'!AE13</f>
        <v>1630</v>
      </c>
      <c r="R13" s="1" t="n">
        <f aca="false">('Long Term Deals'!BB13+'Long Term Deals'!BC13+'Long Term Deals'!BD13+'Long Term Deals'!BE13+'Long Term Deals'!BF13+'Long Term Deals'!BG13)*(1-'Prices&amp;Fuel'!F13)</f>
        <v>0</v>
      </c>
      <c r="S13" s="14" t="n">
        <f aca="false">P13-Q13-R13-V13</f>
        <v>49264</v>
      </c>
      <c r="T13" s="7" t="n">
        <f aca="false">(('Long Term Deals'!BH13-'Long Term Deals'!BK13)/(1-'Prices&amp;Fuel'!F13)-'Prices&amp;Fuel'!P13)*R13*B13</f>
        <v>-0</v>
      </c>
      <c r="U13" s="7" t="n">
        <f aca="false">((F13+G13+H13)*B13*'Prices&amp;Fuel'!M13)+((I13+J13+K13)*B13*'Prices&amp;Fuel'!L13)+(L13*B13*'Prices&amp;Fuel'!N13)-T13-((V13)*B13*'Prices&amp;Fuel'!M13)</f>
        <v>1203069.3652</v>
      </c>
      <c r="Z13" s="1" t="n">
        <f aca="false">P13*B13</f>
        <v>1577714</v>
      </c>
    </row>
    <row r="14" customFormat="false" ht="11.25" hidden="false" customHeight="false" outlineLevel="0" collapsed="false">
      <c r="A14" s="6" t="n">
        <f aca="false">+A13+365/12</f>
        <v>36022.75</v>
      </c>
      <c r="B14" s="1" t="n">
        <v>31</v>
      </c>
      <c r="C14" s="27" t="n">
        <v>-0.0647867346650743</v>
      </c>
      <c r="E14" s="28" t="n">
        <v>0.00949999999999962</v>
      </c>
      <c r="F14" s="1" t="n">
        <v>8730</v>
      </c>
      <c r="G14" s="1" t="n">
        <v>15795</v>
      </c>
      <c r="H14" s="1" t="n">
        <v>20475</v>
      </c>
      <c r="I14" s="1" t="n">
        <v>1880</v>
      </c>
      <c r="J14" s="1" t="n">
        <v>2295</v>
      </c>
      <c r="K14" s="1" t="n">
        <v>1036</v>
      </c>
      <c r="L14" s="1" t="n">
        <v>683</v>
      </c>
      <c r="M14" s="7" t="n">
        <f aca="false">F14+I14</f>
        <v>10610</v>
      </c>
      <c r="N14" s="7" t="n">
        <f aca="false">G14+J14+L14</f>
        <v>18773</v>
      </c>
      <c r="O14" s="7" t="n">
        <f aca="false">H14+K14</f>
        <v>21511</v>
      </c>
      <c r="P14" s="7" t="n">
        <f aca="false">SUM(M14:O14)</f>
        <v>50894</v>
      </c>
      <c r="Q14" s="7" t="n">
        <f aca="false">'Index Price Deals'!B14+'Index Price Deals'!C14+'Index Price Deals'!D14-'Prices&amp;Fuel'!AE14</f>
        <v>3170</v>
      </c>
      <c r="R14" s="1" t="n">
        <f aca="false">('Long Term Deals'!BB14+'Long Term Deals'!BC14+'Long Term Deals'!BD14+'Long Term Deals'!BE14+'Long Term Deals'!BF14+'Long Term Deals'!BG14)*(1-'Prices&amp;Fuel'!F14)</f>
        <v>0</v>
      </c>
      <c r="S14" s="14" t="n">
        <f aca="false">P14-Q14-R14-V14</f>
        <v>47724</v>
      </c>
      <c r="T14" s="14"/>
      <c r="U14" s="7" t="n">
        <f aca="false">((F14+G14+H14)*B14*'Prices&amp;Fuel'!M14)+((I14+J14+K14)*B14*'Prices&amp;Fuel'!L14)+(L14*B14*'Prices&amp;Fuel'!N14)-T14-((V14)*B14*'Prices&amp;Fuel'!M14)</f>
        <v>1203069.3652</v>
      </c>
      <c r="Z14" s="1" t="n">
        <f aca="false">P14*B14</f>
        <v>1577714</v>
      </c>
    </row>
    <row r="15" customFormat="false" ht="11.25" hidden="false" customHeight="false" outlineLevel="0" collapsed="false">
      <c r="A15" s="6" t="n">
        <f aca="false">+A14+365/12</f>
        <v>36053.1666666667</v>
      </c>
      <c r="B15" s="1" t="n">
        <v>30</v>
      </c>
      <c r="C15" s="27" t="n">
        <v>-0.0647867346650743</v>
      </c>
      <c r="E15" s="28" t="n">
        <v>0.00949999999999962</v>
      </c>
      <c r="F15" s="1" t="n">
        <v>8730</v>
      </c>
      <c r="G15" s="1" t="n">
        <v>15795</v>
      </c>
      <c r="H15" s="1" t="n">
        <v>20475</v>
      </c>
      <c r="I15" s="1" t="n">
        <v>1880</v>
      </c>
      <c r="J15" s="1" t="n">
        <v>2295</v>
      </c>
      <c r="K15" s="1" t="n">
        <v>1036</v>
      </c>
      <c r="L15" s="1" t="n">
        <v>683</v>
      </c>
      <c r="M15" s="7" t="n">
        <f aca="false">F15+I15</f>
        <v>10610</v>
      </c>
      <c r="N15" s="7" t="n">
        <f aca="false">G15+J15+L15</f>
        <v>18773</v>
      </c>
      <c r="O15" s="7" t="n">
        <f aca="false">H15+K15</f>
        <v>21511</v>
      </c>
      <c r="P15" s="7" t="n">
        <f aca="false">SUM(M15:O15)</f>
        <v>50894</v>
      </c>
      <c r="Q15" s="7" t="n">
        <f aca="false">'Index Price Deals'!B15+'Index Price Deals'!C15+'Index Price Deals'!D15-'Prices&amp;Fuel'!AE15</f>
        <v>2528</v>
      </c>
      <c r="R15" s="1" t="n">
        <f aca="false">('Long Term Deals'!BB15+'Long Term Deals'!BC15+'Long Term Deals'!BD15+'Long Term Deals'!BE15+'Long Term Deals'!BF15+'Long Term Deals'!BG15)*(1-'Prices&amp;Fuel'!F15)</f>
        <v>0</v>
      </c>
      <c r="S15" s="14" t="n">
        <f aca="false">P15-Q15-R15-V15</f>
        <v>48366</v>
      </c>
      <c r="T15" s="14"/>
      <c r="U15" s="7" t="n">
        <f aca="false">((F15+G15+H15)*B15*'Prices&amp;Fuel'!M15)+((I15+J15+K15)*B15*'Prices&amp;Fuel'!L15)+(L15*B15*'Prices&amp;Fuel'!N15)-T15-((V15)*B15*'Prices&amp;Fuel'!M15)</f>
        <v>1164260.676</v>
      </c>
      <c r="Z15" s="1" t="n">
        <f aca="false">P15*B15</f>
        <v>1526820</v>
      </c>
    </row>
    <row r="16" customFormat="false" ht="11.25" hidden="false" customHeight="false" outlineLevel="0" collapsed="false">
      <c r="A16" s="6" t="n">
        <f aca="false">+A15+365/12</f>
        <v>36083.5833333333</v>
      </c>
      <c r="B16" s="1" t="n">
        <v>31</v>
      </c>
      <c r="C16" s="27" t="n">
        <v>-0.0646943802207625</v>
      </c>
      <c r="E16" s="28" t="n">
        <v>0.0145</v>
      </c>
      <c r="F16" s="1" t="n">
        <v>8730</v>
      </c>
      <c r="G16" s="1" t="n">
        <v>15795</v>
      </c>
      <c r="H16" s="1" t="n">
        <v>20475</v>
      </c>
      <c r="I16" s="1" t="n">
        <v>2830</v>
      </c>
      <c r="J16" s="1" t="n">
        <v>3500</v>
      </c>
      <c r="K16" s="1" t="n">
        <v>1521</v>
      </c>
      <c r="L16" s="1" t="n">
        <v>1001</v>
      </c>
      <c r="M16" s="7" t="n">
        <f aca="false">F16+I16</f>
        <v>11560</v>
      </c>
      <c r="N16" s="7" t="n">
        <f aca="false">G16+J16+L16</f>
        <v>20296</v>
      </c>
      <c r="O16" s="7" t="n">
        <f aca="false">H16+K16</f>
        <v>21996</v>
      </c>
      <c r="P16" s="7" t="n">
        <f aca="false">SUM(M16:O16)</f>
        <v>53852</v>
      </c>
      <c r="Q16" s="7" t="n">
        <v>0</v>
      </c>
      <c r="R16" s="1" t="n">
        <f aca="false">('Long Term Deals'!BB16+'Long Term Deals'!BC16+'Long Term Deals'!BD16+'Long Term Deals'!BE16+'Long Term Deals'!BF16+'Long Term Deals'!BG16)*(1-'Prices&amp;Fuel'!F16)</f>
        <v>0</v>
      </c>
      <c r="S16" s="14" t="n">
        <f aca="false">P16-Q16-R16-V16</f>
        <v>53852</v>
      </c>
      <c r="T16" s="14" t="n">
        <v>0</v>
      </c>
      <c r="U16" s="7" t="n">
        <f aca="false">((F16+G16+H16)*B16*'Prices&amp;Fuel'!M16)+((I16+J16+K16)*B16*'Prices&amp;Fuel'!L16)+(L16*B16*'Prices&amp;Fuel'!N16)-T16-((V16)*B16*'Prices&amp;Fuel'!M16)</f>
        <v>1235911.0132</v>
      </c>
      <c r="W16" s="14" t="n">
        <f aca="false">P16-R16-V16</f>
        <v>53852</v>
      </c>
      <c r="Z16" s="1" t="n">
        <f aca="false">P16*B16</f>
        <v>1669412</v>
      </c>
    </row>
    <row r="17" customFormat="false" ht="11.25" hidden="false" customHeight="false" outlineLevel="0" collapsed="false">
      <c r="A17" s="6" t="n">
        <f aca="false">+A16+365/12</f>
        <v>36114</v>
      </c>
      <c r="B17" s="1" t="n">
        <v>30</v>
      </c>
      <c r="C17" s="27" t="n">
        <v>-0.104661500713939</v>
      </c>
      <c r="E17" s="28" t="n">
        <v>0.0194999999999999</v>
      </c>
      <c r="F17" s="1" t="n">
        <f aca="false">7761-1128</f>
        <v>6633</v>
      </c>
      <c r="G17" s="1" t="n">
        <f aca="false">14039-666-3474</f>
        <v>9899</v>
      </c>
      <c r="H17" s="1" t="n">
        <f aca="false">18200-4732</f>
        <v>13468</v>
      </c>
      <c r="I17" s="1" t="n">
        <v>2563</v>
      </c>
      <c r="J17" s="1" t="n">
        <v>2862</v>
      </c>
      <c r="K17" s="1" t="n">
        <v>1685</v>
      </c>
      <c r="L17" s="1" t="n">
        <v>683</v>
      </c>
      <c r="M17" s="7" t="n">
        <f aca="false">F17+I17</f>
        <v>9196</v>
      </c>
      <c r="N17" s="7" t="n">
        <f aca="false">G17+J17+L17</f>
        <v>13444</v>
      </c>
      <c r="O17" s="7" t="n">
        <f aca="false">H17+K17</f>
        <v>15153</v>
      </c>
      <c r="P17" s="7" t="n">
        <f aca="false">SUM(M17:O17)</f>
        <v>37793</v>
      </c>
      <c r="Q17" s="7" t="n">
        <f aca="false">'Index Price Deals'!B17+'Index Price Deals'!C17+'Index Price Deals'!D17-'Prices&amp;Fuel'!AE17</f>
        <v>0</v>
      </c>
      <c r="R17" s="1" t="n">
        <f aca="false">('Long Term Deals'!BB17+'Long Term Deals'!BC17+'Long Term Deals'!BD17+'Long Term Deals'!BE17+'Long Term Deals'!BF17+'Long Term Deals'!BG17)*(1-'Prices&amp;Fuel'!F17)</f>
        <v>12000</v>
      </c>
      <c r="S17" s="14" t="n">
        <f aca="false">P17-Q17-R17-V17</f>
        <v>25793</v>
      </c>
      <c r="T17" s="14" t="n">
        <f aca="false">((I17+J17+K17)*'Prices&amp;Fuel'!H17*'Prices&amp;Fuel'!L17)+('Prices&amp;Fuel'!N17*'Prices&amp;Fuel'!H17*Transport!L17)+(('Long Term Deals'!BB17+'Long Term Deals'!BC17+'Long Term Deals'!BD17)*'Prices&amp;Fuel'!H17*'Prices&amp;Fuel'!M17)</f>
        <v>190513.484783862</v>
      </c>
      <c r="U17" s="7" t="n">
        <f aca="false">S17*B17*'Prices&amp;Fuel'!M17</f>
        <v>631180.503</v>
      </c>
      <c r="W17" s="14" t="n">
        <f aca="false">P17-R17-V17</f>
        <v>25793</v>
      </c>
      <c r="Z17" s="1" t="n">
        <f aca="false">P17*B17</f>
        <v>1133790</v>
      </c>
    </row>
    <row r="18" customFormat="false" ht="11.25" hidden="false" customHeight="false" outlineLevel="0" collapsed="false">
      <c r="A18" s="6" t="n">
        <f aca="false">+A17+365/12</f>
        <v>36144.4166666667</v>
      </c>
      <c r="B18" s="1" t="n">
        <v>31</v>
      </c>
      <c r="C18" s="27" t="n">
        <v>-0.134648061536328</v>
      </c>
      <c r="E18" s="28" t="n">
        <v>0.0245000000000002</v>
      </c>
      <c r="F18" s="1" t="n">
        <f aca="false">7761-1128</f>
        <v>6633</v>
      </c>
      <c r="G18" s="1" t="n">
        <f aca="false">14039-666-3474</f>
        <v>9899</v>
      </c>
      <c r="H18" s="1" t="n">
        <f aca="false">18200-4732</f>
        <v>13468</v>
      </c>
      <c r="I18" s="1" t="n">
        <v>2563</v>
      </c>
      <c r="J18" s="1" t="n">
        <v>2862</v>
      </c>
      <c r="K18" s="1" t="n">
        <v>1685</v>
      </c>
      <c r="L18" s="1" t="n">
        <v>683</v>
      </c>
      <c r="M18" s="7" t="n">
        <f aca="false">F18+I18</f>
        <v>9196</v>
      </c>
      <c r="N18" s="7" t="n">
        <f aca="false">G18+J18+L18</f>
        <v>13444</v>
      </c>
      <c r="O18" s="7" t="n">
        <f aca="false">H18+K18</f>
        <v>15153</v>
      </c>
      <c r="P18" s="7" t="n">
        <f aca="false">SUM(M18:O18)</f>
        <v>37793</v>
      </c>
      <c r="Q18" s="7" t="n">
        <f aca="false">'Index Price Deals'!B18+'Index Price Deals'!C18+'Index Price Deals'!D18-'Prices&amp;Fuel'!AE18</f>
        <v>0</v>
      </c>
      <c r="R18" s="1" t="n">
        <f aca="false">('Long Term Deals'!BB18+'Long Term Deals'!BC18+'Long Term Deals'!BD18+'Long Term Deals'!BE18+'Long Term Deals'!BF18+'Long Term Deals'!BG18)*(1-'Prices&amp;Fuel'!F18)</f>
        <v>12000</v>
      </c>
      <c r="S18" s="14" t="n">
        <f aca="false">P18-Q18-R18-V18</f>
        <v>25793</v>
      </c>
      <c r="T18" s="14" t="n">
        <f aca="false">((I18+J18+K18)*'Prices&amp;Fuel'!H18*'Prices&amp;Fuel'!L18)+('Prices&amp;Fuel'!N18*'Prices&amp;Fuel'!H18*Transport!L18)+(('Long Term Deals'!BB18+'Long Term Deals'!BC18+'Long Term Deals'!BD18)*'Prices&amp;Fuel'!H18*'Prices&amp;Fuel'!M18)</f>
        <v>196863.934276657</v>
      </c>
      <c r="U18" s="7" t="n">
        <f aca="false">S18*B18*'Prices&amp;Fuel'!M18</f>
        <v>652219.8531</v>
      </c>
      <c r="W18" s="14" t="n">
        <f aca="false">P18-R18-V18</f>
        <v>25793</v>
      </c>
      <c r="Z18" s="1" t="n">
        <f aca="false">P18*B18</f>
        <v>1171583</v>
      </c>
    </row>
    <row r="19" customFormat="false" ht="11.25" hidden="false" customHeight="false" outlineLevel="0" collapsed="false">
      <c r="A19" s="6" t="n">
        <f aca="false">+A18+365/12</f>
        <v>36174.8333333333</v>
      </c>
      <c r="B19" s="1" t="n">
        <v>31</v>
      </c>
      <c r="C19" s="27" t="n">
        <v>-0.119638990091441</v>
      </c>
      <c r="E19" s="28" t="n">
        <v>0.0245000000000002</v>
      </c>
      <c r="F19" s="1" t="n">
        <f aca="false">7761-1128</f>
        <v>6633</v>
      </c>
      <c r="G19" s="1" t="n">
        <f aca="false">14039-666-3474</f>
        <v>9899</v>
      </c>
      <c r="H19" s="1" t="n">
        <f aca="false">18200-4732</f>
        <v>13468</v>
      </c>
      <c r="I19" s="1" t="n">
        <v>2563</v>
      </c>
      <c r="J19" s="1" t="n">
        <v>2862</v>
      </c>
      <c r="K19" s="1" t="n">
        <v>1685</v>
      </c>
      <c r="L19" s="1" t="n">
        <v>683</v>
      </c>
      <c r="M19" s="7" t="n">
        <f aca="false">F19+I19</f>
        <v>9196</v>
      </c>
      <c r="N19" s="7" t="n">
        <f aca="false">G19+J19+L19</f>
        <v>13444</v>
      </c>
      <c r="O19" s="7" t="n">
        <f aca="false">H19+K19</f>
        <v>15153</v>
      </c>
      <c r="P19" s="7" t="n">
        <f aca="false">SUM(M19:O19)</f>
        <v>37793</v>
      </c>
      <c r="Q19" s="7" t="n">
        <f aca="false">'Index Price Deals'!B19+'Index Price Deals'!C19+'Index Price Deals'!D19-'Prices&amp;Fuel'!AE19</f>
        <v>0</v>
      </c>
      <c r="R19" s="1" t="n">
        <f aca="false">('Long Term Deals'!BB19+'Long Term Deals'!BC19+'Long Term Deals'!BD19+'Long Term Deals'!BE19+'Long Term Deals'!BF19+'Long Term Deals'!BG19)*(1-'Prices&amp;Fuel'!F19)</f>
        <v>12000</v>
      </c>
      <c r="S19" s="14" t="n">
        <f aca="false">P19-Q19-R19-V19</f>
        <v>25793</v>
      </c>
      <c r="T19" s="14" t="n">
        <f aca="false">((I19+J19+K19)*'Prices&amp;Fuel'!H19*'Prices&amp;Fuel'!L19)+('Prices&amp;Fuel'!N19*'Prices&amp;Fuel'!H19*Transport!L19)+(('Long Term Deals'!BB19+'Long Term Deals'!BC19+'Long Term Deals'!BD19)*'Prices&amp;Fuel'!H19*'Prices&amp;Fuel'!M19)</f>
        <v>196163.366692308</v>
      </c>
      <c r="U19" s="7" t="n">
        <f aca="false">S19*B19*'Prices&amp;Fuel'!M19</f>
        <v>651500.2284</v>
      </c>
      <c r="W19" s="14" t="n">
        <f aca="false">P19-R19-V19</f>
        <v>25793</v>
      </c>
      <c r="X19" s="1" t="n">
        <f aca="false">W19*'Prices&amp;Fuel'!H19</f>
        <v>799583</v>
      </c>
      <c r="Z19" s="1" t="n">
        <f aca="false">SUM(Z7:Z18)</f>
        <v>17439757</v>
      </c>
    </row>
    <row r="20" customFormat="false" ht="11.25" hidden="false" customHeight="false" outlineLevel="0" collapsed="false">
      <c r="A20" s="6" t="n">
        <f aca="false">+A19+365/12</f>
        <v>36205.25</v>
      </c>
      <c r="B20" s="1" t="n">
        <v>28</v>
      </c>
      <c r="C20" s="27" t="n">
        <v>-0.119649405454089</v>
      </c>
      <c r="E20" s="28" t="n">
        <v>0.0245000000000002</v>
      </c>
      <c r="F20" s="1" t="n">
        <f aca="false">7761-1128</f>
        <v>6633</v>
      </c>
      <c r="G20" s="1" t="n">
        <f aca="false">14039-666-3474</f>
        <v>9899</v>
      </c>
      <c r="H20" s="1" t="n">
        <f aca="false">18200-4732</f>
        <v>13468</v>
      </c>
      <c r="I20" s="1" t="n">
        <v>2563</v>
      </c>
      <c r="J20" s="1" t="n">
        <v>2862</v>
      </c>
      <c r="K20" s="1" t="n">
        <v>1685</v>
      </c>
      <c r="L20" s="1" t="n">
        <v>683</v>
      </c>
      <c r="M20" s="7" t="n">
        <f aca="false">F20+I20</f>
        <v>9196</v>
      </c>
      <c r="N20" s="7" t="n">
        <f aca="false">G20+J20+L20</f>
        <v>13444</v>
      </c>
      <c r="O20" s="7" t="n">
        <f aca="false">H20+K20</f>
        <v>15153</v>
      </c>
      <c r="P20" s="7" t="n">
        <f aca="false">SUM(M20:O20)</f>
        <v>37793</v>
      </c>
      <c r="Q20" s="7" t="n">
        <f aca="false">'Index Price Deals'!B20+'Index Price Deals'!C20+'Index Price Deals'!D20-'Prices&amp;Fuel'!AE20</f>
        <v>0</v>
      </c>
      <c r="R20" s="1" t="n">
        <f aca="false">('Long Term Deals'!BB20+'Long Term Deals'!BC20+'Long Term Deals'!BD20+'Long Term Deals'!BE20+'Long Term Deals'!BF20+'Long Term Deals'!BG20)*(1-'Prices&amp;Fuel'!F20)</f>
        <v>12000</v>
      </c>
      <c r="S20" s="14" t="n">
        <f aca="false">P20-Q20-R20-V20</f>
        <v>25793</v>
      </c>
      <c r="T20" s="14" t="n">
        <f aca="false">((I20+J20+K20)*'Prices&amp;Fuel'!H20*'Prices&amp;Fuel'!L20)+('Prices&amp;Fuel'!N20*'Prices&amp;Fuel'!H20*Transport!L20)+(('Long Term Deals'!BB20+'Long Term Deals'!BC20+'Long Term Deals'!BD20)*'Prices&amp;Fuel'!H20*'Prices&amp;Fuel'!M20)</f>
        <v>177179.815076923</v>
      </c>
      <c r="U20" s="7" t="n">
        <f aca="false">S20*B20*'Prices&amp;Fuel'!M20</f>
        <v>588451.8192</v>
      </c>
      <c r="W20" s="14" t="n">
        <f aca="false">P20-R20-V20</f>
        <v>25793</v>
      </c>
      <c r="X20" s="1" t="n">
        <f aca="false">W20*'Prices&amp;Fuel'!H20</f>
        <v>722204</v>
      </c>
    </row>
    <row r="21" customFormat="false" ht="11.25" hidden="false" customHeight="false" outlineLevel="0" collapsed="false">
      <c r="A21" s="6" t="n">
        <f aca="false">+A20+365/12</f>
        <v>36235.6666666667</v>
      </c>
      <c r="B21" s="1" t="n">
        <v>31</v>
      </c>
      <c r="C21" s="27" t="n">
        <v>-0.0996620046830992</v>
      </c>
      <c r="E21" s="28" t="n">
        <v>0.0195000000000003</v>
      </c>
      <c r="F21" s="1" t="n">
        <f aca="false">7761-1128</f>
        <v>6633</v>
      </c>
      <c r="G21" s="1" t="n">
        <f aca="false">14039-666-3474</f>
        <v>9899</v>
      </c>
      <c r="H21" s="1" t="n">
        <f aca="false">18200-4732</f>
        <v>13468</v>
      </c>
      <c r="I21" s="1" t="n">
        <v>2563</v>
      </c>
      <c r="J21" s="1" t="n">
        <v>2862</v>
      </c>
      <c r="K21" s="1" t="n">
        <v>1685</v>
      </c>
      <c r="L21" s="1" t="n">
        <v>683</v>
      </c>
      <c r="M21" s="7" t="n">
        <f aca="false">F21+I21</f>
        <v>9196</v>
      </c>
      <c r="N21" s="7" t="n">
        <f aca="false">G21+J21+L21</f>
        <v>13444</v>
      </c>
      <c r="O21" s="7" t="n">
        <f aca="false">H21+K21</f>
        <v>15153</v>
      </c>
      <c r="P21" s="7" t="n">
        <f aca="false">SUM(M21:O21)</f>
        <v>37793</v>
      </c>
      <c r="Q21" s="7" t="n">
        <f aca="false">'Index Price Deals'!B21+'Index Price Deals'!C21+'Index Price Deals'!D21-'Prices&amp;Fuel'!AE21</f>
        <v>0</v>
      </c>
      <c r="R21" s="1" t="n">
        <f aca="false">('Long Term Deals'!BB21+'Long Term Deals'!BC21+'Long Term Deals'!BD21+'Long Term Deals'!BE21+'Long Term Deals'!BF21+'Long Term Deals'!BG21)*(1-'Prices&amp;Fuel'!F21)</f>
        <v>12000</v>
      </c>
      <c r="S21" s="14" t="n">
        <f aca="false">P21-Q21-R21-V21</f>
        <v>25793</v>
      </c>
      <c r="T21" s="14" t="n">
        <f aca="false">((I21+J21+K21)*'Prices&amp;Fuel'!H21*'Prices&amp;Fuel'!L21)+('Prices&amp;Fuel'!N21*'Prices&amp;Fuel'!H21*Transport!L21)+(('Long Term Deals'!BB21+'Long Term Deals'!BC21+'Long Term Deals'!BD21)*'Prices&amp;Fuel'!H21*'Prices&amp;Fuel'!M21)</f>
        <v>191441.60248718</v>
      </c>
      <c r="U21" s="7" t="n">
        <f aca="false">S21*B21*'Prices&amp;Fuel'!M21</f>
        <v>623274.9485</v>
      </c>
      <c r="W21" s="14" t="n">
        <f aca="false">P21-R21-V21</f>
        <v>25793</v>
      </c>
      <c r="X21" s="1" t="n">
        <f aca="false">W21*'Prices&amp;Fuel'!H21</f>
        <v>799583</v>
      </c>
    </row>
    <row r="22" customFormat="false" ht="11.25" hidden="false" customHeight="false" outlineLevel="0" collapsed="false">
      <c r="A22" s="6" t="n">
        <f aca="false">+A21+365/12</f>
        <v>36266.0833333333</v>
      </c>
      <c r="B22" s="1" t="n">
        <v>30</v>
      </c>
      <c r="C22" s="27" t="n">
        <v>-0.0656961911928935</v>
      </c>
      <c r="E22" s="28" t="n">
        <v>0.00599999999999978</v>
      </c>
      <c r="F22" s="1" t="n">
        <f aca="false">7761-828</f>
        <v>6933</v>
      </c>
      <c r="G22" s="1" t="n">
        <f aca="false">14039-5241</f>
        <v>8798</v>
      </c>
      <c r="H22" s="1" t="n">
        <f aca="false">18200-3931</f>
        <v>14269</v>
      </c>
      <c r="I22" s="1" t="n">
        <v>1880</v>
      </c>
      <c r="J22" s="1" t="n">
        <v>2073</v>
      </c>
      <c r="K22" s="1" t="n">
        <v>1258</v>
      </c>
      <c r="L22" s="1" t="n">
        <v>683</v>
      </c>
      <c r="M22" s="7" t="n">
        <f aca="false">F22+I22</f>
        <v>8813</v>
      </c>
      <c r="N22" s="7" t="n">
        <f aca="false">G22+J22+L22</f>
        <v>11554</v>
      </c>
      <c r="O22" s="7" t="n">
        <f aca="false">H22+K22</f>
        <v>15527</v>
      </c>
      <c r="P22" s="7" t="n">
        <f aca="false">SUM(M22:O22)</f>
        <v>35894</v>
      </c>
      <c r="Q22" s="7" t="n">
        <f aca="false">'Index Price Deals'!B22+'Index Price Deals'!C22+'Index Price Deals'!D22-'Prices&amp;Fuel'!AE22</f>
        <v>0</v>
      </c>
      <c r="R22" s="1" t="n">
        <f aca="false">('Long Term Deals'!BB22+'Long Term Deals'!BC22+'Long Term Deals'!BD22+'Long Term Deals'!BE22+'Long Term Deals'!BF22+'Long Term Deals'!BG22)*(1-'Prices&amp;Fuel'!F22)</f>
        <v>12000</v>
      </c>
      <c r="S22" s="14" t="n">
        <f aca="false">P22-Q22-R22-V22</f>
        <v>23894</v>
      </c>
      <c r="T22" s="14" t="n">
        <f aca="false">((I22+J22+K22)*'Prices&amp;Fuel'!H22*'Prices&amp;Fuel'!L22)+('Prices&amp;Fuel'!N22*'Prices&amp;Fuel'!H22*Transport!L22)+(('Long Term Deals'!BB22+'Long Term Deals'!BC22+'Long Term Deals'!BD22)*'Prices&amp;Fuel'!H22*'Prices&amp;Fuel'!M22)</f>
        <v>209375.040538462</v>
      </c>
      <c r="U22" s="7" t="n">
        <f aca="false">S22*B22*'Prices&amp;Fuel'!M22</f>
        <v>558761.19</v>
      </c>
      <c r="W22" s="14" t="n">
        <f aca="false">P22-R22-V22</f>
        <v>23894</v>
      </c>
      <c r="X22" s="1" t="n">
        <f aca="false">W22*'Prices&amp;Fuel'!H22</f>
        <v>716820</v>
      </c>
    </row>
    <row r="23" customFormat="false" ht="11.25" hidden="false" customHeight="false" outlineLevel="0" collapsed="false">
      <c r="A23" s="6" t="n">
        <f aca="false">+A22+365/12</f>
        <v>36296.5</v>
      </c>
      <c r="B23" s="1" t="n">
        <v>31</v>
      </c>
      <c r="C23" s="27" t="n">
        <v>-0.0657860716640333</v>
      </c>
      <c r="E23" s="28" t="n">
        <v>0.00599999999999978</v>
      </c>
      <c r="F23" s="1" t="n">
        <v>8730</v>
      </c>
      <c r="G23" s="1" t="n">
        <f aca="false">15795-5034</f>
        <v>10761</v>
      </c>
      <c r="H23" s="1" t="n">
        <f aca="false">20475-4966</f>
        <v>15509</v>
      </c>
      <c r="I23" s="1" t="n">
        <v>1880</v>
      </c>
      <c r="J23" s="1" t="n">
        <v>2295</v>
      </c>
      <c r="K23" s="1" t="n">
        <v>1036</v>
      </c>
      <c r="L23" s="1" t="n">
        <v>683</v>
      </c>
      <c r="M23" s="7" t="n">
        <f aca="false">F23+I23</f>
        <v>10610</v>
      </c>
      <c r="N23" s="7" t="n">
        <f aca="false">G23+J23+L23</f>
        <v>13739</v>
      </c>
      <c r="O23" s="7" t="n">
        <f aca="false">H23+K23</f>
        <v>16545</v>
      </c>
      <c r="P23" s="7" t="n">
        <f aca="false">SUM(M23:O23)</f>
        <v>40894</v>
      </c>
      <c r="Q23" s="7" t="n">
        <f aca="false">'Index Price Deals'!B23+'Index Price Deals'!C23+'Index Price Deals'!D23-'Prices&amp;Fuel'!AE23</f>
        <v>0</v>
      </c>
      <c r="R23" s="1" t="n">
        <f aca="false">('Long Term Deals'!BB23+'Long Term Deals'!BC23+'Long Term Deals'!BD23+'Long Term Deals'!BE23+'Long Term Deals'!BF23+'Long Term Deals'!BG23)*(1-'Prices&amp;Fuel'!F23)</f>
        <v>21000</v>
      </c>
      <c r="S23" s="14" t="n">
        <f aca="false">P23-Q23-R23-V23</f>
        <v>19894</v>
      </c>
      <c r="T23" s="14" t="n">
        <f aca="false">((I23+J23+K23)*'Prices&amp;Fuel'!H23*'Prices&amp;Fuel'!L23)+('Prices&amp;Fuel'!N23*'Prices&amp;Fuel'!H23*Transport!L23)+(('Long Term Deals'!BB23+'Long Term Deals'!BC23+'Long Term Deals'!BD23)*'Prices&amp;Fuel'!H23*'Prices&amp;Fuel'!M23)</f>
        <v>441340.970052577</v>
      </c>
      <c r="U23" s="7" t="n">
        <f aca="false">S23*B23*'Prices&amp;Fuel'!M23</f>
        <v>480728.563</v>
      </c>
      <c r="W23" s="14" t="n">
        <f aca="false">P23-R23-V23</f>
        <v>19894</v>
      </c>
      <c r="X23" s="1" t="n">
        <f aca="false">W23*'Prices&amp;Fuel'!H23</f>
        <v>616714</v>
      </c>
    </row>
    <row r="24" customFormat="false" ht="11.25" hidden="false" customHeight="false" outlineLevel="0" collapsed="false">
      <c r="A24" s="6" t="n">
        <f aca="false">+A23+365/12</f>
        <v>36326.9166666667</v>
      </c>
      <c r="B24" s="1" t="n">
        <v>30</v>
      </c>
      <c r="C24" s="27" t="n">
        <v>-0.0657855191631658</v>
      </c>
      <c r="E24" s="28" t="n">
        <v>0.00599999999999978</v>
      </c>
      <c r="F24" s="1" t="n">
        <v>8730</v>
      </c>
      <c r="G24" s="1" t="n">
        <f aca="false">15795-5034</f>
        <v>10761</v>
      </c>
      <c r="H24" s="1" t="n">
        <f aca="false">20475-4966</f>
        <v>15509</v>
      </c>
      <c r="I24" s="1" t="n">
        <v>1880</v>
      </c>
      <c r="J24" s="1" t="n">
        <v>2295</v>
      </c>
      <c r="K24" s="1" t="n">
        <v>1036</v>
      </c>
      <c r="L24" s="1" t="n">
        <v>683</v>
      </c>
      <c r="M24" s="7" t="n">
        <f aca="false">F24+I24</f>
        <v>10610</v>
      </c>
      <c r="N24" s="7" t="n">
        <f aca="false">G24+J24+L24</f>
        <v>13739</v>
      </c>
      <c r="O24" s="7" t="n">
        <f aca="false">H24+K24</f>
        <v>16545</v>
      </c>
      <c r="P24" s="7" t="n">
        <f aca="false">SUM(M24:O24)</f>
        <v>40894</v>
      </c>
      <c r="Q24" s="7" t="n">
        <f aca="false">'Index Price Deals'!B24+'Index Price Deals'!C24+'Index Price Deals'!D24-'Prices&amp;Fuel'!AE24</f>
        <v>0</v>
      </c>
      <c r="R24" s="1" t="n">
        <f aca="false">('Long Term Deals'!BB24+'Long Term Deals'!BC24+'Long Term Deals'!BD24+'Long Term Deals'!BE24+'Long Term Deals'!BF24+'Long Term Deals'!BG24)*(1-'Prices&amp;Fuel'!F24)</f>
        <v>21000</v>
      </c>
      <c r="S24" s="14" t="n">
        <f aca="false">P24-Q24-R24-V24</f>
        <v>19894</v>
      </c>
      <c r="T24" s="14" t="n">
        <f aca="false">((I24+J24+K24)*'Prices&amp;Fuel'!H24*'Prices&amp;Fuel'!L24)+('Prices&amp;Fuel'!N24*'Prices&amp;Fuel'!H24*Transport!L24)+(('Long Term Deals'!BB24+'Long Term Deals'!BC24+'Long Term Deals'!BD24)*'Prices&amp;Fuel'!H24*'Prices&amp;Fuel'!M24)</f>
        <v>427104.16456701</v>
      </c>
      <c r="U24" s="7" t="n">
        <f aca="false">S24*B24*'Prices&amp;Fuel'!M24</f>
        <v>465221.19</v>
      </c>
      <c r="W24" s="14" t="n">
        <f aca="false">P24-R24-V24</f>
        <v>19894</v>
      </c>
      <c r="X24" s="1" t="n">
        <f aca="false">W24*'Prices&amp;Fuel'!H24</f>
        <v>596820</v>
      </c>
    </row>
    <row r="25" customFormat="false" ht="11.25" hidden="false" customHeight="false" outlineLevel="0" collapsed="false">
      <c r="A25" s="6" t="n">
        <f aca="false">+A24+365/12</f>
        <v>36357.3333333333</v>
      </c>
      <c r="B25" s="1" t="n">
        <v>31</v>
      </c>
      <c r="C25" s="27" t="n">
        <v>-0.0762436655826164</v>
      </c>
      <c r="E25" s="28" t="n">
        <v>0.00949999999999984</v>
      </c>
      <c r="F25" s="1" t="n">
        <v>8730</v>
      </c>
      <c r="G25" s="1" t="n">
        <f aca="false">15795-5034</f>
        <v>10761</v>
      </c>
      <c r="H25" s="1" t="n">
        <f aca="false">20475-4966</f>
        <v>15509</v>
      </c>
      <c r="I25" s="1" t="n">
        <v>1880</v>
      </c>
      <c r="J25" s="1" t="n">
        <v>2295</v>
      </c>
      <c r="K25" s="1" t="n">
        <v>1036</v>
      </c>
      <c r="L25" s="1" t="n">
        <v>683</v>
      </c>
      <c r="M25" s="7" t="n">
        <f aca="false">F25+I25</f>
        <v>10610</v>
      </c>
      <c r="N25" s="7" t="n">
        <f aca="false">G25+J25+L25</f>
        <v>13739</v>
      </c>
      <c r="O25" s="7" t="n">
        <f aca="false">H25+K25</f>
        <v>16545</v>
      </c>
      <c r="P25" s="7" t="n">
        <f aca="false">SUM(M25:O25)</f>
        <v>40894</v>
      </c>
      <c r="Q25" s="7" t="n">
        <f aca="false">'Index Price Deals'!B25+'Index Price Deals'!C25+'Index Price Deals'!D25-'Prices&amp;Fuel'!AE25</f>
        <v>0</v>
      </c>
      <c r="R25" s="1" t="n">
        <f aca="false">('Long Term Deals'!BB25+'Long Term Deals'!BC25+'Long Term Deals'!BD25+'Long Term Deals'!BE25+'Long Term Deals'!BF25+'Long Term Deals'!BG25)*(1-'Prices&amp;Fuel'!F25)</f>
        <v>21000</v>
      </c>
      <c r="S25" s="14" t="n">
        <f aca="false">P25-Q25-R25-V25</f>
        <v>19894</v>
      </c>
      <c r="T25" s="14" t="n">
        <f aca="false">((I25+J25+K25)*'Prices&amp;Fuel'!H25*'Prices&amp;Fuel'!L25)+('Prices&amp;Fuel'!N25*'Prices&amp;Fuel'!H25*Transport!L25)+(('Long Term Deals'!BB25+'Long Term Deals'!BC25+'Long Term Deals'!BD25)*'Prices&amp;Fuel'!H25*'Prices&amp;Fuel'!M25)</f>
        <v>441340.970052577</v>
      </c>
      <c r="U25" s="7" t="n">
        <f aca="false">S25*B25*'Prices&amp;Fuel'!M25</f>
        <v>480728.563</v>
      </c>
      <c r="W25" s="14" t="n">
        <f aca="false">P25-R25-V25</f>
        <v>19894</v>
      </c>
      <c r="X25" s="1" t="n">
        <f aca="false">W25*'Prices&amp;Fuel'!H25</f>
        <v>616714</v>
      </c>
    </row>
    <row r="26" customFormat="false" ht="11.25" hidden="false" customHeight="false" outlineLevel="0" collapsed="false">
      <c r="A26" s="6" t="n">
        <f aca="false">+A25+365/12</f>
        <v>36387.75</v>
      </c>
      <c r="B26" s="1" t="n">
        <v>31</v>
      </c>
      <c r="C26" s="27" t="n">
        <v>-0.0762428744270065</v>
      </c>
      <c r="E26" s="28" t="n">
        <v>0.00949999999999962</v>
      </c>
      <c r="F26" s="1" t="n">
        <v>8730</v>
      </c>
      <c r="G26" s="1" t="n">
        <f aca="false">15795-5034</f>
        <v>10761</v>
      </c>
      <c r="H26" s="1" t="n">
        <f aca="false">20475-4966</f>
        <v>15509</v>
      </c>
      <c r="I26" s="1" t="n">
        <v>1880</v>
      </c>
      <c r="J26" s="1" t="n">
        <v>2295</v>
      </c>
      <c r="K26" s="1" t="n">
        <v>1036</v>
      </c>
      <c r="L26" s="1" t="n">
        <v>683</v>
      </c>
      <c r="M26" s="7" t="n">
        <f aca="false">F26+I26</f>
        <v>10610</v>
      </c>
      <c r="N26" s="7" t="n">
        <f aca="false">G26+J26+L26</f>
        <v>13739</v>
      </c>
      <c r="O26" s="7" t="n">
        <f aca="false">H26+K26</f>
        <v>16545</v>
      </c>
      <c r="P26" s="7" t="n">
        <f aca="false">SUM(M26:O26)</f>
        <v>40894</v>
      </c>
      <c r="Q26" s="7" t="n">
        <f aca="false">'Index Price Deals'!B26+'Index Price Deals'!C26+'Index Price Deals'!D26-'Prices&amp;Fuel'!AE26</f>
        <v>0</v>
      </c>
      <c r="R26" s="1" t="n">
        <f aca="false">('Long Term Deals'!BB26+'Long Term Deals'!BC26+'Long Term Deals'!BD26+'Long Term Deals'!BE26+'Long Term Deals'!BF26+'Long Term Deals'!BG26)*(1-'Prices&amp;Fuel'!F26)</f>
        <v>21000</v>
      </c>
      <c r="S26" s="14" t="n">
        <f aca="false">P26-Q26-R26-V26</f>
        <v>19894</v>
      </c>
      <c r="T26" s="14" t="n">
        <f aca="false">((I26+J26+K26)*'Prices&amp;Fuel'!H26*'Prices&amp;Fuel'!L26)+('Prices&amp;Fuel'!N26*'Prices&amp;Fuel'!H26*Transport!L26)+(('Long Term Deals'!BB26+'Long Term Deals'!BC26+'Long Term Deals'!BD26)*'Prices&amp;Fuel'!H26*'Prices&amp;Fuel'!M26)</f>
        <v>441340.970052577</v>
      </c>
      <c r="U26" s="7" t="n">
        <f aca="false">S26*B26*'Prices&amp;Fuel'!M26</f>
        <v>480728.563</v>
      </c>
      <c r="W26" s="14" t="n">
        <f aca="false">P26-R26-V26</f>
        <v>19894</v>
      </c>
      <c r="X26" s="1" t="n">
        <f aca="false">W26*'Prices&amp;Fuel'!H26</f>
        <v>616714</v>
      </c>
    </row>
    <row r="27" customFormat="false" ht="11.25" hidden="false" customHeight="false" outlineLevel="0" collapsed="false">
      <c r="A27" s="6" t="n">
        <f aca="false">+A26+365/12</f>
        <v>36418.1666666667</v>
      </c>
      <c r="B27" s="1" t="n">
        <v>30</v>
      </c>
      <c r="C27" s="27" t="n">
        <v>-0.076241555834325</v>
      </c>
      <c r="E27" s="28" t="n">
        <v>0.00949999999999962</v>
      </c>
      <c r="F27" s="1" t="n">
        <v>8730</v>
      </c>
      <c r="G27" s="1" t="n">
        <f aca="false">15795-5034</f>
        <v>10761</v>
      </c>
      <c r="H27" s="1" t="n">
        <f aca="false">20475-4966</f>
        <v>15509</v>
      </c>
      <c r="I27" s="1" t="n">
        <v>1880</v>
      </c>
      <c r="J27" s="1" t="n">
        <v>2295</v>
      </c>
      <c r="K27" s="1" t="n">
        <v>1036</v>
      </c>
      <c r="L27" s="1" t="n">
        <v>683</v>
      </c>
      <c r="M27" s="7" t="n">
        <f aca="false">F27+I27</f>
        <v>10610</v>
      </c>
      <c r="N27" s="7" t="n">
        <f aca="false">G27+J27+L27</f>
        <v>13739</v>
      </c>
      <c r="O27" s="7" t="n">
        <f aca="false">H27+K27</f>
        <v>16545</v>
      </c>
      <c r="P27" s="7" t="n">
        <f aca="false">SUM(M27:O27)</f>
        <v>40894</v>
      </c>
      <c r="Q27" s="7" t="n">
        <f aca="false">'Index Price Deals'!B27+'Index Price Deals'!C27+'Index Price Deals'!D27-'Prices&amp;Fuel'!AE27</f>
        <v>0</v>
      </c>
      <c r="R27" s="1" t="n">
        <f aca="false">('Long Term Deals'!BB27+'Long Term Deals'!BC27+'Long Term Deals'!BD27+'Long Term Deals'!BE27+'Long Term Deals'!BF27+'Long Term Deals'!BG27)*(1-'Prices&amp;Fuel'!F27)</f>
        <v>21000</v>
      </c>
      <c r="S27" s="14" t="n">
        <f aca="false">P27-Q27-R27-V27</f>
        <v>19894</v>
      </c>
      <c r="T27" s="14" t="n">
        <f aca="false">((I27+J27+K27)*'Prices&amp;Fuel'!H27*'Prices&amp;Fuel'!L27)+('Prices&amp;Fuel'!N27*'Prices&amp;Fuel'!H27*Transport!L27)+(('Long Term Deals'!BB27+'Long Term Deals'!BC27+'Long Term Deals'!BD27)*'Prices&amp;Fuel'!H27*'Prices&amp;Fuel'!M27)</f>
        <v>427104.16456701</v>
      </c>
      <c r="U27" s="7" t="n">
        <f aca="false">S27*B27*'Prices&amp;Fuel'!M27</f>
        <v>465221.19</v>
      </c>
      <c r="W27" s="14" t="n">
        <f aca="false">P27-R27-V27</f>
        <v>19894</v>
      </c>
      <c r="X27" s="1" t="n">
        <f aca="false">W27*'Prices&amp;Fuel'!H27</f>
        <v>596820</v>
      </c>
    </row>
    <row r="28" customFormat="false" ht="11.25" hidden="false" customHeight="false" outlineLevel="0" collapsed="false">
      <c r="A28" s="6" t="n">
        <f aca="false">+A27+365/12</f>
        <v>36448.5833333333</v>
      </c>
      <c r="B28" s="1" t="n">
        <v>31</v>
      </c>
      <c r="C28" s="27" t="n">
        <v>-0.0808118295091473</v>
      </c>
      <c r="E28" s="28" t="n">
        <v>0.0145</v>
      </c>
      <c r="F28" s="1" t="n">
        <f aca="false">8730-0</f>
        <v>8730</v>
      </c>
      <c r="G28" s="1" t="n">
        <f aca="false">15795-5434</f>
        <v>10361</v>
      </c>
      <c r="H28" s="1" t="n">
        <f aca="false">20475-4566</f>
        <v>15909</v>
      </c>
      <c r="I28" s="1" t="n">
        <v>2830</v>
      </c>
      <c r="J28" s="1" t="n">
        <v>3500</v>
      </c>
      <c r="K28" s="1" t="n">
        <v>1521</v>
      </c>
      <c r="L28" s="1" t="n">
        <v>1001</v>
      </c>
      <c r="M28" s="7" t="n">
        <f aca="false">F28+I28</f>
        <v>11560</v>
      </c>
      <c r="N28" s="7" t="n">
        <f aca="false">G28+J28+L28</f>
        <v>14862</v>
      </c>
      <c r="O28" s="7" t="n">
        <f aca="false">H28+K28</f>
        <v>17430</v>
      </c>
      <c r="P28" s="7" t="n">
        <f aca="false">SUM(M28:O28)</f>
        <v>43852</v>
      </c>
      <c r="Q28" s="7" t="n">
        <f aca="false">'Index Price Deals'!B28+'Index Price Deals'!C28+'Index Price Deals'!D28-'Prices&amp;Fuel'!AE28</f>
        <v>0</v>
      </c>
      <c r="R28" s="1" t="n">
        <f aca="false">('Long Term Deals'!BB28+'Long Term Deals'!BC28+'Long Term Deals'!BD28+'Long Term Deals'!BE28+'Long Term Deals'!BF28+'Long Term Deals'!BG28)*(1-'Prices&amp;Fuel'!F28)</f>
        <v>21000</v>
      </c>
      <c r="S28" s="14" t="n">
        <f aca="false">P28-Q28-R28-V28</f>
        <v>22852</v>
      </c>
      <c r="T28" s="14" t="n">
        <f aca="false">((I28+J28+K28)*'Prices&amp;Fuel'!H28*'Prices&amp;Fuel'!L28)+('Prices&amp;Fuel'!N28*'Prices&amp;Fuel'!H28*Transport!L28)+(('Long Term Deals'!BB28+'Long Term Deals'!BC28+'Long Term Deals'!BD28)*'Prices&amp;Fuel'!H28*'Prices&amp;Fuel'!M28)</f>
        <v>399641.725826992</v>
      </c>
      <c r="U28" s="7" t="n">
        <f aca="false">S28*B28*'Prices&amp;Fuel'!M28</f>
        <v>552207.154</v>
      </c>
      <c r="W28" s="14" t="n">
        <f aca="false">P28-R28-V28</f>
        <v>22852</v>
      </c>
      <c r="X28" s="1" t="n">
        <f aca="false">W28*'Prices&amp;Fuel'!H28</f>
        <v>708412</v>
      </c>
    </row>
    <row r="29" customFormat="false" ht="11.25" hidden="false" customHeight="false" outlineLevel="0" collapsed="false">
      <c r="A29" s="6" t="n">
        <f aca="false">+A28+365/12</f>
        <v>36479</v>
      </c>
      <c r="B29" s="1" t="n">
        <v>30</v>
      </c>
      <c r="C29" s="27" t="n">
        <v>-0.125784052698215</v>
      </c>
      <c r="E29" s="28" t="n">
        <v>0.0194999999999999</v>
      </c>
      <c r="F29" s="1" t="n">
        <f aca="false">7761-1128-1707</f>
        <v>4926</v>
      </c>
      <c r="G29" s="1" t="n">
        <f aca="false">14039-666-3474-4167</f>
        <v>5732</v>
      </c>
      <c r="H29" s="1" t="n">
        <f aca="false">18200-4732-4126</f>
        <v>9342</v>
      </c>
      <c r="I29" s="1" t="n">
        <v>2563</v>
      </c>
      <c r="J29" s="1" t="n">
        <v>2862</v>
      </c>
      <c r="K29" s="1" t="n">
        <v>1685</v>
      </c>
      <c r="L29" s="1" t="n">
        <v>683</v>
      </c>
      <c r="M29" s="7" t="n">
        <f aca="false">F29+I29</f>
        <v>7489</v>
      </c>
      <c r="N29" s="7" t="n">
        <f aca="false">G29+J29+L29</f>
        <v>9277</v>
      </c>
      <c r="O29" s="7" t="n">
        <f aca="false">H29+K29</f>
        <v>11027</v>
      </c>
      <c r="P29" s="7" t="n">
        <f aca="false">SUM(M29:O29)</f>
        <v>27793</v>
      </c>
      <c r="Q29" s="7" t="n">
        <f aca="false">'Index Price Deals'!B29+'Index Price Deals'!C29+'Index Price Deals'!D29-'Prices&amp;Fuel'!AE29</f>
        <v>0</v>
      </c>
      <c r="R29" s="1" t="n">
        <f aca="false">('Long Term Deals'!BB29+'Long Term Deals'!BC29+'Long Term Deals'!BD29+'Long Term Deals'!BE29+'Long Term Deals'!BF29+'Long Term Deals'!BG29)*(1-'Prices&amp;Fuel'!F29)</f>
        <v>12000</v>
      </c>
      <c r="S29" s="14" t="n">
        <f aca="false">P29-Q29-R29-V29</f>
        <v>15793</v>
      </c>
      <c r="T29" s="14" t="n">
        <f aca="false">((I29+J29+K29)*'Prices&amp;Fuel'!H29*'Prices&amp;Fuel'!L29)+('Prices&amp;Fuel'!N29*'Prices&amp;Fuel'!H29*Transport!L29)+(('Long Term Deals'!BB29+'Long Term Deals'!BC29+'Long Term Deals'!BD29)*'Prices&amp;Fuel'!H29*'Prices&amp;Fuel'!M29)</f>
        <v>185525.458380463</v>
      </c>
      <c r="U29" s="7" t="n">
        <f aca="false">S29*B29*'Prices&amp;Fuel'!M29</f>
        <v>369319.305</v>
      </c>
      <c r="W29" s="14" t="n">
        <f aca="false">P29-R29-V29</f>
        <v>15793</v>
      </c>
      <c r="X29" s="1" t="n">
        <f aca="false">W29*'Prices&amp;Fuel'!H29</f>
        <v>473790</v>
      </c>
    </row>
    <row r="30" customFormat="false" ht="11.25" hidden="false" customHeight="false" outlineLevel="0" collapsed="false">
      <c r="A30" s="6" t="n">
        <f aca="false">+A29+365/12</f>
        <v>36509.4166666667</v>
      </c>
      <c r="B30" s="1" t="n">
        <v>31</v>
      </c>
      <c r="C30" s="27" t="n">
        <v>-0.160746554003456</v>
      </c>
      <c r="E30" s="28" t="n">
        <v>0.0245000000000002</v>
      </c>
      <c r="F30" s="1" t="n">
        <f aca="false">7761-1128-1707</f>
        <v>4926</v>
      </c>
      <c r="G30" s="1" t="n">
        <f aca="false">14039-666-3474-4167</f>
        <v>5732</v>
      </c>
      <c r="H30" s="1" t="n">
        <f aca="false">18200-4732-4126</f>
        <v>9342</v>
      </c>
      <c r="I30" s="1" t="n">
        <v>2563</v>
      </c>
      <c r="J30" s="1" t="n">
        <v>2862</v>
      </c>
      <c r="K30" s="1" t="n">
        <v>1685</v>
      </c>
      <c r="L30" s="1" t="n">
        <v>683</v>
      </c>
      <c r="M30" s="7" t="n">
        <f aca="false">F30+I30</f>
        <v>7489</v>
      </c>
      <c r="N30" s="7" t="n">
        <f aca="false">G30+J30+L30</f>
        <v>9277</v>
      </c>
      <c r="O30" s="7" t="n">
        <f aca="false">H30+K30</f>
        <v>11027</v>
      </c>
      <c r="P30" s="7" t="n">
        <f aca="false">SUM(M30:O30)</f>
        <v>27793</v>
      </c>
      <c r="Q30" s="7" t="n">
        <f aca="false">'Index Price Deals'!B30+'Index Price Deals'!C30+'Index Price Deals'!D30-'Prices&amp;Fuel'!AE30</f>
        <v>0</v>
      </c>
      <c r="R30" s="1" t="n">
        <f aca="false">('Long Term Deals'!BB30+'Long Term Deals'!BC30+'Long Term Deals'!BD30+'Long Term Deals'!BE30+'Long Term Deals'!BF30+'Long Term Deals'!BG30)*(1-'Prices&amp;Fuel'!F30)</f>
        <v>12000</v>
      </c>
      <c r="S30" s="14" t="n">
        <f aca="false">P30-Q30-R30-V30</f>
        <v>15793</v>
      </c>
      <c r="T30" s="14" t="n">
        <f aca="false">((I30+J30+K30)*'Prices&amp;Fuel'!H30*'Prices&amp;Fuel'!L30)+('Prices&amp;Fuel'!N30*'Prices&amp;Fuel'!H30*Transport!L30)+(('Long Term Deals'!BB30+'Long Term Deals'!BC30+'Long Term Deals'!BD30)*'Prices&amp;Fuel'!H30*'Prices&amp;Fuel'!M30)</f>
        <v>191709.640326478</v>
      </c>
      <c r="U30" s="7" t="n">
        <f aca="false">S30*B30*'Prices&amp;Fuel'!M30</f>
        <v>381629.9485</v>
      </c>
      <c r="W30" s="14" t="n">
        <f aca="false">P30-R30-V30</f>
        <v>15793</v>
      </c>
      <c r="X30" s="1" t="n">
        <f aca="false">W30*'Prices&amp;Fuel'!H30</f>
        <v>489583</v>
      </c>
      <c r="Y30" s="7" t="n">
        <f aca="false">SUM(X19:X30)/365</f>
        <v>21243.1698630137</v>
      </c>
    </row>
    <row r="31" customFormat="false" ht="11.25" hidden="false" customHeight="false" outlineLevel="0" collapsed="false">
      <c r="A31" s="6" t="n">
        <f aca="false">+A30+365/12</f>
        <v>36539.8333333333</v>
      </c>
      <c r="B31" s="1" t="n">
        <v>31</v>
      </c>
      <c r="C31" s="27" t="n">
        <v>-0.14572641581553</v>
      </c>
      <c r="E31" s="28" t="n">
        <v>0.0245000000000002</v>
      </c>
      <c r="F31" s="1" t="n">
        <f aca="false">7761-1128-1707</f>
        <v>4926</v>
      </c>
      <c r="G31" s="1" t="n">
        <f aca="false">14039-666-3474-4167</f>
        <v>5732</v>
      </c>
      <c r="H31" s="1" t="n">
        <f aca="false">18200-4732-4126</f>
        <v>9342</v>
      </c>
      <c r="I31" s="1" t="n">
        <v>2563</v>
      </c>
      <c r="J31" s="1" t="n">
        <v>2862</v>
      </c>
      <c r="K31" s="1" t="n">
        <v>1685</v>
      </c>
      <c r="L31" s="1" t="n">
        <v>683</v>
      </c>
      <c r="M31" s="7" t="n">
        <f aca="false">F31+I31</f>
        <v>7489</v>
      </c>
      <c r="N31" s="7" t="n">
        <f aca="false">G31+J31+L31</f>
        <v>9277</v>
      </c>
      <c r="O31" s="7" t="n">
        <f aca="false">H31+K31</f>
        <v>11027</v>
      </c>
      <c r="P31" s="7" t="n">
        <f aca="false">SUM(M31:O31)</f>
        <v>27793</v>
      </c>
      <c r="Q31" s="7" t="n">
        <f aca="false">'Index Price Deals'!B31+'Index Price Deals'!C31+'Index Price Deals'!D31-'Prices&amp;Fuel'!AE31</f>
        <v>0</v>
      </c>
      <c r="R31" s="1" t="n">
        <f aca="false">('Long Term Deals'!BB31+'Long Term Deals'!BC31+'Long Term Deals'!BD31+'Long Term Deals'!BE31+'Long Term Deals'!BF31+'Long Term Deals'!BG31)*(1-'Prices&amp;Fuel'!F31)</f>
        <v>12000</v>
      </c>
      <c r="S31" s="14" t="n">
        <f aca="false">P31-Q31-R31-V31</f>
        <v>15793</v>
      </c>
      <c r="T31" s="14" t="n">
        <f aca="false">((I31+J31+K31)*'Prices&amp;Fuel'!H31*'Prices&amp;Fuel'!L31)+('Prices&amp;Fuel'!N31*'Prices&amp;Fuel'!H31*Transport!L31)+(('Long Term Deals'!BB31+'Long Term Deals'!BC31+'Long Term Deals'!BD31)*'Prices&amp;Fuel'!H31*'Prices&amp;Fuel'!M31)</f>
        <v>195066.752342159</v>
      </c>
      <c r="U31" s="7" t="n">
        <f aca="false">S31*B31*'Prices&amp;Fuel'!M31</f>
        <v>381140.3655</v>
      </c>
      <c r="W31" s="14" t="n">
        <f aca="false">P31-R31-V31</f>
        <v>15793</v>
      </c>
      <c r="X31" s="1" t="n">
        <f aca="false">W31*'Prices&amp;Fuel'!H31</f>
        <v>489583</v>
      </c>
    </row>
    <row r="32" customFormat="false" ht="11.25" hidden="false" customHeight="false" outlineLevel="0" collapsed="false">
      <c r="A32" s="6" t="n">
        <f aca="false">+A31+365/12</f>
        <v>36570.25</v>
      </c>
      <c r="B32" s="1" t="n">
        <v>29</v>
      </c>
      <c r="C32" s="27" t="n">
        <v>-0.145754192626462</v>
      </c>
      <c r="E32" s="28" t="n">
        <v>0.0245000000000002</v>
      </c>
      <c r="F32" s="1" t="n">
        <f aca="false">7761-1128-1707</f>
        <v>4926</v>
      </c>
      <c r="G32" s="1" t="n">
        <f aca="false">14039-666-3474-4167</f>
        <v>5732</v>
      </c>
      <c r="H32" s="1" t="n">
        <f aca="false">18200-4732-4126</f>
        <v>9342</v>
      </c>
      <c r="I32" s="1" t="n">
        <v>2563</v>
      </c>
      <c r="J32" s="1" t="n">
        <v>2862</v>
      </c>
      <c r="K32" s="1" t="n">
        <v>1685</v>
      </c>
      <c r="L32" s="1" t="n">
        <v>683</v>
      </c>
      <c r="M32" s="7" t="n">
        <f aca="false">F32+I32</f>
        <v>7489</v>
      </c>
      <c r="N32" s="7" t="n">
        <f aca="false">G32+J32+L32</f>
        <v>9277</v>
      </c>
      <c r="O32" s="7" t="n">
        <f aca="false">H32+K32</f>
        <v>11027</v>
      </c>
      <c r="P32" s="7" t="n">
        <f aca="false">SUM(M32:O32)</f>
        <v>27793</v>
      </c>
      <c r="Q32" s="7" t="n">
        <f aca="false">'Index Price Deals'!B32+'Index Price Deals'!C32+'Index Price Deals'!D32-'Prices&amp;Fuel'!AE32</f>
        <v>0</v>
      </c>
      <c r="R32" s="1" t="n">
        <f aca="false">('Long Term Deals'!BB32+'Long Term Deals'!BC32+'Long Term Deals'!BD32+'Long Term Deals'!BE32+'Long Term Deals'!BF32+'Long Term Deals'!BG32)*(1-'Prices&amp;Fuel'!F32)</f>
        <v>12000</v>
      </c>
      <c r="S32" s="14" t="n">
        <f aca="false">P32-Q32-R32-V32</f>
        <v>15793</v>
      </c>
      <c r="T32" s="14" t="n">
        <f aca="false">((I32+J32+K32)*'Prices&amp;Fuel'!H32*'Prices&amp;Fuel'!L32)+('Prices&amp;Fuel'!N32*'Prices&amp;Fuel'!H32*Transport!L32)+(('Long Term Deals'!BB32+'Long Term Deals'!BC32+'Long Term Deals'!BD32)*'Prices&amp;Fuel'!H32*'Prices&amp;Fuel'!M32)</f>
        <v>182733.51482165</v>
      </c>
      <c r="U32" s="7" t="n">
        <f aca="false">S32*B32*'Prices&amp;Fuel'!M32</f>
        <v>356550.6645</v>
      </c>
      <c r="W32" s="14" t="n">
        <f aca="false">P32-R32-V32</f>
        <v>15793</v>
      </c>
      <c r="X32" s="1" t="n">
        <f aca="false">W32*'Prices&amp;Fuel'!H32</f>
        <v>457997</v>
      </c>
    </row>
    <row r="33" customFormat="false" ht="11.25" hidden="false" customHeight="false" outlineLevel="0" collapsed="false">
      <c r="A33" s="6" t="n">
        <f aca="false">+A32+365/12</f>
        <v>36600.6666666667</v>
      </c>
      <c r="B33" s="1" t="n">
        <v>31</v>
      </c>
      <c r="C33" s="27" t="n">
        <v>-0.120789955270538</v>
      </c>
      <c r="E33" s="28" t="n">
        <v>0.0195000000000003</v>
      </c>
      <c r="F33" s="1" t="n">
        <f aca="false">7761-1128-1707</f>
        <v>4926</v>
      </c>
      <c r="G33" s="1" t="n">
        <f aca="false">14039-666-3474-4167</f>
        <v>5732</v>
      </c>
      <c r="H33" s="1" t="n">
        <f aca="false">18200-4732-4126</f>
        <v>9342</v>
      </c>
      <c r="I33" s="1" t="n">
        <v>2563</v>
      </c>
      <c r="J33" s="1" t="n">
        <v>2862</v>
      </c>
      <c r="K33" s="1" t="n">
        <v>1685</v>
      </c>
      <c r="L33" s="1" t="n">
        <v>683</v>
      </c>
      <c r="M33" s="7" t="n">
        <f aca="false">F33+I33</f>
        <v>7489</v>
      </c>
      <c r="N33" s="7" t="n">
        <f aca="false">G33+J33+L33</f>
        <v>9277</v>
      </c>
      <c r="O33" s="7" t="n">
        <f aca="false">H33+K33</f>
        <v>11027</v>
      </c>
      <c r="P33" s="7" t="n">
        <f aca="false">SUM(M33:O33)</f>
        <v>27793</v>
      </c>
      <c r="Q33" s="7" t="n">
        <f aca="false">'Index Price Deals'!B33+'Index Price Deals'!C33+'Index Price Deals'!D33-'Prices&amp;Fuel'!AE33</f>
        <v>0</v>
      </c>
      <c r="R33" s="1" t="n">
        <f aca="false">('Long Term Deals'!BB33+'Long Term Deals'!BC33+'Long Term Deals'!BD33+'Long Term Deals'!BE33+'Long Term Deals'!BF33+'Long Term Deals'!BG33)*(1-'Prices&amp;Fuel'!F33)</f>
        <v>12000</v>
      </c>
      <c r="S33" s="14" t="n">
        <f aca="false">P33-Q33-R33-V33</f>
        <v>15793</v>
      </c>
      <c r="T33" s="14" t="n">
        <f aca="false">((I33+J33+K33)*'Prices&amp;Fuel'!H33*'Prices&amp;Fuel'!L33)+('Prices&amp;Fuel'!N33*'Prices&amp;Fuel'!H33*Transport!L33)+(('Long Term Deals'!BB33+'Long Term Deals'!BC33+'Long Term Deals'!BD33)*'Prices&amp;Fuel'!H33*'Prices&amp;Fuel'!M33)</f>
        <v>193977.875982474</v>
      </c>
      <c r="U33" s="7" t="n">
        <f aca="false">S33*B33*'Prices&amp;Fuel'!M33</f>
        <v>376195.5772</v>
      </c>
      <c r="W33" s="14" t="n">
        <f aca="false">P33-R33-V33</f>
        <v>15793</v>
      </c>
      <c r="X33" s="1" t="n">
        <f aca="false">W33*'Prices&amp;Fuel'!H33</f>
        <v>489583</v>
      </c>
    </row>
    <row r="34" customFormat="false" ht="11.25" hidden="false" customHeight="false" outlineLevel="0" collapsed="false">
      <c r="A34" s="6" t="n">
        <f aca="false">+A33+365/12</f>
        <v>36631.0833333333</v>
      </c>
      <c r="B34" s="1" t="n">
        <v>30</v>
      </c>
      <c r="C34" s="27" t="n">
        <v>-0.0733076629875076</v>
      </c>
      <c r="E34" s="28" t="n">
        <v>0.00599999999999978</v>
      </c>
      <c r="F34" s="1" t="n">
        <f aca="false">7761-828</f>
        <v>6933</v>
      </c>
      <c r="G34" s="1" t="n">
        <f aca="false">14039-5241</f>
        <v>8798</v>
      </c>
      <c r="H34" s="1" t="n">
        <f aca="false">18200-3931</f>
        <v>14269</v>
      </c>
      <c r="I34" s="1" t="n">
        <v>1880</v>
      </c>
      <c r="J34" s="1" t="n">
        <v>2073</v>
      </c>
      <c r="K34" s="1" t="n">
        <v>1258</v>
      </c>
      <c r="L34" s="1" t="n">
        <v>683</v>
      </c>
      <c r="M34" s="7" t="n">
        <f aca="false">F34+I34</f>
        <v>8813</v>
      </c>
      <c r="N34" s="7" t="n">
        <f aca="false">G34+J34+L34</f>
        <v>11554</v>
      </c>
      <c r="O34" s="7" t="n">
        <f aca="false">H34+K34</f>
        <v>15527</v>
      </c>
      <c r="P34" s="7" t="n">
        <f aca="false">SUM(M34:O34)</f>
        <v>35894</v>
      </c>
      <c r="Q34" s="7" t="n">
        <f aca="false">'Index Price Deals'!B34+'Index Price Deals'!C34+'Index Price Deals'!D34-'Prices&amp;Fuel'!AE34</f>
        <v>0</v>
      </c>
      <c r="R34" s="1" t="n">
        <f aca="false">('Long Term Deals'!BB34+'Long Term Deals'!BC34+'Long Term Deals'!BD34+'Long Term Deals'!BE34+'Long Term Deals'!BF34+'Long Term Deals'!BG34)*(1-'Prices&amp;Fuel'!F34)</f>
        <v>12000</v>
      </c>
      <c r="S34" s="14" t="n">
        <f aca="false">P34-Q34-R34-V34</f>
        <v>23894</v>
      </c>
      <c r="T34" s="14" t="n">
        <f aca="false">((I34+J34+K34)*'Prices&amp;Fuel'!H34*'Prices&amp;Fuel'!L34)+('Prices&amp;Fuel'!N34*'Prices&amp;Fuel'!H34*Transport!L34)+(('Long Term Deals'!BB34+'Long Term Deals'!BC34+'Long Term Deals'!BD34)*'Prices&amp;Fuel'!H34*'Prices&amp;Fuel'!M34)</f>
        <v>211454.363132254</v>
      </c>
      <c r="U34" s="7" t="n">
        <f aca="false">S34*B34*'Prices&amp;Fuel'!M34</f>
        <v>550804.488</v>
      </c>
      <c r="W34" s="14" t="n">
        <f aca="false">P34-R34-V34</f>
        <v>23894</v>
      </c>
      <c r="X34" s="1" t="n">
        <f aca="false">W34*'Prices&amp;Fuel'!H34</f>
        <v>716820</v>
      </c>
    </row>
    <row r="35" customFormat="false" ht="11.25" hidden="false" customHeight="false" outlineLevel="0" collapsed="false">
      <c r="A35" s="6" t="n">
        <f aca="false">+A34+365/12</f>
        <v>36661.5</v>
      </c>
      <c r="B35" s="1" t="n">
        <v>31</v>
      </c>
      <c r="C35" s="27" t="n">
        <v>-0.0737394460860334</v>
      </c>
      <c r="E35" s="28" t="n">
        <v>0.00599999999999978</v>
      </c>
      <c r="F35" s="1" t="n">
        <v>8730</v>
      </c>
      <c r="G35" s="1" t="n">
        <f aca="false">15795-5034</f>
        <v>10761</v>
      </c>
      <c r="H35" s="1" t="n">
        <f aca="false">20475-4966</f>
        <v>15509</v>
      </c>
      <c r="I35" s="1" t="n">
        <v>1880</v>
      </c>
      <c r="J35" s="1" t="n">
        <v>2295</v>
      </c>
      <c r="K35" s="1" t="n">
        <v>1036</v>
      </c>
      <c r="L35" s="1" t="n">
        <v>683</v>
      </c>
      <c r="M35" s="7" t="n">
        <f aca="false">F35+I35</f>
        <v>10610</v>
      </c>
      <c r="N35" s="7" t="n">
        <f aca="false">G35+J35+L35</f>
        <v>13739</v>
      </c>
      <c r="O35" s="7" t="n">
        <f aca="false">H35+K35</f>
        <v>16545</v>
      </c>
      <c r="P35" s="7" t="n">
        <f aca="false">SUM(M35:O35)</f>
        <v>40894</v>
      </c>
      <c r="Q35" s="7" t="n">
        <f aca="false">'Index Price Deals'!B35+'Index Price Deals'!C35+'Index Price Deals'!D35-'Prices&amp;Fuel'!AE35</f>
        <v>0</v>
      </c>
      <c r="R35" s="1" t="n">
        <f aca="false">('Long Term Deals'!BB35+'Long Term Deals'!BC35+'Long Term Deals'!BD35+'Long Term Deals'!BE35+'Long Term Deals'!BF35+'Long Term Deals'!BG35)*(1-'Prices&amp;Fuel'!F35)</f>
        <v>21000.0000000003</v>
      </c>
      <c r="S35" s="14" t="n">
        <f aca="false">P35-Q35-R35-V35</f>
        <v>19893.9999999997</v>
      </c>
      <c r="T35" s="14" t="n">
        <f aca="false">((I35+J35+K35)*'Prices&amp;Fuel'!H35*'Prices&amp;Fuel'!L35)+('Prices&amp;Fuel'!N35*'Prices&amp;Fuel'!H35*Transport!L35)+(('Long Term Deals'!BB35+'Long Term Deals'!BC35+'Long Term Deals'!BD35)*'Prices&amp;Fuel'!H35*'Prices&amp;Fuel'!M35)</f>
        <v>439532.319251555</v>
      </c>
      <c r="U35" s="7" t="n">
        <f aca="false">S35*B35*'Prices&amp;Fuel'!M35</f>
        <v>473883.037599992</v>
      </c>
      <c r="W35" s="14" t="n">
        <f aca="false">P35-R35-V35</f>
        <v>19893.9999999997</v>
      </c>
      <c r="X35" s="1" t="n">
        <f aca="false">W35*'Prices&amp;Fuel'!H35</f>
        <v>616713.99999999</v>
      </c>
    </row>
    <row r="36" customFormat="false" ht="11.25" hidden="false" customHeight="false" outlineLevel="0" collapsed="false">
      <c r="A36" s="6" t="n">
        <f aca="false">+A35+365/12</f>
        <v>36691.9166666667</v>
      </c>
      <c r="B36" s="1" t="n">
        <v>30</v>
      </c>
      <c r="C36" s="27" t="n">
        <v>-0.0737387867896924</v>
      </c>
      <c r="E36" s="28" t="n">
        <v>0.00599999999999978</v>
      </c>
      <c r="F36" s="1" t="n">
        <v>8730</v>
      </c>
      <c r="G36" s="1" t="n">
        <f aca="false">15795-5034</f>
        <v>10761</v>
      </c>
      <c r="H36" s="1" t="n">
        <f aca="false">20475-4966</f>
        <v>15509</v>
      </c>
      <c r="I36" s="1" t="n">
        <v>1880</v>
      </c>
      <c r="J36" s="1" t="n">
        <v>2295</v>
      </c>
      <c r="K36" s="1" t="n">
        <v>1036</v>
      </c>
      <c r="L36" s="1" t="n">
        <v>683</v>
      </c>
      <c r="M36" s="7" t="n">
        <f aca="false">F36+I36</f>
        <v>10610</v>
      </c>
      <c r="N36" s="7" t="n">
        <f aca="false">G36+J36+L36</f>
        <v>13739</v>
      </c>
      <c r="O36" s="7" t="n">
        <f aca="false">H36+K36</f>
        <v>16545</v>
      </c>
      <c r="P36" s="7" t="n">
        <f aca="false">SUM(M36:O36)</f>
        <v>40894</v>
      </c>
      <c r="Q36" s="7" t="n">
        <f aca="false">'Index Price Deals'!B36+'Index Price Deals'!C36+'Index Price Deals'!D36-'Prices&amp;Fuel'!AE36</f>
        <v>0</v>
      </c>
      <c r="R36" s="1" t="n">
        <f aca="false">('Long Term Deals'!BB36+'Long Term Deals'!BC36+'Long Term Deals'!BD36+'Long Term Deals'!BE36+'Long Term Deals'!BF36+'Long Term Deals'!BG36)*(1-'Prices&amp;Fuel'!F36)</f>
        <v>21000.0000000002</v>
      </c>
      <c r="S36" s="14" t="n">
        <f aca="false">P36-Q36-R36-V36</f>
        <v>19893.9999999998</v>
      </c>
      <c r="T36" s="14" t="n">
        <f aca="false">((I36+J36+K36)*'Prices&amp;Fuel'!H36*'Prices&amp;Fuel'!L36)+('Prices&amp;Fuel'!N36*'Prices&amp;Fuel'!H36*Transport!L36)+(('Long Term Deals'!BB36+'Long Term Deals'!BC36+'Long Term Deals'!BD36)*'Prices&amp;Fuel'!H36*'Prices&amp;Fuel'!M36)</f>
        <v>425316.851535517</v>
      </c>
      <c r="U36" s="7" t="n">
        <f aca="false">S36*B36*'Prices&amp;Fuel'!M36</f>
        <v>458596.487999995</v>
      </c>
      <c r="W36" s="14" t="n">
        <f aca="false">P36-R36-V36</f>
        <v>19893.9999999998</v>
      </c>
      <c r="X36" s="1" t="n">
        <f aca="false">W36*'Prices&amp;Fuel'!H36</f>
        <v>596819.999999994</v>
      </c>
    </row>
    <row r="37" customFormat="false" ht="11.25" hidden="false" customHeight="false" outlineLevel="0" collapsed="false">
      <c r="A37" s="6" t="n">
        <f aca="false">+A36+365/12</f>
        <v>36722.3333333333</v>
      </c>
      <c r="B37" s="1" t="n">
        <v>31</v>
      </c>
      <c r="C37" s="27" t="n">
        <v>-0.078238391211888</v>
      </c>
      <c r="E37" s="28" t="n">
        <v>0.00949999999999984</v>
      </c>
      <c r="F37" s="1" t="n">
        <v>8730</v>
      </c>
      <c r="G37" s="1" t="n">
        <f aca="false">15795-5034</f>
        <v>10761</v>
      </c>
      <c r="H37" s="1" t="n">
        <f aca="false">20475-4966</f>
        <v>15509</v>
      </c>
      <c r="I37" s="1" t="n">
        <v>1880</v>
      </c>
      <c r="J37" s="1" t="n">
        <v>2295</v>
      </c>
      <c r="K37" s="1" t="n">
        <v>1036</v>
      </c>
      <c r="L37" s="1" t="n">
        <v>683</v>
      </c>
      <c r="M37" s="7" t="n">
        <f aca="false">F37+I37</f>
        <v>10610</v>
      </c>
      <c r="N37" s="7" t="n">
        <f aca="false">G37+J37+L37</f>
        <v>13739</v>
      </c>
      <c r="O37" s="7" t="n">
        <f aca="false">H37+K37</f>
        <v>16545</v>
      </c>
      <c r="P37" s="7" t="n">
        <f aca="false">SUM(M37:O37)</f>
        <v>40894</v>
      </c>
      <c r="Q37" s="7" t="n">
        <f aca="false">'Index Price Deals'!B37+'Index Price Deals'!C37+'Index Price Deals'!D37-'Prices&amp;Fuel'!AE37</f>
        <v>0</v>
      </c>
      <c r="R37" s="1" t="n">
        <f aca="false">('Long Term Deals'!BB37+'Long Term Deals'!BC37+'Long Term Deals'!BD37+'Long Term Deals'!BE37+'Long Term Deals'!BF37+'Long Term Deals'!BG37)*(1-'Prices&amp;Fuel'!F37)</f>
        <v>21000.0000000002</v>
      </c>
      <c r="S37" s="14" t="n">
        <f aca="false">P37-Q37-R37-V37</f>
        <v>19893.9999999998</v>
      </c>
      <c r="T37" s="14" t="n">
        <f aca="false">((I37+J37+K37)*'Prices&amp;Fuel'!H37*'Prices&amp;Fuel'!L37)+('Prices&amp;Fuel'!N37*'Prices&amp;Fuel'!H37*Transport!L37)+(('Long Term Deals'!BB37+'Long Term Deals'!BC37+'Long Term Deals'!BD37)*'Prices&amp;Fuel'!H37*'Prices&amp;Fuel'!M37)</f>
        <v>439494.079920034</v>
      </c>
      <c r="U37" s="7" t="n">
        <f aca="false">S37*B37*'Prices&amp;Fuel'!M37</f>
        <v>473883.037599995</v>
      </c>
      <c r="W37" s="14" t="n">
        <f aca="false">P37-R37-V37</f>
        <v>19893.9999999998</v>
      </c>
      <c r="X37" s="1" t="n">
        <f aca="false">W37*'Prices&amp;Fuel'!H37</f>
        <v>616713.999999993</v>
      </c>
    </row>
    <row r="38" customFormat="false" ht="11.25" hidden="false" customHeight="false" outlineLevel="0" collapsed="false">
      <c r="A38" s="6" t="n">
        <f aca="false">+A37+365/12</f>
        <v>36752.75</v>
      </c>
      <c r="B38" s="1" t="n">
        <v>31</v>
      </c>
      <c r="C38" s="27" t="n">
        <v>-0.0782376000562786</v>
      </c>
      <c r="E38" s="28" t="n">
        <v>0.00949999999999962</v>
      </c>
      <c r="F38" s="1" t="n">
        <v>8730</v>
      </c>
      <c r="G38" s="1" t="n">
        <f aca="false">15795-5034</f>
        <v>10761</v>
      </c>
      <c r="H38" s="1" t="n">
        <f aca="false">20475-4966</f>
        <v>15509</v>
      </c>
      <c r="I38" s="1" t="n">
        <v>1880</v>
      </c>
      <c r="J38" s="1" t="n">
        <v>2295</v>
      </c>
      <c r="K38" s="1" t="n">
        <v>1036</v>
      </c>
      <c r="L38" s="1" t="n">
        <v>683</v>
      </c>
      <c r="M38" s="7" t="n">
        <f aca="false">F38+I38</f>
        <v>10610</v>
      </c>
      <c r="N38" s="7" t="n">
        <f aca="false">G38+J38+L38</f>
        <v>13739</v>
      </c>
      <c r="O38" s="7" t="n">
        <f aca="false">H38+K38</f>
        <v>16545</v>
      </c>
      <c r="P38" s="7" t="n">
        <f aca="false">SUM(M38:O38)</f>
        <v>40894</v>
      </c>
      <c r="Q38" s="7" t="n">
        <f aca="false">'Index Price Deals'!B38+'Index Price Deals'!C38+'Index Price Deals'!D38-'Prices&amp;Fuel'!AE38</f>
        <v>0</v>
      </c>
      <c r="R38" s="1" t="n">
        <f aca="false">('Long Term Deals'!BB38+'Long Term Deals'!BC38+'Long Term Deals'!BD38+'Long Term Deals'!BE38+'Long Term Deals'!BF38+'Long Term Deals'!BG38)*(1-'Prices&amp;Fuel'!F38)</f>
        <v>21000.0000000002</v>
      </c>
      <c r="S38" s="14" t="n">
        <f aca="false">P38-Q38-R38-V38</f>
        <v>19893.9999999998</v>
      </c>
      <c r="T38" s="14" t="n">
        <f aca="false">((I38+J38+K38)*'Prices&amp;Fuel'!H38*'Prices&amp;Fuel'!L38)+('Prices&amp;Fuel'!N38*'Prices&amp;Fuel'!H38*Transport!L38)+(('Long Term Deals'!BB38+'Long Term Deals'!BC38+'Long Term Deals'!BD38)*'Prices&amp;Fuel'!H38*'Prices&amp;Fuel'!M38)</f>
        <v>439494.079920034</v>
      </c>
      <c r="U38" s="7" t="n">
        <f aca="false">S38*B38*'Prices&amp;Fuel'!M38</f>
        <v>473883.037599995</v>
      </c>
      <c r="W38" s="14" t="n">
        <f aca="false">P38-R38-V38</f>
        <v>19893.9999999998</v>
      </c>
      <c r="X38" s="1" t="n">
        <f aca="false">W38*'Prices&amp;Fuel'!H38</f>
        <v>616713.999999993</v>
      </c>
    </row>
    <row r="39" customFormat="false" ht="11.25" hidden="false" customHeight="false" outlineLevel="0" collapsed="false">
      <c r="A39" s="6" t="n">
        <f aca="false">+A38+365/12</f>
        <v>36783.1666666667</v>
      </c>
      <c r="B39" s="1" t="n">
        <v>30</v>
      </c>
      <c r="C39" s="27" t="n">
        <v>-0.0782362814635969</v>
      </c>
      <c r="E39" s="28" t="n">
        <v>0.00949999999999962</v>
      </c>
      <c r="F39" s="1" t="n">
        <v>8730</v>
      </c>
      <c r="G39" s="1" t="n">
        <f aca="false">15795-5034</f>
        <v>10761</v>
      </c>
      <c r="H39" s="1" t="n">
        <f aca="false">20475-4966</f>
        <v>15509</v>
      </c>
      <c r="I39" s="1" t="n">
        <v>1880</v>
      </c>
      <c r="J39" s="1" t="n">
        <v>2295</v>
      </c>
      <c r="K39" s="1" t="n">
        <v>1036</v>
      </c>
      <c r="L39" s="1" t="n">
        <v>683</v>
      </c>
      <c r="M39" s="7" t="n">
        <f aca="false">F39+I39</f>
        <v>10610</v>
      </c>
      <c r="N39" s="7" t="n">
        <f aca="false">G39+J39+L39</f>
        <v>13739</v>
      </c>
      <c r="O39" s="7" t="n">
        <f aca="false">H39+K39</f>
        <v>16545</v>
      </c>
      <c r="P39" s="7" t="n">
        <f aca="false">SUM(M39:O39)</f>
        <v>40894</v>
      </c>
      <c r="Q39" s="7" t="n">
        <f aca="false">'Index Price Deals'!B39+'Index Price Deals'!C39+'Index Price Deals'!D39-'Prices&amp;Fuel'!AE39</f>
        <v>0</v>
      </c>
      <c r="R39" s="1" t="n">
        <f aca="false">('Long Term Deals'!BB39+'Long Term Deals'!BC39+'Long Term Deals'!BD39+'Long Term Deals'!BE39+'Long Term Deals'!BF39+'Long Term Deals'!BG39)*(1-'Prices&amp;Fuel'!F39)</f>
        <v>21000.0000000002</v>
      </c>
      <c r="S39" s="14" t="n">
        <f aca="false">P39-Q39-R39-V39</f>
        <v>19893.9999999998</v>
      </c>
      <c r="T39" s="14" t="n">
        <f aca="false">((I39+J39+K39)*'Prices&amp;Fuel'!H39*'Prices&amp;Fuel'!L39)+('Prices&amp;Fuel'!N39*'Prices&amp;Fuel'!H39*Transport!L39)+(('Long Term Deals'!BB39+'Long Term Deals'!BC39+'Long Term Deals'!BD39)*'Prices&amp;Fuel'!H39*'Prices&amp;Fuel'!M39)</f>
        <v>425316.851535517</v>
      </c>
      <c r="U39" s="7" t="n">
        <f aca="false">S39*B39*'Prices&amp;Fuel'!M39</f>
        <v>458596.487999995</v>
      </c>
      <c r="W39" s="14" t="n">
        <f aca="false">P39-R39-V39</f>
        <v>19893.9999999998</v>
      </c>
      <c r="X39" s="1" t="n">
        <f aca="false">W39*'Prices&amp;Fuel'!H39</f>
        <v>596819.999999994</v>
      </c>
    </row>
    <row r="40" customFormat="false" ht="11.25" hidden="false" customHeight="false" outlineLevel="0" collapsed="false">
      <c r="A40" s="6" t="n">
        <f aca="false">+A39+365/12</f>
        <v>36813.5833333333</v>
      </c>
      <c r="B40" s="1" t="n">
        <v>31</v>
      </c>
      <c r="C40" s="27" t="n">
        <v>-0.082797941103681</v>
      </c>
      <c r="E40" s="28" t="n">
        <v>0.0145</v>
      </c>
      <c r="F40" s="1" t="n">
        <f aca="false">8730-0</f>
        <v>8730</v>
      </c>
      <c r="G40" s="1" t="n">
        <f aca="false">15795-5434</f>
        <v>10361</v>
      </c>
      <c r="H40" s="1" t="n">
        <f aca="false">20475-4566</f>
        <v>15909</v>
      </c>
      <c r="I40" s="1" t="n">
        <v>2830</v>
      </c>
      <c r="J40" s="1" t="n">
        <v>3500</v>
      </c>
      <c r="K40" s="1" t="n">
        <v>1521</v>
      </c>
      <c r="L40" s="1" t="n">
        <v>1001</v>
      </c>
      <c r="M40" s="7" t="n">
        <f aca="false">F40+I40</f>
        <v>11560</v>
      </c>
      <c r="N40" s="7" t="n">
        <f aca="false">G40+J40+L40</f>
        <v>14862</v>
      </c>
      <c r="O40" s="7" t="n">
        <f aca="false">H40+K40</f>
        <v>17430</v>
      </c>
      <c r="P40" s="7" t="n">
        <f aca="false">SUM(M40:O40)</f>
        <v>43852</v>
      </c>
      <c r="Q40" s="7" t="n">
        <f aca="false">'Index Price Deals'!B40+'Index Price Deals'!C40+'Index Price Deals'!D40-'Prices&amp;Fuel'!AE40</f>
        <v>0</v>
      </c>
      <c r="R40" s="1" t="n">
        <f aca="false">('Long Term Deals'!BB40+'Long Term Deals'!BC40+'Long Term Deals'!BD40+'Long Term Deals'!BE40+'Long Term Deals'!BF40+'Long Term Deals'!BG40)*(1-'Prices&amp;Fuel'!F40)</f>
        <v>20999.9999999996</v>
      </c>
      <c r="S40" s="14" t="n">
        <f aca="false">P40-Q40-R40-V40</f>
        <v>22852.0000000004</v>
      </c>
      <c r="T40" s="14" t="n">
        <f aca="false">((I40+J40+K40)*'Prices&amp;Fuel'!H40*'Prices&amp;Fuel'!L40)+('Prices&amp;Fuel'!N40*'Prices&amp;Fuel'!H40*Transport!L40)+(('Long Term Deals'!BB40+'Long Term Deals'!BC40+'Long Term Deals'!BD40)*'Prices&amp;Fuel'!H40*'Prices&amp;Fuel'!M40)</f>
        <v>401737.824219441</v>
      </c>
      <c r="U40" s="7" t="n">
        <f aca="false">S40*B40*'Prices&amp;Fuel'!M40</f>
        <v>544343.78080001</v>
      </c>
      <c r="V40" s="7"/>
      <c r="W40" s="14" t="n">
        <f aca="false">P40-R40-V40</f>
        <v>22852.0000000004</v>
      </c>
      <c r="X40" s="1" t="n">
        <f aca="false">W40*'Prices&amp;Fuel'!H40</f>
        <v>708412.000000013</v>
      </c>
    </row>
    <row r="41" customFormat="false" ht="11.25" hidden="false" customHeight="false" outlineLevel="0" collapsed="false">
      <c r="A41" s="6" t="n">
        <f aca="false">+A40+365/12</f>
        <v>36844</v>
      </c>
      <c r="B41" s="1" t="n">
        <v>30</v>
      </c>
      <c r="C41" s="27" t="n">
        <v>-0.127770164292749</v>
      </c>
      <c r="E41" s="28" t="n">
        <v>0.0194999999999999</v>
      </c>
      <c r="F41" s="1" t="n">
        <f aca="false">7761-1128-1707</f>
        <v>4926</v>
      </c>
      <c r="G41" s="1" t="n">
        <f aca="false">14039-666-3474-4167</f>
        <v>5732</v>
      </c>
      <c r="H41" s="1" t="n">
        <f aca="false">18200-4732-4126</f>
        <v>9342</v>
      </c>
      <c r="I41" s="1" t="n">
        <v>2563</v>
      </c>
      <c r="J41" s="1" t="n">
        <v>2862</v>
      </c>
      <c r="K41" s="1" t="n">
        <v>1685</v>
      </c>
      <c r="L41" s="1" t="n">
        <v>683</v>
      </c>
      <c r="M41" s="7" t="n">
        <f aca="false">F41+I41</f>
        <v>7489</v>
      </c>
      <c r="N41" s="7" t="n">
        <f aca="false">G41+J41+L41</f>
        <v>9277</v>
      </c>
      <c r="O41" s="7" t="n">
        <f aca="false">H41+K41</f>
        <v>11027</v>
      </c>
      <c r="P41" s="7" t="n">
        <f aca="false">SUM(M41:O41)</f>
        <v>27793</v>
      </c>
      <c r="Q41" s="7" t="n">
        <f aca="false">'Index Price Deals'!B41+'Index Price Deals'!C41+'Index Price Deals'!D41-'Prices&amp;Fuel'!AE41</f>
        <v>0</v>
      </c>
      <c r="R41" s="1" t="n">
        <f aca="false">('Long Term Deals'!BB41+'Long Term Deals'!BC41+'Long Term Deals'!BD41+'Long Term Deals'!BE41+'Long Term Deals'!BF41+'Long Term Deals'!BG41)*(1-'Prices&amp;Fuel'!F41)</f>
        <v>12000</v>
      </c>
      <c r="S41" s="14" t="n">
        <f aca="false">P41-Q41-R41-V41</f>
        <v>15793</v>
      </c>
      <c r="T41" s="14" t="n">
        <f aca="false">((I41+J41+K41)*'Prices&amp;Fuel'!H41*'Prices&amp;Fuel'!L41)+('Prices&amp;Fuel'!N41*'Prices&amp;Fuel'!H41*Transport!L41)+(('Long Term Deals'!BB41+'Long Term Deals'!BC41+'Long Term Deals'!BD41)*'Prices&amp;Fuel'!H41*'Prices&amp;Fuel'!M41)</f>
        <v>187463.509365039</v>
      </c>
      <c r="U41" s="7" t="n">
        <f aca="false">S41*B41*'Prices&amp;Fuel'!M41</f>
        <v>364060.236</v>
      </c>
      <c r="V41" s="7"/>
      <c r="W41" s="14" t="n">
        <f aca="false">P41-R41-V41</f>
        <v>15793</v>
      </c>
      <c r="X41" s="1" t="n">
        <f aca="false">W41*'Prices&amp;Fuel'!H41</f>
        <v>473790</v>
      </c>
    </row>
    <row r="42" customFormat="false" ht="11.25" hidden="false" customHeight="false" outlineLevel="0" collapsed="false">
      <c r="A42" s="6" t="n">
        <f aca="false">+A41+365/12</f>
        <v>36874.4166666667</v>
      </c>
      <c r="B42" s="1" t="n">
        <v>31</v>
      </c>
      <c r="C42" s="27" t="n">
        <v>-0.16273266559799</v>
      </c>
      <c r="E42" s="28" t="n">
        <v>0.0245000000000002</v>
      </c>
      <c r="F42" s="1" t="n">
        <f aca="false">7761-1128-1707</f>
        <v>4926</v>
      </c>
      <c r="G42" s="1" t="n">
        <f aca="false">14039-666-3474-4167</f>
        <v>5732</v>
      </c>
      <c r="H42" s="1" t="n">
        <f aca="false">18200-4732-4126</f>
        <v>9342</v>
      </c>
      <c r="I42" s="1" t="n">
        <v>2563</v>
      </c>
      <c r="J42" s="1" t="n">
        <v>2862</v>
      </c>
      <c r="K42" s="1" t="n">
        <v>1685</v>
      </c>
      <c r="L42" s="1" t="n">
        <v>683</v>
      </c>
      <c r="M42" s="7" t="n">
        <f aca="false">F42+I42</f>
        <v>7489</v>
      </c>
      <c r="N42" s="7" t="n">
        <f aca="false">G42+J42+L42</f>
        <v>9277</v>
      </c>
      <c r="O42" s="7" t="n">
        <f aca="false">H42+K42</f>
        <v>11027</v>
      </c>
      <c r="P42" s="7" t="n">
        <f aca="false">SUM(M42:O42)</f>
        <v>27793</v>
      </c>
      <c r="Q42" s="7" t="n">
        <f aca="false">'Index Price Deals'!B42+'Index Price Deals'!C42+'Index Price Deals'!D42-'Prices&amp;Fuel'!AE42</f>
        <v>0</v>
      </c>
      <c r="R42" s="1" t="n">
        <f aca="false">('Long Term Deals'!BB42+'Long Term Deals'!BC42+'Long Term Deals'!BD42+'Long Term Deals'!BE42+'Long Term Deals'!BF42+'Long Term Deals'!BG42)*(1-'Prices&amp;Fuel'!F42)</f>
        <v>12000</v>
      </c>
      <c r="S42" s="14" t="n">
        <f aca="false">P42-Q42-R42-V42</f>
        <v>15793</v>
      </c>
      <c r="T42" s="14" t="n">
        <f aca="false">((I42+J42+K42)*'Prices&amp;Fuel'!H42*'Prices&amp;Fuel'!L42)+('Prices&amp;Fuel'!N42*'Prices&amp;Fuel'!H42*Transport!L42)+(('Long Term Deals'!BB42+'Long Term Deals'!BC42+'Long Term Deals'!BD42)*'Prices&amp;Fuel'!H42*'Prices&amp;Fuel'!M42)</f>
        <v>193712.29301054</v>
      </c>
      <c r="U42" s="7" t="n">
        <f aca="false">S42*B42*'Prices&amp;Fuel'!M42</f>
        <v>376195.5772</v>
      </c>
      <c r="V42" s="7"/>
      <c r="W42" s="14" t="n">
        <f aca="false">P42-R42-V42</f>
        <v>15793</v>
      </c>
      <c r="X42" s="1" t="n">
        <f aca="false">W42*'Prices&amp;Fuel'!H42</f>
        <v>489583</v>
      </c>
      <c r="Y42" s="7" t="n">
        <f aca="false">SUM(X31:X42)/366</f>
        <v>18769.2622950819</v>
      </c>
    </row>
    <row r="43" customFormat="false" ht="11.25" hidden="false" customHeight="false" outlineLevel="0" collapsed="false">
      <c r="A43" s="6" t="n">
        <f aca="false">+A42+365/12</f>
        <v>36904.8333333333</v>
      </c>
      <c r="B43" s="1" t="n">
        <v>31</v>
      </c>
      <c r="C43" s="27" t="n">
        <v>-0.147712527410063</v>
      </c>
      <c r="E43" s="28" t="n">
        <v>0.0245000000000002</v>
      </c>
      <c r="F43" s="1" t="n">
        <f aca="false">7761-1128-1707</f>
        <v>4926</v>
      </c>
      <c r="G43" s="1" t="n">
        <f aca="false">14039-666-3474-4167</f>
        <v>5732</v>
      </c>
      <c r="H43" s="1" t="n">
        <f aca="false">18200-4732-4126</f>
        <v>9342</v>
      </c>
      <c r="I43" s="1" t="n">
        <v>2563</v>
      </c>
      <c r="J43" s="1" t="n">
        <v>2862</v>
      </c>
      <c r="K43" s="1" t="n">
        <v>1685</v>
      </c>
      <c r="L43" s="1" t="n">
        <v>683</v>
      </c>
      <c r="M43" s="7" t="n">
        <f aca="false">F43+I43</f>
        <v>7489</v>
      </c>
      <c r="N43" s="7" t="n">
        <f aca="false">G43+J43+L43</f>
        <v>9277</v>
      </c>
      <c r="O43" s="7" t="n">
        <f aca="false">H43+K43</f>
        <v>11027</v>
      </c>
      <c r="P43" s="7" t="n">
        <f aca="false">SUM(M43:O43)</f>
        <v>27793</v>
      </c>
      <c r="Q43" s="7" t="n">
        <f aca="false">'Index Price Deals'!B43+'Index Price Deals'!C43+'Index Price Deals'!D43-'Prices&amp;Fuel'!AE43</f>
        <v>0</v>
      </c>
      <c r="R43" s="1" t="n">
        <f aca="false">('Long Term Deals'!BB43+'Long Term Deals'!BC43+'Long Term Deals'!BD43+'Long Term Deals'!BE43+'Long Term Deals'!BF43+'Long Term Deals'!BG43)*(1-'Prices&amp;Fuel'!F43)</f>
        <v>12000</v>
      </c>
      <c r="S43" s="14" t="n">
        <f aca="false">P43-Q43-R43-V43</f>
        <v>15793</v>
      </c>
      <c r="T43" s="14" t="n">
        <f aca="false">((I43+J43+K43)*'Prices&amp;Fuel'!H43*'Prices&amp;Fuel'!L43)+('Prices&amp;Fuel'!N43*'Prices&amp;Fuel'!H43*Transport!L43)+(('Long Term Deals'!BB43+'Long Term Deals'!BC43+'Long Term Deals'!BD43)*'Prices&amp;Fuel'!H43*'Prices&amp;Fuel'!M43)</f>
        <v>193712.29301054</v>
      </c>
      <c r="U43" s="7" t="n">
        <f aca="false">S43*B43*'Prices&amp;Fuel'!M43</f>
        <v>376195.5772</v>
      </c>
      <c r="V43" s="7"/>
      <c r="W43" s="14" t="n">
        <f aca="false">P43-R43-V43</f>
        <v>15793</v>
      </c>
      <c r="X43" s="1" t="n">
        <f aca="false">W43*'Prices&amp;Fuel'!H43</f>
        <v>489583</v>
      </c>
    </row>
    <row r="44" customFormat="false" ht="11.25" hidden="false" customHeight="false" outlineLevel="0" collapsed="false">
      <c r="A44" s="6" t="n">
        <f aca="false">+A43+365/12</f>
        <v>36935.25</v>
      </c>
      <c r="B44" s="1" t="n">
        <v>28</v>
      </c>
      <c r="C44" s="27" t="n">
        <v>-0.147740304220996</v>
      </c>
      <c r="E44" s="28" t="n">
        <v>0.0245000000000002</v>
      </c>
      <c r="F44" s="1" t="n">
        <f aca="false">7761-1128-1707</f>
        <v>4926</v>
      </c>
      <c r="G44" s="1" t="n">
        <f aca="false">14039-666-3474-4167</f>
        <v>5732</v>
      </c>
      <c r="H44" s="1" t="n">
        <f aca="false">18200-4732-4126</f>
        <v>9342</v>
      </c>
      <c r="I44" s="1" t="n">
        <v>2563</v>
      </c>
      <c r="J44" s="1" t="n">
        <v>2862</v>
      </c>
      <c r="K44" s="1" t="n">
        <v>1685</v>
      </c>
      <c r="L44" s="1" t="n">
        <v>683</v>
      </c>
      <c r="M44" s="7" t="n">
        <f aca="false">F44+I44</f>
        <v>7489</v>
      </c>
      <c r="N44" s="7" t="n">
        <f aca="false">G44+J44+L44</f>
        <v>9277</v>
      </c>
      <c r="O44" s="7" t="n">
        <f aca="false">H44+K44</f>
        <v>11027</v>
      </c>
      <c r="P44" s="7" t="n">
        <f aca="false">SUM(M44:O44)</f>
        <v>27793</v>
      </c>
      <c r="Q44" s="7" t="n">
        <f aca="false">'Index Price Deals'!B44+'Index Price Deals'!C44+'Index Price Deals'!D44-'Prices&amp;Fuel'!AE44</f>
        <v>0</v>
      </c>
      <c r="R44" s="1" t="n">
        <f aca="false">('Long Term Deals'!BB44+'Long Term Deals'!BC44+'Long Term Deals'!BD44+'Long Term Deals'!BE44+'Long Term Deals'!BF44+'Long Term Deals'!BG44)*(1-'Prices&amp;Fuel'!F44)</f>
        <v>12000</v>
      </c>
      <c r="S44" s="14" t="n">
        <f aca="false">P44-Q44-R44-V44</f>
        <v>15793</v>
      </c>
      <c r="T44" s="14" t="n">
        <f aca="false">((I44+J44+K44)*'Prices&amp;Fuel'!H44*'Prices&amp;Fuel'!L44)+('Prices&amp;Fuel'!N44*'Prices&amp;Fuel'!H44*Transport!L44)+(('Long Term Deals'!BB44+'Long Term Deals'!BC44+'Long Term Deals'!BD44)*'Prices&amp;Fuel'!H44*'Prices&amp;Fuel'!M44)</f>
        <v>174965.942074036</v>
      </c>
      <c r="U44" s="7" t="n">
        <f aca="false">S44*B44*'Prices&amp;Fuel'!M44</f>
        <v>339789.5536</v>
      </c>
      <c r="V44" s="7"/>
      <c r="W44" s="14" t="n">
        <f aca="false">P44-R44-V44</f>
        <v>15793</v>
      </c>
      <c r="X44" s="1" t="n">
        <f aca="false">W44*'Prices&amp;Fuel'!H44</f>
        <v>442204</v>
      </c>
    </row>
    <row r="45" customFormat="false" ht="11.25" hidden="false" customHeight="false" outlineLevel="0" collapsed="false">
      <c r="A45" s="6" t="n">
        <f aca="false">+A44+365/12</f>
        <v>36965.6666666667</v>
      </c>
      <c r="B45" s="1" t="n">
        <v>31</v>
      </c>
      <c r="C45" s="27" t="n">
        <v>-0.122776066865072</v>
      </c>
      <c r="E45" s="28" t="n">
        <v>0.0195000000000003</v>
      </c>
      <c r="F45" s="1" t="n">
        <f aca="false">7761-1128-1707</f>
        <v>4926</v>
      </c>
      <c r="G45" s="1" t="n">
        <f aca="false">14039-666-3474-4167</f>
        <v>5732</v>
      </c>
      <c r="H45" s="1" t="n">
        <f aca="false">18200-4732-4126</f>
        <v>9342</v>
      </c>
      <c r="I45" s="1" t="n">
        <v>2563</v>
      </c>
      <c r="J45" s="1" t="n">
        <v>2862</v>
      </c>
      <c r="K45" s="1" t="n">
        <v>1685</v>
      </c>
      <c r="L45" s="1" t="n">
        <v>683</v>
      </c>
      <c r="M45" s="7" t="n">
        <f aca="false">F45+I45</f>
        <v>7489</v>
      </c>
      <c r="N45" s="7" t="n">
        <f aca="false">G45+J45+L45</f>
        <v>9277</v>
      </c>
      <c r="O45" s="7" t="n">
        <f aca="false">H45+K45</f>
        <v>11027</v>
      </c>
      <c r="P45" s="7" t="n">
        <f aca="false">SUM(M45:O45)</f>
        <v>27793</v>
      </c>
      <c r="Q45" s="7" t="n">
        <f aca="false">'Index Price Deals'!B45+'Index Price Deals'!C45+'Index Price Deals'!D45-'Prices&amp;Fuel'!AE45</f>
        <v>0</v>
      </c>
      <c r="R45" s="1" t="n">
        <f aca="false">('Long Term Deals'!BB45+'Long Term Deals'!BC45+'Long Term Deals'!BD45+'Long Term Deals'!BE45+'Long Term Deals'!BF45+'Long Term Deals'!BG45)*(1-'Prices&amp;Fuel'!F45)</f>
        <v>12000</v>
      </c>
      <c r="S45" s="14" t="n">
        <f aca="false">P45-Q45-R45-V45</f>
        <v>15793</v>
      </c>
      <c r="T45" s="14" t="n">
        <f aca="false">((I45+J45+K45)*'Prices&amp;Fuel'!H45*'Prices&amp;Fuel'!L45)+('Prices&amp;Fuel'!N45*'Prices&amp;Fuel'!H45*Transport!L45)+(('Long Term Deals'!BB45+'Long Term Deals'!BC45+'Long Term Deals'!BD45)*'Prices&amp;Fuel'!H45*'Prices&amp;Fuel'!M45)</f>
        <v>193712.29301054</v>
      </c>
      <c r="U45" s="7" t="n">
        <f aca="false">S45*B45*'Prices&amp;Fuel'!M45</f>
        <v>376195.5772</v>
      </c>
      <c r="V45" s="7"/>
      <c r="W45" s="14" t="n">
        <f aca="false">P45-R45-V45</f>
        <v>15793</v>
      </c>
      <c r="X45" s="1" t="n">
        <f aca="false">W45*'Prices&amp;Fuel'!H45</f>
        <v>489583</v>
      </c>
    </row>
    <row r="46" customFormat="false" ht="11.25" hidden="false" customHeight="false" outlineLevel="0" collapsed="false">
      <c r="A46" s="6" t="n">
        <f aca="false">+A45+365/12</f>
        <v>36996.0833333333</v>
      </c>
      <c r="B46" s="1" t="n">
        <v>30</v>
      </c>
      <c r="C46" s="27" t="n">
        <v>-0.0732930801617684</v>
      </c>
      <c r="E46" s="28" t="n">
        <v>0.00599999999999978</v>
      </c>
      <c r="F46" s="1" t="n">
        <f aca="false">7761-828</f>
        <v>6933</v>
      </c>
      <c r="G46" s="1" t="n">
        <f aca="false">14039-5241</f>
        <v>8798</v>
      </c>
      <c r="H46" s="1" t="n">
        <f aca="false">18200-3931</f>
        <v>14269</v>
      </c>
      <c r="I46" s="1" t="n">
        <v>1880</v>
      </c>
      <c r="J46" s="1" t="n">
        <v>2073</v>
      </c>
      <c r="K46" s="1" t="n">
        <v>1258</v>
      </c>
      <c r="L46" s="1" t="n">
        <v>683</v>
      </c>
      <c r="M46" s="7" t="n">
        <f aca="false">F46+I46</f>
        <v>8813</v>
      </c>
      <c r="N46" s="7" t="n">
        <f aca="false">G46+J46+L46</f>
        <v>11554</v>
      </c>
      <c r="O46" s="7" t="n">
        <f aca="false">H46+K46</f>
        <v>15527</v>
      </c>
      <c r="P46" s="7" t="n">
        <f aca="false">SUM(M46:O46)</f>
        <v>35894</v>
      </c>
      <c r="Q46" s="7" t="n">
        <f aca="false">'Index Price Deals'!B46+'Index Price Deals'!C46+'Index Price Deals'!D46-'Prices&amp;Fuel'!AE46</f>
        <v>0</v>
      </c>
      <c r="R46" s="1" t="n">
        <f aca="false">('Long Term Deals'!BB46+'Long Term Deals'!BC46+'Long Term Deals'!BD46+'Long Term Deals'!BE46+'Long Term Deals'!BF46+'Long Term Deals'!BG46)*(1-'Prices&amp;Fuel'!F46)</f>
        <v>12000</v>
      </c>
      <c r="S46" s="14" t="n">
        <f aca="false">P46-Q46-R46-V46</f>
        <v>23894</v>
      </c>
      <c r="T46" s="14" t="n">
        <f aca="false">((I46+J46+K46)*'Prices&amp;Fuel'!H46*'Prices&amp;Fuel'!L46)+('Prices&amp;Fuel'!N46*'Prices&amp;Fuel'!H46*Transport!L46)+(('Long Term Deals'!BB46+'Long Term Deals'!BC46+'Long Term Deals'!BD46)*'Prices&amp;Fuel'!H46*'Prices&amp;Fuel'!M46)</f>
        <v>211096.290987147</v>
      </c>
      <c r="U46" s="7" t="n">
        <f aca="false">S46*B46*'Prices&amp;Fuel'!M46</f>
        <v>550804.488</v>
      </c>
      <c r="V46" s="7"/>
      <c r="W46" s="14" t="n">
        <f aca="false">P46-R46-V46</f>
        <v>23894</v>
      </c>
      <c r="X46" s="1" t="n">
        <f aca="false">W46*'Prices&amp;Fuel'!H46</f>
        <v>716820</v>
      </c>
      <c r="Y46" s="7" t="n">
        <f aca="false">SUM(X43:X46)/365</f>
        <v>5858.05479452055</v>
      </c>
    </row>
    <row r="47" customFormat="false" ht="11.25" hidden="false" customHeight="false" outlineLevel="0" collapsed="false">
      <c r="A47" s="6" t="n">
        <f aca="false">+A46+365/12</f>
        <v>37026.5</v>
      </c>
      <c r="B47" s="1" t="n">
        <v>31</v>
      </c>
      <c r="C47" s="27" t="n">
        <v>-0.0737339079967696</v>
      </c>
      <c r="E47" s="28" t="n">
        <v>0.00599999999999978</v>
      </c>
      <c r="F47" s="1" t="n">
        <v>8730</v>
      </c>
      <c r="G47" s="1" t="n">
        <f aca="false">15795-5034</f>
        <v>10761</v>
      </c>
      <c r="H47" s="1" t="n">
        <f aca="false">20475-4966</f>
        <v>15509</v>
      </c>
      <c r="I47" s="1" t="n">
        <v>1880</v>
      </c>
      <c r="J47" s="1" t="n">
        <v>2295</v>
      </c>
      <c r="K47" s="1" t="n">
        <v>1036</v>
      </c>
      <c r="L47" s="1" t="n">
        <v>683</v>
      </c>
      <c r="M47" s="7" t="n">
        <f aca="false">F47+I47</f>
        <v>10610</v>
      </c>
      <c r="N47" s="7" t="n">
        <f aca="false">G47+J47+L47</f>
        <v>13739</v>
      </c>
      <c r="O47" s="7" t="n">
        <f aca="false">H47+K47</f>
        <v>16545</v>
      </c>
      <c r="P47" s="7" t="n">
        <f aca="false">SUM(M47:O47)</f>
        <v>40894</v>
      </c>
      <c r="Q47" s="7" t="n">
        <f aca="false">'Index Price Deals'!B47+'Index Price Deals'!C47+'Index Price Deals'!D47-'Prices&amp;Fuel'!AE47</f>
        <v>0</v>
      </c>
      <c r="R47" s="1" t="n">
        <f aca="false">('Long Term Deals'!BB47+'Long Term Deals'!BC47+'Long Term Deals'!BD47+'Long Term Deals'!BE47+'Long Term Deals'!BF47+'Long Term Deals'!BG47)*(1-'Prices&amp;Fuel'!F47)</f>
        <v>20999.9999999999</v>
      </c>
      <c r="S47" s="14" t="n">
        <f aca="false">P47-Q47-R47-V47</f>
        <v>1.38243194669485E-010</v>
      </c>
      <c r="T47" s="14" t="n">
        <f aca="false">((I47+J47+K47)*'Prices&amp;Fuel'!H47*'Prices&amp;Fuel'!L47)+('Prices&amp;Fuel'!N47*'Prices&amp;Fuel'!H47*Transport!L47)+(('Long Term Deals'!BB47+'Long Term Deals'!BC47+'Long Term Deals'!BD47)*'Prices&amp;Fuel'!H47*'Prices&amp;Fuel'!M47)</f>
        <v>424614.382606167</v>
      </c>
      <c r="U47" s="7" t="n">
        <f aca="false">S47*B47*'Prices&amp;Fuel'!M47</f>
        <v>3.16872756229714E-009</v>
      </c>
      <c r="V47" s="7" t="n">
        <f aca="false">29894-10000</f>
        <v>19894</v>
      </c>
      <c r="W47" s="14" t="n">
        <f aca="false">P47-R47-V47</f>
        <v>1.38243194669485E-010</v>
      </c>
    </row>
    <row r="48" customFormat="false" ht="11.25" hidden="false" customHeight="false" outlineLevel="0" collapsed="false">
      <c r="A48" s="6" t="n">
        <f aca="false">+A47+365/12</f>
        <v>37056.9166666667</v>
      </c>
      <c r="B48" s="1" t="n">
        <v>30</v>
      </c>
      <c r="C48" s="27" t="n">
        <v>-0.0737332487004281</v>
      </c>
      <c r="E48" s="28" t="n">
        <v>0.00599999999999978</v>
      </c>
      <c r="F48" s="1" t="n">
        <v>8730</v>
      </c>
      <c r="G48" s="1" t="n">
        <f aca="false">15795-5034</f>
        <v>10761</v>
      </c>
      <c r="H48" s="1" t="n">
        <f aca="false">20475-4966</f>
        <v>15509</v>
      </c>
      <c r="I48" s="1" t="n">
        <v>1880</v>
      </c>
      <c r="J48" s="1" t="n">
        <v>2295</v>
      </c>
      <c r="K48" s="1" t="n">
        <v>1036</v>
      </c>
      <c r="L48" s="1" t="n">
        <v>683</v>
      </c>
      <c r="M48" s="7" t="n">
        <f aca="false">F48+I48</f>
        <v>10610</v>
      </c>
      <c r="N48" s="7" t="n">
        <f aca="false">G48+J48+L48</f>
        <v>13739</v>
      </c>
      <c r="O48" s="7" t="n">
        <f aca="false">H48+K48</f>
        <v>16545</v>
      </c>
      <c r="P48" s="7" t="n">
        <f aca="false">SUM(M48:O48)</f>
        <v>40894</v>
      </c>
      <c r="Q48" s="7" t="n">
        <f aca="false">'Index Price Deals'!B48+'Index Price Deals'!C48+'Index Price Deals'!D48-'Prices&amp;Fuel'!AE48</f>
        <v>0</v>
      </c>
      <c r="R48" s="1" t="n">
        <f aca="false">('Long Term Deals'!BB48+'Long Term Deals'!BC48+'Long Term Deals'!BD48+'Long Term Deals'!BE48+'Long Term Deals'!BF48+'Long Term Deals'!BG48)*(1-'Prices&amp;Fuel'!F48)</f>
        <v>20999.9999999999</v>
      </c>
      <c r="S48" s="14" t="n">
        <f aca="false">P48-Q48-R48-V48</f>
        <v>1.38243194669485E-010</v>
      </c>
      <c r="T48" s="14" t="n">
        <f aca="false">((I48+J48+K48)*'Prices&amp;Fuel'!H48*'Prices&amp;Fuel'!L48)+('Prices&amp;Fuel'!N48*'Prices&amp;Fuel'!H48*Transport!L48)+(('Long Term Deals'!BB48+'Long Term Deals'!BC48+'Long Term Deals'!BD48)*'Prices&amp;Fuel'!H48*'Prices&amp;Fuel'!M48)</f>
        <v>410917.144457581</v>
      </c>
      <c r="U48" s="7" t="n">
        <f aca="false">S48*B48*'Prices&amp;Fuel'!M48</f>
        <v>3.06651054415852E-009</v>
      </c>
      <c r="V48" s="7" t="n">
        <f aca="false">29894-10000</f>
        <v>19894</v>
      </c>
      <c r="W48" s="14" t="n">
        <f aca="false">P48-R48-V48</f>
        <v>1.38243194669485E-010</v>
      </c>
    </row>
    <row r="49" customFormat="false" ht="11.25" hidden="false" customHeight="false" outlineLevel="0" collapsed="false">
      <c r="A49" s="6" t="n">
        <f aca="false">+A48+365/12</f>
        <v>37087.3333333333</v>
      </c>
      <c r="B49" s="1" t="n">
        <v>31</v>
      </c>
      <c r="C49" s="27" t="n">
        <v>-0.0782328531226235</v>
      </c>
      <c r="E49" s="28" t="n">
        <v>0.00949999999999984</v>
      </c>
      <c r="F49" s="1" t="n">
        <v>8730</v>
      </c>
      <c r="G49" s="1" t="n">
        <f aca="false">15795-5034</f>
        <v>10761</v>
      </c>
      <c r="H49" s="1" t="n">
        <f aca="false">20475-4966</f>
        <v>15509</v>
      </c>
      <c r="I49" s="1" t="n">
        <v>1880</v>
      </c>
      <c r="J49" s="1" t="n">
        <v>2295</v>
      </c>
      <c r="K49" s="1" t="n">
        <v>1036</v>
      </c>
      <c r="L49" s="1" t="n">
        <v>683</v>
      </c>
      <c r="M49" s="7" t="n">
        <f aca="false">F49+I49</f>
        <v>10610</v>
      </c>
      <c r="N49" s="7" t="n">
        <f aca="false">G49+J49+L49</f>
        <v>13739</v>
      </c>
      <c r="O49" s="7" t="n">
        <f aca="false">H49+K49</f>
        <v>16545</v>
      </c>
      <c r="P49" s="7" t="n">
        <f aca="false">SUM(M49:O49)</f>
        <v>40894</v>
      </c>
      <c r="Q49" s="7" t="n">
        <f aca="false">'Index Price Deals'!B49+'Index Price Deals'!C49+'Index Price Deals'!D49-'Prices&amp;Fuel'!AE49</f>
        <v>0</v>
      </c>
      <c r="R49" s="1" t="n">
        <f aca="false">('Long Term Deals'!BB49+'Long Term Deals'!BC49+'Long Term Deals'!BD49+'Long Term Deals'!BE49+'Long Term Deals'!BF49+'Long Term Deals'!BG49)*(1-'Prices&amp;Fuel'!F49)</f>
        <v>20999.9999999999</v>
      </c>
      <c r="S49" s="14" t="n">
        <f aca="false">P49-Q49-R49-V49</f>
        <v>1.38243194669485E-010</v>
      </c>
      <c r="T49" s="14" t="n">
        <f aca="false">((I49+J49+K49)*'Prices&amp;Fuel'!H49*'Prices&amp;Fuel'!L49)+('Prices&amp;Fuel'!N49*'Prices&amp;Fuel'!H49*Transport!L49)+(('Long Term Deals'!BB49+'Long Term Deals'!BC49+'Long Term Deals'!BD49)*'Prices&amp;Fuel'!H49*'Prices&amp;Fuel'!M49)</f>
        <v>424614.382606167</v>
      </c>
      <c r="U49" s="7" t="n">
        <f aca="false">S49*B49*'Prices&amp;Fuel'!M49</f>
        <v>3.16872756229714E-009</v>
      </c>
      <c r="V49" s="7" t="n">
        <f aca="false">29894-10000</f>
        <v>19894</v>
      </c>
      <c r="W49" s="14" t="n">
        <f aca="false">P49-R49-V49</f>
        <v>1.38243194669485E-010</v>
      </c>
    </row>
    <row r="50" customFormat="false" ht="11.25" hidden="false" customHeight="false" outlineLevel="0" collapsed="false">
      <c r="A50" s="6" t="n">
        <f aca="false">+A49+365/12</f>
        <v>37117.75</v>
      </c>
      <c r="B50" s="1" t="n">
        <v>31</v>
      </c>
      <c r="C50" s="27" t="n">
        <v>-0.078232061967014</v>
      </c>
      <c r="E50" s="28" t="n">
        <v>0.00949999999999962</v>
      </c>
      <c r="F50" s="1" t="n">
        <v>8730</v>
      </c>
      <c r="G50" s="1" t="n">
        <f aca="false">15795-5034</f>
        <v>10761</v>
      </c>
      <c r="H50" s="1" t="n">
        <f aca="false">20475-4966</f>
        <v>15509</v>
      </c>
      <c r="I50" s="1" t="n">
        <v>1880</v>
      </c>
      <c r="J50" s="1" t="n">
        <v>2295</v>
      </c>
      <c r="K50" s="1" t="n">
        <v>1036</v>
      </c>
      <c r="L50" s="1" t="n">
        <v>683</v>
      </c>
      <c r="M50" s="7" t="n">
        <f aca="false">F50+I50</f>
        <v>10610</v>
      </c>
      <c r="N50" s="7" t="n">
        <f aca="false">G50+J50+L50</f>
        <v>13739</v>
      </c>
      <c r="O50" s="7" t="n">
        <f aca="false">H50+K50</f>
        <v>16545</v>
      </c>
      <c r="P50" s="7" t="n">
        <f aca="false">SUM(M50:O50)</f>
        <v>40894</v>
      </c>
      <c r="Q50" s="7" t="n">
        <f aca="false">'Index Price Deals'!B50+'Index Price Deals'!C50+'Index Price Deals'!D50-'Prices&amp;Fuel'!AE50</f>
        <v>0</v>
      </c>
      <c r="R50" s="1" t="n">
        <f aca="false">('Long Term Deals'!BB50+'Long Term Deals'!BC50+'Long Term Deals'!BD50+'Long Term Deals'!BE50+'Long Term Deals'!BF50+'Long Term Deals'!BG50)*(1-'Prices&amp;Fuel'!F50)</f>
        <v>20999.9999999999</v>
      </c>
      <c r="S50" s="14" t="n">
        <f aca="false">P50-Q50-R50-V50</f>
        <v>1.38243194669485E-010</v>
      </c>
      <c r="T50" s="14" t="n">
        <f aca="false">((I50+J50+K50)*'Prices&amp;Fuel'!H50*'Prices&amp;Fuel'!L50)+('Prices&amp;Fuel'!N50*'Prices&amp;Fuel'!H50*Transport!L50)+(('Long Term Deals'!BB50+'Long Term Deals'!BC50+'Long Term Deals'!BD50)*'Prices&amp;Fuel'!H50*'Prices&amp;Fuel'!M50)</f>
        <v>424614.382606167</v>
      </c>
      <c r="U50" s="7" t="n">
        <f aca="false">S50*B50*'Prices&amp;Fuel'!M50</f>
        <v>3.16872756229714E-009</v>
      </c>
      <c r="V50" s="7" t="n">
        <f aca="false">29894-10000</f>
        <v>19894</v>
      </c>
      <c r="W50" s="14" t="n">
        <f aca="false">P50-R50-V50</f>
        <v>1.38243194669485E-010</v>
      </c>
    </row>
    <row r="51" customFormat="false" ht="11.25" hidden="false" customHeight="false" outlineLevel="0" collapsed="false">
      <c r="A51" s="6" t="n">
        <f aca="false">+A50+365/12</f>
        <v>37148.1666666667</v>
      </c>
      <c r="B51" s="1" t="n">
        <v>30</v>
      </c>
      <c r="C51" s="27" t="n">
        <v>-0.0782307433743323</v>
      </c>
      <c r="E51" s="28" t="n">
        <v>0.00949999999999962</v>
      </c>
      <c r="F51" s="1" t="n">
        <v>8730</v>
      </c>
      <c r="G51" s="1" t="n">
        <f aca="false">15795-5034</f>
        <v>10761</v>
      </c>
      <c r="H51" s="1" t="n">
        <f aca="false">20475-4966</f>
        <v>15509</v>
      </c>
      <c r="I51" s="1" t="n">
        <v>1880</v>
      </c>
      <c r="J51" s="1" t="n">
        <v>2295</v>
      </c>
      <c r="K51" s="1" t="n">
        <v>1036</v>
      </c>
      <c r="L51" s="1" t="n">
        <v>683</v>
      </c>
      <c r="M51" s="7" t="n">
        <f aca="false">F51+I51</f>
        <v>10610</v>
      </c>
      <c r="N51" s="7" t="n">
        <f aca="false">G51+J51+L51</f>
        <v>13739</v>
      </c>
      <c r="O51" s="7" t="n">
        <f aca="false">H51+K51</f>
        <v>16545</v>
      </c>
      <c r="P51" s="7" t="n">
        <f aca="false">SUM(M51:O51)</f>
        <v>40894</v>
      </c>
      <c r="Q51" s="7" t="n">
        <f aca="false">'Index Price Deals'!B51+'Index Price Deals'!C51+'Index Price Deals'!D51-'Prices&amp;Fuel'!AE51</f>
        <v>0</v>
      </c>
      <c r="R51" s="1" t="n">
        <f aca="false">('Long Term Deals'!BB51+'Long Term Deals'!BC51+'Long Term Deals'!BD51+'Long Term Deals'!BE51+'Long Term Deals'!BF51+'Long Term Deals'!BG51)*(1-'Prices&amp;Fuel'!F51)</f>
        <v>20999.9999999999</v>
      </c>
      <c r="S51" s="14" t="n">
        <f aca="false">P51-Q51-R51-V51</f>
        <v>1.38243194669485E-010</v>
      </c>
      <c r="T51" s="14" t="n">
        <f aca="false">((I51+J51+K51)*'Prices&amp;Fuel'!H51*'Prices&amp;Fuel'!L51)+('Prices&amp;Fuel'!N51*'Prices&amp;Fuel'!H51*Transport!L51)+(('Long Term Deals'!BB51+'Long Term Deals'!BC51+'Long Term Deals'!BD51)*'Prices&amp;Fuel'!H51*'Prices&amp;Fuel'!M51)</f>
        <v>410917.144457581</v>
      </c>
      <c r="U51" s="7" t="n">
        <f aca="false">S51*B51*'Prices&amp;Fuel'!M51</f>
        <v>3.06651054415852E-009</v>
      </c>
      <c r="V51" s="7" t="n">
        <f aca="false">29894-10000</f>
        <v>19894</v>
      </c>
      <c r="W51" s="14" t="n">
        <f aca="false">P51-R51-V51</f>
        <v>1.38243194669485E-010</v>
      </c>
    </row>
    <row r="52" customFormat="false" ht="11.25" hidden="false" customHeight="false" outlineLevel="0" collapsed="false">
      <c r="A52" s="6" t="n">
        <f aca="false">+A51+365/12</f>
        <v>37178.5833333333</v>
      </c>
      <c r="B52" s="1" t="n">
        <v>31</v>
      </c>
      <c r="C52" s="27" t="n">
        <v>-0.0827833582779416</v>
      </c>
      <c r="E52" s="28" t="n">
        <v>0.0145</v>
      </c>
      <c r="F52" s="1" t="n">
        <f aca="false">8730-0</f>
        <v>8730</v>
      </c>
      <c r="G52" s="1" t="n">
        <f aca="false">15795-5434</f>
        <v>10361</v>
      </c>
      <c r="H52" s="1" t="n">
        <f aca="false">20475-4566</f>
        <v>15909</v>
      </c>
      <c r="I52" s="1" t="n">
        <v>2830</v>
      </c>
      <c r="J52" s="1" t="n">
        <v>3500</v>
      </c>
      <c r="K52" s="1" t="n">
        <v>1521</v>
      </c>
      <c r="L52" s="1" t="n">
        <v>1001</v>
      </c>
      <c r="M52" s="7" t="n">
        <f aca="false">F52+I52</f>
        <v>11560</v>
      </c>
      <c r="N52" s="7" t="n">
        <f aca="false">G52+J52+L52</f>
        <v>14862</v>
      </c>
      <c r="O52" s="7" t="n">
        <f aca="false">H52+K52</f>
        <v>17430</v>
      </c>
      <c r="P52" s="7" t="n">
        <f aca="false">SUM(M52:O52)</f>
        <v>43852</v>
      </c>
      <c r="Q52" s="7" t="n">
        <f aca="false">'Index Price Deals'!B52+'Index Price Deals'!C52+'Index Price Deals'!D52-'Prices&amp;Fuel'!AE52</f>
        <v>0</v>
      </c>
      <c r="R52" s="1" t="n">
        <f aca="false">('Long Term Deals'!BB52+'Long Term Deals'!BC52+'Long Term Deals'!BD52+'Long Term Deals'!BE52+'Long Term Deals'!BF52+'Long Term Deals'!BG52)*(1-'Prices&amp;Fuel'!F52)</f>
        <v>20999.9999999998</v>
      </c>
      <c r="S52" s="14" t="n">
        <f aca="false">P52-Q52-R52-V52</f>
        <v>1.92812876775861E-010</v>
      </c>
      <c r="T52" s="14" t="n">
        <f aca="false">((I52+J52+K52)*'Prices&amp;Fuel'!H52*'Prices&amp;Fuel'!L52)+('Prices&amp;Fuel'!N52*'Prices&amp;Fuel'!H52*Transport!L52)+(('Long Term Deals'!BB52+'Long Term Deals'!BC52+'Long Term Deals'!BD52)*'Prices&amp;Fuel'!H52*'Prices&amp;Fuel'!M52)</f>
        <v>389309.874705394</v>
      </c>
      <c r="U52" s="7" t="n">
        <f aca="false">S52*B52*'Prices&amp;Fuel'!M52</f>
        <v>4.41954107373022E-009</v>
      </c>
      <c r="V52" s="7" t="n">
        <f aca="false">32852-10000</f>
        <v>22852</v>
      </c>
      <c r="W52" s="14" t="n">
        <f aca="false">P52-R52-V52</f>
        <v>1.92812876775861E-010</v>
      </c>
    </row>
    <row r="53" customFormat="false" ht="11.25" hidden="false" customHeight="false" outlineLevel="0" collapsed="false">
      <c r="A53" s="6" t="n">
        <f aca="false">+A52+365/12</f>
        <v>37209</v>
      </c>
      <c r="B53" s="1" t="n">
        <v>30</v>
      </c>
      <c r="C53" s="27" t="n">
        <v>-0.127755581467009</v>
      </c>
      <c r="E53" s="28" t="n">
        <v>0.0194999999999999</v>
      </c>
      <c r="F53" s="1" t="n">
        <f aca="false">7761-1128-1707</f>
        <v>4926</v>
      </c>
      <c r="G53" s="1" t="n">
        <f aca="false">14039-666-3474-4167</f>
        <v>5732</v>
      </c>
      <c r="H53" s="1" t="n">
        <f aca="false">18200-4732-4126</f>
        <v>9342</v>
      </c>
      <c r="I53" s="1" t="n">
        <v>2563</v>
      </c>
      <c r="J53" s="1" t="n">
        <v>2862</v>
      </c>
      <c r="K53" s="1" t="n">
        <v>1685</v>
      </c>
      <c r="L53" s="1" t="n">
        <v>683</v>
      </c>
      <c r="M53" s="7" t="n">
        <f aca="false">F53+I53</f>
        <v>7489</v>
      </c>
      <c r="N53" s="7" t="n">
        <f aca="false">G53+J53+L53</f>
        <v>9277</v>
      </c>
      <c r="O53" s="7" t="n">
        <f aca="false">H53+K53</f>
        <v>11027</v>
      </c>
      <c r="P53" s="7" t="n">
        <f aca="false">SUM(M53:O53)</f>
        <v>27793</v>
      </c>
      <c r="Q53" s="7" t="n">
        <f aca="false">'Index Price Deals'!B53+'Index Price Deals'!C53+'Index Price Deals'!D53-'Prices&amp;Fuel'!AE53</f>
        <v>0</v>
      </c>
      <c r="R53" s="1" t="n">
        <f aca="false">('Long Term Deals'!BB53+'Long Term Deals'!BC53+'Long Term Deals'!BD53+'Long Term Deals'!BE53+'Long Term Deals'!BF53+'Long Term Deals'!BG53)*(1-'Prices&amp;Fuel'!F53)</f>
        <v>12000</v>
      </c>
      <c r="S53" s="14" t="n">
        <f aca="false">P53-Q53-R53-V53</f>
        <v>0</v>
      </c>
      <c r="T53" s="14" t="n">
        <f aca="false">((I53+J53+K53)*'Prices&amp;Fuel'!H53*'Prices&amp;Fuel'!L53)+('Prices&amp;Fuel'!N53*'Prices&amp;Fuel'!H53*Transport!L53)+(('Long Term Deals'!BB53+'Long Term Deals'!BC53+'Long Term Deals'!BD53)*'Prices&amp;Fuel'!H53*'Prices&amp;Fuel'!M53)</f>
        <v>183699.920676093</v>
      </c>
      <c r="U53" s="7" t="n">
        <f aca="false">S53*B53*'Prices&amp;Fuel'!M53</f>
        <v>0</v>
      </c>
      <c r="V53" s="7" t="n">
        <f aca="false">35793-20000</f>
        <v>15793</v>
      </c>
      <c r="W53" s="14" t="n">
        <f aca="false">P53-R53-V53</f>
        <v>0</v>
      </c>
    </row>
    <row r="54" customFormat="false" ht="11.25" hidden="false" customHeight="false" outlineLevel="0" collapsed="false">
      <c r="A54" s="6" t="n">
        <f aca="false">+A53+365/12</f>
        <v>37239.4166666667</v>
      </c>
      <c r="B54" s="1" t="n">
        <v>31</v>
      </c>
      <c r="C54" s="27" t="n">
        <v>-0.16271808277225</v>
      </c>
      <c r="E54" s="28" t="n">
        <v>0.0245000000000002</v>
      </c>
      <c r="F54" s="1" t="n">
        <f aca="false">7761-1128-1707</f>
        <v>4926</v>
      </c>
      <c r="G54" s="1" t="n">
        <f aca="false">14039-666-3474-4167</f>
        <v>5732</v>
      </c>
      <c r="H54" s="1" t="n">
        <f aca="false">18200-4732-4126</f>
        <v>9342</v>
      </c>
      <c r="I54" s="1" t="n">
        <v>2563</v>
      </c>
      <c r="J54" s="1" t="n">
        <v>2862</v>
      </c>
      <c r="K54" s="1" t="n">
        <v>1685</v>
      </c>
      <c r="L54" s="1" t="n">
        <v>683</v>
      </c>
      <c r="M54" s="7" t="n">
        <f aca="false">F54+I54</f>
        <v>7489</v>
      </c>
      <c r="N54" s="7" t="n">
        <f aca="false">G54+J54+L54</f>
        <v>9277</v>
      </c>
      <c r="O54" s="7" t="n">
        <f aca="false">H54+K54</f>
        <v>11027</v>
      </c>
      <c r="P54" s="7" t="n">
        <f aca="false">SUM(M54:O54)</f>
        <v>27793</v>
      </c>
      <c r="Q54" s="7" t="n">
        <f aca="false">'Index Price Deals'!B54+'Index Price Deals'!C54+'Index Price Deals'!D54-'Prices&amp;Fuel'!AE54</f>
        <v>0</v>
      </c>
      <c r="R54" s="1" t="n">
        <f aca="false">('Long Term Deals'!BB54+'Long Term Deals'!BC54+'Long Term Deals'!BD54+'Long Term Deals'!BE54+'Long Term Deals'!BF54+'Long Term Deals'!BG54)*(1-'Prices&amp;Fuel'!F54)</f>
        <v>12000</v>
      </c>
      <c r="S54" s="14" t="n">
        <f aca="false">P54-Q54-R54-V54</f>
        <v>0</v>
      </c>
      <c r="T54" s="14" t="n">
        <f aca="false">((I54+J54+K54)*'Prices&amp;Fuel'!H54*'Prices&amp;Fuel'!L54)+('Prices&amp;Fuel'!N54*'Prices&amp;Fuel'!H54*Transport!L54)+(('Long Term Deals'!BB54+'Long Term Deals'!BC54+'Long Term Deals'!BD54)*'Prices&amp;Fuel'!H54*'Prices&amp;Fuel'!M54)</f>
        <v>189823.251365296</v>
      </c>
      <c r="U54" s="7" t="n">
        <f aca="false">S54*B54*'Prices&amp;Fuel'!M54</f>
        <v>0</v>
      </c>
      <c r="V54" s="7" t="n">
        <f aca="false">35793-20000</f>
        <v>15793</v>
      </c>
      <c r="W54" s="14" t="n">
        <f aca="false">P54-R54-V54</f>
        <v>0</v>
      </c>
    </row>
    <row r="55" customFormat="false" ht="11.25" hidden="false" customHeight="false" outlineLevel="0" collapsed="false">
      <c r="A55" s="6" t="n">
        <f aca="false">+A54+365/12</f>
        <v>37269.8333333333</v>
      </c>
      <c r="B55" s="1" t="n">
        <v>31</v>
      </c>
      <c r="C55" s="27" t="n">
        <v>-0.14770141668569</v>
      </c>
      <c r="E55" s="28" t="n">
        <v>0.0245000000000002</v>
      </c>
      <c r="F55" s="1" t="n">
        <f aca="false">7761-1128-1707</f>
        <v>4926</v>
      </c>
      <c r="G55" s="1" t="n">
        <f aca="false">14039-666-3474-4167</f>
        <v>5732</v>
      </c>
      <c r="H55" s="1" t="n">
        <f aca="false">18200-4732-4126</f>
        <v>9342</v>
      </c>
      <c r="I55" s="1" t="n">
        <v>2563</v>
      </c>
      <c r="J55" s="1" t="n">
        <v>2862</v>
      </c>
      <c r="K55" s="1" t="n">
        <v>1685</v>
      </c>
      <c r="L55" s="1" t="n">
        <v>683</v>
      </c>
      <c r="M55" s="7" t="n">
        <f aca="false">F55+I55</f>
        <v>7489</v>
      </c>
      <c r="N55" s="7" t="n">
        <f aca="false">G55+J55+L55</f>
        <v>9277</v>
      </c>
      <c r="O55" s="7" t="n">
        <f aca="false">H55+K55</f>
        <v>11027</v>
      </c>
      <c r="P55" s="7" t="n">
        <f aca="false">SUM(M55:O55)</f>
        <v>27793</v>
      </c>
      <c r="Q55" s="7" t="n">
        <f aca="false">'Index Price Deals'!B55+'Index Price Deals'!C55+'Index Price Deals'!D55-'Prices&amp;Fuel'!AE55</f>
        <v>0</v>
      </c>
      <c r="R55" s="1" t="n">
        <f aca="false">('Long Term Deals'!BB55+'Long Term Deals'!BC55+'Long Term Deals'!BD55+'Long Term Deals'!BE55+'Long Term Deals'!BF55+'Long Term Deals'!BG55)*(1-'Prices&amp;Fuel'!F55)</f>
        <v>12000</v>
      </c>
      <c r="S55" s="14" t="n">
        <f aca="false">P55-Q55-R55-V55</f>
        <v>0</v>
      </c>
      <c r="T55" s="14" t="n">
        <f aca="false">((I55+J55+K55)*'Prices&amp;Fuel'!H55*'Prices&amp;Fuel'!L55)+('Prices&amp;Fuel'!N55*'Prices&amp;Fuel'!H55*Transport!L55)+(('Long Term Deals'!BB55+'Long Term Deals'!BC55+'Long Term Deals'!BD55)*'Prices&amp;Fuel'!H55*'Prices&amp;Fuel'!M55)</f>
        <v>189823.251365296</v>
      </c>
      <c r="U55" s="7" t="n">
        <f aca="false">S55*B55*'Prices&amp;Fuel'!M55</f>
        <v>0</v>
      </c>
      <c r="V55" s="7" t="n">
        <f aca="false">35793-20000</f>
        <v>15793</v>
      </c>
      <c r="W55" s="14" t="n">
        <f aca="false">P55-R55-V55</f>
        <v>0</v>
      </c>
    </row>
    <row r="56" customFormat="false" ht="11.25" hidden="false" customHeight="false" outlineLevel="0" collapsed="false">
      <c r="A56" s="6" t="n">
        <f aca="false">+A55+365/12</f>
        <v>37300.25</v>
      </c>
      <c r="B56" s="1" t="n">
        <v>28</v>
      </c>
      <c r="C56" s="27" t="n">
        <v>-0.147729193496623</v>
      </c>
      <c r="E56" s="28" t="n">
        <v>0.0245000000000002</v>
      </c>
      <c r="F56" s="1" t="n">
        <f aca="false">7761-1128-1707</f>
        <v>4926</v>
      </c>
      <c r="G56" s="1" t="n">
        <f aca="false">14039-666-3474-4167</f>
        <v>5732</v>
      </c>
      <c r="H56" s="1" t="n">
        <f aca="false">18200-4732-4126</f>
        <v>9342</v>
      </c>
      <c r="I56" s="1" t="n">
        <v>2563</v>
      </c>
      <c r="J56" s="1" t="n">
        <v>2862</v>
      </c>
      <c r="K56" s="1" t="n">
        <v>1685</v>
      </c>
      <c r="L56" s="1" t="n">
        <v>683</v>
      </c>
      <c r="M56" s="7" t="n">
        <f aca="false">F56+I56</f>
        <v>7489</v>
      </c>
      <c r="N56" s="7" t="n">
        <f aca="false">G56+J56+L56</f>
        <v>9277</v>
      </c>
      <c r="O56" s="7" t="n">
        <f aca="false">H56+K56</f>
        <v>11027</v>
      </c>
      <c r="P56" s="7" t="n">
        <f aca="false">SUM(M56:O56)</f>
        <v>27793</v>
      </c>
      <c r="Q56" s="7" t="n">
        <f aca="false">'Index Price Deals'!B56+'Index Price Deals'!C56+'Index Price Deals'!D56-'Prices&amp;Fuel'!AE56</f>
        <v>0</v>
      </c>
      <c r="R56" s="1" t="n">
        <f aca="false">('Long Term Deals'!BB56+'Long Term Deals'!BC56+'Long Term Deals'!BD56+'Long Term Deals'!BE56+'Long Term Deals'!BF56+'Long Term Deals'!BG56)*(1-'Prices&amp;Fuel'!F56)</f>
        <v>12000</v>
      </c>
      <c r="S56" s="14" t="n">
        <f aca="false">P56-Q56-R56-V56</f>
        <v>0</v>
      </c>
      <c r="T56" s="14" t="n">
        <f aca="false">((I56+J56+K56)*'Prices&amp;Fuel'!H56*'Prices&amp;Fuel'!L56)+('Prices&amp;Fuel'!N56*'Prices&amp;Fuel'!H56*Transport!L56)+(('Long Term Deals'!BB56+'Long Term Deals'!BC56+'Long Term Deals'!BD56)*'Prices&amp;Fuel'!H56*'Prices&amp;Fuel'!M56)</f>
        <v>171453.259297686</v>
      </c>
      <c r="U56" s="7" t="n">
        <f aca="false">S56*B56*'Prices&amp;Fuel'!M56</f>
        <v>0</v>
      </c>
      <c r="V56" s="7" t="n">
        <f aca="false">35793-20000</f>
        <v>15793</v>
      </c>
      <c r="W56" s="14" t="n">
        <f aca="false">P56-R56-V56</f>
        <v>0</v>
      </c>
    </row>
    <row r="57" customFormat="false" ht="11.25" hidden="false" customHeight="false" outlineLevel="0" collapsed="false">
      <c r="A57" s="6" t="n">
        <f aca="false">+A56+365/12</f>
        <v>37330.6666666667</v>
      </c>
      <c r="B57" s="1" t="n">
        <v>31</v>
      </c>
      <c r="C57" s="27" t="n">
        <v>-0.122764956140698</v>
      </c>
      <c r="E57" s="28" t="n">
        <v>0.0195000000000003</v>
      </c>
      <c r="F57" s="1" t="n">
        <f aca="false">7761-1128-1707</f>
        <v>4926</v>
      </c>
      <c r="G57" s="1" t="n">
        <f aca="false">14039-666-3474-4167</f>
        <v>5732</v>
      </c>
      <c r="H57" s="1" t="n">
        <f aca="false">18200-4732-4126</f>
        <v>9342</v>
      </c>
      <c r="I57" s="1" t="n">
        <v>2563</v>
      </c>
      <c r="J57" s="1" t="n">
        <v>2862</v>
      </c>
      <c r="K57" s="1" t="n">
        <v>1685</v>
      </c>
      <c r="L57" s="1" t="n">
        <v>683</v>
      </c>
      <c r="M57" s="7" t="n">
        <f aca="false">F57+I57</f>
        <v>7489</v>
      </c>
      <c r="N57" s="7" t="n">
        <f aca="false">G57+J57+L57</f>
        <v>9277</v>
      </c>
      <c r="O57" s="7" t="n">
        <f aca="false">H57+K57</f>
        <v>11027</v>
      </c>
      <c r="P57" s="7" t="n">
        <f aca="false">SUM(M57:O57)</f>
        <v>27793</v>
      </c>
      <c r="Q57" s="7" t="n">
        <f aca="false">'Index Price Deals'!B57+'Index Price Deals'!C57+'Index Price Deals'!D57-'Prices&amp;Fuel'!AE57</f>
        <v>0</v>
      </c>
      <c r="R57" s="1" t="n">
        <f aca="false">('Long Term Deals'!BB57+'Long Term Deals'!BC57+'Long Term Deals'!BD57+'Long Term Deals'!BE57+'Long Term Deals'!BF57+'Long Term Deals'!BG57)*(1-'Prices&amp;Fuel'!F57)</f>
        <v>12000</v>
      </c>
      <c r="S57" s="14" t="n">
        <f aca="false">P57-Q57-R57-V57</f>
        <v>0</v>
      </c>
      <c r="T57" s="14" t="n">
        <f aca="false">((I57+J57+K57)*'Prices&amp;Fuel'!H57*'Prices&amp;Fuel'!L57)+('Prices&amp;Fuel'!N57*'Prices&amp;Fuel'!H57*Transport!L57)+(('Long Term Deals'!BB57+'Long Term Deals'!BC57+'Long Term Deals'!BD57)*'Prices&amp;Fuel'!H57*'Prices&amp;Fuel'!M57)</f>
        <v>189823.251365296</v>
      </c>
      <c r="U57" s="7" t="n">
        <f aca="false">S57*B57*'Prices&amp;Fuel'!M57</f>
        <v>0</v>
      </c>
      <c r="V57" s="7" t="n">
        <f aca="false">35793-20000</f>
        <v>15793</v>
      </c>
      <c r="W57" s="14" t="n">
        <f aca="false">P57-R57-V57</f>
        <v>0</v>
      </c>
    </row>
    <row r="58" customFormat="false" ht="11.25" hidden="false" customHeight="false" outlineLevel="0" collapsed="false">
      <c r="A58" s="6" t="n">
        <f aca="false">+A57+365/12</f>
        <v>37361.0833333333</v>
      </c>
      <c r="B58" s="1" t="n">
        <v>30</v>
      </c>
      <c r="C58" s="27" t="n">
        <v>-0.0732819694373954</v>
      </c>
      <c r="E58" s="28" t="n">
        <v>0.00599999999999978</v>
      </c>
      <c r="F58" s="1" t="n">
        <f aca="false">7761-828</f>
        <v>6933</v>
      </c>
      <c r="G58" s="1" t="n">
        <f aca="false">14039-5241</f>
        <v>8798</v>
      </c>
      <c r="H58" s="1" t="n">
        <f aca="false">18200-3931</f>
        <v>14269</v>
      </c>
      <c r="I58" s="1" t="n">
        <v>1880</v>
      </c>
      <c r="J58" s="1" t="n">
        <v>2073</v>
      </c>
      <c r="K58" s="1" t="n">
        <v>1258</v>
      </c>
      <c r="L58" s="1" t="n">
        <v>683</v>
      </c>
      <c r="M58" s="7" t="n">
        <f aca="false">F58+I58</f>
        <v>8813</v>
      </c>
      <c r="N58" s="7" t="n">
        <f aca="false">G58+J58+L58</f>
        <v>11554</v>
      </c>
      <c r="O58" s="7" t="n">
        <f aca="false">H58+K58</f>
        <v>15527</v>
      </c>
      <c r="P58" s="7" t="n">
        <f aca="false">SUM(M58:O58)</f>
        <v>35894</v>
      </c>
      <c r="Q58" s="7" t="n">
        <f aca="false">'Index Price Deals'!B58+'Index Price Deals'!C58+'Index Price Deals'!D58-'Prices&amp;Fuel'!AE58</f>
        <v>0</v>
      </c>
      <c r="R58" s="1" t="n">
        <f aca="false">('Long Term Deals'!BB58+'Long Term Deals'!BC58+'Long Term Deals'!BD58+'Long Term Deals'!BE58+'Long Term Deals'!BF58+'Long Term Deals'!BG58)*(1-'Prices&amp;Fuel'!F58)</f>
        <v>12000</v>
      </c>
      <c r="S58" s="14" t="n">
        <f aca="false">P58-Q58-R58-V58</f>
        <v>0</v>
      </c>
      <c r="T58" s="14" t="n">
        <f aca="false">((I58+J58+K58)*'Prices&amp;Fuel'!H58*'Prices&amp;Fuel'!L58)+('Prices&amp;Fuel'!N58*'Prices&amp;Fuel'!H58*Transport!L58)+(('Long Term Deals'!BB58+'Long Term Deals'!BC58+'Long Term Deals'!BD58)*'Prices&amp;Fuel'!H58*'Prices&amp;Fuel'!M58)</f>
        <v>205633.853969152</v>
      </c>
      <c r="U58" s="7" t="n">
        <f aca="false">S58*B58*'Prices&amp;Fuel'!M58</f>
        <v>0</v>
      </c>
      <c r="V58" s="7" t="n">
        <f aca="false">33894-10000</f>
        <v>23894</v>
      </c>
      <c r="W58" s="14" t="n">
        <f aca="false">P58-R58-V58</f>
        <v>0</v>
      </c>
    </row>
    <row r="59" customFormat="false" ht="11.25" hidden="false" customHeight="false" outlineLevel="0" collapsed="false">
      <c r="A59" s="6" t="n">
        <f aca="false">+A58+365/12</f>
        <v>37391.5</v>
      </c>
      <c r="B59" s="1" t="n">
        <v>31</v>
      </c>
      <c r="C59" s="27" t="n">
        <v>-0.0737296885001868</v>
      </c>
      <c r="E59" s="28" t="n">
        <v>0.00599999999999978</v>
      </c>
      <c r="F59" s="1" t="n">
        <v>8730</v>
      </c>
      <c r="G59" s="1" t="n">
        <f aca="false">15795-5034</f>
        <v>10761</v>
      </c>
      <c r="H59" s="1" t="n">
        <f aca="false">20475-4966</f>
        <v>15509</v>
      </c>
      <c r="I59" s="1" t="n">
        <v>1880</v>
      </c>
      <c r="J59" s="1" t="n">
        <v>2295</v>
      </c>
      <c r="K59" s="1" t="n">
        <v>1036</v>
      </c>
      <c r="L59" s="1" t="n">
        <v>683</v>
      </c>
      <c r="M59" s="7" t="n">
        <f aca="false">F59+I59</f>
        <v>10610</v>
      </c>
      <c r="N59" s="7" t="n">
        <f aca="false">G59+J59+L59</f>
        <v>13739</v>
      </c>
      <c r="O59" s="7" t="n">
        <f aca="false">H59+K59</f>
        <v>16545</v>
      </c>
      <c r="P59" s="7" t="n">
        <f aca="false">SUM(M59:O59)</f>
        <v>40894</v>
      </c>
      <c r="Q59" s="7" t="n">
        <f aca="false">'Index Price Deals'!B59+'Index Price Deals'!C59+'Index Price Deals'!D59-'Prices&amp;Fuel'!AE59</f>
        <v>0</v>
      </c>
      <c r="R59" s="1" t="n">
        <f aca="false">('Long Term Deals'!BB59+'Long Term Deals'!BC59+'Long Term Deals'!BD59+'Long Term Deals'!BE59+'Long Term Deals'!BF59+'Long Term Deals'!BG59)*(1-'Prices&amp;Fuel'!F59)</f>
        <v>20999.9999999999</v>
      </c>
      <c r="S59" s="14" t="n">
        <f aca="false">P59-Q59-R59-V59</f>
        <v>1.38243194669485E-010</v>
      </c>
      <c r="T59" s="14" t="n">
        <f aca="false">((I59+J59+K59)*'Prices&amp;Fuel'!H59*'Prices&amp;Fuel'!L59)+('Prices&amp;Fuel'!N59*'Prices&amp;Fuel'!H59*Transport!L59)+(('Long Term Deals'!BB59+'Long Term Deals'!BC59+'Long Term Deals'!BD59)*'Prices&amp;Fuel'!H59*'Prices&amp;Fuel'!M59)</f>
        <v>424614.382606167</v>
      </c>
      <c r="U59" s="7" t="n">
        <f aca="false">S59*B59*'Prices&amp;Fuel'!M59</f>
        <v>3.16872756229714E-009</v>
      </c>
      <c r="V59" s="7" t="n">
        <f aca="false">29894-10000</f>
        <v>19894</v>
      </c>
      <c r="W59" s="14" t="n">
        <f aca="false">P59-R59-V59</f>
        <v>1.38243194669485E-010</v>
      </c>
    </row>
    <row r="60" customFormat="false" ht="11.25" hidden="false" customHeight="false" outlineLevel="0" collapsed="false">
      <c r="A60" s="6" t="n">
        <f aca="false">+A59+365/12</f>
        <v>37421.9166666667</v>
      </c>
      <c r="B60" s="1" t="n">
        <v>30</v>
      </c>
      <c r="C60" s="27" t="n">
        <v>-0.0737290292038462</v>
      </c>
      <c r="E60" s="28" t="n">
        <v>0.00599999999999978</v>
      </c>
      <c r="F60" s="1" t="n">
        <v>8730</v>
      </c>
      <c r="G60" s="1" t="n">
        <f aca="false">15795-5034</f>
        <v>10761</v>
      </c>
      <c r="H60" s="1" t="n">
        <f aca="false">20475-4966</f>
        <v>15509</v>
      </c>
      <c r="I60" s="1" t="n">
        <v>1880</v>
      </c>
      <c r="J60" s="1" t="n">
        <v>2295</v>
      </c>
      <c r="K60" s="1" t="n">
        <v>1036</v>
      </c>
      <c r="L60" s="1" t="n">
        <v>683</v>
      </c>
      <c r="M60" s="7" t="n">
        <f aca="false">F60+I60</f>
        <v>10610</v>
      </c>
      <c r="N60" s="7" t="n">
        <f aca="false">G60+J60+L60</f>
        <v>13739</v>
      </c>
      <c r="O60" s="7" t="n">
        <f aca="false">H60+K60</f>
        <v>16545</v>
      </c>
      <c r="P60" s="7" t="n">
        <f aca="false">SUM(M60:O60)</f>
        <v>40894</v>
      </c>
      <c r="Q60" s="7" t="n">
        <f aca="false">'Index Price Deals'!B60+'Index Price Deals'!C60+'Index Price Deals'!D60-'Prices&amp;Fuel'!AE60</f>
        <v>0</v>
      </c>
      <c r="R60" s="1" t="n">
        <f aca="false">('Long Term Deals'!BB60+'Long Term Deals'!BC60+'Long Term Deals'!BD60+'Long Term Deals'!BE60+'Long Term Deals'!BF60+'Long Term Deals'!BG60)*(1-'Prices&amp;Fuel'!F60)</f>
        <v>20999.9999999999</v>
      </c>
      <c r="S60" s="14" t="n">
        <f aca="false">P60-Q60-R60-V60</f>
        <v>1.38243194669485E-010</v>
      </c>
      <c r="T60" s="14" t="n">
        <f aca="false">((I60+J60+K60)*'Prices&amp;Fuel'!H60*'Prices&amp;Fuel'!L60)+('Prices&amp;Fuel'!N60*'Prices&amp;Fuel'!H60*Transport!L60)+(('Long Term Deals'!BB60+'Long Term Deals'!BC60+'Long Term Deals'!BD60)*'Prices&amp;Fuel'!H60*'Prices&amp;Fuel'!M60)</f>
        <v>410917.144457581</v>
      </c>
      <c r="U60" s="7" t="n">
        <f aca="false">S60*B60*'Prices&amp;Fuel'!M60</f>
        <v>3.06651054415852E-009</v>
      </c>
      <c r="V60" s="7" t="n">
        <f aca="false">29894-10000</f>
        <v>19894</v>
      </c>
      <c r="W60" s="14" t="n">
        <f aca="false">P60-R60-V60</f>
        <v>1.38243194669485E-010</v>
      </c>
    </row>
    <row r="61" customFormat="false" ht="11.25" hidden="false" customHeight="false" outlineLevel="0" collapsed="false">
      <c r="A61" s="6" t="n">
        <f aca="false">+A60+365/12</f>
        <v>37452.3333333333</v>
      </c>
      <c r="B61" s="1" t="n">
        <v>31</v>
      </c>
      <c r="C61" s="27" t="n">
        <v>-0.0782286336260412</v>
      </c>
      <c r="E61" s="28" t="n">
        <v>0.00949999999999984</v>
      </c>
      <c r="F61" s="1" t="n">
        <v>8730</v>
      </c>
      <c r="G61" s="1" t="n">
        <f aca="false">15795-5034</f>
        <v>10761</v>
      </c>
      <c r="H61" s="1" t="n">
        <f aca="false">20475-4966</f>
        <v>15509</v>
      </c>
      <c r="I61" s="1" t="n">
        <v>1880</v>
      </c>
      <c r="J61" s="1" t="n">
        <v>2295</v>
      </c>
      <c r="K61" s="1" t="n">
        <v>1036</v>
      </c>
      <c r="L61" s="1" t="n">
        <v>683</v>
      </c>
      <c r="M61" s="7" t="n">
        <f aca="false">F61+I61</f>
        <v>10610</v>
      </c>
      <c r="N61" s="7" t="n">
        <f aca="false">G61+J61+L61</f>
        <v>13739</v>
      </c>
      <c r="O61" s="7" t="n">
        <f aca="false">H61+K61</f>
        <v>16545</v>
      </c>
      <c r="P61" s="7" t="n">
        <f aca="false">SUM(M61:O61)</f>
        <v>40894</v>
      </c>
      <c r="Q61" s="7" t="n">
        <f aca="false">'Index Price Deals'!B61+'Index Price Deals'!C61+'Index Price Deals'!D61-'Prices&amp;Fuel'!AE61</f>
        <v>0</v>
      </c>
      <c r="R61" s="1" t="n">
        <f aca="false">('Long Term Deals'!BB61+'Long Term Deals'!BC61+'Long Term Deals'!BD61+'Long Term Deals'!BE61+'Long Term Deals'!BF61+'Long Term Deals'!BG61)*(1-'Prices&amp;Fuel'!F61)</f>
        <v>20999.9999999999</v>
      </c>
      <c r="S61" s="14" t="n">
        <f aca="false">P61-Q61-R61-V61</f>
        <v>1.38243194669485E-010</v>
      </c>
      <c r="T61" s="14" t="n">
        <f aca="false">((I61+J61+K61)*'Prices&amp;Fuel'!H61*'Prices&amp;Fuel'!L61)+('Prices&amp;Fuel'!N61*'Prices&amp;Fuel'!H61*Transport!L61)+(('Long Term Deals'!BB61+'Long Term Deals'!BC61+'Long Term Deals'!BD61)*'Prices&amp;Fuel'!H61*'Prices&amp;Fuel'!M61)</f>
        <v>424614.382606167</v>
      </c>
      <c r="U61" s="7" t="n">
        <f aca="false">S61*B61*'Prices&amp;Fuel'!M61</f>
        <v>3.16872756229714E-009</v>
      </c>
      <c r="V61" s="7" t="n">
        <f aca="false">29894-10000</f>
        <v>19894</v>
      </c>
      <c r="W61" s="14" t="n">
        <f aca="false">P61-R61-V61</f>
        <v>1.38243194669485E-010</v>
      </c>
    </row>
    <row r="62" customFormat="false" ht="11.25" hidden="false" customHeight="false" outlineLevel="0" collapsed="false">
      <c r="A62" s="6" t="n">
        <f aca="false">+A61+365/12</f>
        <v>37482.75</v>
      </c>
      <c r="B62" s="1" t="n">
        <v>31</v>
      </c>
      <c r="C62" s="27" t="n">
        <v>-0.0782278424704321</v>
      </c>
      <c r="E62" s="28" t="n">
        <v>0.00949999999999962</v>
      </c>
      <c r="F62" s="1" t="n">
        <v>8730</v>
      </c>
      <c r="G62" s="1" t="n">
        <f aca="false">15795-5034</f>
        <v>10761</v>
      </c>
      <c r="H62" s="1" t="n">
        <f aca="false">20475-4966</f>
        <v>15509</v>
      </c>
      <c r="I62" s="1" t="n">
        <v>1880</v>
      </c>
      <c r="J62" s="1" t="n">
        <v>2295</v>
      </c>
      <c r="K62" s="1" t="n">
        <v>1036</v>
      </c>
      <c r="L62" s="1" t="n">
        <v>683</v>
      </c>
      <c r="M62" s="7" t="n">
        <f aca="false">F62+I62</f>
        <v>10610</v>
      </c>
      <c r="N62" s="7" t="n">
        <f aca="false">G62+J62+L62</f>
        <v>13739</v>
      </c>
      <c r="O62" s="7" t="n">
        <f aca="false">H62+K62</f>
        <v>16545</v>
      </c>
      <c r="P62" s="7" t="n">
        <f aca="false">SUM(M62:O62)</f>
        <v>40894</v>
      </c>
      <c r="Q62" s="7" t="n">
        <f aca="false">'Index Price Deals'!B62+'Index Price Deals'!C62+'Index Price Deals'!D62-'Prices&amp;Fuel'!AE62</f>
        <v>0</v>
      </c>
      <c r="R62" s="1" t="n">
        <f aca="false">('Long Term Deals'!BB62+'Long Term Deals'!BC62+'Long Term Deals'!BD62+'Long Term Deals'!BE62+'Long Term Deals'!BF62+'Long Term Deals'!BG62)*(1-'Prices&amp;Fuel'!F62)</f>
        <v>20999.9999999999</v>
      </c>
      <c r="S62" s="14" t="n">
        <f aca="false">P62-Q62-R62-V62</f>
        <v>1.38243194669485E-010</v>
      </c>
      <c r="T62" s="14" t="n">
        <f aca="false">((I62+J62+K62)*'Prices&amp;Fuel'!H62*'Prices&amp;Fuel'!L62)+('Prices&amp;Fuel'!N62*'Prices&amp;Fuel'!H62*Transport!L62)+(('Long Term Deals'!BB62+'Long Term Deals'!BC62+'Long Term Deals'!BD62)*'Prices&amp;Fuel'!H62*'Prices&amp;Fuel'!M62)</f>
        <v>424614.382606167</v>
      </c>
      <c r="U62" s="7" t="n">
        <f aca="false">S62*B62*'Prices&amp;Fuel'!M62</f>
        <v>3.16872756229714E-009</v>
      </c>
      <c r="V62" s="7" t="n">
        <f aca="false">29894-10000</f>
        <v>19894</v>
      </c>
      <c r="W62" s="14" t="n">
        <f aca="false">P62-R62-V62</f>
        <v>1.38243194669485E-010</v>
      </c>
    </row>
    <row r="63" customFormat="false" ht="11.25" hidden="false" customHeight="false" outlineLevel="0" collapsed="false">
      <c r="A63" s="6" t="n">
        <f aca="false">+A62+365/12</f>
        <v>37513.1666666667</v>
      </c>
      <c r="B63" s="1" t="n">
        <v>30</v>
      </c>
      <c r="C63" s="27" t="n">
        <v>-0.07822652387775</v>
      </c>
      <c r="E63" s="28" t="n">
        <v>0.00949999999999962</v>
      </c>
      <c r="F63" s="1" t="n">
        <v>8730</v>
      </c>
      <c r="G63" s="1" t="n">
        <f aca="false">15795-5034</f>
        <v>10761</v>
      </c>
      <c r="H63" s="1" t="n">
        <f aca="false">20475-4966</f>
        <v>15509</v>
      </c>
      <c r="I63" s="1" t="n">
        <v>1880</v>
      </c>
      <c r="J63" s="1" t="n">
        <v>2295</v>
      </c>
      <c r="K63" s="1" t="n">
        <v>1036</v>
      </c>
      <c r="L63" s="1" t="n">
        <v>683</v>
      </c>
      <c r="M63" s="7" t="n">
        <f aca="false">F63+I63</f>
        <v>10610</v>
      </c>
      <c r="N63" s="7" t="n">
        <f aca="false">G63+J63+L63</f>
        <v>13739</v>
      </c>
      <c r="O63" s="7" t="n">
        <f aca="false">H63+K63</f>
        <v>16545</v>
      </c>
      <c r="P63" s="7" t="n">
        <f aca="false">SUM(M63:O63)</f>
        <v>40894</v>
      </c>
      <c r="Q63" s="7" t="n">
        <f aca="false">'Index Price Deals'!B63+'Index Price Deals'!C63+'Index Price Deals'!D63-'Prices&amp;Fuel'!AE63</f>
        <v>0</v>
      </c>
      <c r="R63" s="1" t="n">
        <f aca="false">('Long Term Deals'!BB63+'Long Term Deals'!BC63+'Long Term Deals'!BD63+'Long Term Deals'!BE63+'Long Term Deals'!BF63+'Long Term Deals'!BG63)*(1-'Prices&amp;Fuel'!F63)</f>
        <v>20999.9999999999</v>
      </c>
      <c r="S63" s="14" t="n">
        <f aca="false">P63-Q63-R63-V63</f>
        <v>1.38243194669485E-010</v>
      </c>
      <c r="T63" s="14" t="n">
        <f aca="false">((I63+J63+K63)*'Prices&amp;Fuel'!H63*'Prices&amp;Fuel'!L63)+('Prices&amp;Fuel'!N63*'Prices&amp;Fuel'!H63*Transport!L63)+(('Long Term Deals'!BB63+'Long Term Deals'!BC63+'Long Term Deals'!BD63)*'Prices&amp;Fuel'!H63*'Prices&amp;Fuel'!M63)</f>
        <v>410917.144457581</v>
      </c>
      <c r="U63" s="7" t="n">
        <f aca="false">S63*B63*'Prices&amp;Fuel'!M63</f>
        <v>3.06651054415852E-009</v>
      </c>
      <c r="V63" s="7" t="n">
        <f aca="false">29894-10000</f>
        <v>19894</v>
      </c>
      <c r="W63" s="14" t="n">
        <f aca="false">P63-R63-V63</f>
        <v>1.38243194669485E-010</v>
      </c>
    </row>
    <row r="64" customFormat="false" ht="11.25" hidden="false" customHeight="false" outlineLevel="0" collapsed="false">
      <c r="A64" s="6" t="n">
        <f aca="false">+A63+365/12</f>
        <v>37543.5833333333</v>
      </c>
      <c r="B64" s="1" t="n">
        <v>31</v>
      </c>
      <c r="C64" s="27" t="n">
        <v>-0.0827722475535686</v>
      </c>
      <c r="E64" s="28" t="n">
        <v>0.0145</v>
      </c>
      <c r="F64" s="1" t="n">
        <f aca="false">8730-0</f>
        <v>8730</v>
      </c>
      <c r="G64" s="1" t="n">
        <f aca="false">15795-5434</f>
        <v>10361</v>
      </c>
      <c r="H64" s="1" t="n">
        <f aca="false">20475-4566</f>
        <v>15909</v>
      </c>
      <c r="I64" s="1" t="n">
        <v>2830</v>
      </c>
      <c r="J64" s="1" t="n">
        <v>3500</v>
      </c>
      <c r="K64" s="1" t="n">
        <v>1521</v>
      </c>
      <c r="L64" s="1" t="n">
        <v>1001</v>
      </c>
      <c r="M64" s="7" t="n">
        <f aca="false">F64+I64</f>
        <v>11560</v>
      </c>
      <c r="N64" s="7" t="n">
        <f aca="false">G64+J64+L64</f>
        <v>14862</v>
      </c>
      <c r="O64" s="7" t="n">
        <f aca="false">H64+K64</f>
        <v>17430</v>
      </c>
      <c r="P64" s="7" t="n">
        <f aca="false">SUM(M64:O64)</f>
        <v>43852</v>
      </c>
      <c r="Q64" s="7" t="n">
        <f aca="false">'Index Price Deals'!B64+'Index Price Deals'!C64+'Index Price Deals'!D64-'Prices&amp;Fuel'!AE64</f>
        <v>0</v>
      </c>
      <c r="R64" s="1" t="n">
        <f aca="false">('Long Term Deals'!BB64+'Long Term Deals'!BC64+'Long Term Deals'!BD64+'Long Term Deals'!BE64+'Long Term Deals'!BF64+'Long Term Deals'!BG64)*(1-'Prices&amp;Fuel'!F64)</f>
        <v>20999.9999999998</v>
      </c>
      <c r="S64" s="14" t="n">
        <f aca="false">P64-Q64-R64-V64</f>
        <v>1.92812876775861E-010</v>
      </c>
      <c r="T64" s="14" t="n">
        <f aca="false">((I64+J64+K64)*'Prices&amp;Fuel'!H64*'Prices&amp;Fuel'!L64)+('Prices&amp;Fuel'!N64*'Prices&amp;Fuel'!H64*Transport!L64)+(('Long Term Deals'!BB64+'Long Term Deals'!BC64+'Long Term Deals'!BD64)*'Prices&amp;Fuel'!H64*'Prices&amp;Fuel'!M64)</f>
        <v>389309.874705394</v>
      </c>
      <c r="U64" s="7" t="n">
        <f aca="false">S64*B64*'Prices&amp;Fuel'!M64</f>
        <v>4.41954107373022E-009</v>
      </c>
      <c r="V64" s="7" t="n">
        <f aca="false">32852-10000</f>
        <v>22852</v>
      </c>
      <c r="W64" s="14" t="n">
        <f aca="false">P64-R64-V64</f>
        <v>1.92812876775861E-010</v>
      </c>
    </row>
    <row r="65" customFormat="false" ht="11.25" hidden="false" customHeight="false" outlineLevel="0" collapsed="false">
      <c r="A65" s="6" t="n">
        <f aca="false">+A64+365/12</f>
        <v>37574</v>
      </c>
      <c r="B65" s="1" t="n">
        <v>30</v>
      </c>
      <c r="C65" s="27" t="n">
        <v>-0.127744470742636</v>
      </c>
      <c r="E65" s="28" t="n">
        <v>0.0194999999999999</v>
      </c>
      <c r="F65" s="1" t="n">
        <f aca="false">7761-1128-1707</f>
        <v>4926</v>
      </c>
      <c r="G65" s="1" t="n">
        <f aca="false">14039-666-3474-4167</f>
        <v>5732</v>
      </c>
      <c r="H65" s="1" t="n">
        <f aca="false">18200-4732-4126</f>
        <v>9342</v>
      </c>
      <c r="I65" s="1" t="n">
        <v>2563</v>
      </c>
      <c r="J65" s="1" t="n">
        <v>2862</v>
      </c>
      <c r="K65" s="1" t="n">
        <v>1685</v>
      </c>
      <c r="L65" s="1" t="n">
        <v>683</v>
      </c>
      <c r="M65" s="7" t="n">
        <f aca="false">F65+I65</f>
        <v>7489</v>
      </c>
      <c r="N65" s="7" t="n">
        <f aca="false">G65+J65+L65</f>
        <v>9277</v>
      </c>
      <c r="O65" s="7" t="n">
        <f aca="false">H65+K65</f>
        <v>11027</v>
      </c>
      <c r="P65" s="7" t="n">
        <f aca="false">SUM(M65:O65)</f>
        <v>27793</v>
      </c>
      <c r="Q65" s="7" t="n">
        <f aca="false">'Index Price Deals'!B65+'Index Price Deals'!C65+'Index Price Deals'!D65-'Prices&amp;Fuel'!AE65</f>
        <v>0</v>
      </c>
      <c r="R65" s="1" t="n">
        <f aca="false">('Long Term Deals'!BB65+'Long Term Deals'!BC65+'Long Term Deals'!BD65+'Long Term Deals'!BE65+'Long Term Deals'!BF65+'Long Term Deals'!BG65)*(1-'Prices&amp;Fuel'!F65)</f>
        <v>12000</v>
      </c>
      <c r="S65" s="14" t="n">
        <f aca="false">P65-Q65-R65-V65</f>
        <v>0</v>
      </c>
      <c r="T65" s="14" t="n">
        <f aca="false">((I65+J65+K65)*'Prices&amp;Fuel'!H65*'Prices&amp;Fuel'!L65)+('Prices&amp;Fuel'!N65*'Prices&amp;Fuel'!H65*Transport!L65)+(('Long Term Deals'!BB65+'Long Term Deals'!BC65+'Long Term Deals'!BD65)*'Prices&amp;Fuel'!H65*'Prices&amp;Fuel'!M65)</f>
        <v>183699.920676093</v>
      </c>
      <c r="U65" s="7" t="n">
        <f aca="false">S65*B65*'Prices&amp;Fuel'!M65</f>
        <v>0</v>
      </c>
      <c r="V65" s="7" t="n">
        <f aca="false">35793-20000</f>
        <v>15793</v>
      </c>
      <c r="W65" s="14" t="n">
        <f aca="false">P65-R65-V65</f>
        <v>0</v>
      </c>
    </row>
    <row r="66" customFormat="false" ht="11.25" hidden="false" customHeight="false" outlineLevel="0" collapsed="false">
      <c r="A66" s="6" t="n">
        <f aca="false">+A65+365/12</f>
        <v>37604.4166666667</v>
      </c>
      <c r="B66" s="1" t="n">
        <v>31</v>
      </c>
      <c r="C66" s="27" t="n">
        <v>-0.162706972047877</v>
      </c>
      <c r="E66" s="28" t="n">
        <v>0.0245000000000002</v>
      </c>
      <c r="F66" s="1" t="n">
        <f aca="false">7761-1128-1707</f>
        <v>4926</v>
      </c>
      <c r="G66" s="1" t="n">
        <f aca="false">14039-666-3474-4167</f>
        <v>5732</v>
      </c>
      <c r="H66" s="1" t="n">
        <f aca="false">18200-4732-4126</f>
        <v>9342</v>
      </c>
      <c r="I66" s="1" t="n">
        <v>2563</v>
      </c>
      <c r="J66" s="1" t="n">
        <v>2862</v>
      </c>
      <c r="K66" s="1" t="n">
        <v>1685</v>
      </c>
      <c r="L66" s="1" t="n">
        <v>683</v>
      </c>
      <c r="M66" s="7" t="n">
        <f aca="false">F66+I66</f>
        <v>7489</v>
      </c>
      <c r="N66" s="7" t="n">
        <f aca="false">G66+J66+L66</f>
        <v>9277</v>
      </c>
      <c r="O66" s="7" t="n">
        <f aca="false">H66+K66</f>
        <v>11027</v>
      </c>
      <c r="P66" s="7" t="n">
        <f aca="false">SUM(M66:O66)</f>
        <v>27793</v>
      </c>
      <c r="Q66" s="7" t="n">
        <f aca="false">'Index Price Deals'!B66+'Index Price Deals'!C66+'Index Price Deals'!D66-'Prices&amp;Fuel'!AE66</f>
        <v>0</v>
      </c>
      <c r="R66" s="1" t="n">
        <f aca="false">('Long Term Deals'!BB66+'Long Term Deals'!BC66+'Long Term Deals'!BD66+'Long Term Deals'!BE66+'Long Term Deals'!BF66+'Long Term Deals'!BG66)*(1-'Prices&amp;Fuel'!F66)</f>
        <v>12000</v>
      </c>
      <c r="S66" s="14" t="n">
        <f aca="false">P66-Q66-R66-V66</f>
        <v>0</v>
      </c>
      <c r="T66" s="14" t="n">
        <f aca="false">((I66+J66+K66)*'Prices&amp;Fuel'!H66*'Prices&amp;Fuel'!L66)+('Prices&amp;Fuel'!N66*'Prices&amp;Fuel'!H66*Transport!L66)+(('Long Term Deals'!BB66+'Long Term Deals'!BC66+'Long Term Deals'!BD66)*'Prices&amp;Fuel'!H66*'Prices&amp;Fuel'!M66)</f>
        <v>189823.251365296</v>
      </c>
      <c r="U66" s="7" t="n">
        <f aca="false">S66*B66*'Prices&amp;Fuel'!M66</f>
        <v>0</v>
      </c>
      <c r="V66" s="7" t="n">
        <f aca="false">35793-20000</f>
        <v>15793</v>
      </c>
      <c r="W66" s="14" t="n">
        <f aca="false">P66-R66-V66</f>
        <v>0</v>
      </c>
    </row>
    <row r="67" customFormat="false" ht="11.25" hidden="false" customHeight="false" outlineLevel="0" collapsed="false">
      <c r="A67" s="6" t="n">
        <f aca="false">+A66+365/12</f>
        <v>37634.8333333333</v>
      </c>
      <c r="B67" s="1" t="n">
        <v>31</v>
      </c>
      <c r="C67" s="27" t="n">
        <v>-0.147690305961318</v>
      </c>
      <c r="E67" s="28" t="n">
        <v>0.0245000000000002</v>
      </c>
      <c r="F67" s="1" t="n">
        <f aca="false">7761-1128-1707</f>
        <v>4926</v>
      </c>
      <c r="G67" s="1" t="n">
        <f aca="false">14039-666-3474-4167</f>
        <v>5732</v>
      </c>
      <c r="H67" s="1" t="n">
        <f aca="false">18200-4732-4126</f>
        <v>9342</v>
      </c>
      <c r="I67" s="1" t="n">
        <v>2563</v>
      </c>
      <c r="J67" s="1" t="n">
        <v>2862</v>
      </c>
      <c r="K67" s="1" t="n">
        <v>1685</v>
      </c>
      <c r="L67" s="1" t="n">
        <v>683</v>
      </c>
      <c r="M67" s="7" t="n">
        <f aca="false">F67+I67</f>
        <v>7489</v>
      </c>
      <c r="N67" s="7" t="n">
        <f aca="false">G67+J67+L67</f>
        <v>9277</v>
      </c>
      <c r="O67" s="7" t="n">
        <f aca="false">H67+K67</f>
        <v>11027</v>
      </c>
      <c r="P67" s="7" t="n">
        <f aca="false">SUM(M67:O67)</f>
        <v>27793</v>
      </c>
      <c r="Q67" s="7" t="n">
        <f aca="false">'Index Price Deals'!B67+'Index Price Deals'!C67+'Index Price Deals'!D67-'Prices&amp;Fuel'!AE67</f>
        <v>0</v>
      </c>
      <c r="R67" s="1" t="n">
        <f aca="false">('Long Term Deals'!BB67+'Long Term Deals'!BC67+'Long Term Deals'!BD67+'Long Term Deals'!BE67+'Long Term Deals'!BF67+'Long Term Deals'!BG67)*(1-'Prices&amp;Fuel'!F67)</f>
        <v>12000</v>
      </c>
      <c r="S67" s="14" t="n">
        <f aca="false">P67-Q67-R67-V67</f>
        <v>0</v>
      </c>
      <c r="T67" s="14" t="n">
        <f aca="false">((I67+J67+K67)*'Prices&amp;Fuel'!H67*'Prices&amp;Fuel'!L67)+('Prices&amp;Fuel'!N67*'Prices&amp;Fuel'!H67*Transport!L67)+(('Long Term Deals'!BB67+'Long Term Deals'!BC67+'Long Term Deals'!BD67)*'Prices&amp;Fuel'!H67*'Prices&amp;Fuel'!M67)</f>
        <v>189278.254070257</v>
      </c>
      <c r="U67" s="7" t="n">
        <f aca="false">S67*B67*'Prices&amp;Fuel'!M67</f>
        <v>0</v>
      </c>
      <c r="V67" s="7" t="n">
        <f aca="false">35793-20000</f>
        <v>15793</v>
      </c>
      <c r="W67" s="14" t="n">
        <f aca="false">P67-R67-V67</f>
        <v>0</v>
      </c>
    </row>
    <row r="68" customFormat="false" ht="11.25" hidden="false" customHeight="false" outlineLevel="0" collapsed="false">
      <c r="A68" s="6" t="n">
        <f aca="false">+A67+365/12</f>
        <v>37665.25</v>
      </c>
      <c r="B68" s="1" t="n">
        <v>28</v>
      </c>
      <c r="C68" s="27" t="n">
        <v>-0.147718082772251</v>
      </c>
      <c r="E68" s="28" t="n">
        <v>0.0245000000000002</v>
      </c>
      <c r="F68" s="1" t="n">
        <f aca="false">7761-1128-1707</f>
        <v>4926</v>
      </c>
      <c r="G68" s="1" t="n">
        <f aca="false">14039-666-3474-4167</f>
        <v>5732</v>
      </c>
      <c r="H68" s="1" t="n">
        <f aca="false">18200-4732-4126</f>
        <v>9342</v>
      </c>
      <c r="I68" s="1" t="n">
        <v>2563</v>
      </c>
      <c r="J68" s="1" t="n">
        <v>2862</v>
      </c>
      <c r="K68" s="1" t="n">
        <v>1685</v>
      </c>
      <c r="L68" s="1" t="n">
        <v>683</v>
      </c>
      <c r="M68" s="7" t="n">
        <f aca="false">F68+I68</f>
        <v>7489</v>
      </c>
      <c r="N68" s="7" t="n">
        <f aca="false">G68+J68+L68</f>
        <v>9277</v>
      </c>
      <c r="O68" s="7" t="n">
        <f aca="false">H68+K68</f>
        <v>11027</v>
      </c>
      <c r="P68" s="7" t="n">
        <f aca="false">SUM(M68:O68)</f>
        <v>27793</v>
      </c>
      <c r="Q68" s="7" t="n">
        <f aca="false">'Index Price Deals'!B68+'Index Price Deals'!C68+'Index Price Deals'!D68-'Prices&amp;Fuel'!AE68</f>
        <v>0</v>
      </c>
      <c r="R68" s="1" t="n">
        <f aca="false">('Long Term Deals'!BB68+'Long Term Deals'!BC68+'Long Term Deals'!BD68+'Long Term Deals'!BE68+'Long Term Deals'!BF68+'Long Term Deals'!BG68)*(1-'Prices&amp;Fuel'!F68)</f>
        <v>12000</v>
      </c>
      <c r="S68" s="14" t="n">
        <f aca="false">P68-Q68-R68-V68</f>
        <v>0</v>
      </c>
      <c r="T68" s="14" t="n">
        <f aca="false">((I68+J68+K68)*'Prices&amp;Fuel'!H68*'Prices&amp;Fuel'!L68)+('Prices&amp;Fuel'!N68*'Prices&amp;Fuel'!H68*Transport!L68)+(('Long Term Deals'!BB68+'Long Term Deals'!BC68+'Long Term Deals'!BD68)*'Prices&amp;Fuel'!H68*'Prices&amp;Fuel'!M68)</f>
        <v>170961.003676361</v>
      </c>
      <c r="U68" s="7" t="n">
        <f aca="false">S68*B68*'Prices&amp;Fuel'!M68</f>
        <v>0</v>
      </c>
      <c r="V68" s="7" t="n">
        <f aca="false">35793-20000</f>
        <v>15793</v>
      </c>
      <c r="W68" s="14" t="n">
        <f aca="false">P68-R68-V68</f>
        <v>0</v>
      </c>
    </row>
    <row r="69" customFormat="false" ht="11.25" hidden="false" customHeight="false" outlineLevel="0" collapsed="false">
      <c r="A69" s="6" t="n">
        <f aca="false">+A68+365/12</f>
        <v>37695.6666666667</v>
      </c>
      <c r="B69" s="1" t="n">
        <v>31</v>
      </c>
      <c r="C69" s="27" t="n">
        <v>-0.122753845416326</v>
      </c>
      <c r="E69" s="28" t="n">
        <v>0.0195000000000003</v>
      </c>
      <c r="F69" s="1" t="n">
        <f aca="false">7761-1128-1707</f>
        <v>4926</v>
      </c>
      <c r="G69" s="1" t="n">
        <f aca="false">14039-666-3474-4167</f>
        <v>5732</v>
      </c>
      <c r="H69" s="1" t="n">
        <f aca="false">18200-4732-4126</f>
        <v>9342</v>
      </c>
      <c r="I69" s="1" t="n">
        <v>2563</v>
      </c>
      <c r="J69" s="1" t="n">
        <v>2862</v>
      </c>
      <c r="K69" s="1" t="n">
        <v>1685</v>
      </c>
      <c r="L69" s="1" t="n">
        <v>683</v>
      </c>
      <c r="M69" s="7" t="n">
        <f aca="false">F69+I69</f>
        <v>7489</v>
      </c>
      <c r="N69" s="7" t="n">
        <f aca="false">G69+J69+L69</f>
        <v>9277</v>
      </c>
      <c r="O69" s="7" t="n">
        <f aca="false">H69+K69</f>
        <v>11027</v>
      </c>
      <c r="P69" s="7" t="n">
        <f aca="false">SUM(M69:O69)</f>
        <v>27793</v>
      </c>
      <c r="Q69" s="7" t="n">
        <f aca="false">'Index Price Deals'!B69+'Index Price Deals'!C69+'Index Price Deals'!D69-'Prices&amp;Fuel'!AE69</f>
        <v>0</v>
      </c>
      <c r="R69" s="1" t="n">
        <f aca="false">('Long Term Deals'!BB69+'Long Term Deals'!BC69+'Long Term Deals'!BD69+'Long Term Deals'!BE69+'Long Term Deals'!BF69+'Long Term Deals'!BG69)*(1-'Prices&amp;Fuel'!F69)</f>
        <v>12000</v>
      </c>
      <c r="S69" s="14" t="n">
        <f aca="false">P69-Q69-R69-V69</f>
        <v>0</v>
      </c>
      <c r="T69" s="14" t="n">
        <f aca="false">((I69+J69+K69)*'Prices&amp;Fuel'!H69*'Prices&amp;Fuel'!L69)+('Prices&amp;Fuel'!N69*'Prices&amp;Fuel'!H69*Transport!L69)+(('Long Term Deals'!BB69+'Long Term Deals'!BC69+'Long Term Deals'!BD69)*'Prices&amp;Fuel'!H69*'Prices&amp;Fuel'!M69)</f>
        <v>189278.254070257</v>
      </c>
      <c r="U69" s="7" t="n">
        <f aca="false">S69*B69*'Prices&amp;Fuel'!M69</f>
        <v>0</v>
      </c>
      <c r="V69" s="7" t="n">
        <f aca="false">35793-20000</f>
        <v>15793</v>
      </c>
      <c r="W69" s="14" t="n">
        <f aca="false">P69-R69-V69</f>
        <v>0</v>
      </c>
    </row>
    <row r="70" customFormat="false" ht="11.25" hidden="false" customHeight="false" outlineLevel="0" collapsed="false">
      <c r="A70" s="6" t="n">
        <f aca="false">+A69+365/12</f>
        <v>37726.0833333333</v>
      </c>
      <c r="B70" s="1" t="n">
        <v>30</v>
      </c>
      <c r="C70" s="27" t="n">
        <v>-0.073270858713022</v>
      </c>
      <c r="E70" s="28" t="n">
        <v>0.00599999999999978</v>
      </c>
      <c r="F70" s="1" t="n">
        <f aca="false">7761-828</f>
        <v>6933</v>
      </c>
      <c r="G70" s="1" t="n">
        <f aca="false">14039-5241</f>
        <v>8798</v>
      </c>
      <c r="H70" s="1" t="n">
        <f aca="false">18200-3931</f>
        <v>14269</v>
      </c>
      <c r="I70" s="1" t="n">
        <v>1880</v>
      </c>
      <c r="J70" s="1" t="n">
        <v>2073</v>
      </c>
      <c r="K70" s="1" t="n">
        <v>1258</v>
      </c>
      <c r="L70" s="1" t="n">
        <v>683</v>
      </c>
      <c r="M70" s="7" t="n">
        <f aca="false">F70+I70</f>
        <v>8813</v>
      </c>
      <c r="N70" s="7" t="n">
        <f aca="false">G70+J70+L70</f>
        <v>11554</v>
      </c>
      <c r="O70" s="7" t="n">
        <f aca="false">H70+K70</f>
        <v>15527</v>
      </c>
      <c r="P70" s="7" t="n">
        <f aca="false">SUM(M70:O70)</f>
        <v>35894</v>
      </c>
      <c r="Q70" s="7" t="n">
        <f aca="false">'Index Price Deals'!B70+'Index Price Deals'!C70+'Index Price Deals'!D70-'Prices&amp;Fuel'!AE70</f>
        <v>0</v>
      </c>
      <c r="R70" s="1" t="n">
        <f aca="false">('Long Term Deals'!BB70+'Long Term Deals'!BC70+'Long Term Deals'!BD70+'Long Term Deals'!BE70+'Long Term Deals'!BF70+'Long Term Deals'!BG70)*(1-'Prices&amp;Fuel'!F70)</f>
        <v>12000</v>
      </c>
      <c r="S70" s="14" t="n">
        <f aca="false">P70-Q70-R70-V70</f>
        <v>0</v>
      </c>
      <c r="T70" s="14" t="n">
        <f aca="false">((I70+J70+K70)*'Prices&amp;Fuel'!H70*'Prices&amp;Fuel'!L70)+('Prices&amp;Fuel'!N70*'Prices&amp;Fuel'!H70*Transport!L70)+(('Long Term Deals'!BB70+'Long Term Deals'!BC70+'Long Term Deals'!BD70)*'Prices&amp;Fuel'!H70*'Prices&amp;Fuel'!M70)</f>
        <v>205234.958261636</v>
      </c>
      <c r="U70" s="7" t="n">
        <f aca="false">S70*B70*'Prices&amp;Fuel'!M70</f>
        <v>0</v>
      </c>
      <c r="V70" s="7" t="n">
        <f aca="false">33894-10000</f>
        <v>23894</v>
      </c>
      <c r="W70" s="14" t="n">
        <f aca="false">P70-R70-V70</f>
        <v>0</v>
      </c>
    </row>
    <row r="71" customFormat="false" ht="11.25" hidden="false" customHeight="false" outlineLevel="0" collapsed="false">
      <c r="A71" s="6" t="n">
        <f aca="false">+A70+365/12</f>
        <v>37756.5</v>
      </c>
      <c r="B71" s="1" t="n">
        <v>31</v>
      </c>
      <c r="C71" s="27" t="n">
        <v>-0.073725469003604</v>
      </c>
      <c r="E71" s="28" t="n">
        <v>0.00599999999999978</v>
      </c>
      <c r="F71" s="1" t="n">
        <v>8730</v>
      </c>
      <c r="G71" s="1" t="n">
        <f aca="false">15795-5034</f>
        <v>10761</v>
      </c>
      <c r="H71" s="1" t="n">
        <f aca="false">20475-4966</f>
        <v>15509</v>
      </c>
      <c r="I71" s="1" t="n">
        <v>1880</v>
      </c>
      <c r="J71" s="1" t="n">
        <v>2295</v>
      </c>
      <c r="K71" s="1" t="n">
        <v>1036</v>
      </c>
      <c r="L71" s="1" t="n">
        <v>683</v>
      </c>
      <c r="M71" s="7" t="n">
        <f aca="false">F71+I71</f>
        <v>10610</v>
      </c>
      <c r="N71" s="7" t="n">
        <f aca="false">G71+J71+L71</f>
        <v>13739</v>
      </c>
      <c r="O71" s="7" t="n">
        <f aca="false">H71+K71</f>
        <v>16545</v>
      </c>
      <c r="P71" s="7" t="n">
        <f aca="false">SUM(M71:O71)</f>
        <v>40894</v>
      </c>
      <c r="Q71" s="7" t="n">
        <f aca="false">'Index Price Deals'!B71+'Index Price Deals'!C71+'Index Price Deals'!D71-'Prices&amp;Fuel'!AE71</f>
        <v>0</v>
      </c>
      <c r="R71" s="1" t="n">
        <f aca="false">('Long Term Deals'!BB71+'Long Term Deals'!BC71+'Long Term Deals'!BD71+'Long Term Deals'!BE71+'Long Term Deals'!BF71+'Long Term Deals'!BG71)*(1-'Prices&amp;Fuel'!F71)</f>
        <v>20999.9999999999</v>
      </c>
      <c r="S71" s="14" t="n">
        <f aca="false">P71-Q71-R71-V71</f>
        <v>1.38243194669485E-010</v>
      </c>
      <c r="T71" s="14" t="n">
        <f aca="false">((I71+J71+K71)*'Prices&amp;Fuel'!H71*'Prices&amp;Fuel'!L71)+('Prices&amp;Fuel'!N71*'Prices&amp;Fuel'!H71*Transport!L71)+(('Long Term Deals'!BB71+'Long Term Deals'!BC71+'Long Term Deals'!BD71)*'Prices&amp;Fuel'!H71*'Prices&amp;Fuel'!M71)</f>
        <v>424202.190375067</v>
      </c>
      <c r="U71" s="7" t="n">
        <f aca="false">S71*B71*'Prices&amp;Fuel'!M71</f>
        <v>3.16872756229714E-009</v>
      </c>
      <c r="V71" s="7" t="n">
        <f aca="false">29894-10000</f>
        <v>19894</v>
      </c>
      <c r="W71" s="14" t="n">
        <f aca="false">P71-R71-V71</f>
        <v>1.38243194669485E-010</v>
      </c>
    </row>
    <row r="72" customFormat="false" ht="11.25" hidden="false" customHeight="false" outlineLevel="0" collapsed="false">
      <c r="A72" s="6" t="n">
        <f aca="false">+A71+365/12</f>
        <v>37786.9166666667</v>
      </c>
      <c r="B72" s="1" t="n">
        <v>30</v>
      </c>
      <c r="C72" s="27" t="n">
        <v>-0.0737248097072634</v>
      </c>
      <c r="E72" s="28" t="n">
        <v>0.00599999999999978</v>
      </c>
      <c r="F72" s="1" t="n">
        <v>8730</v>
      </c>
      <c r="G72" s="1" t="n">
        <f aca="false">15795-5034</f>
        <v>10761</v>
      </c>
      <c r="H72" s="1" t="n">
        <f aca="false">20475-4966</f>
        <v>15509</v>
      </c>
      <c r="I72" s="1" t="n">
        <v>1880</v>
      </c>
      <c r="J72" s="1" t="n">
        <v>2295</v>
      </c>
      <c r="K72" s="1" t="n">
        <v>1036</v>
      </c>
      <c r="L72" s="1" t="n">
        <v>683</v>
      </c>
      <c r="M72" s="7" t="n">
        <f aca="false">F72+I72</f>
        <v>10610</v>
      </c>
      <c r="N72" s="7" t="n">
        <f aca="false">G72+J72+L72</f>
        <v>13739</v>
      </c>
      <c r="O72" s="7" t="n">
        <f aca="false">H72+K72</f>
        <v>16545</v>
      </c>
      <c r="P72" s="7" t="n">
        <f aca="false">SUM(M72:O72)</f>
        <v>40894</v>
      </c>
      <c r="Q72" s="7" t="n">
        <f aca="false">'Index Price Deals'!B72+'Index Price Deals'!C72+'Index Price Deals'!D72-'Prices&amp;Fuel'!AE72</f>
        <v>0</v>
      </c>
      <c r="R72" s="1" t="n">
        <f aca="false">('Long Term Deals'!BB72+'Long Term Deals'!BC72+'Long Term Deals'!BD72+'Long Term Deals'!BE72+'Long Term Deals'!BF72+'Long Term Deals'!BG72)*(1-'Prices&amp;Fuel'!F72)</f>
        <v>20999.9999999999</v>
      </c>
      <c r="S72" s="14" t="n">
        <f aca="false">P72-Q72-R72-V72</f>
        <v>1.38243194669485E-010</v>
      </c>
      <c r="T72" s="14" t="n">
        <f aca="false">((I72+J72+K72)*'Prices&amp;Fuel'!H72*'Prices&amp;Fuel'!L72)+('Prices&amp;Fuel'!N72*'Prices&amp;Fuel'!H72*Transport!L72)+(('Long Term Deals'!BB72+'Long Term Deals'!BC72+'Long Term Deals'!BD72)*'Prices&amp;Fuel'!H72*'Prices&amp;Fuel'!M72)</f>
        <v>410518.248750065</v>
      </c>
      <c r="U72" s="7" t="n">
        <f aca="false">S72*B72*'Prices&amp;Fuel'!M72</f>
        <v>3.06651054415852E-009</v>
      </c>
      <c r="V72" s="7" t="n">
        <f aca="false">29894-10000</f>
        <v>19894</v>
      </c>
      <c r="W72" s="14" t="n">
        <f aca="false">P72-R72-V72</f>
        <v>1.38243194669485E-010</v>
      </c>
    </row>
    <row r="73" customFormat="false" ht="11.25" hidden="false" customHeight="false" outlineLevel="0" collapsed="false">
      <c r="A73" s="6" t="n">
        <f aca="false">+A72+365/12</f>
        <v>37817.3333333333</v>
      </c>
      <c r="B73" s="1" t="n">
        <v>31</v>
      </c>
      <c r="C73" s="27" t="n">
        <v>-0.0782244141294588</v>
      </c>
      <c r="E73" s="28" t="n">
        <v>0.00949999999999984</v>
      </c>
      <c r="F73" s="1" t="n">
        <v>8730</v>
      </c>
      <c r="G73" s="1" t="n">
        <f aca="false">15795-5034</f>
        <v>10761</v>
      </c>
      <c r="H73" s="1" t="n">
        <f aca="false">20475-4966</f>
        <v>15509</v>
      </c>
      <c r="I73" s="1" t="n">
        <v>1880</v>
      </c>
      <c r="J73" s="1" t="n">
        <v>2295</v>
      </c>
      <c r="K73" s="1" t="n">
        <v>1036</v>
      </c>
      <c r="L73" s="1" t="n">
        <v>683</v>
      </c>
      <c r="M73" s="7" t="n">
        <f aca="false">F73+I73</f>
        <v>10610</v>
      </c>
      <c r="N73" s="7" t="n">
        <f aca="false">G73+J73+L73</f>
        <v>13739</v>
      </c>
      <c r="O73" s="7" t="n">
        <f aca="false">H73+K73</f>
        <v>16545</v>
      </c>
      <c r="P73" s="7" t="n">
        <f aca="false">SUM(M73:O73)</f>
        <v>40894</v>
      </c>
      <c r="Q73" s="7" t="n">
        <f aca="false">'Index Price Deals'!B73+'Index Price Deals'!C73+'Index Price Deals'!D73-'Prices&amp;Fuel'!AE73</f>
        <v>0</v>
      </c>
      <c r="R73" s="1" t="n">
        <f aca="false">('Long Term Deals'!BB73+'Long Term Deals'!BC73+'Long Term Deals'!BD73+'Long Term Deals'!BE73+'Long Term Deals'!BF73+'Long Term Deals'!BG73)*(1-'Prices&amp;Fuel'!F73)</f>
        <v>20999.9999999999</v>
      </c>
      <c r="S73" s="14" t="n">
        <f aca="false">P73-Q73-R73-V73</f>
        <v>1.38243194669485E-010</v>
      </c>
      <c r="T73" s="14" t="n">
        <f aca="false">((I73+J73+K73)*'Prices&amp;Fuel'!H73*'Prices&amp;Fuel'!L73)+('Prices&amp;Fuel'!N73*'Prices&amp;Fuel'!H73*Transport!L73)+(('Long Term Deals'!BB73+'Long Term Deals'!BC73+'Long Term Deals'!BD73)*'Prices&amp;Fuel'!H73*'Prices&amp;Fuel'!M73)</f>
        <v>424202.190375067</v>
      </c>
      <c r="U73" s="7" t="n">
        <f aca="false">S73*B73*'Prices&amp;Fuel'!M73</f>
        <v>3.16872756229714E-009</v>
      </c>
      <c r="V73" s="7" t="n">
        <f aca="false">29894-10000</f>
        <v>19894</v>
      </c>
      <c r="W73" s="14" t="n">
        <f aca="false">P73-R73-V73</f>
        <v>1.38243194669485E-010</v>
      </c>
    </row>
    <row r="74" customFormat="false" ht="11.25" hidden="false" customHeight="false" outlineLevel="0" collapsed="false">
      <c r="A74" s="6" t="n">
        <f aca="false">+A73+365/12</f>
        <v>37847.75</v>
      </c>
      <c r="B74" s="1" t="n">
        <v>31</v>
      </c>
      <c r="C74" s="27" t="n">
        <v>-0.0782236229738493</v>
      </c>
      <c r="E74" s="28" t="n">
        <v>0.00949999999999962</v>
      </c>
      <c r="F74" s="1" t="n">
        <v>8730</v>
      </c>
      <c r="G74" s="1" t="n">
        <f aca="false">15795-5034</f>
        <v>10761</v>
      </c>
      <c r="H74" s="1" t="n">
        <f aca="false">20475-4966</f>
        <v>15509</v>
      </c>
      <c r="I74" s="1" t="n">
        <v>1880</v>
      </c>
      <c r="J74" s="1" t="n">
        <v>2295</v>
      </c>
      <c r="K74" s="1" t="n">
        <v>1036</v>
      </c>
      <c r="L74" s="1" t="n">
        <v>683</v>
      </c>
      <c r="M74" s="7" t="n">
        <f aca="false">F74+I74</f>
        <v>10610</v>
      </c>
      <c r="N74" s="7" t="n">
        <f aca="false">G74+J74+L74</f>
        <v>13739</v>
      </c>
      <c r="O74" s="7" t="n">
        <f aca="false">H74+K74</f>
        <v>16545</v>
      </c>
      <c r="P74" s="7" t="n">
        <f aca="false">SUM(M74:O74)</f>
        <v>40894</v>
      </c>
      <c r="Q74" s="7" t="n">
        <f aca="false">'Index Price Deals'!B74+'Index Price Deals'!C74+'Index Price Deals'!D74-'Prices&amp;Fuel'!AE74</f>
        <v>0</v>
      </c>
      <c r="R74" s="1" t="n">
        <f aca="false">('Long Term Deals'!BB74+'Long Term Deals'!BC74+'Long Term Deals'!BD74+'Long Term Deals'!BE74+'Long Term Deals'!BF74+'Long Term Deals'!BG74)*(1-'Prices&amp;Fuel'!F74)</f>
        <v>20999.9999999999</v>
      </c>
      <c r="S74" s="14" t="n">
        <f aca="false">P74-Q74-R74-V74</f>
        <v>1.38243194669485E-010</v>
      </c>
      <c r="T74" s="14" t="n">
        <f aca="false">((I74+J74+K74)*'Prices&amp;Fuel'!H74*'Prices&amp;Fuel'!L74)+('Prices&amp;Fuel'!N74*'Prices&amp;Fuel'!H74*Transport!L74)+(('Long Term Deals'!BB74+'Long Term Deals'!BC74+'Long Term Deals'!BD74)*'Prices&amp;Fuel'!H74*'Prices&amp;Fuel'!M74)</f>
        <v>424202.190375067</v>
      </c>
      <c r="U74" s="7" t="n">
        <f aca="false">S74*B74*'Prices&amp;Fuel'!M74</f>
        <v>3.16872756229714E-009</v>
      </c>
      <c r="V74" s="7" t="n">
        <f aca="false">29894-10000</f>
        <v>19894</v>
      </c>
      <c r="W74" s="14" t="n">
        <f aca="false">P74-R74-V74</f>
        <v>1.38243194669485E-010</v>
      </c>
    </row>
    <row r="75" customFormat="false" ht="11.25" hidden="false" customHeight="false" outlineLevel="0" collapsed="false">
      <c r="A75" s="6" t="n">
        <f aca="false">+A74+365/12</f>
        <v>37878.1666666667</v>
      </c>
      <c r="B75" s="1" t="n">
        <v>30</v>
      </c>
      <c r="C75" s="27" t="n">
        <v>-0.0782223043811672</v>
      </c>
      <c r="E75" s="28" t="n">
        <v>0.00949999999999962</v>
      </c>
      <c r="F75" s="1" t="n">
        <v>8730</v>
      </c>
      <c r="G75" s="1" t="n">
        <f aca="false">15795-5034</f>
        <v>10761</v>
      </c>
      <c r="H75" s="1" t="n">
        <f aca="false">20475-4966</f>
        <v>15509</v>
      </c>
      <c r="I75" s="1" t="n">
        <v>1880</v>
      </c>
      <c r="J75" s="1" t="n">
        <v>2295</v>
      </c>
      <c r="K75" s="1" t="n">
        <v>1036</v>
      </c>
      <c r="L75" s="1" t="n">
        <v>683</v>
      </c>
      <c r="M75" s="7" t="n">
        <f aca="false">F75+I75</f>
        <v>10610</v>
      </c>
      <c r="N75" s="7" t="n">
        <f aca="false">G75+J75+L75</f>
        <v>13739</v>
      </c>
      <c r="O75" s="7" t="n">
        <f aca="false">H75+K75</f>
        <v>16545</v>
      </c>
      <c r="P75" s="7" t="n">
        <f aca="false">SUM(M75:O75)</f>
        <v>40894</v>
      </c>
      <c r="Q75" s="7" t="n">
        <f aca="false">'Index Price Deals'!B75+'Index Price Deals'!C75+'Index Price Deals'!D75-'Prices&amp;Fuel'!AE75</f>
        <v>0</v>
      </c>
      <c r="R75" s="1" t="n">
        <f aca="false">('Long Term Deals'!BB75+'Long Term Deals'!BC75+'Long Term Deals'!BD75+'Long Term Deals'!BE75+'Long Term Deals'!BF75+'Long Term Deals'!BG75)*(1-'Prices&amp;Fuel'!F75)</f>
        <v>20999.9999999999</v>
      </c>
      <c r="S75" s="14" t="n">
        <f aca="false">P75-Q75-R75-V75</f>
        <v>1.38243194669485E-010</v>
      </c>
      <c r="T75" s="14" t="n">
        <f aca="false">((I75+J75+K75)*'Prices&amp;Fuel'!H75*'Prices&amp;Fuel'!L75)+('Prices&amp;Fuel'!N75*'Prices&amp;Fuel'!H75*Transport!L75)+(('Long Term Deals'!BB75+'Long Term Deals'!BC75+'Long Term Deals'!BD75)*'Prices&amp;Fuel'!H75*'Prices&amp;Fuel'!M75)</f>
        <v>410518.248750065</v>
      </c>
      <c r="U75" s="7" t="n">
        <f aca="false">S75*B75*'Prices&amp;Fuel'!M75</f>
        <v>3.06651054415852E-009</v>
      </c>
      <c r="V75" s="7" t="n">
        <f aca="false">29894-10000</f>
        <v>19894</v>
      </c>
      <c r="W75" s="14" t="n">
        <f aca="false">P75-R75-V75</f>
        <v>1.38243194669485E-010</v>
      </c>
    </row>
    <row r="76" customFormat="false" ht="11.25" hidden="false" customHeight="false" outlineLevel="0" collapsed="false">
      <c r="A76" s="6" t="n">
        <f aca="false">+A75+365/12</f>
        <v>37908.5833333333</v>
      </c>
      <c r="B76" s="1" t="n">
        <v>31</v>
      </c>
      <c r="C76" s="27" t="n">
        <v>-0.0827611368291956</v>
      </c>
      <c r="E76" s="28" t="n">
        <v>0.0145</v>
      </c>
      <c r="F76" s="1" t="n">
        <f aca="false">8730-0</f>
        <v>8730</v>
      </c>
      <c r="G76" s="1" t="n">
        <f aca="false">15795-5434</f>
        <v>10361</v>
      </c>
      <c r="H76" s="1" t="n">
        <f aca="false">20475-4566</f>
        <v>15909</v>
      </c>
      <c r="I76" s="1" t="n">
        <v>2830</v>
      </c>
      <c r="J76" s="1" t="n">
        <v>3500</v>
      </c>
      <c r="K76" s="1" t="n">
        <v>1521</v>
      </c>
      <c r="L76" s="1" t="n">
        <v>1001</v>
      </c>
      <c r="M76" s="7" t="n">
        <f aca="false">F76+I76</f>
        <v>11560</v>
      </c>
      <c r="N76" s="7" t="n">
        <f aca="false">G76+J76+L76</f>
        <v>14862</v>
      </c>
      <c r="O76" s="7" t="n">
        <f aca="false">H76+K76</f>
        <v>17430</v>
      </c>
      <c r="P76" s="7" t="n">
        <f aca="false">SUM(M76:O76)</f>
        <v>43852</v>
      </c>
      <c r="Q76" s="7" t="n">
        <f aca="false">'Index Price Deals'!B76+'Index Price Deals'!C76+'Index Price Deals'!D76-'Prices&amp;Fuel'!AE76</f>
        <v>0</v>
      </c>
      <c r="R76" s="1" t="n">
        <f aca="false">('Long Term Deals'!BB76+'Long Term Deals'!BC76+'Long Term Deals'!BD76+'Long Term Deals'!BE76+'Long Term Deals'!BF76+'Long Term Deals'!BG76)*(1-'Prices&amp;Fuel'!F76)</f>
        <v>20999.9999999998</v>
      </c>
      <c r="S76" s="14" t="n">
        <f aca="false">P76-Q76-R76-V76</f>
        <v>1.92812876775861E-010</v>
      </c>
      <c r="T76" s="14" t="n">
        <f aca="false">((I76+J76+K76)*'Prices&amp;Fuel'!H76*'Prices&amp;Fuel'!L76)+('Prices&amp;Fuel'!N76*'Prices&amp;Fuel'!H76*Transport!L76)+(('Long Term Deals'!BB76+'Long Term Deals'!BC76+'Long Term Deals'!BD76)*'Prices&amp;Fuel'!H76*'Prices&amp;Fuel'!M76)</f>
        <v>388690.817082439</v>
      </c>
      <c r="U76" s="7" t="n">
        <f aca="false">S76*B76*'Prices&amp;Fuel'!M76</f>
        <v>4.41954107373022E-009</v>
      </c>
      <c r="V76" s="7" t="n">
        <f aca="false">32852-10000</f>
        <v>22852</v>
      </c>
      <c r="W76" s="14" t="n">
        <f aca="false">P76-R76-V76</f>
        <v>1.92812876775861E-010</v>
      </c>
    </row>
    <row r="77" customFormat="false" ht="11.25" hidden="false" customHeight="false" outlineLevel="0" collapsed="false">
      <c r="A77" s="6" t="n">
        <f aca="false">+A76+365/12</f>
        <v>37939</v>
      </c>
      <c r="B77" s="1" t="n">
        <v>30</v>
      </c>
      <c r="C77" s="27" t="n">
        <v>-0.127733360018263</v>
      </c>
      <c r="E77" s="28" t="n">
        <v>0.0194999999999999</v>
      </c>
      <c r="F77" s="1" t="n">
        <f aca="false">7761-1128-1707</f>
        <v>4926</v>
      </c>
      <c r="G77" s="1" t="n">
        <f aca="false">14039-666-3474-4167</f>
        <v>5732</v>
      </c>
      <c r="H77" s="1" t="n">
        <f aca="false">18200-4732-4126</f>
        <v>9342</v>
      </c>
      <c r="I77" s="1" t="n">
        <v>2563</v>
      </c>
      <c r="J77" s="1" t="n">
        <v>2862</v>
      </c>
      <c r="K77" s="1" t="n">
        <v>1685</v>
      </c>
      <c r="L77" s="1" t="n">
        <v>683</v>
      </c>
      <c r="M77" s="7" t="n">
        <f aca="false">F77+I77</f>
        <v>7489</v>
      </c>
      <c r="N77" s="7" t="n">
        <f aca="false">G77+J77+L77</f>
        <v>9277</v>
      </c>
      <c r="O77" s="7" t="n">
        <f aca="false">H77+K77</f>
        <v>11027</v>
      </c>
      <c r="P77" s="7" t="n">
        <f aca="false">SUM(M77:O77)</f>
        <v>27793</v>
      </c>
      <c r="Q77" s="7" t="n">
        <f aca="false">'Index Price Deals'!B77+'Index Price Deals'!C77+'Index Price Deals'!D77-'Prices&amp;Fuel'!AE77</f>
        <v>0</v>
      </c>
      <c r="R77" s="1" t="n">
        <f aca="false">('Long Term Deals'!BB77+'Long Term Deals'!BC77+'Long Term Deals'!BD77+'Long Term Deals'!BE77+'Long Term Deals'!BF77+'Long Term Deals'!BG77)*(1-'Prices&amp;Fuel'!F77)</f>
        <v>12000</v>
      </c>
      <c r="S77" s="14" t="n">
        <f aca="false">P77-Q77-R77-V77</f>
        <v>0</v>
      </c>
      <c r="T77" s="14" t="n">
        <f aca="false">((I77+J77+K77)*'Prices&amp;Fuel'!H77*'Prices&amp;Fuel'!L77)+('Prices&amp;Fuel'!N77*'Prices&amp;Fuel'!H77*Transport!L77)+(('Long Term Deals'!BB77+'Long Term Deals'!BC77+'Long Term Deals'!BD77)*'Prices&amp;Fuel'!H77*'Prices&amp;Fuel'!M77)</f>
        <v>183172.503938958</v>
      </c>
      <c r="U77" s="7" t="n">
        <f aca="false">S77*B77*'Prices&amp;Fuel'!M77</f>
        <v>0</v>
      </c>
      <c r="V77" s="7" t="n">
        <f aca="false">35793-20000</f>
        <v>15793</v>
      </c>
      <c r="W77" s="14" t="n">
        <f aca="false">P77-R77-V77</f>
        <v>0</v>
      </c>
    </row>
    <row r="78" customFormat="false" ht="11.25" hidden="false" customHeight="false" outlineLevel="0" collapsed="false">
      <c r="A78" s="6" t="n">
        <f aca="false">+A77+365/12</f>
        <v>37969.4166666667</v>
      </c>
      <c r="B78" s="1" t="n">
        <v>31</v>
      </c>
      <c r="C78" s="27" t="n">
        <v>-0.162695861323505</v>
      </c>
      <c r="E78" s="28" t="n">
        <v>0.0245000000000002</v>
      </c>
      <c r="F78" s="1" t="n">
        <f aca="false">7761-1128-1707</f>
        <v>4926</v>
      </c>
      <c r="G78" s="1" t="n">
        <f aca="false">14039-666-3474-4167</f>
        <v>5732</v>
      </c>
      <c r="H78" s="1" t="n">
        <f aca="false">18200-4732-4126</f>
        <v>9342</v>
      </c>
      <c r="I78" s="1" t="n">
        <v>2563</v>
      </c>
      <c r="J78" s="1" t="n">
        <v>2862</v>
      </c>
      <c r="K78" s="1" t="n">
        <v>1685</v>
      </c>
      <c r="L78" s="1" t="n">
        <v>683</v>
      </c>
      <c r="M78" s="7" t="n">
        <f aca="false">F78+I78</f>
        <v>7489</v>
      </c>
      <c r="N78" s="7" t="n">
        <f aca="false">G78+J78+L78</f>
        <v>9277</v>
      </c>
      <c r="O78" s="7" t="n">
        <f aca="false">H78+K78</f>
        <v>11027</v>
      </c>
      <c r="P78" s="7" t="n">
        <f aca="false">SUM(M78:O78)</f>
        <v>27793</v>
      </c>
      <c r="Q78" s="7" t="n">
        <f aca="false">'Index Price Deals'!B78+'Index Price Deals'!C78+'Index Price Deals'!D78-'Prices&amp;Fuel'!AE78</f>
        <v>0</v>
      </c>
      <c r="R78" s="1" t="n">
        <f aca="false">('Long Term Deals'!BB78+'Long Term Deals'!BC78+'Long Term Deals'!BD78+'Long Term Deals'!BE78+'Long Term Deals'!BF78+'Long Term Deals'!BG78)*(1-'Prices&amp;Fuel'!F78)</f>
        <v>12000</v>
      </c>
      <c r="S78" s="14" t="n">
        <f aca="false">P78-Q78-R78-V78</f>
        <v>0</v>
      </c>
      <c r="T78" s="14" t="n">
        <f aca="false">((I78+J78+K78)*'Prices&amp;Fuel'!H78*'Prices&amp;Fuel'!L78)+('Prices&amp;Fuel'!N78*'Prices&amp;Fuel'!H78*Transport!L78)+(('Long Term Deals'!BB78+'Long Term Deals'!BC78+'Long Term Deals'!BD78)*'Prices&amp;Fuel'!H78*'Prices&amp;Fuel'!M78)</f>
        <v>189278.254070257</v>
      </c>
      <c r="U78" s="7" t="n">
        <f aca="false">S78*B78*'Prices&amp;Fuel'!M78</f>
        <v>0</v>
      </c>
      <c r="V78" s="7" t="n">
        <f aca="false">35793-20000</f>
        <v>15793</v>
      </c>
      <c r="W78" s="14" t="n">
        <f aca="false">P78-R78-V78</f>
        <v>0</v>
      </c>
    </row>
    <row r="79" customFormat="false" ht="11.25" hidden="false" customHeight="false" outlineLevel="0" collapsed="false">
      <c r="A79" s="6" t="n">
        <f aca="false">+A78+365/12</f>
        <v>37999.8333333333</v>
      </c>
      <c r="B79" s="1" t="n">
        <v>31</v>
      </c>
      <c r="C79" s="27" t="n">
        <v>-0.147679195236945</v>
      </c>
      <c r="E79" s="28" t="n">
        <v>0.0245000000000002</v>
      </c>
      <c r="F79" s="1" t="n">
        <f aca="false">7761-1128-1707</f>
        <v>4926</v>
      </c>
      <c r="G79" s="1" t="n">
        <f aca="false">14039-666-3474-4167</f>
        <v>5732</v>
      </c>
      <c r="H79" s="1" t="n">
        <f aca="false">18200-4732-4126</f>
        <v>9342</v>
      </c>
      <c r="I79" s="1" t="n">
        <v>2563</v>
      </c>
      <c r="J79" s="1" t="n">
        <v>2862</v>
      </c>
      <c r="K79" s="1" t="n">
        <v>1685</v>
      </c>
      <c r="L79" s="1" t="n">
        <v>683</v>
      </c>
      <c r="M79" s="7" t="n">
        <f aca="false">F79+I79</f>
        <v>7489</v>
      </c>
      <c r="N79" s="7" t="n">
        <f aca="false">G79+J79+L79</f>
        <v>9277</v>
      </c>
      <c r="O79" s="7" t="n">
        <f aca="false">H79+K79</f>
        <v>11027</v>
      </c>
      <c r="P79" s="7" t="n">
        <f aca="false">SUM(M79:O79)</f>
        <v>27793</v>
      </c>
      <c r="Q79" s="7" t="n">
        <f aca="false">'Index Price Deals'!B79+'Index Price Deals'!C79+'Index Price Deals'!D79-'Prices&amp;Fuel'!AE79</f>
        <v>0</v>
      </c>
      <c r="R79" s="1" t="n">
        <f aca="false">('Long Term Deals'!BB79+'Long Term Deals'!BC79+'Long Term Deals'!BD79+'Long Term Deals'!BE79+'Long Term Deals'!BF79+'Long Term Deals'!BG79)*(1-'Prices&amp;Fuel'!F79)</f>
        <v>12000</v>
      </c>
      <c r="S79" s="14" t="n">
        <f aca="false">P79-Q79-R79-V79</f>
        <v>0</v>
      </c>
      <c r="T79" s="14" t="n">
        <f aca="false">((I79+J79+K79)*'Prices&amp;Fuel'!H79*'Prices&amp;Fuel'!L79)+('Prices&amp;Fuel'!N79*'Prices&amp;Fuel'!H79*Transport!L79)+(('Long Term Deals'!BB79+'Long Term Deals'!BC79+'Long Term Deals'!BD79)*'Prices&amp;Fuel'!H79*'Prices&amp;Fuel'!M79)</f>
        <v>188661.37160239</v>
      </c>
      <c r="U79" s="7" t="n">
        <f aca="false">S79*B79*'Prices&amp;Fuel'!M79</f>
        <v>0</v>
      </c>
      <c r="V79" s="7" t="n">
        <f aca="false">35793-20000</f>
        <v>15793</v>
      </c>
      <c r="W79" s="14" t="n">
        <f aca="false">P79-R79-V79</f>
        <v>0</v>
      </c>
    </row>
    <row r="80" customFormat="false" ht="11.25" hidden="false" customHeight="false" outlineLevel="0" collapsed="false">
      <c r="A80" s="6" t="n">
        <f aca="false">+A79+365/12</f>
        <v>38030.25</v>
      </c>
      <c r="B80" s="1" t="n">
        <v>29</v>
      </c>
      <c r="C80" s="27" t="n">
        <v>-0.147706972047878</v>
      </c>
      <c r="E80" s="28" t="n">
        <v>0.0245000000000002</v>
      </c>
      <c r="F80" s="1" t="n">
        <f aca="false">7761-1128-1707</f>
        <v>4926</v>
      </c>
      <c r="G80" s="1" t="n">
        <f aca="false">14039-666-3474-4167</f>
        <v>5732</v>
      </c>
      <c r="H80" s="1" t="n">
        <f aca="false">18200-4732-4126</f>
        <v>9342</v>
      </c>
      <c r="I80" s="1" t="n">
        <v>2563</v>
      </c>
      <c r="J80" s="1" t="n">
        <v>2862</v>
      </c>
      <c r="K80" s="1" t="n">
        <v>1685</v>
      </c>
      <c r="L80" s="1" t="n">
        <v>683</v>
      </c>
      <c r="M80" s="7" t="n">
        <f aca="false">F80+I80</f>
        <v>7489</v>
      </c>
      <c r="N80" s="7" t="n">
        <f aca="false">G80+J80+L80</f>
        <v>9277</v>
      </c>
      <c r="O80" s="7" t="n">
        <f aca="false">H80+K80</f>
        <v>11027</v>
      </c>
      <c r="P80" s="7" t="n">
        <f aca="false">SUM(M80:O80)</f>
        <v>27793</v>
      </c>
      <c r="Q80" s="7" t="n">
        <f aca="false">'Index Price Deals'!B80+'Index Price Deals'!C80+'Index Price Deals'!D80-'Prices&amp;Fuel'!AE80</f>
        <v>0</v>
      </c>
      <c r="R80" s="1" t="n">
        <f aca="false">('Long Term Deals'!BB80+'Long Term Deals'!BC80+'Long Term Deals'!BD80+'Long Term Deals'!BE80+'Long Term Deals'!BF80+'Long Term Deals'!BG80)*(1-'Prices&amp;Fuel'!F80)</f>
        <v>12000</v>
      </c>
      <c r="S80" s="14" t="n">
        <f aca="false">P80-Q80-R80-V80</f>
        <v>0</v>
      </c>
      <c r="T80" s="14" t="n">
        <f aca="false">((I80+J80+K80)*'Prices&amp;Fuel'!H80*'Prices&amp;Fuel'!L80)+('Prices&amp;Fuel'!N80*'Prices&amp;Fuel'!H80*Transport!L80)+(('Long Term Deals'!BB80+'Long Term Deals'!BC80+'Long Term Deals'!BD80)*'Prices&amp;Fuel'!H80*'Prices&amp;Fuel'!M80)</f>
        <v>176489.670208688</v>
      </c>
      <c r="U80" s="7" t="n">
        <f aca="false">S80*B80*'Prices&amp;Fuel'!M80</f>
        <v>0</v>
      </c>
      <c r="V80" s="7" t="n">
        <f aca="false">35793-20000</f>
        <v>15793</v>
      </c>
      <c r="W80" s="14" t="n">
        <f aca="false">P80-R80-V80</f>
        <v>0</v>
      </c>
    </row>
    <row r="81" customFormat="false" ht="11.25" hidden="false" customHeight="false" outlineLevel="0" collapsed="false">
      <c r="A81" s="6" t="n">
        <f aca="false">+A80+365/12</f>
        <v>38060.6666666667</v>
      </c>
      <c r="B81" s="1" t="n">
        <v>31</v>
      </c>
      <c r="C81" s="27" t="n">
        <v>-0.122742734691953</v>
      </c>
      <c r="E81" s="28" t="n">
        <v>0.0195000000000003</v>
      </c>
      <c r="F81" s="1" t="n">
        <f aca="false">7761-1128-1707</f>
        <v>4926</v>
      </c>
      <c r="G81" s="1" t="n">
        <f aca="false">14039-666-3474-4167</f>
        <v>5732</v>
      </c>
      <c r="H81" s="1" t="n">
        <f aca="false">18200-4732-4126</f>
        <v>9342</v>
      </c>
      <c r="I81" s="1" t="n">
        <v>2563</v>
      </c>
      <c r="J81" s="1" t="n">
        <v>2862</v>
      </c>
      <c r="K81" s="1" t="n">
        <v>1685</v>
      </c>
      <c r="L81" s="1" t="n">
        <v>683</v>
      </c>
      <c r="M81" s="7" t="n">
        <f aca="false">F81+I81</f>
        <v>7489</v>
      </c>
      <c r="N81" s="7" t="n">
        <f aca="false">G81+J81+L81</f>
        <v>9277</v>
      </c>
      <c r="O81" s="7" t="n">
        <f aca="false">H81+K81</f>
        <v>11027</v>
      </c>
      <c r="P81" s="7" t="n">
        <f aca="false">SUM(M81:O81)</f>
        <v>27793</v>
      </c>
      <c r="Q81" s="7" t="n">
        <f aca="false">'Index Price Deals'!B81+'Index Price Deals'!C81+'Index Price Deals'!D81-'Prices&amp;Fuel'!AE81</f>
        <v>0</v>
      </c>
      <c r="R81" s="1" t="n">
        <f aca="false">('Long Term Deals'!BB81+'Long Term Deals'!BC81+'Long Term Deals'!BD81+'Long Term Deals'!BE81+'Long Term Deals'!BF81+'Long Term Deals'!BG81)*(1-'Prices&amp;Fuel'!F81)</f>
        <v>12000</v>
      </c>
      <c r="S81" s="14" t="n">
        <f aca="false">P81-Q81-R81-V81</f>
        <v>0</v>
      </c>
      <c r="T81" s="14" t="n">
        <f aca="false">((I81+J81+K81)*'Prices&amp;Fuel'!H81*'Prices&amp;Fuel'!L81)+('Prices&amp;Fuel'!N81*'Prices&amp;Fuel'!H81*Transport!L81)+(('Long Term Deals'!BB81+'Long Term Deals'!BC81+'Long Term Deals'!BD81)*'Prices&amp;Fuel'!H81*'Prices&amp;Fuel'!M81)</f>
        <v>188661.37160239</v>
      </c>
      <c r="U81" s="7" t="n">
        <f aca="false">S81*B81*'Prices&amp;Fuel'!M81</f>
        <v>0</v>
      </c>
      <c r="V81" s="7" t="n">
        <f aca="false">35793-20000</f>
        <v>15793</v>
      </c>
      <c r="W81" s="14" t="n">
        <f aca="false">P81-R81-V81</f>
        <v>0</v>
      </c>
    </row>
    <row r="82" customFormat="false" ht="11.25" hidden="false" customHeight="false" outlineLevel="0" collapsed="false">
      <c r="A82" s="6" t="n">
        <f aca="false">+A81+365/12</f>
        <v>38091.0833333333</v>
      </c>
      <c r="B82" s="1" t="n">
        <v>30</v>
      </c>
      <c r="C82" s="27" t="n">
        <v>-0.0732597479886494</v>
      </c>
      <c r="E82" s="28" t="n">
        <v>0.00599999999999978</v>
      </c>
      <c r="F82" s="1" t="n">
        <f aca="false">7761-828</f>
        <v>6933</v>
      </c>
      <c r="G82" s="1" t="n">
        <f aca="false">14039-5241</f>
        <v>8798</v>
      </c>
      <c r="H82" s="1" t="n">
        <f aca="false">18200-3931</f>
        <v>14269</v>
      </c>
      <c r="I82" s="1" t="n">
        <v>1880</v>
      </c>
      <c r="J82" s="1" t="n">
        <v>2073</v>
      </c>
      <c r="K82" s="1" t="n">
        <v>1258</v>
      </c>
      <c r="L82" s="1" t="n">
        <v>683</v>
      </c>
      <c r="M82" s="7" t="n">
        <f aca="false">F82+I82</f>
        <v>8813</v>
      </c>
      <c r="N82" s="7" t="n">
        <f aca="false">G82+J82+L82</f>
        <v>11554</v>
      </c>
      <c r="O82" s="7" t="n">
        <f aca="false">H82+K82</f>
        <v>15527</v>
      </c>
      <c r="P82" s="7" t="n">
        <f aca="false">SUM(M82:O82)</f>
        <v>35894</v>
      </c>
      <c r="Q82" s="7" t="n">
        <f aca="false">'Index Price Deals'!B82+'Index Price Deals'!C82+'Index Price Deals'!D82-'Prices&amp;Fuel'!AE82</f>
        <v>0</v>
      </c>
      <c r="R82" s="1" t="n">
        <f aca="false">('Long Term Deals'!BB82+'Long Term Deals'!BC82+'Long Term Deals'!BD82+'Long Term Deals'!BE82+'Long Term Deals'!BF82+'Long Term Deals'!BG82)*(1-'Prices&amp;Fuel'!F82)</f>
        <v>12000</v>
      </c>
      <c r="S82" s="14" t="n">
        <f aca="false">P82-Q82-R82-V82</f>
        <v>0</v>
      </c>
      <c r="T82" s="14" t="n">
        <f aca="false">((I82+J82+K82)*'Prices&amp;Fuel'!H82*'Prices&amp;Fuel'!L82)+('Prices&amp;Fuel'!N82*'Prices&amp;Fuel'!H82*Transport!L82)+(('Long Term Deals'!BB82+'Long Term Deals'!BC82+'Long Term Deals'!BD82)*'Prices&amp;Fuel'!H82*'Prices&amp;Fuel'!M82)</f>
        <v>204368.502734644</v>
      </c>
      <c r="U82" s="7" t="n">
        <f aca="false">S82*B82*'Prices&amp;Fuel'!M82</f>
        <v>0</v>
      </c>
      <c r="V82" s="7" t="n">
        <f aca="false">33894-10000</f>
        <v>23894</v>
      </c>
      <c r="W82" s="14" t="n">
        <f aca="false">P82-R82-V82</f>
        <v>0</v>
      </c>
    </row>
    <row r="83" customFormat="false" ht="11.25" hidden="false" customHeight="false" outlineLevel="0" collapsed="false">
      <c r="A83" s="6" t="n">
        <f aca="false">+A82+365/12</f>
        <v>38121.5</v>
      </c>
      <c r="B83" s="1" t="n">
        <v>31</v>
      </c>
      <c r="C83" s="27" t="n">
        <v>-0.0737212495070221</v>
      </c>
      <c r="E83" s="28" t="n">
        <v>0.00599999999999978</v>
      </c>
      <c r="F83" s="1" t="n">
        <v>8730</v>
      </c>
      <c r="G83" s="1" t="n">
        <f aca="false">15795-5034</f>
        <v>10761</v>
      </c>
      <c r="H83" s="1" t="n">
        <f aca="false">20475-4966</f>
        <v>15509</v>
      </c>
      <c r="I83" s="1" t="n">
        <v>1880</v>
      </c>
      <c r="J83" s="1" t="n">
        <v>2295</v>
      </c>
      <c r="K83" s="1" t="n">
        <v>1036</v>
      </c>
      <c r="L83" s="1" t="n">
        <v>683</v>
      </c>
      <c r="M83" s="7" t="n">
        <f aca="false">F83+I83</f>
        <v>10610</v>
      </c>
      <c r="N83" s="7" t="n">
        <f aca="false">G83+J83+L83</f>
        <v>13739</v>
      </c>
      <c r="O83" s="7" t="n">
        <f aca="false">H83+K83</f>
        <v>16545</v>
      </c>
      <c r="P83" s="7" t="n">
        <f aca="false">SUM(M83:O83)</f>
        <v>40894</v>
      </c>
      <c r="Q83" s="7" t="n">
        <f aca="false">'Index Price Deals'!B83+'Index Price Deals'!C83+'Index Price Deals'!D83-'Prices&amp;Fuel'!AE83</f>
        <v>0</v>
      </c>
      <c r="R83" s="1" t="n">
        <f aca="false">('Long Term Deals'!BB83+'Long Term Deals'!BC83+'Long Term Deals'!BD83+'Long Term Deals'!BE83+'Long Term Deals'!BF83+'Long Term Deals'!BG83)*(1-'Prices&amp;Fuel'!F83)</f>
        <v>20999.9999999999</v>
      </c>
      <c r="S83" s="14" t="n">
        <f aca="false">P83-Q83-R83-V83</f>
        <v>1.38243194669485E-010</v>
      </c>
      <c r="T83" s="14" t="n">
        <f aca="false">((I83+J83+K83)*'Prices&amp;Fuel'!H83*'Prices&amp;Fuel'!L83)+('Prices&amp;Fuel'!N83*'Prices&amp;Fuel'!H83*Transport!L83)+(('Long Term Deals'!BB83+'Long Term Deals'!BC83+'Long Term Deals'!BD83)*'Prices&amp;Fuel'!H83*'Prices&amp;Fuel'!M83)</f>
        <v>421987.161480465</v>
      </c>
      <c r="U83" s="7" t="n">
        <f aca="false">S83*B83*'Prices&amp;Fuel'!M83</f>
        <v>3.14901408273727E-009</v>
      </c>
      <c r="V83" s="7" t="n">
        <f aca="false">29894-10000</f>
        <v>19894</v>
      </c>
      <c r="W83" s="14" t="n">
        <f aca="false">P83-R83-V83</f>
        <v>1.38243194669485E-010</v>
      </c>
    </row>
    <row r="84" customFormat="false" ht="11.25" hidden="false" customHeight="false" outlineLevel="0" collapsed="false">
      <c r="A84" s="6" t="n">
        <f aca="false">+A83+365/12</f>
        <v>38151.9166666667</v>
      </c>
      <c r="B84" s="1" t="n">
        <v>30</v>
      </c>
      <c r="C84" s="27" t="n">
        <v>-0.0737205902106815</v>
      </c>
      <c r="E84" s="28" t="n">
        <v>0.00599999999999978</v>
      </c>
      <c r="F84" s="1" t="n">
        <v>8730</v>
      </c>
      <c r="G84" s="1" t="n">
        <f aca="false">15795-5034</f>
        <v>10761</v>
      </c>
      <c r="H84" s="1" t="n">
        <f aca="false">20475-4966</f>
        <v>15509</v>
      </c>
      <c r="I84" s="1" t="n">
        <v>1880</v>
      </c>
      <c r="J84" s="1" t="n">
        <v>2295</v>
      </c>
      <c r="K84" s="1" t="n">
        <v>1036</v>
      </c>
      <c r="L84" s="1" t="n">
        <v>683</v>
      </c>
      <c r="M84" s="7" t="n">
        <f aca="false">F84+I84</f>
        <v>10610</v>
      </c>
      <c r="N84" s="7" t="n">
        <f aca="false">G84+J84+L84</f>
        <v>13739</v>
      </c>
      <c r="O84" s="7" t="n">
        <f aca="false">H84+K84</f>
        <v>16545</v>
      </c>
      <c r="P84" s="7" t="n">
        <f aca="false">SUM(M84:O84)</f>
        <v>40894</v>
      </c>
      <c r="Q84" s="7" t="n">
        <f aca="false">'Index Price Deals'!B84+'Index Price Deals'!C84+'Index Price Deals'!D84-'Prices&amp;Fuel'!AE84</f>
        <v>0</v>
      </c>
      <c r="R84" s="1" t="n">
        <f aca="false">('Long Term Deals'!BB84+'Long Term Deals'!BC84+'Long Term Deals'!BD84+'Long Term Deals'!BE84+'Long Term Deals'!BF84+'Long Term Deals'!BG84)*(1-'Prices&amp;Fuel'!F84)</f>
        <v>20999.9999999999</v>
      </c>
      <c r="S84" s="14" t="n">
        <f aca="false">P84-Q84-R84-V84</f>
        <v>1.38243194669485E-010</v>
      </c>
      <c r="T84" s="14" t="n">
        <f aca="false">((I84+J84+K84)*'Prices&amp;Fuel'!H84*'Prices&amp;Fuel'!L84)+('Prices&amp;Fuel'!N84*'Prices&amp;Fuel'!H84*Transport!L84)+(('Long Term Deals'!BB84+'Long Term Deals'!BC84+'Long Term Deals'!BD84)*'Prices&amp;Fuel'!H84*'Prices&amp;Fuel'!M84)</f>
        <v>408374.67240045</v>
      </c>
      <c r="U84" s="7" t="n">
        <f aca="false">S84*B84*'Prices&amp;Fuel'!M84</f>
        <v>3.04743298329413E-009</v>
      </c>
      <c r="V84" s="7" t="n">
        <f aca="false">29894-10000</f>
        <v>19894</v>
      </c>
      <c r="W84" s="14" t="n">
        <f aca="false">P84-R84-V84</f>
        <v>1.38243194669485E-010</v>
      </c>
    </row>
    <row r="85" customFormat="false" ht="11.25" hidden="false" customHeight="false" outlineLevel="0" collapsed="false">
      <c r="A85" s="6" t="n">
        <f aca="false">+A84+365/12</f>
        <v>38182.3333333333</v>
      </c>
      <c r="B85" s="1" t="n">
        <v>31</v>
      </c>
      <c r="C85" s="27" t="n">
        <v>-0.078220194632876</v>
      </c>
      <c r="E85" s="28" t="n">
        <v>0.00949999999999984</v>
      </c>
      <c r="F85" s="1" t="n">
        <v>8730</v>
      </c>
      <c r="G85" s="1" t="n">
        <f aca="false">15795-5034</f>
        <v>10761</v>
      </c>
      <c r="H85" s="1" t="n">
        <f aca="false">20475-4966</f>
        <v>15509</v>
      </c>
      <c r="I85" s="1" t="n">
        <v>1880</v>
      </c>
      <c r="J85" s="1" t="n">
        <v>2295</v>
      </c>
      <c r="K85" s="1" t="n">
        <v>1036</v>
      </c>
      <c r="L85" s="1" t="n">
        <v>683</v>
      </c>
      <c r="M85" s="7" t="n">
        <f aca="false">F85+I85</f>
        <v>10610</v>
      </c>
      <c r="N85" s="7" t="n">
        <f aca="false">G85+J85+L85</f>
        <v>13739</v>
      </c>
      <c r="O85" s="7" t="n">
        <f aca="false">H85+K85</f>
        <v>16545</v>
      </c>
      <c r="P85" s="7" t="n">
        <f aca="false">SUM(M85:O85)</f>
        <v>40894</v>
      </c>
      <c r="Q85" s="7" t="n">
        <f aca="false">'Index Price Deals'!B85+'Index Price Deals'!C85+'Index Price Deals'!D85-'Prices&amp;Fuel'!AE85</f>
        <v>0</v>
      </c>
      <c r="R85" s="1" t="n">
        <f aca="false">('Long Term Deals'!BB85+'Long Term Deals'!BC85+'Long Term Deals'!BD85+'Long Term Deals'!BE85+'Long Term Deals'!BF85+'Long Term Deals'!BG85)*(1-'Prices&amp;Fuel'!F85)</f>
        <v>20999.9999999999</v>
      </c>
      <c r="S85" s="14" t="n">
        <f aca="false">P85-Q85-R85-V85</f>
        <v>1.38243194669485E-010</v>
      </c>
      <c r="T85" s="14" t="n">
        <f aca="false">((I85+J85+K85)*'Prices&amp;Fuel'!H85*'Prices&amp;Fuel'!L85)+('Prices&amp;Fuel'!N85*'Prices&amp;Fuel'!H85*Transport!L85)+(('Long Term Deals'!BB85+'Long Term Deals'!BC85+'Long Term Deals'!BD85)*'Prices&amp;Fuel'!H85*'Prices&amp;Fuel'!M85)</f>
        <v>421987.161480465</v>
      </c>
      <c r="U85" s="7" t="n">
        <f aca="false">S85*B85*'Prices&amp;Fuel'!M85</f>
        <v>3.14901408273727E-009</v>
      </c>
      <c r="V85" s="7" t="n">
        <f aca="false">29894-10000</f>
        <v>19894</v>
      </c>
      <c r="W85" s="14" t="n">
        <f aca="false">P85-R85-V85</f>
        <v>1.38243194669485E-010</v>
      </c>
    </row>
    <row r="86" customFormat="false" ht="11.25" hidden="false" customHeight="false" outlineLevel="0" collapsed="false">
      <c r="A86" s="6" t="n">
        <f aca="false">+A85+365/12</f>
        <v>38212.75</v>
      </c>
      <c r="B86" s="1" t="n">
        <v>31</v>
      </c>
      <c r="C86" s="27" t="n">
        <v>-0.078219403477267</v>
      </c>
      <c r="E86" s="28" t="n">
        <v>0.00949999999999962</v>
      </c>
      <c r="F86" s="1" t="n">
        <v>8730</v>
      </c>
      <c r="G86" s="1" t="n">
        <f aca="false">15795-5034</f>
        <v>10761</v>
      </c>
      <c r="H86" s="1" t="n">
        <f aca="false">20475-4966</f>
        <v>15509</v>
      </c>
      <c r="I86" s="1" t="n">
        <v>1880</v>
      </c>
      <c r="J86" s="1" t="n">
        <v>2295</v>
      </c>
      <c r="K86" s="1" t="n">
        <v>1036</v>
      </c>
      <c r="L86" s="1" t="n">
        <v>683</v>
      </c>
      <c r="M86" s="7" t="n">
        <f aca="false">F86+I86</f>
        <v>10610</v>
      </c>
      <c r="N86" s="7" t="n">
        <f aca="false">G86+J86+L86</f>
        <v>13739</v>
      </c>
      <c r="O86" s="7" t="n">
        <f aca="false">H86+K86</f>
        <v>16545</v>
      </c>
      <c r="P86" s="7" t="n">
        <f aca="false">SUM(M86:O86)</f>
        <v>40894</v>
      </c>
      <c r="Q86" s="7" t="n">
        <f aca="false">'Index Price Deals'!B86+'Index Price Deals'!C86+'Index Price Deals'!D86-'Prices&amp;Fuel'!AE86</f>
        <v>0</v>
      </c>
      <c r="R86" s="1" t="n">
        <f aca="false">('Long Term Deals'!BB86+'Long Term Deals'!BC86+'Long Term Deals'!BD86+'Long Term Deals'!BE86+'Long Term Deals'!BF86+'Long Term Deals'!BG86)*(1-'Prices&amp;Fuel'!F86)</f>
        <v>20999.9999999999</v>
      </c>
      <c r="S86" s="14" t="n">
        <f aca="false">P86-Q86-R86-V86</f>
        <v>1.38243194669485E-010</v>
      </c>
      <c r="T86" s="14" t="n">
        <f aca="false">((I86+J86+K86)*'Prices&amp;Fuel'!H86*'Prices&amp;Fuel'!L86)+('Prices&amp;Fuel'!N86*'Prices&amp;Fuel'!H86*Transport!L86)+(('Long Term Deals'!BB86+'Long Term Deals'!BC86+'Long Term Deals'!BD86)*'Prices&amp;Fuel'!H86*'Prices&amp;Fuel'!M86)</f>
        <v>421987.161480465</v>
      </c>
      <c r="U86" s="7" t="n">
        <f aca="false">S86*B86*'Prices&amp;Fuel'!M86</f>
        <v>3.14901408273727E-009</v>
      </c>
      <c r="V86" s="7" t="n">
        <f aca="false">29894-10000</f>
        <v>19894</v>
      </c>
      <c r="W86" s="14" t="n">
        <f aca="false">P86-R86-V86</f>
        <v>1.38243194669485E-010</v>
      </c>
    </row>
    <row r="87" customFormat="false" ht="11.25" hidden="false" customHeight="false" outlineLevel="0" collapsed="false">
      <c r="A87" s="6" t="n">
        <f aca="false">+A86+365/12</f>
        <v>38243.1666666667</v>
      </c>
      <c r="B87" s="1" t="n">
        <v>30</v>
      </c>
      <c r="C87" s="27" t="n">
        <v>-0.0782180848845853</v>
      </c>
      <c r="E87" s="28" t="n">
        <v>0.00949999999999962</v>
      </c>
      <c r="F87" s="1" t="n">
        <v>8730</v>
      </c>
      <c r="G87" s="1" t="n">
        <f aca="false">15795-5034</f>
        <v>10761</v>
      </c>
      <c r="H87" s="1" t="n">
        <f aca="false">20475-4966</f>
        <v>15509</v>
      </c>
      <c r="I87" s="1" t="n">
        <v>1880</v>
      </c>
      <c r="J87" s="1" t="n">
        <v>2295</v>
      </c>
      <c r="K87" s="1" t="n">
        <v>1036</v>
      </c>
      <c r="L87" s="1" t="n">
        <v>683</v>
      </c>
      <c r="M87" s="7" t="n">
        <f aca="false">F87+I87</f>
        <v>10610</v>
      </c>
      <c r="N87" s="7" t="n">
        <f aca="false">G87+J87+L87</f>
        <v>13739</v>
      </c>
      <c r="O87" s="7" t="n">
        <f aca="false">H87+K87</f>
        <v>16545</v>
      </c>
      <c r="P87" s="7" t="n">
        <f aca="false">SUM(M87:O87)</f>
        <v>40894</v>
      </c>
      <c r="Q87" s="7" t="n">
        <f aca="false">'Index Price Deals'!B87+'Index Price Deals'!C87+'Index Price Deals'!D87-'Prices&amp;Fuel'!AE87</f>
        <v>0</v>
      </c>
      <c r="R87" s="1" t="n">
        <f aca="false">('Long Term Deals'!BB87+'Long Term Deals'!BC87+'Long Term Deals'!BD87+'Long Term Deals'!BE87+'Long Term Deals'!BF87+'Long Term Deals'!BG87)*(1-'Prices&amp;Fuel'!F87)</f>
        <v>20999.9999999999</v>
      </c>
      <c r="S87" s="14" t="n">
        <f aca="false">P87-Q87-R87-V87</f>
        <v>1.38243194669485E-010</v>
      </c>
      <c r="T87" s="14" t="n">
        <f aca="false">((I87+J87+K87)*'Prices&amp;Fuel'!H87*'Prices&amp;Fuel'!L87)+('Prices&amp;Fuel'!N87*'Prices&amp;Fuel'!H87*Transport!L87)+(('Long Term Deals'!BB87+'Long Term Deals'!BC87+'Long Term Deals'!BD87)*'Prices&amp;Fuel'!H87*'Prices&amp;Fuel'!M87)</f>
        <v>408374.67240045</v>
      </c>
      <c r="U87" s="7" t="n">
        <f aca="false">S87*B87*'Prices&amp;Fuel'!M87</f>
        <v>3.04743298329413E-009</v>
      </c>
      <c r="V87" s="7" t="n">
        <f aca="false">29894-10000</f>
        <v>19894</v>
      </c>
      <c r="W87" s="14" t="n">
        <f aca="false">P87-R87-V87</f>
        <v>1.38243194669485E-010</v>
      </c>
    </row>
    <row r="88" customFormat="false" ht="11.25" hidden="false" customHeight="false" outlineLevel="0" collapsed="false">
      <c r="A88" s="6" t="n">
        <f aca="false">+A87+365/12</f>
        <v>38273.5833333333</v>
      </c>
      <c r="B88" s="1" t="n">
        <v>31</v>
      </c>
      <c r="C88" s="27" t="n">
        <v>-0.0827500261048235</v>
      </c>
      <c r="E88" s="28" t="n">
        <v>0.0145</v>
      </c>
      <c r="F88" s="1" t="n">
        <f aca="false">8730-0</f>
        <v>8730</v>
      </c>
      <c r="G88" s="1" t="n">
        <f aca="false">15795-5434</f>
        <v>10361</v>
      </c>
      <c r="H88" s="1" t="n">
        <f aca="false">20475-4566</f>
        <v>15909</v>
      </c>
      <c r="I88" s="1" t="n">
        <v>2830</v>
      </c>
      <c r="J88" s="1" t="n">
        <v>3500</v>
      </c>
      <c r="K88" s="1" t="n">
        <v>1521</v>
      </c>
      <c r="L88" s="1" t="n">
        <v>1001</v>
      </c>
      <c r="M88" s="7" t="n">
        <f aca="false">F88+I88</f>
        <v>11560</v>
      </c>
      <c r="N88" s="7" t="n">
        <f aca="false">G88+J88+L88</f>
        <v>14862</v>
      </c>
      <c r="O88" s="7" t="n">
        <f aca="false">H88+K88</f>
        <v>17430</v>
      </c>
      <c r="P88" s="7" t="n">
        <f aca="false">SUM(M88:O88)</f>
        <v>43852</v>
      </c>
      <c r="Q88" s="7" t="n">
        <f aca="false">'Index Price Deals'!B88+'Index Price Deals'!C88+'Index Price Deals'!D88-'Prices&amp;Fuel'!AE88</f>
        <v>0</v>
      </c>
      <c r="R88" s="1" t="n">
        <f aca="false">('Long Term Deals'!BB88+'Long Term Deals'!BC88+'Long Term Deals'!BD88+'Long Term Deals'!BE88+'Long Term Deals'!BF88+'Long Term Deals'!BG88)*(1-'Prices&amp;Fuel'!F88)</f>
        <v>20999.9999999998</v>
      </c>
      <c r="S88" s="14" t="n">
        <f aca="false">P88-Q88-R88-V88</f>
        <v>1.92812876775861E-010</v>
      </c>
      <c r="T88" s="14" t="n">
        <f aca="false">((I88+J88+K88)*'Prices&amp;Fuel'!H88*'Prices&amp;Fuel'!L88)+('Prices&amp;Fuel'!N88*'Prices&amp;Fuel'!H88*Transport!L88)+(('Long Term Deals'!BB88+'Long Term Deals'!BC88+'Long Term Deals'!BD88)*'Prices&amp;Fuel'!H88*'Prices&amp;Fuel'!M88)</f>
        <v>386909.526799663</v>
      </c>
      <c r="U88" s="7" t="n">
        <f aca="false">S88*B88*'Prices&amp;Fuel'!M88</f>
        <v>4.39204595750198E-009</v>
      </c>
      <c r="V88" s="7" t="n">
        <f aca="false">32852-10000</f>
        <v>22852</v>
      </c>
      <c r="W88" s="14" t="n">
        <f aca="false">P88-R88-V88</f>
        <v>1.92812876775861E-010</v>
      </c>
    </row>
    <row r="89" customFormat="false" ht="11.25" hidden="false" customHeight="false" outlineLevel="0" collapsed="false">
      <c r="A89" s="6" t="n">
        <f aca="false">+A88+365/12</f>
        <v>38304</v>
      </c>
      <c r="B89" s="1" t="n">
        <v>30</v>
      </c>
      <c r="C89" s="27" t="n">
        <v>-0.12772224929389</v>
      </c>
      <c r="E89" s="28" t="n">
        <v>0.0194999999999999</v>
      </c>
      <c r="F89" s="1" t="n">
        <f aca="false">7761-1128-1707</f>
        <v>4926</v>
      </c>
      <c r="G89" s="1" t="n">
        <f aca="false">14039-666-3474-4167</f>
        <v>5732</v>
      </c>
      <c r="H89" s="1" t="n">
        <f aca="false">18200-4732-4126</f>
        <v>9342</v>
      </c>
      <c r="I89" s="1" t="n">
        <v>2563</v>
      </c>
      <c r="J89" s="1" t="n">
        <v>2862</v>
      </c>
      <c r="K89" s="1" t="n">
        <v>1685</v>
      </c>
      <c r="L89" s="1" t="n">
        <v>683</v>
      </c>
      <c r="M89" s="7" t="n">
        <f aca="false">F89+I89</f>
        <v>7489</v>
      </c>
      <c r="N89" s="7" t="n">
        <f aca="false">G89+J89+L89</f>
        <v>9277</v>
      </c>
      <c r="O89" s="7" t="n">
        <f aca="false">H89+K89</f>
        <v>11027</v>
      </c>
      <c r="P89" s="7" t="n">
        <f aca="false">SUM(M89:O89)</f>
        <v>27793</v>
      </c>
      <c r="Q89" s="7" t="n">
        <f aca="false">'Index Price Deals'!B89+'Index Price Deals'!C89+'Index Price Deals'!D89-'Prices&amp;Fuel'!AE89</f>
        <v>0</v>
      </c>
      <c r="R89" s="1" t="n">
        <f aca="false">('Long Term Deals'!BB89+'Long Term Deals'!BC89+'Long Term Deals'!BD89+'Long Term Deals'!BE89+'Long Term Deals'!BF89+'Long Term Deals'!BG89)*(1-'Prices&amp;Fuel'!F89)</f>
        <v>12000</v>
      </c>
      <c r="S89" s="14" t="n">
        <f aca="false">P89-Q89-R89-V89</f>
        <v>0</v>
      </c>
      <c r="T89" s="14" t="n">
        <f aca="false">((I89+J89+K89)*'Prices&amp;Fuel'!H89*'Prices&amp;Fuel'!L89)+('Prices&amp;Fuel'!N89*'Prices&amp;Fuel'!H89*Transport!L89)+(('Long Term Deals'!BB89+'Long Term Deals'!BC89+'Long Term Deals'!BD89)*'Prices&amp;Fuel'!H89*'Prices&amp;Fuel'!M89)</f>
        <v>182575.520905539</v>
      </c>
      <c r="U89" s="7" t="n">
        <f aca="false">S89*B89*'Prices&amp;Fuel'!M89</f>
        <v>0</v>
      </c>
      <c r="V89" s="7" t="n">
        <f aca="false">35793-20000</f>
        <v>15793</v>
      </c>
      <c r="W89" s="14" t="n">
        <f aca="false">P89-R89-V89</f>
        <v>0</v>
      </c>
    </row>
    <row r="90" customFormat="false" ht="11.25" hidden="false" customHeight="false" outlineLevel="0" collapsed="false">
      <c r="A90" s="6" t="n">
        <f aca="false">+A89+365/12</f>
        <v>38334.4166666667</v>
      </c>
      <c r="B90" s="1" t="n">
        <v>31</v>
      </c>
      <c r="C90" s="27" t="n">
        <v>-0.162684750599131</v>
      </c>
      <c r="E90" s="28" t="n">
        <v>0.0245000000000002</v>
      </c>
      <c r="F90" s="1" t="n">
        <f aca="false">7761-1128-1707</f>
        <v>4926</v>
      </c>
      <c r="G90" s="1" t="n">
        <f aca="false">14039-666-3474-4167</f>
        <v>5732</v>
      </c>
      <c r="H90" s="1" t="n">
        <f aca="false">18200-4732-4126</f>
        <v>9342</v>
      </c>
      <c r="I90" s="1" t="n">
        <v>2563</v>
      </c>
      <c r="J90" s="1" t="n">
        <v>2862</v>
      </c>
      <c r="K90" s="1" t="n">
        <v>1685</v>
      </c>
      <c r="L90" s="1" t="n">
        <v>683</v>
      </c>
      <c r="M90" s="7" t="n">
        <f aca="false">F90+I90</f>
        <v>7489</v>
      </c>
      <c r="N90" s="7" t="n">
        <f aca="false">G90+J90+L90</f>
        <v>9277</v>
      </c>
      <c r="O90" s="7" t="n">
        <f aca="false">H90+K90</f>
        <v>11027</v>
      </c>
      <c r="P90" s="7" t="n">
        <f aca="false">SUM(M90:O90)</f>
        <v>27793</v>
      </c>
      <c r="Q90" s="7" t="n">
        <f aca="false">'Index Price Deals'!B90+'Index Price Deals'!C90+'Index Price Deals'!D90-'Prices&amp;Fuel'!AE90</f>
        <v>0</v>
      </c>
      <c r="R90" s="1" t="n">
        <f aca="false">('Long Term Deals'!BB90+'Long Term Deals'!BC90+'Long Term Deals'!BD90+'Long Term Deals'!BE90+'Long Term Deals'!BF90+'Long Term Deals'!BG90)*(1-'Prices&amp;Fuel'!F90)</f>
        <v>12000</v>
      </c>
      <c r="S90" s="14" t="n">
        <f aca="false">P90-Q90-R90-V90</f>
        <v>0</v>
      </c>
      <c r="T90" s="14" t="n">
        <f aca="false">((I90+J90+K90)*'Prices&amp;Fuel'!H90*'Prices&amp;Fuel'!L90)+('Prices&amp;Fuel'!N90*'Prices&amp;Fuel'!H90*Transport!L90)+(('Long Term Deals'!BB90+'Long Term Deals'!BC90+'Long Term Deals'!BD90)*'Prices&amp;Fuel'!H90*'Prices&amp;Fuel'!M90)</f>
        <v>188661.37160239</v>
      </c>
      <c r="U90" s="7" t="n">
        <f aca="false">S90*B90*'Prices&amp;Fuel'!M90</f>
        <v>0</v>
      </c>
      <c r="V90" s="7" t="n">
        <f aca="false">35793-20000</f>
        <v>15793</v>
      </c>
      <c r="W90" s="14" t="n">
        <f aca="false">P90-R90-V90</f>
        <v>0</v>
      </c>
    </row>
    <row r="91" customFormat="false" ht="11.25" hidden="false" customHeight="false" outlineLevel="0" collapsed="false">
      <c r="A91" s="6" t="n">
        <f aca="false">+A90+365/12</f>
        <v>38364.8333333333</v>
      </c>
      <c r="B91" s="1" t="n">
        <v>31</v>
      </c>
      <c r="C91" s="27" t="n">
        <v>-0.147661140309838</v>
      </c>
      <c r="E91" s="28" t="n">
        <v>0.0245000000000002</v>
      </c>
      <c r="F91" s="1" t="n">
        <f aca="false">7761-1128-1707</f>
        <v>4926</v>
      </c>
      <c r="G91" s="1" t="n">
        <f aca="false">14039-666-3474-4167</f>
        <v>5732</v>
      </c>
      <c r="H91" s="1" t="n">
        <f aca="false">18200-4732-4126</f>
        <v>9342</v>
      </c>
      <c r="I91" s="1" t="n">
        <v>2563</v>
      </c>
      <c r="J91" s="1" t="n">
        <v>2862</v>
      </c>
      <c r="K91" s="1" t="n">
        <v>1685</v>
      </c>
      <c r="L91" s="1" t="n">
        <v>683</v>
      </c>
      <c r="M91" s="7" t="n">
        <f aca="false">F91+I91</f>
        <v>7489</v>
      </c>
      <c r="N91" s="7" t="n">
        <f aca="false">G91+J91+L91</f>
        <v>9277</v>
      </c>
      <c r="O91" s="7" t="n">
        <f aca="false">H91+K91</f>
        <v>11027</v>
      </c>
      <c r="P91" s="7" t="n">
        <f aca="false">SUM(M91:O91)</f>
        <v>27793</v>
      </c>
      <c r="Q91" s="7" t="n">
        <f aca="false">'Index Price Deals'!B91+'Index Price Deals'!C91+'Index Price Deals'!D91-'Prices&amp;Fuel'!AE91</f>
        <v>0</v>
      </c>
      <c r="R91" s="1" t="n">
        <f aca="false">('Long Term Deals'!BB91+'Long Term Deals'!BC91+'Long Term Deals'!BD91+'Long Term Deals'!BE91+'Long Term Deals'!BF91+'Long Term Deals'!BG91)*(1-'Prices&amp;Fuel'!F91)</f>
        <v>12000</v>
      </c>
      <c r="S91" s="14" t="n">
        <f aca="false">P91-Q91-R91-V91</f>
        <v>0</v>
      </c>
      <c r="T91" s="14" t="n">
        <f aca="false">((I91+J91+K91)*'Prices&amp;Fuel'!H91*'Prices&amp;Fuel'!L91)+('Prices&amp;Fuel'!N91*'Prices&amp;Fuel'!H91*Transport!L91)+(('Long Term Deals'!BB91+'Long Term Deals'!BC91+'Long Term Deals'!BD91)*'Prices&amp;Fuel'!H91*'Prices&amp;Fuel'!M91)</f>
        <v>194711.232439118</v>
      </c>
      <c r="U91" s="7" t="n">
        <f aca="false">S91*B91*'Prices&amp;Fuel'!M91</f>
        <v>0</v>
      </c>
      <c r="V91" s="7" t="n">
        <f aca="false">35793-20000</f>
        <v>15793</v>
      </c>
      <c r="W91" s="14" t="n">
        <f aca="false">P91-R91-V91</f>
        <v>0</v>
      </c>
    </row>
    <row r="92" customFormat="false" ht="11.25" hidden="false" customHeight="false" outlineLevel="0" collapsed="false">
      <c r="A92" s="6" t="n">
        <f aca="false">+A91+365/12</f>
        <v>38395.25</v>
      </c>
      <c r="B92" s="1" t="n">
        <v>28</v>
      </c>
      <c r="C92" s="27" t="n">
        <v>-0.147688917120771</v>
      </c>
      <c r="E92" s="28" t="n">
        <v>0.0245000000000002</v>
      </c>
      <c r="F92" s="1" t="n">
        <f aca="false">7761-1128-1707</f>
        <v>4926</v>
      </c>
      <c r="G92" s="1" t="n">
        <f aca="false">14039-666-3474-4167</f>
        <v>5732</v>
      </c>
      <c r="H92" s="1" t="n">
        <f aca="false">18200-4732-4126</f>
        <v>9342</v>
      </c>
      <c r="I92" s="1" t="n">
        <v>2563</v>
      </c>
      <c r="J92" s="1" t="n">
        <v>2862</v>
      </c>
      <c r="K92" s="1" t="n">
        <v>1685</v>
      </c>
      <c r="L92" s="1" t="n">
        <v>683</v>
      </c>
      <c r="M92" s="7" t="n">
        <f aca="false">F92+I92</f>
        <v>7489</v>
      </c>
      <c r="N92" s="7" t="n">
        <f aca="false">G92+J92+L92</f>
        <v>9277</v>
      </c>
      <c r="O92" s="7" t="n">
        <f aca="false">H92+K92</f>
        <v>11027</v>
      </c>
      <c r="P92" s="7" t="n">
        <f aca="false">SUM(M92:O92)</f>
        <v>27793</v>
      </c>
      <c r="Q92" s="7" t="n">
        <f aca="false">'Index Price Deals'!B92+'Index Price Deals'!C92+'Index Price Deals'!D92-'Prices&amp;Fuel'!AE92</f>
        <v>0</v>
      </c>
      <c r="R92" s="1" t="n">
        <f aca="false">('Long Term Deals'!BB92+'Long Term Deals'!BC92+'Long Term Deals'!BD92+'Long Term Deals'!BE92+'Long Term Deals'!BF92+'Long Term Deals'!BG92)*(1-'Prices&amp;Fuel'!F92)</f>
        <v>12000</v>
      </c>
      <c r="S92" s="14" t="n">
        <f aca="false">P92-Q92-R92-V92</f>
        <v>0</v>
      </c>
      <c r="T92" s="14" t="n">
        <f aca="false">((I92+J92+K92)*'Prices&amp;Fuel'!H92*'Prices&amp;Fuel'!L92)+('Prices&amp;Fuel'!N92*'Prices&amp;Fuel'!H92*Transport!L92)+(('Long Term Deals'!BB92+'Long Term Deals'!BC92+'Long Term Deals'!BD92)*'Prices&amp;Fuel'!H92*'Prices&amp;Fuel'!M92)</f>
        <v>175868.209945009</v>
      </c>
      <c r="U92" s="7" t="n">
        <f aca="false">S92*B92*'Prices&amp;Fuel'!M92</f>
        <v>0</v>
      </c>
      <c r="V92" s="7" t="n">
        <f aca="false">35793-20000</f>
        <v>15793</v>
      </c>
      <c r="W92" s="14" t="n">
        <f aca="false">P92-R92-V92</f>
        <v>0</v>
      </c>
    </row>
    <row r="93" customFormat="false" ht="11.25" hidden="false" customHeight="false" outlineLevel="0" collapsed="false">
      <c r="A93" s="6" t="n">
        <f aca="false">+A92+365/12</f>
        <v>38425.6666666667</v>
      </c>
      <c r="B93" s="1" t="n">
        <v>31</v>
      </c>
      <c r="C93" s="27" t="n">
        <v>-0.122724679764847</v>
      </c>
      <c r="E93" s="28" t="n">
        <v>0.0195000000000003</v>
      </c>
      <c r="F93" s="1" t="n">
        <f aca="false">7761-1128-1707</f>
        <v>4926</v>
      </c>
      <c r="G93" s="1" t="n">
        <f aca="false">14039-666-3474-4167</f>
        <v>5732</v>
      </c>
      <c r="H93" s="1" t="n">
        <f aca="false">18200-4732-4126</f>
        <v>9342</v>
      </c>
      <c r="I93" s="1" t="n">
        <v>2563</v>
      </c>
      <c r="J93" s="1" t="n">
        <v>2862</v>
      </c>
      <c r="K93" s="1" t="n">
        <v>1685</v>
      </c>
      <c r="L93" s="1" t="n">
        <v>683</v>
      </c>
      <c r="M93" s="7" t="n">
        <f aca="false">F93+I93</f>
        <v>7489</v>
      </c>
      <c r="N93" s="7" t="n">
        <f aca="false">G93+J93+L93</f>
        <v>9277</v>
      </c>
      <c r="O93" s="7" t="n">
        <f aca="false">H93+K93</f>
        <v>11027</v>
      </c>
      <c r="P93" s="7" t="n">
        <f aca="false">SUM(M93:O93)</f>
        <v>27793</v>
      </c>
      <c r="Q93" s="7" t="n">
        <f aca="false">'Index Price Deals'!B93+'Index Price Deals'!C93+'Index Price Deals'!D93-'Prices&amp;Fuel'!AE93</f>
        <v>0</v>
      </c>
      <c r="R93" s="1" t="n">
        <f aca="false">('Long Term Deals'!BB93+'Long Term Deals'!BC93+'Long Term Deals'!BD93+'Long Term Deals'!BE93+'Long Term Deals'!BF93+'Long Term Deals'!BG93)*(1-'Prices&amp;Fuel'!F93)</f>
        <v>12000</v>
      </c>
      <c r="S93" s="14" t="n">
        <f aca="false">P93-Q93-R93-V93</f>
        <v>0</v>
      </c>
      <c r="T93" s="14" t="n">
        <f aca="false">((I93+J93+K93)*'Prices&amp;Fuel'!H93*'Prices&amp;Fuel'!L93)+('Prices&amp;Fuel'!N93*'Prices&amp;Fuel'!H93*Transport!L93)+(('Long Term Deals'!BB93+'Long Term Deals'!BC93+'Long Term Deals'!BD93)*'Prices&amp;Fuel'!H93*'Prices&amp;Fuel'!M93)</f>
        <v>194711.232439118</v>
      </c>
      <c r="U93" s="7" t="n">
        <f aca="false">S93*B93*'Prices&amp;Fuel'!M93</f>
        <v>0</v>
      </c>
      <c r="V93" s="7" t="n">
        <f aca="false">35793-20000</f>
        <v>15793</v>
      </c>
      <c r="W93" s="14" t="n">
        <f aca="false">P93-R93-V93</f>
        <v>0</v>
      </c>
    </row>
    <row r="94" customFormat="false" ht="11.25" hidden="false" customHeight="false" outlineLevel="0" collapsed="false">
      <c r="A94" s="6" t="n">
        <f aca="false">+A93+365/12</f>
        <v>38456.0833333333</v>
      </c>
      <c r="B94" s="1" t="n">
        <v>30</v>
      </c>
      <c r="C94" s="27" t="n">
        <v>-0.0732416930615427</v>
      </c>
      <c r="E94" s="28" t="n">
        <v>0.00599999999999978</v>
      </c>
      <c r="F94" s="1" t="n">
        <f aca="false">7761-828</f>
        <v>6933</v>
      </c>
      <c r="G94" s="1" t="n">
        <f aca="false">14039-5241</f>
        <v>8798</v>
      </c>
      <c r="H94" s="1" t="n">
        <f aca="false">18200-3931</f>
        <v>14269</v>
      </c>
      <c r="I94" s="1" t="n">
        <v>1880</v>
      </c>
      <c r="J94" s="1" t="n">
        <v>2073</v>
      </c>
      <c r="K94" s="1" t="n">
        <v>1258</v>
      </c>
      <c r="L94" s="1" t="n">
        <v>683</v>
      </c>
      <c r="M94" s="7" t="n">
        <f aca="false">F94+I94</f>
        <v>8813</v>
      </c>
      <c r="N94" s="7" t="n">
        <f aca="false">G94+J94+L94</f>
        <v>11554</v>
      </c>
      <c r="O94" s="7" t="n">
        <f aca="false">H94+K94</f>
        <v>15527</v>
      </c>
      <c r="P94" s="7" t="n">
        <f aca="false">SUM(M94:O94)</f>
        <v>35894</v>
      </c>
      <c r="Q94" s="7" t="n">
        <f aca="false">'Index Price Deals'!B94+'Index Price Deals'!C94+'Index Price Deals'!D94-'Prices&amp;Fuel'!AE94</f>
        <v>0</v>
      </c>
      <c r="R94" s="1" t="n">
        <f aca="false">('Long Term Deals'!BB94+'Long Term Deals'!BC94+'Long Term Deals'!BD94+'Long Term Deals'!BE94+'Long Term Deals'!BF94+'Long Term Deals'!BG94)*(1-'Prices&amp;Fuel'!F94)</f>
        <v>12000</v>
      </c>
      <c r="S94" s="14" t="n">
        <f aca="false">P94-Q94-R94-V94</f>
        <v>0</v>
      </c>
      <c r="T94" s="14" t="n">
        <f aca="false">((I94+J94+K94)*'Prices&amp;Fuel'!H94*'Prices&amp;Fuel'!L94)+('Prices&amp;Fuel'!N94*'Prices&amp;Fuel'!H94*Transport!L94)+(('Long Term Deals'!BB94+'Long Term Deals'!BC94+'Long Term Deals'!BD94)*'Prices&amp;Fuel'!H94*'Prices&amp;Fuel'!M94)</f>
        <v>208796.531168557</v>
      </c>
      <c r="U94" s="7" t="n">
        <f aca="false">S94*B94*'Prices&amp;Fuel'!M94</f>
        <v>0</v>
      </c>
      <c r="V94" s="7" t="n">
        <f aca="false">33894-10000</f>
        <v>23894</v>
      </c>
      <c r="W94" s="14" t="n">
        <f aca="false">P94-R94-V94</f>
        <v>0</v>
      </c>
    </row>
    <row r="95" customFormat="false" ht="11.25" hidden="false" customHeight="false" outlineLevel="0" collapsed="false">
      <c r="A95" s="6" t="n">
        <f aca="false">+A94+365/12</f>
        <v>38486.5</v>
      </c>
      <c r="B95" s="1" t="n">
        <v>31</v>
      </c>
      <c r="C95" s="27" t="n">
        <v>-0.0737143928250754</v>
      </c>
      <c r="E95" s="28" t="n">
        <v>0.00599999999999978</v>
      </c>
      <c r="F95" s="1" t="n">
        <v>8730</v>
      </c>
      <c r="G95" s="1" t="n">
        <f aca="false">15795-5034</f>
        <v>10761</v>
      </c>
      <c r="H95" s="1" t="n">
        <f aca="false">20475-4966</f>
        <v>15509</v>
      </c>
      <c r="I95" s="1" t="n">
        <v>1880</v>
      </c>
      <c r="J95" s="1" t="n">
        <v>2295</v>
      </c>
      <c r="K95" s="1" t="n">
        <v>1036</v>
      </c>
      <c r="L95" s="1" t="n">
        <v>683</v>
      </c>
      <c r="M95" s="7" t="n">
        <f aca="false">F95+I95</f>
        <v>10610</v>
      </c>
      <c r="N95" s="7" t="n">
        <f aca="false">G95+J95+L95</f>
        <v>13739</v>
      </c>
      <c r="O95" s="7" t="n">
        <f aca="false">H95+K95</f>
        <v>16545</v>
      </c>
      <c r="P95" s="7" t="n">
        <f aca="false">SUM(M95:O95)</f>
        <v>40894</v>
      </c>
      <c r="Q95" s="7" t="n">
        <f aca="false">'Index Price Deals'!B95+'Index Price Deals'!C95+'Index Price Deals'!D95-'Prices&amp;Fuel'!AE95</f>
        <v>0</v>
      </c>
      <c r="R95" s="1" t="n">
        <f aca="false">('Long Term Deals'!BB95+'Long Term Deals'!BC95+'Long Term Deals'!BD95+'Long Term Deals'!BE95+'Long Term Deals'!BF95+'Long Term Deals'!BG95)*(1-'Prices&amp;Fuel'!F95)</f>
        <v>20999.9999999999</v>
      </c>
      <c r="S95" s="14" t="n">
        <f aca="false">P95-Q95-R95-V95</f>
        <v>1.38243194669485E-010</v>
      </c>
      <c r="T95" s="14" t="n">
        <f aca="false">((I95+J95+K95)*'Prices&amp;Fuel'!H95*'Prices&amp;Fuel'!L95)+('Prices&amp;Fuel'!N95*'Prices&amp;Fuel'!H95*Transport!L95)+(('Long Term Deals'!BB95+'Long Term Deals'!BC95+'Long Term Deals'!BD95)*'Prices&amp;Fuel'!H95*'Prices&amp;Fuel'!M95)</f>
        <v>426562.790862176</v>
      </c>
      <c r="U95" s="7" t="n">
        <f aca="false">S95*B95*'Prices&amp;Fuel'!M95</f>
        <v>3.14901408273727E-009</v>
      </c>
      <c r="V95" s="7" t="n">
        <f aca="false">29894-10000</f>
        <v>19894</v>
      </c>
      <c r="W95" s="14" t="n">
        <f aca="false">P95-R95-V95</f>
        <v>1.38243194669485E-010</v>
      </c>
    </row>
    <row r="96" customFormat="false" ht="11.25" hidden="false" customHeight="false" outlineLevel="0" collapsed="false">
      <c r="A96" s="6" t="n">
        <f aca="false">+A95+365/12</f>
        <v>38516.9166666667</v>
      </c>
      <c r="B96" s="1" t="n">
        <v>30</v>
      </c>
      <c r="C96" s="27" t="n">
        <v>-0.0737137335287343</v>
      </c>
      <c r="E96" s="28" t="n">
        <v>0.00599999999999978</v>
      </c>
      <c r="F96" s="1" t="n">
        <v>8730</v>
      </c>
      <c r="G96" s="1" t="n">
        <f aca="false">15795-5034</f>
        <v>10761</v>
      </c>
      <c r="H96" s="1" t="n">
        <f aca="false">20475-4966</f>
        <v>15509</v>
      </c>
      <c r="I96" s="1" t="n">
        <v>1880</v>
      </c>
      <c r="J96" s="1" t="n">
        <v>2295</v>
      </c>
      <c r="K96" s="1" t="n">
        <v>1036</v>
      </c>
      <c r="L96" s="1" t="n">
        <v>683</v>
      </c>
      <c r="M96" s="7" t="n">
        <f aca="false">F96+I96</f>
        <v>10610</v>
      </c>
      <c r="N96" s="7" t="n">
        <f aca="false">G96+J96+L96</f>
        <v>13739</v>
      </c>
      <c r="O96" s="7" t="n">
        <f aca="false">H96+K96</f>
        <v>16545</v>
      </c>
      <c r="P96" s="7" t="n">
        <f aca="false">SUM(M96:O96)</f>
        <v>40894</v>
      </c>
      <c r="Q96" s="7" t="n">
        <f aca="false">'Index Price Deals'!B96+'Index Price Deals'!C96+'Index Price Deals'!D96-'Prices&amp;Fuel'!AE96</f>
        <v>0</v>
      </c>
      <c r="R96" s="1" t="n">
        <f aca="false">('Long Term Deals'!BB96+'Long Term Deals'!BC96+'Long Term Deals'!BD96+'Long Term Deals'!BE96+'Long Term Deals'!BF96+'Long Term Deals'!BG96)*(1-'Prices&amp;Fuel'!F96)</f>
        <v>20999.9999999999</v>
      </c>
      <c r="S96" s="14" t="n">
        <f aca="false">P96-Q96-R96-V96</f>
        <v>1.38243194669485E-010</v>
      </c>
      <c r="T96" s="14" t="n">
        <f aca="false">((I96+J96+K96)*'Prices&amp;Fuel'!H96*'Prices&amp;Fuel'!L96)+('Prices&amp;Fuel'!N96*'Prices&amp;Fuel'!H96*Transport!L96)+(('Long Term Deals'!BB96+'Long Term Deals'!BC96+'Long Term Deals'!BD96)*'Prices&amp;Fuel'!H96*'Prices&amp;Fuel'!M96)</f>
        <v>412802.700834364</v>
      </c>
      <c r="U96" s="7" t="n">
        <f aca="false">S96*B96*'Prices&amp;Fuel'!M96</f>
        <v>3.04743298329413E-009</v>
      </c>
      <c r="V96" s="7" t="n">
        <f aca="false">29894-10000</f>
        <v>19894</v>
      </c>
      <c r="W96" s="14" t="n">
        <f aca="false">P96-R96-V96</f>
        <v>1.38243194669485E-010</v>
      </c>
    </row>
    <row r="97" customFormat="false" ht="11.25" hidden="false" customHeight="false" outlineLevel="0" collapsed="false">
      <c r="A97" s="6" t="n">
        <f aca="false">+A96+365/12</f>
        <v>38547.3333333333</v>
      </c>
      <c r="B97" s="1" t="n">
        <v>31</v>
      </c>
      <c r="C97" s="27" t="n">
        <v>-0.0782133379509298</v>
      </c>
      <c r="E97" s="28" t="n">
        <v>0.00949999999999984</v>
      </c>
      <c r="F97" s="1" t="n">
        <v>8730</v>
      </c>
      <c r="G97" s="1" t="n">
        <f aca="false">15795-5034</f>
        <v>10761</v>
      </c>
      <c r="H97" s="1" t="n">
        <f aca="false">20475-4966</f>
        <v>15509</v>
      </c>
      <c r="I97" s="1" t="n">
        <v>1880</v>
      </c>
      <c r="J97" s="1" t="n">
        <v>2295</v>
      </c>
      <c r="K97" s="1" t="n">
        <v>1036</v>
      </c>
      <c r="L97" s="1" t="n">
        <v>683</v>
      </c>
      <c r="M97" s="7" t="n">
        <f aca="false">F97+I97</f>
        <v>10610</v>
      </c>
      <c r="N97" s="7" t="n">
        <f aca="false">G97+J97+L97</f>
        <v>13739</v>
      </c>
      <c r="O97" s="7" t="n">
        <f aca="false">H97+K97</f>
        <v>16545</v>
      </c>
      <c r="P97" s="7" t="n">
        <f aca="false">SUM(M97:O97)</f>
        <v>40894</v>
      </c>
      <c r="Q97" s="7" t="n">
        <f aca="false">'Index Price Deals'!B97+'Index Price Deals'!C97+'Index Price Deals'!D97-'Prices&amp;Fuel'!AE97</f>
        <v>0</v>
      </c>
      <c r="R97" s="1" t="n">
        <f aca="false">('Long Term Deals'!BB97+'Long Term Deals'!BC97+'Long Term Deals'!BD97+'Long Term Deals'!BE97+'Long Term Deals'!BF97+'Long Term Deals'!BG97)*(1-'Prices&amp;Fuel'!F97)</f>
        <v>20999.9999999999</v>
      </c>
      <c r="S97" s="14" t="n">
        <f aca="false">P97-Q97-R97-V97</f>
        <v>1.38243194669485E-010</v>
      </c>
      <c r="T97" s="14" t="n">
        <f aca="false">((I97+J97+K97)*'Prices&amp;Fuel'!H97*'Prices&amp;Fuel'!L97)+('Prices&amp;Fuel'!N97*'Prices&amp;Fuel'!H97*Transport!L97)+(('Long Term Deals'!BB97+'Long Term Deals'!BC97+'Long Term Deals'!BD97)*'Prices&amp;Fuel'!H97*'Prices&amp;Fuel'!M97)</f>
        <v>426562.790862176</v>
      </c>
      <c r="U97" s="7" t="n">
        <f aca="false">S97*B97*'Prices&amp;Fuel'!M97</f>
        <v>3.14901408273727E-009</v>
      </c>
      <c r="V97" s="7" t="n">
        <f aca="false">29894-10000</f>
        <v>19894</v>
      </c>
      <c r="W97" s="14" t="n">
        <f aca="false">P97-R97-V97</f>
        <v>1.38243194669485E-010</v>
      </c>
    </row>
    <row r="98" customFormat="false" ht="11.25" hidden="false" customHeight="false" outlineLevel="0" collapsed="false">
      <c r="A98" s="6" t="n">
        <f aca="false">+A97+365/12</f>
        <v>38577.75</v>
      </c>
      <c r="B98" s="1" t="n">
        <v>31</v>
      </c>
      <c r="C98" s="27" t="n">
        <v>-0.0782125467953203</v>
      </c>
      <c r="E98" s="28" t="n">
        <v>0.00949999999999962</v>
      </c>
      <c r="F98" s="1" t="n">
        <v>8730</v>
      </c>
      <c r="G98" s="1" t="n">
        <f aca="false">15795-5034</f>
        <v>10761</v>
      </c>
      <c r="H98" s="1" t="n">
        <f aca="false">20475-4966</f>
        <v>15509</v>
      </c>
      <c r="I98" s="1" t="n">
        <v>1880</v>
      </c>
      <c r="J98" s="1" t="n">
        <v>2295</v>
      </c>
      <c r="K98" s="1" t="n">
        <v>1036</v>
      </c>
      <c r="L98" s="1" t="n">
        <v>683</v>
      </c>
      <c r="M98" s="7" t="n">
        <f aca="false">F98+I98</f>
        <v>10610</v>
      </c>
      <c r="N98" s="7" t="n">
        <f aca="false">G98+J98+L98</f>
        <v>13739</v>
      </c>
      <c r="O98" s="7" t="n">
        <f aca="false">H98+K98</f>
        <v>16545</v>
      </c>
      <c r="P98" s="7" t="n">
        <f aca="false">SUM(M98:O98)</f>
        <v>40894</v>
      </c>
      <c r="Q98" s="7" t="n">
        <f aca="false">'Index Price Deals'!B98+'Index Price Deals'!C98+'Index Price Deals'!D98-'Prices&amp;Fuel'!AE98</f>
        <v>0</v>
      </c>
      <c r="R98" s="1" t="n">
        <f aca="false">('Long Term Deals'!BB98+'Long Term Deals'!BC98+'Long Term Deals'!BD98+'Long Term Deals'!BE98+'Long Term Deals'!BF98+'Long Term Deals'!BG98)*(1-'Prices&amp;Fuel'!F98)</f>
        <v>20999.9999999999</v>
      </c>
      <c r="S98" s="14" t="n">
        <f aca="false">P98-Q98-R98-V98</f>
        <v>1.38243194669485E-010</v>
      </c>
      <c r="T98" s="14" t="n">
        <f aca="false">((I98+J98+K98)*'Prices&amp;Fuel'!H98*'Prices&amp;Fuel'!L98)+('Prices&amp;Fuel'!N98*'Prices&amp;Fuel'!H98*Transport!L98)+(('Long Term Deals'!BB98+'Long Term Deals'!BC98+'Long Term Deals'!BD98)*'Prices&amp;Fuel'!H98*'Prices&amp;Fuel'!M98)</f>
        <v>426562.790862176</v>
      </c>
      <c r="U98" s="7" t="n">
        <f aca="false">S98*B98*'Prices&amp;Fuel'!M98</f>
        <v>3.14901408273727E-009</v>
      </c>
      <c r="V98" s="7" t="n">
        <f aca="false">29894-10000</f>
        <v>19894</v>
      </c>
      <c r="W98" s="14" t="n">
        <f aca="false">P98-R98-V98</f>
        <v>1.38243194669485E-010</v>
      </c>
    </row>
    <row r="99" customFormat="false" ht="11.25" hidden="false" customHeight="false" outlineLevel="0" collapsed="false">
      <c r="A99" s="6" t="n">
        <f aca="false">+A98+365/12</f>
        <v>38608.1666666667</v>
      </c>
      <c r="B99" s="1" t="n">
        <v>30</v>
      </c>
      <c r="C99" s="27" t="n">
        <v>-0.0782112282026382</v>
      </c>
      <c r="E99" s="28" t="n">
        <v>0.00949999999999962</v>
      </c>
      <c r="F99" s="1" t="n">
        <v>8730</v>
      </c>
      <c r="G99" s="1" t="n">
        <f aca="false">15795-5034</f>
        <v>10761</v>
      </c>
      <c r="H99" s="1" t="n">
        <f aca="false">20475-4966</f>
        <v>15509</v>
      </c>
      <c r="I99" s="1" t="n">
        <v>1880</v>
      </c>
      <c r="J99" s="1" t="n">
        <v>2295</v>
      </c>
      <c r="K99" s="1" t="n">
        <v>1036</v>
      </c>
      <c r="L99" s="1" t="n">
        <v>683</v>
      </c>
      <c r="M99" s="7" t="n">
        <f aca="false">F99+I99</f>
        <v>10610</v>
      </c>
      <c r="N99" s="7" t="n">
        <f aca="false">G99+J99+L99</f>
        <v>13739</v>
      </c>
      <c r="O99" s="7" t="n">
        <f aca="false">H99+K99</f>
        <v>16545</v>
      </c>
      <c r="P99" s="7" t="n">
        <f aca="false">SUM(M99:O99)</f>
        <v>40894</v>
      </c>
      <c r="Q99" s="7" t="n">
        <f aca="false">'Index Price Deals'!B99+'Index Price Deals'!C99+'Index Price Deals'!D99-'Prices&amp;Fuel'!AE99</f>
        <v>0</v>
      </c>
      <c r="R99" s="1" t="n">
        <f aca="false">('Long Term Deals'!BB99+'Long Term Deals'!BC99+'Long Term Deals'!BD99+'Long Term Deals'!BE99+'Long Term Deals'!BF99+'Long Term Deals'!BG99)*(1-'Prices&amp;Fuel'!F99)</f>
        <v>20999.9999999999</v>
      </c>
      <c r="S99" s="14" t="n">
        <f aca="false">P99-Q99-R99-V99</f>
        <v>1.38243194669485E-010</v>
      </c>
      <c r="T99" s="14" t="n">
        <f aca="false">((I99+J99+K99)*'Prices&amp;Fuel'!H99*'Prices&amp;Fuel'!L99)+('Prices&amp;Fuel'!N99*'Prices&amp;Fuel'!H99*Transport!L99)+(('Long Term Deals'!BB99+'Long Term Deals'!BC99+'Long Term Deals'!BD99)*'Prices&amp;Fuel'!H99*'Prices&amp;Fuel'!M99)</f>
        <v>412802.700834364</v>
      </c>
      <c r="U99" s="7" t="n">
        <f aca="false">S99*B99*'Prices&amp;Fuel'!M99</f>
        <v>3.04743298329413E-009</v>
      </c>
      <c r="V99" s="7" t="n">
        <f aca="false">29894-10000</f>
        <v>19894</v>
      </c>
      <c r="W99" s="14" t="n">
        <f aca="false">P99-R99-V99</f>
        <v>1.38243194669485E-010</v>
      </c>
    </row>
    <row r="100" customFormat="false" ht="11.25" hidden="false" customHeight="false" outlineLevel="0" collapsed="false">
      <c r="A100" s="6" t="n">
        <f aca="false">+A99+365/12</f>
        <v>38638.5833333333</v>
      </c>
      <c r="B100" s="1" t="n">
        <v>31</v>
      </c>
      <c r="C100" s="27" t="n">
        <v>-0.0827319711777164</v>
      </c>
      <c r="E100" s="28" t="n">
        <v>0.0145</v>
      </c>
      <c r="F100" s="1" t="n">
        <f aca="false">8730-0</f>
        <v>8730</v>
      </c>
      <c r="G100" s="1" t="n">
        <f aca="false">15795-5434</f>
        <v>10361</v>
      </c>
      <c r="H100" s="1" t="n">
        <f aca="false">20475-4566</f>
        <v>15909</v>
      </c>
      <c r="I100" s="1" t="n">
        <v>2830</v>
      </c>
      <c r="J100" s="1" t="n">
        <v>3500</v>
      </c>
      <c r="K100" s="1" t="n">
        <v>1521</v>
      </c>
      <c r="L100" s="1" t="n">
        <v>1001</v>
      </c>
      <c r="M100" s="7" t="n">
        <f aca="false">F100+I100</f>
        <v>11560</v>
      </c>
      <c r="N100" s="7" t="n">
        <f aca="false">G100+J100+L100</f>
        <v>14862</v>
      </c>
      <c r="O100" s="7" t="n">
        <f aca="false">H100+K100</f>
        <v>17430</v>
      </c>
      <c r="P100" s="7" t="n">
        <f aca="false">SUM(M100:O100)</f>
        <v>43852</v>
      </c>
      <c r="Q100" s="7" t="n">
        <f aca="false">'Index Price Deals'!B100+'Index Price Deals'!C100+'Index Price Deals'!D100-'Prices&amp;Fuel'!AE100</f>
        <v>0</v>
      </c>
      <c r="R100" s="1" t="n">
        <f aca="false">('Long Term Deals'!BB100+'Long Term Deals'!BC100+'Long Term Deals'!BD100+'Long Term Deals'!BE100+'Long Term Deals'!BF100+'Long Term Deals'!BG100)*(1-'Prices&amp;Fuel'!F100)</f>
        <v>20999.9999999998</v>
      </c>
      <c r="S100" s="14" t="n">
        <f aca="false">P100-Q100-R100-V100</f>
        <v>1.92812876775861E-010</v>
      </c>
      <c r="T100" s="14" t="n">
        <f aca="false">((I100+J100+K100)*'Prices&amp;Fuel'!H100*'Prices&amp;Fuel'!L100)+('Prices&amp;Fuel'!N100*'Prices&amp;Fuel'!H100*Transport!L100)+(('Long Term Deals'!BB100+'Long Term Deals'!BC100+'Long Term Deals'!BD100)*'Prices&amp;Fuel'!H100*'Prices&amp;Fuel'!M100)</f>
        <v>393781.510390926</v>
      </c>
      <c r="U100" s="7" t="n">
        <f aca="false">S100*B100*'Prices&amp;Fuel'!M100</f>
        <v>4.39204595750198E-009</v>
      </c>
      <c r="V100" s="7" t="n">
        <f aca="false">32852-10000</f>
        <v>22852</v>
      </c>
      <c r="W100" s="14" t="n">
        <f aca="false">P100-R100-V100</f>
        <v>1.92812876775861E-010</v>
      </c>
    </row>
    <row r="101" customFormat="false" ht="11.25" hidden="false" customHeight="false" outlineLevel="0" collapsed="false">
      <c r="A101" s="6" t="n">
        <f aca="false">+A100+365/12</f>
        <v>38669</v>
      </c>
      <c r="B101" s="1" t="n">
        <v>30</v>
      </c>
      <c r="C101" s="27" t="n">
        <v>-0.127704194366784</v>
      </c>
      <c r="E101" s="28" t="n">
        <v>0.0194999999999999</v>
      </c>
      <c r="F101" s="1" t="n">
        <f aca="false">7761-1128-1707</f>
        <v>4926</v>
      </c>
      <c r="G101" s="1" t="n">
        <f aca="false">14039-666-3474-4167</f>
        <v>5732</v>
      </c>
      <c r="H101" s="1" t="n">
        <f aca="false">18200-4732-4126</f>
        <v>9342</v>
      </c>
      <c r="I101" s="1" t="n">
        <v>2563</v>
      </c>
      <c r="J101" s="1" t="n">
        <v>2862</v>
      </c>
      <c r="K101" s="1" t="n">
        <v>1685</v>
      </c>
      <c r="L101" s="1" t="n">
        <v>683</v>
      </c>
      <c r="M101" s="7" t="n">
        <f aca="false">F101+I101</f>
        <v>7489</v>
      </c>
      <c r="N101" s="7" t="n">
        <f aca="false">G101+J101+L101</f>
        <v>9277</v>
      </c>
      <c r="O101" s="7" t="n">
        <f aca="false">H101+K101</f>
        <v>11027</v>
      </c>
      <c r="P101" s="7" t="n">
        <f aca="false">SUM(M101:O101)</f>
        <v>27793</v>
      </c>
      <c r="Q101" s="7" t="n">
        <f aca="false">'Index Price Deals'!B101+'Index Price Deals'!C101+'Index Price Deals'!D101-'Prices&amp;Fuel'!AE101</f>
        <v>0</v>
      </c>
      <c r="R101" s="1" t="n">
        <f aca="false">('Long Term Deals'!BB101+'Long Term Deals'!BC101+'Long Term Deals'!BD101+'Long Term Deals'!BE101+'Long Term Deals'!BF101+'Long Term Deals'!BG101)*(1-'Prices&amp;Fuel'!F101)</f>
        <v>12000</v>
      </c>
      <c r="S101" s="14" t="n">
        <f aca="false">P101-Q101-R101-V101</f>
        <v>0</v>
      </c>
      <c r="T101" s="14" t="n">
        <f aca="false">((I101+J101+K101)*'Prices&amp;Fuel'!H101*'Prices&amp;Fuel'!L101)+('Prices&amp;Fuel'!N101*'Prices&amp;Fuel'!H101*Transport!L101)+(('Long Term Deals'!BB101+'Long Term Deals'!BC101+'Long Term Deals'!BD101)*'Prices&amp;Fuel'!H101*'Prices&amp;Fuel'!M101)</f>
        <v>188430.224941082</v>
      </c>
      <c r="U101" s="7" t="n">
        <f aca="false">S101*B101*'Prices&amp;Fuel'!M101</f>
        <v>0</v>
      </c>
      <c r="V101" s="7" t="n">
        <f aca="false">35793-20000</f>
        <v>15793</v>
      </c>
      <c r="W101" s="14" t="n">
        <f aca="false">P101-R101-V101</f>
        <v>0</v>
      </c>
    </row>
    <row r="102" customFormat="false" ht="11.25" hidden="false" customHeight="false" outlineLevel="0" collapsed="false">
      <c r="A102" s="6" t="n">
        <f aca="false">+A101+365/12</f>
        <v>38699.4166666667</v>
      </c>
      <c r="B102" s="1" t="n">
        <v>31</v>
      </c>
      <c r="C102" s="27" t="n">
        <v>-0.162666695672025</v>
      </c>
      <c r="E102" s="28" t="n">
        <v>0.0245000000000002</v>
      </c>
      <c r="F102" s="1" t="n">
        <f aca="false">7761-1128-1707</f>
        <v>4926</v>
      </c>
      <c r="G102" s="1" t="n">
        <f aca="false">14039-666-3474-4167</f>
        <v>5732</v>
      </c>
      <c r="H102" s="1" t="n">
        <f aca="false">18200-4732-4126</f>
        <v>9342</v>
      </c>
      <c r="I102" s="1" t="n">
        <v>2563</v>
      </c>
      <c r="J102" s="1" t="n">
        <v>2862</v>
      </c>
      <c r="K102" s="1" t="n">
        <v>1685</v>
      </c>
      <c r="L102" s="1" t="n">
        <v>683</v>
      </c>
      <c r="M102" s="7" t="n">
        <f aca="false">F102+I102</f>
        <v>7489</v>
      </c>
      <c r="N102" s="7" t="n">
        <f aca="false">G102+J102+L102</f>
        <v>9277</v>
      </c>
      <c r="O102" s="7" t="n">
        <f aca="false">H102+K102</f>
        <v>11027</v>
      </c>
      <c r="P102" s="7" t="n">
        <f aca="false">SUM(M102:O102)</f>
        <v>27793</v>
      </c>
      <c r="Q102" s="7" t="n">
        <f aca="false">'Index Price Deals'!B102+'Index Price Deals'!C102+'Index Price Deals'!D102-'Prices&amp;Fuel'!AE102</f>
        <v>0</v>
      </c>
      <c r="R102" s="1" t="n">
        <f aca="false">('Long Term Deals'!BB102+'Long Term Deals'!BC102+'Long Term Deals'!BD102+'Long Term Deals'!BE102+'Long Term Deals'!BF102+'Long Term Deals'!BG102)*(1-'Prices&amp;Fuel'!F102)</f>
        <v>12000</v>
      </c>
      <c r="S102" s="14" t="n">
        <f aca="false">P102-Q102-R102-V102</f>
        <v>0</v>
      </c>
      <c r="T102" s="14" t="n">
        <f aca="false">((I102+J102+K102)*'Prices&amp;Fuel'!H102*'Prices&amp;Fuel'!L102)+('Prices&amp;Fuel'!N102*'Prices&amp;Fuel'!H102*Transport!L102)+(('Long Term Deals'!BB102+'Long Term Deals'!BC102+'Long Term Deals'!BD102)*'Prices&amp;Fuel'!H102*'Prices&amp;Fuel'!M102)</f>
        <v>194711.232439118</v>
      </c>
      <c r="U102" s="7" t="n">
        <f aca="false">S102*B102*'Prices&amp;Fuel'!M102</f>
        <v>0</v>
      </c>
      <c r="V102" s="7" t="n">
        <f aca="false">35793-20000</f>
        <v>15793</v>
      </c>
      <c r="W102" s="14" t="n">
        <f aca="false">P102-R102-V102</f>
        <v>0</v>
      </c>
    </row>
    <row r="103" customFormat="false" ht="11.25" hidden="false" customHeight="false" outlineLevel="0" collapsed="false">
      <c r="A103" s="6" t="n">
        <f aca="false">+A102+365/12</f>
        <v>38729.8333333333</v>
      </c>
      <c r="B103" s="1" t="n">
        <v>31</v>
      </c>
      <c r="C103" s="27" t="n">
        <v>-0.147634405129316</v>
      </c>
      <c r="E103" s="28" t="n">
        <v>0.0245000000000002</v>
      </c>
      <c r="F103" s="1" t="n">
        <f aca="false">7761-1128-1707</f>
        <v>4926</v>
      </c>
      <c r="G103" s="1" t="n">
        <f aca="false">14039-666-3474-4167</f>
        <v>5732</v>
      </c>
      <c r="H103" s="1" t="n">
        <f aca="false">18200-4732-4126</f>
        <v>9342</v>
      </c>
      <c r="I103" s="1" t="n">
        <v>2563</v>
      </c>
      <c r="J103" s="1" t="n">
        <v>2862</v>
      </c>
      <c r="K103" s="1" t="n">
        <v>1685</v>
      </c>
      <c r="L103" s="1" t="n">
        <v>683</v>
      </c>
      <c r="M103" s="7" t="n">
        <f aca="false">F103+I103</f>
        <v>7489</v>
      </c>
      <c r="N103" s="7" t="n">
        <f aca="false">G103+J103+L103</f>
        <v>9277</v>
      </c>
      <c r="O103" s="7" t="n">
        <f aca="false">H103+K103</f>
        <v>11027</v>
      </c>
      <c r="P103" s="7" t="n">
        <f aca="false">SUM(M103:O103)</f>
        <v>27793</v>
      </c>
      <c r="Q103" s="7" t="n">
        <f aca="false">'Index Price Deals'!B103+'Index Price Deals'!C103+'Index Price Deals'!D103-'Prices&amp;Fuel'!AE103</f>
        <v>0</v>
      </c>
      <c r="R103" s="1" t="n">
        <f aca="false">('Long Term Deals'!BB103+'Long Term Deals'!BC103+'Long Term Deals'!BD103+'Long Term Deals'!BE103+'Long Term Deals'!BF103+'Long Term Deals'!BG103)*(1-'Prices&amp;Fuel'!F103)</f>
        <v>12000</v>
      </c>
      <c r="S103" s="14" t="n">
        <f aca="false">P103-Q103-R103-V103</f>
        <v>0</v>
      </c>
      <c r="T103" s="14" t="n">
        <f aca="false">((I103+J103+K103)*'Prices&amp;Fuel'!H103*'Prices&amp;Fuel'!L103)+('Prices&amp;Fuel'!N103*'Prices&amp;Fuel'!H103*Transport!L103)+(('Long Term Deals'!BB103+'Long Term Deals'!BC103+'Long Term Deals'!BD103)*'Prices&amp;Fuel'!H103*'Prices&amp;Fuel'!M103)</f>
        <v>194711.232439118</v>
      </c>
      <c r="U103" s="7" t="n">
        <f aca="false">S103*B103*'Prices&amp;Fuel'!M103</f>
        <v>0</v>
      </c>
      <c r="V103" s="7" t="n">
        <f aca="false">35793-20000</f>
        <v>15793</v>
      </c>
      <c r="W103" s="14" t="n">
        <f aca="false">P103-R103-V103</f>
        <v>0</v>
      </c>
    </row>
    <row r="104" customFormat="false" ht="11.25" hidden="false" customHeight="false" outlineLevel="0" collapsed="false">
      <c r="A104" s="6" t="n">
        <f aca="false">+A103+365/12</f>
        <v>38760.25</v>
      </c>
      <c r="B104" s="1" t="n">
        <v>28</v>
      </c>
      <c r="C104" s="27" t="n">
        <v>-0.147662181940249</v>
      </c>
      <c r="E104" s="28" t="n">
        <v>0.0245000000000002</v>
      </c>
      <c r="F104" s="1" t="n">
        <f aca="false">7761-1128-1707</f>
        <v>4926</v>
      </c>
      <c r="G104" s="1" t="n">
        <f aca="false">14039-666-3474-4167</f>
        <v>5732</v>
      </c>
      <c r="H104" s="1" t="n">
        <f aca="false">18200-4732-4126</f>
        <v>9342</v>
      </c>
      <c r="I104" s="1" t="n">
        <v>2563</v>
      </c>
      <c r="J104" s="1" t="n">
        <v>2862</v>
      </c>
      <c r="K104" s="1" t="n">
        <v>1685</v>
      </c>
      <c r="L104" s="1" t="n">
        <v>683</v>
      </c>
      <c r="M104" s="7" t="n">
        <f aca="false">F104+I104</f>
        <v>7489</v>
      </c>
      <c r="N104" s="7" t="n">
        <f aca="false">G104+J104+L104</f>
        <v>9277</v>
      </c>
      <c r="O104" s="7" t="n">
        <f aca="false">H104+K104</f>
        <v>11027</v>
      </c>
      <c r="P104" s="7" t="n">
        <f aca="false">SUM(M104:O104)</f>
        <v>27793</v>
      </c>
      <c r="Q104" s="7" t="n">
        <f aca="false">'Index Price Deals'!B104+'Index Price Deals'!C104+'Index Price Deals'!D104-'Prices&amp;Fuel'!AE104</f>
        <v>0</v>
      </c>
      <c r="R104" s="1" t="n">
        <f aca="false">('Long Term Deals'!BB104+'Long Term Deals'!BC104+'Long Term Deals'!BD104+'Long Term Deals'!BE104+'Long Term Deals'!BF104+'Long Term Deals'!BG104)*(1-'Prices&amp;Fuel'!F104)</f>
        <v>12000</v>
      </c>
      <c r="S104" s="14" t="n">
        <f aca="false">P104-Q104-R104-V104</f>
        <v>0</v>
      </c>
      <c r="T104" s="14" t="n">
        <f aca="false">((I104+J104+K104)*'Prices&amp;Fuel'!H104*'Prices&amp;Fuel'!L104)+('Prices&amp;Fuel'!N104*'Prices&amp;Fuel'!H104*Transport!L104)+(('Long Term Deals'!BB104+'Long Term Deals'!BC104+'Long Term Deals'!BD104)*'Prices&amp;Fuel'!H104*'Prices&amp;Fuel'!M104)</f>
        <v>175868.209945009</v>
      </c>
      <c r="U104" s="7" t="n">
        <f aca="false">S104*B104*'Prices&amp;Fuel'!M104</f>
        <v>0</v>
      </c>
      <c r="V104" s="7" t="n">
        <f aca="false">35793-20000</f>
        <v>15793</v>
      </c>
      <c r="W104" s="14" t="n">
        <f aca="false">P104-R104-V104</f>
        <v>0</v>
      </c>
    </row>
    <row r="105" customFormat="false" ht="11.25" hidden="false" customHeight="false" outlineLevel="0" collapsed="false">
      <c r="A105" s="6" t="n">
        <f aca="false">+A104+365/12</f>
        <v>38790.6666666667</v>
      </c>
      <c r="B105" s="1" t="n">
        <v>31</v>
      </c>
      <c r="C105" s="27" t="n">
        <v>-0.122697944584324</v>
      </c>
      <c r="E105" s="28" t="n">
        <v>0.0195000000000003</v>
      </c>
      <c r="F105" s="1" t="n">
        <f aca="false">7761-1128-1707</f>
        <v>4926</v>
      </c>
      <c r="G105" s="1" t="n">
        <f aca="false">14039-666-3474-4167</f>
        <v>5732</v>
      </c>
      <c r="H105" s="1" t="n">
        <f aca="false">18200-4732-4126</f>
        <v>9342</v>
      </c>
      <c r="I105" s="1" t="n">
        <v>2563</v>
      </c>
      <c r="J105" s="1" t="n">
        <v>2862</v>
      </c>
      <c r="K105" s="1" t="n">
        <v>1685</v>
      </c>
      <c r="L105" s="1" t="n">
        <v>683</v>
      </c>
      <c r="M105" s="7" t="n">
        <f aca="false">F105+I105</f>
        <v>7489</v>
      </c>
      <c r="N105" s="7" t="n">
        <f aca="false">G105+J105+L105</f>
        <v>9277</v>
      </c>
      <c r="O105" s="7" t="n">
        <f aca="false">H105+K105</f>
        <v>11027</v>
      </c>
      <c r="P105" s="7" t="n">
        <f aca="false">SUM(M105:O105)</f>
        <v>27793</v>
      </c>
      <c r="Q105" s="7" t="n">
        <f aca="false">'Index Price Deals'!B105+'Index Price Deals'!C105+'Index Price Deals'!D105-'Prices&amp;Fuel'!AE105</f>
        <v>0</v>
      </c>
      <c r="R105" s="1" t="n">
        <f aca="false">('Long Term Deals'!BB105+'Long Term Deals'!BC105+'Long Term Deals'!BD105+'Long Term Deals'!BE105+'Long Term Deals'!BF105+'Long Term Deals'!BG105)*(1-'Prices&amp;Fuel'!F105)</f>
        <v>12000</v>
      </c>
      <c r="S105" s="14" t="n">
        <f aca="false">P105-Q105-R105-V105</f>
        <v>0</v>
      </c>
      <c r="T105" s="14" t="n">
        <f aca="false">((I105+J105+K105)*'Prices&amp;Fuel'!H105*'Prices&amp;Fuel'!L105)+('Prices&amp;Fuel'!N105*'Prices&amp;Fuel'!H105*Transport!L105)+(('Long Term Deals'!BB105+'Long Term Deals'!BC105+'Long Term Deals'!BD105)*'Prices&amp;Fuel'!H105*'Prices&amp;Fuel'!M105)</f>
        <v>194711.232439118</v>
      </c>
      <c r="U105" s="7" t="n">
        <f aca="false">S105*B105*'Prices&amp;Fuel'!M105</f>
        <v>0</v>
      </c>
      <c r="V105" s="7" t="n">
        <f aca="false">35793-20000</f>
        <v>15793</v>
      </c>
      <c r="W105" s="14" t="n">
        <f aca="false">P105-R105-V105</f>
        <v>0</v>
      </c>
    </row>
    <row r="106" customFormat="false" ht="11.25" hidden="false" customHeight="false" outlineLevel="0" collapsed="false">
      <c r="A106" s="6" t="n">
        <f aca="false">+A105+365/12</f>
        <v>38821.0833333333</v>
      </c>
      <c r="B106" s="1" t="n">
        <v>30</v>
      </c>
      <c r="C106" s="27" t="n">
        <v>-0.07321495788102</v>
      </c>
      <c r="E106" s="28" t="n">
        <v>0.00599999999999978</v>
      </c>
      <c r="F106" s="1" t="n">
        <f aca="false">7761-828</f>
        <v>6933</v>
      </c>
      <c r="G106" s="1" t="n">
        <f aca="false">14039-5241</f>
        <v>8798</v>
      </c>
      <c r="H106" s="1" t="n">
        <f aca="false">18200-3931</f>
        <v>14269</v>
      </c>
      <c r="I106" s="1" t="n">
        <v>1880</v>
      </c>
      <c r="J106" s="1" t="n">
        <v>2073</v>
      </c>
      <c r="K106" s="1" t="n">
        <v>1258</v>
      </c>
      <c r="L106" s="1" t="n">
        <v>683</v>
      </c>
      <c r="M106" s="7" t="n">
        <f aca="false">F106+I106</f>
        <v>8813</v>
      </c>
      <c r="N106" s="7" t="n">
        <f aca="false">G106+J106+L106</f>
        <v>11554</v>
      </c>
      <c r="O106" s="7" t="n">
        <f aca="false">H106+K106</f>
        <v>15527</v>
      </c>
      <c r="P106" s="7" t="n">
        <f aca="false">SUM(M106:O106)</f>
        <v>35894</v>
      </c>
      <c r="Q106" s="7" t="n">
        <f aca="false">'Index Price Deals'!B106+'Index Price Deals'!C106+'Index Price Deals'!D106-'Prices&amp;Fuel'!AE106</f>
        <v>0</v>
      </c>
      <c r="R106" s="1" t="n">
        <f aca="false">('Long Term Deals'!BB106+'Long Term Deals'!BC106+'Long Term Deals'!BD106+'Long Term Deals'!BE106+'Long Term Deals'!BF106+'Long Term Deals'!BG106)*(1-'Prices&amp;Fuel'!F106)</f>
        <v>12000</v>
      </c>
      <c r="S106" s="14" t="n">
        <f aca="false">P106-Q106-R106-V106</f>
        <v>0</v>
      </c>
      <c r="T106" s="14" t="n">
        <f aca="false">((I106+J106+K106)*'Prices&amp;Fuel'!H106*'Prices&amp;Fuel'!L106)+('Prices&amp;Fuel'!N106*'Prices&amp;Fuel'!H106*Transport!L106)+(('Long Term Deals'!BB106+'Long Term Deals'!BC106+'Long Term Deals'!BD106)*'Prices&amp;Fuel'!H106*'Prices&amp;Fuel'!M106)</f>
        <v>208796.531168557</v>
      </c>
      <c r="U106" s="7" t="n">
        <f aca="false">S106*B106*'Prices&amp;Fuel'!M106</f>
        <v>0</v>
      </c>
      <c r="V106" s="7" t="n">
        <f aca="false">33894-10000</f>
        <v>23894</v>
      </c>
      <c r="W106" s="14" t="n">
        <f aca="false">P106-R106-V106</f>
        <v>0</v>
      </c>
    </row>
    <row r="107" customFormat="false" ht="11.25" hidden="false" customHeight="false" outlineLevel="0" collapsed="false">
      <c r="A107" s="6" t="n">
        <f aca="false">+A106+365/12</f>
        <v>38851.5</v>
      </c>
      <c r="B107" s="1" t="n">
        <v>31</v>
      </c>
      <c r="C107" s="27" t="n">
        <v>-0.0754152494560763</v>
      </c>
      <c r="E107" s="28" t="n">
        <v>0.00599999999999978</v>
      </c>
      <c r="F107" s="1" t="n">
        <v>8730</v>
      </c>
      <c r="G107" s="1" t="n">
        <f aca="false">15795-5034</f>
        <v>10761</v>
      </c>
      <c r="H107" s="1" t="n">
        <f aca="false">20475-4966</f>
        <v>15509</v>
      </c>
      <c r="I107" s="1" t="n">
        <v>1880</v>
      </c>
      <c r="J107" s="1" t="n">
        <v>2295</v>
      </c>
      <c r="K107" s="1" t="n">
        <v>1036</v>
      </c>
      <c r="L107" s="1" t="n">
        <v>683</v>
      </c>
      <c r="M107" s="7" t="n">
        <f aca="false">F107+I107</f>
        <v>10610</v>
      </c>
      <c r="N107" s="7" t="n">
        <f aca="false">G107+J107+L107</f>
        <v>13739</v>
      </c>
      <c r="O107" s="7" t="n">
        <f aca="false">H107+K107</f>
        <v>16545</v>
      </c>
      <c r="P107" s="7" t="n">
        <f aca="false">SUM(M107:O107)</f>
        <v>40894</v>
      </c>
      <c r="Q107" s="7" t="n">
        <f aca="false">'Index Price Deals'!B107+'Index Price Deals'!C107+'Index Price Deals'!D107-'Prices&amp;Fuel'!AE107</f>
        <v>0</v>
      </c>
      <c r="R107" s="1" t="n">
        <f aca="false">('Long Term Deals'!BB107+'Long Term Deals'!BC107+'Long Term Deals'!BD107+'Long Term Deals'!BE107+'Long Term Deals'!BF107+'Long Term Deals'!BG107)*(1-'Prices&amp;Fuel'!F107)</f>
        <v>20999.9999999999</v>
      </c>
      <c r="S107" s="14" t="n">
        <f aca="false">P107-Q107-R107-V107</f>
        <v>1.38243194669485E-010</v>
      </c>
      <c r="T107" s="14" t="n">
        <f aca="false">((I107+J107+K107)*'Prices&amp;Fuel'!H107*'Prices&amp;Fuel'!L107)+('Prices&amp;Fuel'!N107*'Prices&amp;Fuel'!H107*Transport!L107)+(('Long Term Deals'!BB107+'Long Term Deals'!BC107+'Long Term Deals'!BD107)*'Prices&amp;Fuel'!H107*'Prices&amp;Fuel'!M107)</f>
        <v>426562.790862176</v>
      </c>
      <c r="U107" s="7" t="n">
        <f aca="false">S107*B107*'Prices&amp;Fuel'!M107</f>
        <v>3.14901408273727E-009</v>
      </c>
      <c r="V107" s="7" t="n">
        <f aca="false">29894-10000</f>
        <v>19894</v>
      </c>
      <c r="W107" s="14" t="n">
        <f aca="false">P107-R107-V107</f>
        <v>1.38243194669485E-010</v>
      </c>
    </row>
    <row r="108" customFormat="false" ht="11.25" hidden="false" customHeight="false" outlineLevel="0" collapsed="false">
      <c r="A108" s="6" t="n">
        <f aca="false">+A107+365/12</f>
        <v>38881.9166666667</v>
      </c>
      <c r="B108" s="1" t="n">
        <v>30</v>
      </c>
      <c r="C108" s="27" t="n">
        <v>-0.0754184042698438</v>
      </c>
      <c r="E108" s="28" t="n">
        <v>0.00599999999999978</v>
      </c>
      <c r="F108" s="1" t="n">
        <v>8730</v>
      </c>
      <c r="G108" s="1" t="n">
        <f aca="false">15795-5034</f>
        <v>10761</v>
      </c>
      <c r="H108" s="1" t="n">
        <f aca="false">20475-4966</f>
        <v>15509</v>
      </c>
      <c r="I108" s="1" t="n">
        <v>1880</v>
      </c>
      <c r="J108" s="1" t="n">
        <v>2295</v>
      </c>
      <c r="K108" s="1" t="n">
        <v>1036</v>
      </c>
      <c r="L108" s="1" t="n">
        <v>683</v>
      </c>
      <c r="M108" s="7" t="n">
        <f aca="false">F108+I108</f>
        <v>10610</v>
      </c>
      <c r="N108" s="7" t="n">
        <f aca="false">G108+J108+L108</f>
        <v>13739</v>
      </c>
      <c r="O108" s="7" t="n">
        <f aca="false">H108+K108</f>
        <v>16545</v>
      </c>
      <c r="P108" s="7" t="n">
        <f aca="false">SUM(M108:O108)</f>
        <v>40894</v>
      </c>
      <c r="Q108" s="7" t="n">
        <f aca="false">'Index Price Deals'!B108+'Index Price Deals'!C108+'Index Price Deals'!D108-'Prices&amp;Fuel'!AE108</f>
        <v>0</v>
      </c>
      <c r="R108" s="1" t="n">
        <f aca="false">('Long Term Deals'!BB108+'Long Term Deals'!BC108+'Long Term Deals'!BD108+'Long Term Deals'!BE108+'Long Term Deals'!BF108+'Long Term Deals'!BG108)*(1-'Prices&amp;Fuel'!F108)</f>
        <v>20999.9999999999</v>
      </c>
      <c r="S108" s="14" t="n">
        <f aca="false">P108-Q108-R108-V108</f>
        <v>1.38243194669485E-010</v>
      </c>
      <c r="T108" s="14" t="n">
        <f aca="false">((I108+J108+K108)*'Prices&amp;Fuel'!H108*'Prices&amp;Fuel'!L108)+('Prices&amp;Fuel'!N108*'Prices&amp;Fuel'!H108*Transport!L108)+(('Long Term Deals'!BB108+'Long Term Deals'!BC108+'Long Term Deals'!BD108)*'Prices&amp;Fuel'!H108*'Prices&amp;Fuel'!M108)</f>
        <v>412802.700834364</v>
      </c>
      <c r="U108" s="7" t="n">
        <f aca="false">S108*B108*'Prices&amp;Fuel'!M108</f>
        <v>3.04743298329413E-009</v>
      </c>
      <c r="V108" s="7" t="n">
        <f aca="false">29894-10000</f>
        <v>19894</v>
      </c>
      <c r="W108" s="14" t="n">
        <f aca="false">P108-R108-V108</f>
        <v>1.38243194669485E-010</v>
      </c>
    </row>
    <row r="109" customFormat="false" ht="11.25" hidden="false" customHeight="false" outlineLevel="0" collapsed="false">
      <c r="A109" s="6" t="n">
        <f aca="false">+A108+365/12</f>
        <v>38912.3333333333</v>
      </c>
      <c r="B109" s="1" t="n">
        <v>31</v>
      </c>
      <c r="C109" s="27" t="n">
        <v>-0.0799202971581043</v>
      </c>
      <c r="E109" s="28" t="n">
        <v>0.00949999999999984</v>
      </c>
      <c r="F109" s="1" t="n">
        <v>8730</v>
      </c>
      <c r="G109" s="1" t="n">
        <f aca="false">15795-5034</f>
        <v>10761</v>
      </c>
      <c r="H109" s="1" t="n">
        <f aca="false">20475-4966</f>
        <v>15509</v>
      </c>
      <c r="I109" s="1" t="n">
        <v>1880</v>
      </c>
      <c r="J109" s="1" t="n">
        <v>2295</v>
      </c>
      <c r="K109" s="1" t="n">
        <v>1036</v>
      </c>
      <c r="L109" s="1" t="n">
        <v>683</v>
      </c>
      <c r="M109" s="7" t="n">
        <f aca="false">F109+I109</f>
        <v>10610</v>
      </c>
      <c r="N109" s="7" t="n">
        <f aca="false">G109+J109+L109</f>
        <v>13739</v>
      </c>
      <c r="O109" s="7" t="n">
        <f aca="false">H109+K109</f>
        <v>16545</v>
      </c>
      <c r="P109" s="7" t="n">
        <f aca="false">SUM(M109:O109)</f>
        <v>40894</v>
      </c>
      <c r="Q109" s="7" t="n">
        <f aca="false">'Index Price Deals'!B109+'Index Price Deals'!C109+'Index Price Deals'!D109-'Prices&amp;Fuel'!AE109</f>
        <v>0</v>
      </c>
      <c r="R109" s="1" t="n">
        <f aca="false">('Long Term Deals'!BB109+'Long Term Deals'!BC109+'Long Term Deals'!BD109+'Long Term Deals'!BE109+'Long Term Deals'!BF109+'Long Term Deals'!BG109)*(1-'Prices&amp;Fuel'!F109)</f>
        <v>20999.9999999999</v>
      </c>
      <c r="S109" s="14" t="n">
        <f aca="false">P109-Q109-R109-V109</f>
        <v>1.38243194669485E-010</v>
      </c>
      <c r="T109" s="14" t="n">
        <f aca="false">((I109+J109+K109)*'Prices&amp;Fuel'!H109*'Prices&amp;Fuel'!L109)+('Prices&amp;Fuel'!N109*'Prices&amp;Fuel'!H109*Transport!L109)+(('Long Term Deals'!BB109+'Long Term Deals'!BC109+'Long Term Deals'!BD109)*'Prices&amp;Fuel'!H109*'Prices&amp;Fuel'!M109)</f>
        <v>426562.790862176</v>
      </c>
      <c r="U109" s="7" t="n">
        <f aca="false">S109*B109*'Prices&amp;Fuel'!M109</f>
        <v>3.14901408273727E-009</v>
      </c>
      <c r="V109" s="7" t="n">
        <f aca="false">29894-10000</f>
        <v>19894</v>
      </c>
      <c r="W109" s="14" t="n">
        <f aca="false">P109-R109-V109</f>
        <v>1.38243194669485E-010</v>
      </c>
    </row>
    <row r="110" customFormat="false" ht="11.25" hidden="false" customHeight="false" outlineLevel="0" collapsed="false">
      <c r="A110" s="6" t="n">
        <f aca="false">+A109+365/12</f>
        <v>38942.75</v>
      </c>
      <c r="B110" s="1" t="n">
        <v>31</v>
      </c>
      <c r="C110" s="27" t="n">
        <v>-0.0799240829346251</v>
      </c>
      <c r="E110" s="28" t="n">
        <v>0.00949999999999962</v>
      </c>
      <c r="F110" s="1" t="n">
        <v>8730</v>
      </c>
      <c r="G110" s="1" t="n">
        <f aca="false">15795-5034</f>
        <v>10761</v>
      </c>
      <c r="H110" s="1" t="n">
        <f aca="false">20475-4966</f>
        <v>15509</v>
      </c>
      <c r="I110" s="1" t="n">
        <v>1880</v>
      </c>
      <c r="J110" s="1" t="n">
        <v>2295</v>
      </c>
      <c r="K110" s="1" t="n">
        <v>1036</v>
      </c>
      <c r="L110" s="1" t="n">
        <v>683</v>
      </c>
      <c r="M110" s="7" t="n">
        <f aca="false">F110+I110</f>
        <v>10610</v>
      </c>
      <c r="N110" s="7" t="n">
        <f aca="false">G110+J110+L110</f>
        <v>13739</v>
      </c>
      <c r="O110" s="7" t="n">
        <f aca="false">H110+K110</f>
        <v>16545</v>
      </c>
      <c r="P110" s="7" t="n">
        <f aca="false">SUM(M110:O110)</f>
        <v>40894</v>
      </c>
      <c r="Q110" s="7" t="n">
        <f aca="false">'Index Price Deals'!B110+'Index Price Deals'!C110+'Index Price Deals'!D110-'Prices&amp;Fuel'!AE110</f>
        <v>0</v>
      </c>
      <c r="R110" s="1" t="n">
        <f aca="false">('Long Term Deals'!BB110+'Long Term Deals'!BC110+'Long Term Deals'!BD110+'Long Term Deals'!BE110+'Long Term Deals'!BF110+'Long Term Deals'!BG110)*(1-'Prices&amp;Fuel'!F110)</f>
        <v>20999.9999999999</v>
      </c>
      <c r="S110" s="14" t="n">
        <f aca="false">P110-Q110-R110-V110</f>
        <v>1.38243194669485E-010</v>
      </c>
      <c r="T110" s="14" t="n">
        <f aca="false">((I110+J110+K110)*'Prices&amp;Fuel'!H110*'Prices&amp;Fuel'!L110)+('Prices&amp;Fuel'!N110*'Prices&amp;Fuel'!H110*Transport!L110)+(('Long Term Deals'!BB110+'Long Term Deals'!BC110+'Long Term Deals'!BD110)*'Prices&amp;Fuel'!H110*'Prices&amp;Fuel'!M110)</f>
        <v>426562.790862176</v>
      </c>
      <c r="U110" s="7" t="n">
        <f aca="false">S110*B110*'Prices&amp;Fuel'!M110</f>
        <v>3.14901408273727E-009</v>
      </c>
      <c r="V110" s="7" t="n">
        <f aca="false">29894-10000</f>
        <v>19894</v>
      </c>
      <c r="W110" s="14" t="n">
        <f aca="false">P110-R110-V110</f>
        <v>1.38243194669485E-010</v>
      </c>
    </row>
    <row r="111" customFormat="false" ht="11.25" hidden="false" customHeight="false" outlineLevel="0" collapsed="false">
      <c r="A111" s="6" t="n">
        <f aca="false">+A110+365/12</f>
        <v>38973.1666666667</v>
      </c>
      <c r="B111" s="1" t="n">
        <v>30</v>
      </c>
      <c r="C111" s="27" t="n">
        <v>-0.0799303925621602</v>
      </c>
      <c r="E111" s="28" t="n">
        <v>0.00949999999999962</v>
      </c>
      <c r="F111" s="1" t="n">
        <v>8730</v>
      </c>
      <c r="G111" s="1" t="n">
        <f aca="false">15795-5034</f>
        <v>10761</v>
      </c>
      <c r="H111" s="1" t="n">
        <f aca="false">20475-4966</f>
        <v>15509</v>
      </c>
      <c r="I111" s="1" t="n">
        <v>1880</v>
      </c>
      <c r="J111" s="1" t="n">
        <v>2295</v>
      </c>
      <c r="K111" s="1" t="n">
        <v>1036</v>
      </c>
      <c r="L111" s="1" t="n">
        <v>683</v>
      </c>
      <c r="M111" s="7" t="n">
        <f aca="false">F111+I111</f>
        <v>10610</v>
      </c>
      <c r="N111" s="7" t="n">
        <f aca="false">G111+J111+L111</f>
        <v>13739</v>
      </c>
      <c r="O111" s="7" t="n">
        <f aca="false">H111+K111</f>
        <v>16545</v>
      </c>
      <c r="P111" s="7" t="n">
        <f aca="false">SUM(M111:O111)</f>
        <v>40894</v>
      </c>
      <c r="Q111" s="7" t="n">
        <f aca="false">'Index Price Deals'!B111+'Index Price Deals'!C111+'Index Price Deals'!D111-'Prices&amp;Fuel'!AE111</f>
        <v>0</v>
      </c>
      <c r="R111" s="1" t="n">
        <f aca="false">('Long Term Deals'!BB111+'Long Term Deals'!BC111+'Long Term Deals'!BD111+'Long Term Deals'!BE111+'Long Term Deals'!BF111+'Long Term Deals'!BG111)*(1-'Prices&amp;Fuel'!F111)</f>
        <v>20999.9999999999</v>
      </c>
      <c r="S111" s="14" t="n">
        <f aca="false">P111-Q111-R111-V111</f>
        <v>1.38243194669485E-010</v>
      </c>
      <c r="T111" s="14" t="n">
        <f aca="false">((I111+J111+K111)*'Prices&amp;Fuel'!H111*'Prices&amp;Fuel'!L111)+('Prices&amp;Fuel'!N111*'Prices&amp;Fuel'!H111*Transport!L111)+(('Long Term Deals'!BB111+'Long Term Deals'!BC111+'Long Term Deals'!BD111)*'Prices&amp;Fuel'!H111*'Prices&amp;Fuel'!M111)</f>
        <v>412802.700834364</v>
      </c>
      <c r="U111" s="7" t="n">
        <f aca="false">S111*B111*'Prices&amp;Fuel'!M111</f>
        <v>3.04743298329413E-009</v>
      </c>
      <c r="V111" s="7" t="n">
        <f aca="false">29894-10000</f>
        <v>19894</v>
      </c>
      <c r="W111" s="14" t="n">
        <f aca="false">P111-R111-V111</f>
        <v>1.38243194669485E-010</v>
      </c>
    </row>
    <row r="112" customFormat="false" ht="11.25" hidden="false" customHeight="false" outlineLevel="0" collapsed="false">
      <c r="A112" s="6" t="n">
        <f aca="false">+A111+365/12</f>
        <v>39003.5833333333</v>
      </c>
      <c r="B112" s="1" t="n">
        <v>31</v>
      </c>
      <c r="C112" s="27" t="n">
        <v>-0.0827052359971949</v>
      </c>
      <c r="E112" s="28" t="n">
        <v>0.0145</v>
      </c>
      <c r="F112" s="1" t="n">
        <f aca="false">8730-0</f>
        <v>8730</v>
      </c>
      <c r="G112" s="1" t="n">
        <f aca="false">15795-5434</f>
        <v>10361</v>
      </c>
      <c r="H112" s="1" t="n">
        <f aca="false">20475-4566</f>
        <v>15909</v>
      </c>
      <c r="I112" s="1" t="n">
        <v>2830</v>
      </c>
      <c r="J112" s="1" t="n">
        <v>3500</v>
      </c>
      <c r="K112" s="1" t="n">
        <v>1521</v>
      </c>
      <c r="L112" s="1" t="n">
        <v>1001</v>
      </c>
      <c r="M112" s="7" t="n">
        <f aca="false">F112+I112</f>
        <v>11560</v>
      </c>
      <c r="N112" s="7" t="n">
        <f aca="false">G112+J112+L112</f>
        <v>14862</v>
      </c>
      <c r="O112" s="7" t="n">
        <f aca="false">H112+K112</f>
        <v>17430</v>
      </c>
      <c r="P112" s="7" t="n">
        <f aca="false">SUM(M112:O112)</f>
        <v>43852</v>
      </c>
      <c r="Q112" s="7" t="n">
        <f aca="false">'Index Price Deals'!B112+'Index Price Deals'!C112+'Index Price Deals'!D112-'Prices&amp;Fuel'!AE112</f>
        <v>0</v>
      </c>
      <c r="R112" s="1" t="n">
        <f aca="false">('Long Term Deals'!BB112+'Long Term Deals'!BC112+'Long Term Deals'!BD112+'Long Term Deals'!BE112+'Long Term Deals'!BF112+'Long Term Deals'!BG112)*(1-'Prices&amp;Fuel'!F112)</f>
        <v>20999.9999999998</v>
      </c>
      <c r="S112" s="14" t="n">
        <f aca="false">P112-Q112-R112-V112</f>
        <v>1.92812876775861E-010</v>
      </c>
      <c r="T112" s="14" t="n">
        <f aca="false">((I112+J112+K112)*'Prices&amp;Fuel'!H112*'Prices&amp;Fuel'!L112)+('Prices&amp;Fuel'!N112*'Prices&amp;Fuel'!H112*Transport!L112)+(('Long Term Deals'!BB112+'Long Term Deals'!BC112+'Long Term Deals'!BD112)*'Prices&amp;Fuel'!H112*'Prices&amp;Fuel'!M112)</f>
        <v>393781.510390926</v>
      </c>
      <c r="U112" s="7" t="n">
        <f aca="false">S112*B112*'Prices&amp;Fuel'!M112</f>
        <v>4.39204595750198E-009</v>
      </c>
      <c r="V112" s="7" t="n">
        <f aca="false">32852-10000</f>
        <v>22852</v>
      </c>
      <c r="W112" s="14" t="n">
        <f aca="false">P112-R112-V112</f>
        <v>1.92812876775861E-010</v>
      </c>
    </row>
    <row r="113" customFormat="false" ht="11.25" hidden="false" customHeight="false" outlineLevel="0" collapsed="false">
      <c r="A113" s="6" t="n">
        <f aca="false">+A112+365/12</f>
        <v>39034</v>
      </c>
      <c r="B113" s="1" t="n">
        <v>30</v>
      </c>
      <c r="C113" s="27" t="n">
        <v>-0.127677459186262</v>
      </c>
      <c r="E113" s="28" t="n">
        <v>0.0194999999999999</v>
      </c>
      <c r="F113" s="1" t="n">
        <f aca="false">7761-1128-1707</f>
        <v>4926</v>
      </c>
      <c r="G113" s="1" t="n">
        <f aca="false">14039-666-3474-4167</f>
        <v>5732</v>
      </c>
      <c r="H113" s="1" t="n">
        <f aca="false">18200-4732-4126</f>
        <v>9342</v>
      </c>
      <c r="I113" s="1" t="n">
        <v>2563</v>
      </c>
      <c r="J113" s="1" t="n">
        <v>2862</v>
      </c>
      <c r="K113" s="1" t="n">
        <v>1685</v>
      </c>
      <c r="L113" s="1" t="n">
        <v>683</v>
      </c>
      <c r="M113" s="7" t="n">
        <f aca="false">F113+I113</f>
        <v>7489</v>
      </c>
      <c r="N113" s="7" t="n">
        <f aca="false">G113+J113+L113</f>
        <v>9277</v>
      </c>
      <c r="O113" s="7" t="n">
        <f aca="false">H113+K113</f>
        <v>11027</v>
      </c>
      <c r="P113" s="7" t="n">
        <f aca="false">SUM(M113:O113)</f>
        <v>27793</v>
      </c>
      <c r="Q113" s="7" t="n">
        <f aca="false">'Index Price Deals'!B113+'Index Price Deals'!C113+'Index Price Deals'!D113-'Prices&amp;Fuel'!AE113</f>
        <v>0</v>
      </c>
      <c r="R113" s="1" t="n">
        <f aca="false">('Long Term Deals'!BB113+'Long Term Deals'!BC113+'Long Term Deals'!BD113+'Long Term Deals'!BE113+'Long Term Deals'!BF113+'Long Term Deals'!BG113)*(1-'Prices&amp;Fuel'!F113)</f>
        <v>12000</v>
      </c>
      <c r="S113" s="14" t="n">
        <f aca="false">P113-Q113-R113-V113</f>
        <v>0</v>
      </c>
      <c r="T113" s="14" t="n">
        <f aca="false">((I113+J113+K113)*'Prices&amp;Fuel'!H113*'Prices&amp;Fuel'!L113)+('Prices&amp;Fuel'!N113*'Prices&amp;Fuel'!H113*Transport!L113)+(('Long Term Deals'!BB113+'Long Term Deals'!BC113+'Long Term Deals'!BD113)*'Prices&amp;Fuel'!H113*'Prices&amp;Fuel'!M113)</f>
        <v>188430.224941082</v>
      </c>
      <c r="U113" s="7" t="n">
        <f aca="false">S113*B113*'Prices&amp;Fuel'!M113</f>
        <v>0</v>
      </c>
      <c r="V113" s="7" t="n">
        <f aca="false">35793-20000</f>
        <v>15793</v>
      </c>
      <c r="W113" s="14" t="n">
        <f aca="false">P113-R113-V113</f>
        <v>0</v>
      </c>
    </row>
    <row r="114" customFormat="false" ht="11.25" hidden="false" customHeight="false" outlineLevel="0" collapsed="false">
      <c r="A114" s="6" t="n">
        <f aca="false">+A113+365/12</f>
        <v>39064.4166666667</v>
      </c>
      <c r="B114" s="1" t="n">
        <v>31</v>
      </c>
      <c r="C114" s="27" t="n">
        <v>-0.162639960491503</v>
      </c>
      <c r="E114" s="28" t="n">
        <v>0.0245000000000002</v>
      </c>
      <c r="F114" s="1" t="n">
        <f aca="false">7761-1128-1707</f>
        <v>4926</v>
      </c>
      <c r="G114" s="1" t="n">
        <f aca="false">14039-666-3474-4167</f>
        <v>5732</v>
      </c>
      <c r="H114" s="1" t="n">
        <f aca="false">18200-4732-4126</f>
        <v>9342</v>
      </c>
      <c r="I114" s="1" t="n">
        <v>2563</v>
      </c>
      <c r="J114" s="1" t="n">
        <v>2862</v>
      </c>
      <c r="K114" s="1" t="n">
        <v>1685</v>
      </c>
      <c r="L114" s="1" t="n">
        <v>683</v>
      </c>
      <c r="M114" s="7" t="n">
        <f aca="false">F114+I114</f>
        <v>7489</v>
      </c>
      <c r="N114" s="7" t="n">
        <f aca="false">G114+J114+L114</f>
        <v>9277</v>
      </c>
      <c r="O114" s="7" t="n">
        <f aca="false">H114+K114</f>
        <v>11027</v>
      </c>
      <c r="P114" s="7" t="n">
        <f aca="false">SUM(M114:O114)</f>
        <v>27793</v>
      </c>
      <c r="Q114" s="7" t="n">
        <f aca="false">'Index Price Deals'!B114+'Index Price Deals'!C114+'Index Price Deals'!D114-'Prices&amp;Fuel'!AE114</f>
        <v>0</v>
      </c>
      <c r="R114" s="1" t="n">
        <f aca="false">('Long Term Deals'!BB114+'Long Term Deals'!BC114+'Long Term Deals'!BD114+'Long Term Deals'!BE114+'Long Term Deals'!BF114+'Long Term Deals'!BG114)*(1-'Prices&amp;Fuel'!F114)</f>
        <v>12000</v>
      </c>
      <c r="S114" s="14" t="n">
        <f aca="false">P114-Q114-R114-V114</f>
        <v>0</v>
      </c>
      <c r="T114" s="14" t="n">
        <f aca="false">((I114+J114+K114)*'Prices&amp;Fuel'!H114*'Prices&amp;Fuel'!L114)+('Prices&amp;Fuel'!N114*'Prices&amp;Fuel'!H114*Transport!L114)+(('Long Term Deals'!BB114+'Long Term Deals'!BC114+'Long Term Deals'!BD114)*'Prices&amp;Fuel'!H114*'Prices&amp;Fuel'!M114)</f>
        <v>194711.232439118</v>
      </c>
      <c r="U114" s="7" t="n">
        <f aca="false">S114*B114*'Prices&amp;Fuel'!M114</f>
        <v>0</v>
      </c>
      <c r="V114" s="7" t="n">
        <f aca="false">35793-20000</f>
        <v>15793</v>
      </c>
      <c r="W114" s="14" t="n">
        <f aca="false">P114-R114-V114</f>
        <v>0</v>
      </c>
    </row>
    <row r="115" customFormat="false" ht="11.25" hidden="false" customHeight="false" outlineLevel="0" collapsed="false">
      <c r="A115" s="6" t="n">
        <f aca="false">+A114+365/12</f>
        <v>39094.8333333333</v>
      </c>
      <c r="B115" s="1" t="n">
        <v>31</v>
      </c>
      <c r="C115" s="27" t="n">
        <v>-0.147598989695378</v>
      </c>
      <c r="E115" s="28" t="n">
        <v>0.0245000000000002</v>
      </c>
      <c r="F115" s="1" t="n">
        <f aca="false">7761-1128-1707</f>
        <v>4926</v>
      </c>
      <c r="G115" s="1" t="n">
        <f aca="false">14039-666-3474-4167</f>
        <v>5732</v>
      </c>
      <c r="H115" s="1" t="n">
        <f aca="false">18200-4732-4126</f>
        <v>9342</v>
      </c>
      <c r="I115" s="1" t="n">
        <v>2563</v>
      </c>
      <c r="J115" s="1" t="n">
        <v>2862</v>
      </c>
      <c r="K115" s="1" t="n">
        <v>1685</v>
      </c>
      <c r="L115" s="1" t="n">
        <v>683</v>
      </c>
      <c r="M115" s="7" t="n">
        <f aca="false">F115+I115</f>
        <v>7489</v>
      </c>
      <c r="N115" s="7" t="n">
        <f aca="false">G115+J115+L115</f>
        <v>9277</v>
      </c>
      <c r="O115" s="7" t="n">
        <f aca="false">H115+K115</f>
        <v>11027</v>
      </c>
      <c r="P115" s="7" t="n">
        <f aca="false">SUM(M115:O115)</f>
        <v>27793</v>
      </c>
      <c r="Q115" s="7" t="n">
        <f aca="false">'Index Price Deals'!B115+'Index Price Deals'!C115+'Index Price Deals'!D115-'Prices&amp;Fuel'!AE115</f>
        <v>0</v>
      </c>
      <c r="R115" s="1" t="n">
        <f aca="false">('Long Term Deals'!BB115+'Long Term Deals'!BC115+'Long Term Deals'!BD115+'Long Term Deals'!BE115+'Long Term Deals'!BF115+'Long Term Deals'!BG115)*(1-'Prices&amp;Fuel'!F115)</f>
        <v>12000</v>
      </c>
      <c r="S115" s="14" t="n">
        <f aca="false">P115-Q115-R115-V115</f>
        <v>0</v>
      </c>
      <c r="T115" s="14" t="n">
        <f aca="false">((I115+J115+K115)*'Prices&amp;Fuel'!H115*'Prices&amp;Fuel'!L115)+('Prices&amp;Fuel'!N115*'Prices&amp;Fuel'!H115*Transport!L115)+(('Long Term Deals'!BB115+'Long Term Deals'!BC115+'Long Term Deals'!BD115)*'Prices&amp;Fuel'!H115*'Prices&amp;Fuel'!M115)</f>
        <v>194711.232439118</v>
      </c>
      <c r="U115" s="7" t="n">
        <f aca="false">S115*B115*'Prices&amp;Fuel'!M115</f>
        <v>0</v>
      </c>
      <c r="V115" s="7" t="n">
        <f aca="false">35793-20000</f>
        <v>15793</v>
      </c>
      <c r="W115" s="14" t="n">
        <f aca="false">P115-R115-V115</f>
        <v>0</v>
      </c>
    </row>
    <row r="116" customFormat="false" ht="11.25" hidden="false" customHeight="false" outlineLevel="0" collapsed="false">
      <c r="A116" s="6" t="n">
        <f aca="false">+A115+365/12</f>
        <v>39125.25</v>
      </c>
      <c r="B116" s="1" t="n">
        <v>28</v>
      </c>
      <c r="C116" s="27" t="n">
        <v>-0.14762676650631</v>
      </c>
      <c r="E116" s="28" t="n">
        <v>0.0245000000000002</v>
      </c>
      <c r="F116" s="1" t="n">
        <f aca="false">7761-1128-1707</f>
        <v>4926</v>
      </c>
      <c r="G116" s="1" t="n">
        <f aca="false">14039-666-3474-4167</f>
        <v>5732</v>
      </c>
      <c r="H116" s="1" t="n">
        <f aca="false">18200-4732-4126</f>
        <v>9342</v>
      </c>
      <c r="I116" s="1" t="n">
        <v>2563</v>
      </c>
      <c r="J116" s="1" t="n">
        <v>2862</v>
      </c>
      <c r="K116" s="1" t="n">
        <v>1685</v>
      </c>
      <c r="L116" s="1" t="n">
        <v>683</v>
      </c>
      <c r="M116" s="7" t="n">
        <f aca="false">F116+I116</f>
        <v>7489</v>
      </c>
      <c r="N116" s="7" t="n">
        <f aca="false">G116+J116+L116</f>
        <v>9277</v>
      </c>
      <c r="O116" s="7" t="n">
        <f aca="false">H116+K116</f>
        <v>11027</v>
      </c>
      <c r="P116" s="7" t="n">
        <f aca="false">SUM(M116:O116)</f>
        <v>27793</v>
      </c>
      <c r="Q116" s="7" t="n">
        <f aca="false">'Index Price Deals'!B116+'Index Price Deals'!C116+'Index Price Deals'!D116-'Prices&amp;Fuel'!AE116</f>
        <v>0</v>
      </c>
      <c r="R116" s="1" t="n">
        <f aca="false">('Long Term Deals'!BB116+'Long Term Deals'!BC116+'Long Term Deals'!BD116+'Long Term Deals'!BE116+'Long Term Deals'!BF116+'Long Term Deals'!BG116)*(1-'Prices&amp;Fuel'!F116)</f>
        <v>12000</v>
      </c>
      <c r="S116" s="14" t="n">
        <f aca="false">P116-Q116-R116-V116</f>
        <v>0</v>
      </c>
      <c r="T116" s="14" t="n">
        <f aca="false">((I116+J116+K116)*'Prices&amp;Fuel'!H116*'Prices&amp;Fuel'!L116)+('Prices&amp;Fuel'!N116*'Prices&amp;Fuel'!H116*Transport!L116)+(('Long Term Deals'!BB116+'Long Term Deals'!BC116+'Long Term Deals'!BD116)*'Prices&amp;Fuel'!H116*'Prices&amp;Fuel'!M116)</f>
        <v>175868.209945009</v>
      </c>
      <c r="U116" s="7" t="n">
        <f aca="false">S116*B116*'Prices&amp;Fuel'!M116</f>
        <v>0</v>
      </c>
      <c r="V116" s="7" t="n">
        <f aca="false">35793-20000</f>
        <v>15793</v>
      </c>
      <c r="W116" s="14" t="n">
        <f aca="false">P116-R116-V116</f>
        <v>0</v>
      </c>
    </row>
    <row r="117" customFormat="false" ht="11.25" hidden="false" customHeight="false" outlineLevel="0" collapsed="false">
      <c r="A117" s="6" t="n">
        <f aca="false">+A116+365/12</f>
        <v>39155.6666666667</v>
      </c>
      <c r="B117" s="1" t="n">
        <v>31</v>
      </c>
      <c r="C117" s="27" t="n">
        <v>-0.122662529150386</v>
      </c>
      <c r="E117" s="28" t="n">
        <v>0.0195000000000003</v>
      </c>
      <c r="F117" s="1" t="n">
        <f aca="false">7761-1128-1707</f>
        <v>4926</v>
      </c>
      <c r="G117" s="1" t="n">
        <f aca="false">14039-666-3474-4167</f>
        <v>5732</v>
      </c>
      <c r="H117" s="1" t="n">
        <f aca="false">18200-4732-4126</f>
        <v>9342</v>
      </c>
      <c r="I117" s="1" t="n">
        <v>2563</v>
      </c>
      <c r="J117" s="1" t="n">
        <v>2862</v>
      </c>
      <c r="K117" s="1" t="n">
        <v>1685</v>
      </c>
      <c r="L117" s="1" t="n">
        <v>683</v>
      </c>
      <c r="M117" s="7" t="n">
        <f aca="false">F117+I117</f>
        <v>7489</v>
      </c>
      <c r="N117" s="7" t="n">
        <f aca="false">G117+J117+L117</f>
        <v>9277</v>
      </c>
      <c r="O117" s="7" t="n">
        <f aca="false">H117+K117</f>
        <v>11027</v>
      </c>
      <c r="P117" s="7" t="n">
        <f aca="false">SUM(M117:O117)</f>
        <v>27793</v>
      </c>
      <c r="Q117" s="7" t="n">
        <f aca="false">'Index Price Deals'!B117+'Index Price Deals'!C117+'Index Price Deals'!D117-'Prices&amp;Fuel'!AE117</f>
        <v>0</v>
      </c>
      <c r="R117" s="1" t="n">
        <f aca="false">('Long Term Deals'!BB117+'Long Term Deals'!BC117+'Long Term Deals'!BD117+'Long Term Deals'!BE117+'Long Term Deals'!BF117+'Long Term Deals'!BG117)*(1-'Prices&amp;Fuel'!F117)</f>
        <v>12000</v>
      </c>
      <c r="S117" s="14" t="n">
        <f aca="false">P117-Q117-R117-V117</f>
        <v>0</v>
      </c>
      <c r="T117" s="14" t="n">
        <f aca="false">((I117+J117+K117)*'Prices&amp;Fuel'!H117*'Prices&amp;Fuel'!L117)+('Prices&amp;Fuel'!N117*'Prices&amp;Fuel'!H117*Transport!L117)+(('Long Term Deals'!BB117+'Long Term Deals'!BC117+'Long Term Deals'!BD117)*'Prices&amp;Fuel'!H117*'Prices&amp;Fuel'!M117)</f>
        <v>194711.232439118</v>
      </c>
      <c r="U117" s="7" t="n">
        <f aca="false">S117*B117*'Prices&amp;Fuel'!M117</f>
        <v>0</v>
      </c>
      <c r="V117" s="7" t="n">
        <f aca="false">35793-20000</f>
        <v>15793</v>
      </c>
      <c r="W117" s="14" t="n">
        <f aca="false">P117-R117-V117</f>
        <v>0</v>
      </c>
    </row>
    <row r="118" customFormat="false" ht="11.25" hidden="false" customHeight="false" outlineLevel="0" collapsed="false">
      <c r="A118" s="6" t="n">
        <f aca="false">+A117+365/12</f>
        <v>39186.0833333333</v>
      </c>
      <c r="B118" s="1" t="n">
        <v>30</v>
      </c>
      <c r="C118" s="27" t="n">
        <v>-0.0731795424470816</v>
      </c>
      <c r="E118" s="28" t="n">
        <v>0.00599999999999978</v>
      </c>
      <c r="F118" s="1" t="n">
        <f aca="false">7761-828</f>
        <v>6933</v>
      </c>
      <c r="G118" s="1" t="n">
        <f aca="false">14039-5241</f>
        <v>8798</v>
      </c>
      <c r="H118" s="1" t="n">
        <f aca="false">18200-3931</f>
        <v>14269</v>
      </c>
      <c r="I118" s="1" t="n">
        <v>1880</v>
      </c>
      <c r="J118" s="1" t="n">
        <v>2073</v>
      </c>
      <c r="K118" s="1" t="n">
        <v>1258</v>
      </c>
      <c r="L118" s="1" t="n">
        <v>683</v>
      </c>
      <c r="M118" s="7" t="n">
        <f aca="false">F118+I118</f>
        <v>8813</v>
      </c>
      <c r="N118" s="7" t="n">
        <f aca="false">G118+J118+L118</f>
        <v>11554</v>
      </c>
      <c r="O118" s="7" t="n">
        <f aca="false">H118+K118</f>
        <v>15527</v>
      </c>
      <c r="P118" s="7" t="n">
        <f aca="false">SUM(M118:O118)</f>
        <v>35894</v>
      </c>
      <c r="Q118" s="7" t="n">
        <f aca="false">'Index Price Deals'!B118+'Index Price Deals'!C118+'Index Price Deals'!D118-'Prices&amp;Fuel'!AE118</f>
        <v>0</v>
      </c>
      <c r="R118" s="1" t="n">
        <f aca="false">('Long Term Deals'!BB118+'Long Term Deals'!BC118+'Long Term Deals'!BD118+'Long Term Deals'!BE118+'Long Term Deals'!BF118+'Long Term Deals'!BG118)*(1-'Prices&amp;Fuel'!F118)</f>
        <v>12000</v>
      </c>
      <c r="S118" s="14" t="n">
        <f aca="false">P118-Q118-R118-V118</f>
        <v>0</v>
      </c>
      <c r="T118" s="14" t="n">
        <f aca="false">((I118+J118+K118)*'Prices&amp;Fuel'!H118*'Prices&amp;Fuel'!L118)+('Prices&amp;Fuel'!N118*'Prices&amp;Fuel'!H118*Transport!L118)+(('Long Term Deals'!BB118+'Long Term Deals'!BC118+'Long Term Deals'!BD118)*'Prices&amp;Fuel'!H118*'Prices&amp;Fuel'!M118)</f>
        <v>208796.531168557</v>
      </c>
      <c r="U118" s="7" t="n">
        <f aca="false">S118*B118*'Prices&amp;Fuel'!M118</f>
        <v>0</v>
      </c>
      <c r="V118" s="7" t="n">
        <f aca="false">33894-10000</f>
        <v>23894</v>
      </c>
      <c r="W118" s="14" t="n">
        <f aca="false">P118-R118-V118</f>
        <v>0</v>
      </c>
    </row>
    <row r="119" customFormat="false" ht="11.25" hidden="false" customHeight="false" outlineLevel="0" collapsed="false">
      <c r="A119" s="6" t="n">
        <f aca="false">+A118+365/12</f>
        <v>39216.5</v>
      </c>
      <c r="B119" s="1" t="n">
        <v>31</v>
      </c>
      <c r="C119" s="27" t="n">
        <v>-0.075479607656932</v>
      </c>
      <c r="E119" s="28" t="n">
        <v>0.00599999999999978</v>
      </c>
      <c r="F119" s="1" t="n">
        <v>8730</v>
      </c>
      <c r="G119" s="1" t="n">
        <f aca="false">15795-5034</f>
        <v>10761</v>
      </c>
      <c r="H119" s="1" t="n">
        <f aca="false">20475-4966</f>
        <v>15509</v>
      </c>
      <c r="I119" s="1" t="n">
        <v>1880</v>
      </c>
      <c r="J119" s="1" t="n">
        <v>2295</v>
      </c>
      <c r="K119" s="1" t="n">
        <v>1036</v>
      </c>
      <c r="L119" s="1" t="n">
        <v>683</v>
      </c>
      <c r="M119" s="7" t="n">
        <f aca="false">F119+I119</f>
        <v>10610</v>
      </c>
      <c r="N119" s="7" t="n">
        <f aca="false">G119+J119+L119</f>
        <v>13739</v>
      </c>
      <c r="O119" s="7" t="n">
        <f aca="false">H119+K119</f>
        <v>16545</v>
      </c>
      <c r="P119" s="7" t="n">
        <f aca="false">SUM(M119:O119)</f>
        <v>40894</v>
      </c>
      <c r="Q119" s="7" t="n">
        <f aca="false">'Index Price Deals'!B119+'Index Price Deals'!C119+'Index Price Deals'!D119-'Prices&amp;Fuel'!AE119</f>
        <v>0</v>
      </c>
      <c r="R119" s="1" t="n">
        <f aca="false">('Long Term Deals'!BB119+'Long Term Deals'!BC119+'Long Term Deals'!BD119+'Long Term Deals'!BE119+'Long Term Deals'!BF119+'Long Term Deals'!BG119)*(1-'Prices&amp;Fuel'!F119)</f>
        <v>20999.9999999999</v>
      </c>
      <c r="S119" s="14" t="n">
        <f aca="false">P119-Q119-R119-V119</f>
        <v>1.38243194669485E-010</v>
      </c>
      <c r="T119" s="14" t="n">
        <f aca="false">((I119+J119+K119)*'Prices&amp;Fuel'!H119*'Prices&amp;Fuel'!L119)+('Prices&amp;Fuel'!N119*'Prices&amp;Fuel'!H119*Transport!L119)+(('Long Term Deals'!BB119+'Long Term Deals'!BC119+'Long Term Deals'!BD119)*'Prices&amp;Fuel'!H119*'Prices&amp;Fuel'!M119)</f>
        <v>426562.790862176</v>
      </c>
      <c r="U119" s="7" t="n">
        <f aca="false">S119*B119*'Prices&amp;Fuel'!M119</f>
        <v>3.14901408273727E-009</v>
      </c>
      <c r="V119" s="7" t="n">
        <f aca="false">29894-10000</f>
        <v>19894</v>
      </c>
      <c r="W119" s="14" t="n">
        <f aca="false">P119-R119-V119</f>
        <v>1.38243194669485E-010</v>
      </c>
    </row>
    <row r="120" customFormat="false" ht="11.25" hidden="false" customHeight="false" outlineLevel="0" collapsed="false">
      <c r="A120" s="6" t="n">
        <f aca="false">+A119+365/12</f>
        <v>39246.9166666667</v>
      </c>
      <c r="B120" s="1" t="n">
        <v>30</v>
      </c>
      <c r="C120" s="27" t="n">
        <v>-0.0754827624706995</v>
      </c>
      <c r="E120" s="28" t="n">
        <v>0.00599999999999978</v>
      </c>
      <c r="F120" s="1" t="n">
        <v>8730</v>
      </c>
      <c r="G120" s="1" t="n">
        <f aca="false">15795-5034</f>
        <v>10761</v>
      </c>
      <c r="H120" s="1" t="n">
        <f aca="false">20475-4966</f>
        <v>15509</v>
      </c>
      <c r="I120" s="1" t="n">
        <v>1880</v>
      </c>
      <c r="J120" s="1" t="n">
        <v>2295</v>
      </c>
      <c r="K120" s="1" t="n">
        <v>1036</v>
      </c>
      <c r="L120" s="1" t="n">
        <v>683</v>
      </c>
      <c r="M120" s="7" t="n">
        <f aca="false">F120+I120</f>
        <v>10610</v>
      </c>
      <c r="N120" s="7" t="n">
        <f aca="false">G120+J120+L120</f>
        <v>13739</v>
      </c>
      <c r="O120" s="7" t="n">
        <f aca="false">H120+K120</f>
        <v>16545</v>
      </c>
      <c r="P120" s="7" t="n">
        <f aca="false">SUM(M120:O120)</f>
        <v>40894</v>
      </c>
      <c r="Q120" s="7" t="n">
        <f aca="false">'Index Price Deals'!B120+'Index Price Deals'!C120+'Index Price Deals'!D120-'Prices&amp;Fuel'!AE120</f>
        <v>0</v>
      </c>
      <c r="R120" s="1" t="n">
        <f aca="false">('Long Term Deals'!BB120+'Long Term Deals'!BC120+'Long Term Deals'!BD120+'Long Term Deals'!BE120+'Long Term Deals'!BF120+'Long Term Deals'!BG120)*(1-'Prices&amp;Fuel'!F120)</f>
        <v>20999.9999999999</v>
      </c>
      <c r="S120" s="14" t="n">
        <f aca="false">P120-Q120-R120-V120</f>
        <v>1.38243194669485E-010</v>
      </c>
      <c r="T120" s="14" t="n">
        <f aca="false">((I120+J120+K120)*'Prices&amp;Fuel'!H120*'Prices&amp;Fuel'!L120)+('Prices&amp;Fuel'!N120*'Prices&amp;Fuel'!H120*Transport!L120)+(('Long Term Deals'!BB120+'Long Term Deals'!BC120+'Long Term Deals'!BD120)*'Prices&amp;Fuel'!H120*'Prices&amp;Fuel'!M120)</f>
        <v>412802.700834364</v>
      </c>
      <c r="U120" s="7" t="n">
        <f aca="false">S120*B120*'Prices&amp;Fuel'!M120</f>
        <v>3.04743298329413E-009</v>
      </c>
      <c r="V120" s="7" t="n">
        <f aca="false">29894-10000</f>
        <v>19894</v>
      </c>
      <c r="W120" s="14" t="n">
        <f aca="false">P120-R120-V120</f>
        <v>1.38243194669485E-010</v>
      </c>
    </row>
    <row r="121" customFormat="false" ht="11.25" hidden="false" customHeight="false" outlineLevel="0" collapsed="false">
      <c r="A121" s="6" t="n">
        <f aca="false">+A120+365/12</f>
        <v>39277.3333333333</v>
      </c>
      <c r="B121" s="1" t="n">
        <v>31</v>
      </c>
      <c r="C121" s="27" t="n">
        <v>-0.07998465535896</v>
      </c>
      <c r="E121" s="28" t="n">
        <v>0.00949999999999984</v>
      </c>
      <c r="F121" s="1" t="n">
        <v>8730</v>
      </c>
      <c r="G121" s="1" t="n">
        <f aca="false">15795-5034</f>
        <v>10761</v>
      </c>
      <c r="H121" s="1" t="n">
        <f aca="false">20475-4966</f>
        <v>15509</v>
      </c>
      <c r="I121" s="1" t="n">
        <v>1880</v>
      </c>
      <c r="J121" s="1" t="n">
        <v>2295</v>
      </c>
      <c r="K121" s="1" t="n">
        <v>1036</v>
      </c>
      <c r="L121" s="1" t="n">
        <v>683</v>
      </c>
      <c r="M121" s="7" t="n">
        <f aca="false">F121+I121</f>
        <v>10610</v>
      </c>
      <c r="N121" s="7" t="n">
        <f aca="false">G121+J121+L121</f>
        <v>13739</v>
      </c>
      <c r="O121" s="7" t="n">
        <f aca="false">H121+K121</f>
        <v>16545</v>
      </c>
      <c r="P121" s="7" t="n">
        <f aca="false">SUM(M121:O121)</f>
        <v>40894</v>
      </c>
      <c r="Q121" s="7" t="n">
        <f aca="false">'Index Price Deals'!B121+'Index Price Deals'!C121+'Index Price Deals'!D121-'Prices&amp;Fuel'!AE121</f>
        <v>0</v>
      </c>
      <c r="R121" s="1" t="n">
        <f aca="false">('Long Term Deals'!BB121+'Long Term Deals'!BC121+'Long Term Deals'!BD121+'Long Term Deals'!BE121+'Long Term Deals'!BF121+'Long Term Deals'!BG121)*(1-'Prices&amp;Fuel'!F121)</f>
        <v>20999.9999999999</v>
      </c>
      <c r="S121" s="14" t="n">
        <f aca="false">P121-Q121-R121-V121</f>
        <v>1.38243194669485E-010</v>
      </c>
      <c r="T121" s="14" t="n">
        <f aca="false">((I121+J121+K121)*'Prices&amp;Fuel'!H121*'Prices&amp;Fuel'!L121)+('Prices&amp;Fuel'!N121*'Prices&amp;Fuel'!H121*Transport!L121)+(('Long Term Deals'!BB121+'Long Term Deals'!BC121+'Long Term Deals'!BD121)*'Prices&amp;Fuel'!H121*'Prices&amp;Fuel'!M121)</f>
        <v>426562.790862176</v>
      </c>
      <c r="U121" s="7" t="n">
        <f aca="false">S121*B121*'Prices&amp;Fuel'!M121</f>
        <v>3.14901408273727E-009</v>
      </c>
      <c r="V121" s="7" t="n">
        <f aca="false">29894-10000</f>
        <v>19894</v>
      </c>
      <c r="W121" s="14" t="n">
        <f aca="false">P121-R121-V121</f>
        <v>1.38243194669485E-010</v>
      </c>
    </row>
    <row r="122" customFormat="false" ht="11.25" hidden="false" customHeight="false" outlineLevel="0" collapsed="false">
      <c r="A122" s="6" t="n">
        <f aca="false">+A121+365/12</f>
        <v>39307.75</v>
      </c>
      <c r="B122" s="1" t="n">
        <v>31</v>
      </c>
      <c r="C122" s="27" t="n">
        <v>-0.0799884411354812</v>
      </c>
      <c r="E122" s="28" t="n">
        <v>0.00949999999999962</v>
      </c>
      <c r="F122" s="1" t="n">
        <v>8730</v>
      </c>
      <c r="G122" s="1" t="n">
        <f aca="false">15795-5034</f>
        <v>10761</v>
      </c>
      <c r="H122" s="1" t="n">
        <f aca="false">20475-4966</f>
        <v>15509</v>
      </c>
      <c r="I122" s="1" t="n">
        <v>1880</v>
      </c>
      <c r="J122" s="1" t="n">
        <v>2295</v>
      </c>
      <c r="K122" s="1" t="n">
        <v>1036</v>
      </c>
      <c r="L122" s="1" t="n">
        <v>683</v>
      </c>
      <c r="M122" s="7" t="n">
        <f aca="false">F122+I122</f>
        <v>10610</v>
      </c>
      <c r="N122" s="7" t="n">
        <f aca="false">G122+J122+L122</f>
        <v>13739</v>
      </c>
      <c r="O122" s="7" t="n">
        <f aca="false">H122+K122</f>
        <v>16545</v>
      </c>
      <c r="P122" s="7" t="n">
        <f aca="false">SUM(M122:O122)</f>
        <v>40894</v>
      </c>
      <c r="Q122" s="7" t="n">
        <f aca="false">'Index Price Deals'!B122+'Index Price Deals'!C122+'Index Price Deals'!D122-'Prices&amp;Fuel'!AE122</f>
        <v>0</v>
      </c>
      <c r="R122" s="1" t="n">
        <f aca="false">('Long Term Deals'!BB122+'Long Term Deals'!BC122+'Long Term Deals'!BD122+'Long Term Deals'!BE122+'Long Term Deals'!BF122+'Long Term Deals'!BG122)*(1-'Prices&amp;Fuel'!F122)</f>
        <v>20999.9999999999</v>
      </c>
      <c r="S122" s="14" t="n">
        <f aca="false">P122-Q122-R122-V122</f>
        <v>1.38243194669485E-010</v>
      </c>
      <c r="T122" s="14" t="n">
        <f aca="false">((I122+J122+K122)*'Prices&amp;Fuel'!H122*'Prices&amp;Fuel'!L122)+('Prices&amp;Fuel'!N122*'Prices&amp;Fuel'!H122*Transport!L122)+(('Long Term Deals'!BB122+'Long Term Deals'!BC122+'Long Term Deals'!BD122)*'Prices&amp;Fuel'!H122*'Prices&amp;Fuel'!M122)</f>
        <v>426562.790862176</v>
      </c>
      <c r="U122" s="7" t="n">
        <f aca="false">S122*B122*'Prices&amp;Fuel'!M122</f>
        <v>3.14901408273727E-009</v>
      </c>
      <c r="V122" s="7" t="n">
        <f aca="false">29894-10000</f>
        <v>19894</v>
      </c>
      <c r="W122" s="14" t="n">
        <f aca="false">P122-R122-V122</f>
        <v>1.38243194669485E-010</v>
      </c>
    </row>
    <row r="123" customFormat="false" ht="11.25" hidden="false" customHeight="false" outlineLevel="0" collapsed="false">
      <c r="A123" s="6" t="n">
        <f aca="false">+A122+365/12</f>
        <v>39338.1666666667</v>
      </c>
      <c r="B123" s="1" t="n">
        <v>30</v>
      </c>
      <c r="C123" s="27" t="n">
        <v>-0.0799947507630154</v>
      </c>
      <c r="E123" s="28" t="n">
        <v>0.00949999999999962</v>
      </c>
      <c r="F123" s="1" t="n">
        <v>8730</v>
      </c>
      <c r="G123" s="1" t="n">
        <f aca="false">15795-5034</f>
        <v>10761</v>
      </c>
      <c r="H123" s="1" t="n">
        <f aca="false">20475-4966</f>
        <v>15509</v>
      </c>
      <c r="I123" s="1" t="n">
        <v>1880</v>
      </c>
      <c r="J123" s="1" t="n">
        <v>2295</v>
      </c>
      <c r="K123" s="1" t="n">
        <v>1036</v>
      </c>
      <c r="L123" s="1" t="n">
        <v>683</v>
      </c>
      <c r="M123" s="7" t="n">
        <f aca="false">F123+I123</f>
        <v>10610</v>
      </c>
      <c r="N123" s="7" t="n">
        <f aca="false">G123+J123+L123</f>
        <v>13739</v>
      </c>
      <c r="O123" s="7" t="n">
        <f aca="false">H123+K123</f>
        <v>16545</v>
      </c>
      <c r="P123" s="7" t="n">
        <f aca="false">SUM(M123:O123)</f>
        <v>40894</v>
      </c>
      <c r="Q123" s="7" t="n">
        <f aca="false">'Index Price Deals'!B123+'Index Price Deals'!C123+'Index Price Deals'!D123-'Prices&amp;Fuel'!AE123</f>
        <v>0</v>
      </c>
      <c r="R123" s="1" t="n">
        <f aca="false">('Long Term Deals'!BB123+'Long Term Deals'!BC123+'Long Term Deals'!BD123+'Long Term Deals'!BE123+'Long Term Deals'!BF123+'Long Term Deals'!BG123)*(1-'Prices&amp;Fuel'!F123)</f>
        <v>20999.9999999999</v>
      </c>
      <c r="S123" s="14" t="n">
        <f aca="false">P123-Q123-R123-V123</f>
        <v>1.38243194669485E-010</v>
      </c>
      <c r="T123" s="14" t="n">
        <f aca="false">((I123+J123+K123)*'Prices&amp;Fuel'!H123*'Prices&amp;Fuel'!L123)+('Prices&amp;Fuel'!N123*'Prices&amp;Fuel'!H123*Transport!L123)+(('Long Term Deals'!BB123+'Long Term Deals'!BC123+'Long Term Deals'!BD123)*'Prices&amp;Fuel'!H123*'Prices&amp;Fuel'!M123)</f>
        <v>412802.700834364</v>
      </c>
      <c r="U123" s="7" t="n">
        <f aca="false">S123*B123*'Prices&amp;Fuel'!M123</f>
        <v>3.04743298329413E-009</v>
      </c>
      <c r="V123" s="7" t="n">
        <f aca="false">29894-10000</f>
        <v>19894</v>
      </c>
      <c r="W123" s="14" t="n">
        <f aca="false">P123-R123-V123</f>
        <v>1.38243194669485E-010</v>
      </c>
    </row>
    <row r="124" customFormat="false" ht="11.25" hidden="false" customHeight="false" outlineLevel="0" collapsed="false">
      <c r="A124" s="6" t="n">
        <f aca="false">+A123+365/12</f>
        <v>39368.5833333333</v>
      </c>
      <c r="B124" s="1" t="n">
        <v>31</v>
      </c>
      <c r="C124" s="27" t="n">
        <v>-0.0826698205632552</v>
      </c>
      <c r="E124" s="28" t="n">
        <v>0.0145</v>
      </c>
      <c r="F124" s="1" t="n">
        <f aca="false">8730-0</f>
        <v>8730</v>
      </c>
      <c r="G124" s="1" t="n">
        <f aca="false">15795-5434</f>
        <v>10361</v>
      </c>
      <c r="H124" s="1" t="n">
        <f aca="false">20475-4566</f>
        <v>15909</v>
      </c>
      <c r="I124" s="1" t="n">
        <v>2830</v>
      </c>
      <c r="J124" s="1" t="n">
        <v>3500</v>
      </c>
      <c r="K124" s="1" t="n">
        <v>1521</v>
      </c>
      <c r="L124" s="1" t="n">
        <v>1001</v>
      </c>
      <c r="M124" s="7" t="n">
        <f aca="false">F124+I124</f>
        <v>11560</v>
      </c>
      <c r="N124" s="7" t="n">
        <f aca="false">G124+J124+L124</f>
        <v>14862</v>
      </c>
      <c r="O124" s="7" t="n">
        <f aca="false">H124+K124</f>
        <v>17430</v>
      </c>
      <c r="P124" s="7" t="n">
        <f aca="false">SUM(M124:O124)</f>
        <v>43852</v>
      </c>
      <c r="Q124" s="7" t="n">
        <f aca="false">'Index Price Deals'!B124+'Index Price Deals'!C124+'Index Price Deals'!D124-'Prices&amp;Fuel'!AE124</f>
        <v>0</v>
      </c>
      <c r="R124" s="1" t="n">
        <f aca="false">('Long Term Deals'!BB124+'Long Term Deals'!BC124+'Long Term Deals'!BD124+'Long Term Deals'!BE124+'Long Term Deals'!BF124+'Long Term Deals'!BG124)*(1-'Prices&amp;Fuel'!F124)</f>
        <v>20999.9999999998</v>
      </c>
      <c r="S124" s="14" t="n">
        <f aca="false">P124-Q124-R124-V124</f>
        <v>1.92812876775861E-010</v>
      </c>
      <c r="T124" s="14" t="n">
        <f aca="false">((I124+J124+K124)*'Prices&amp;Fuel'!H124*'Prices&amp;Fuel'!L124)+('Prices&amp;Fuel'!N124*'Prices&amp;Fuel'!H124*Transport!L124)+(('Long Term Deals'!BB124+'Long Term Deals'!BC124+'Long Term Deals'!BD124)*'Prices&amp;Fuel'!H124*'Prices&amp;Fuel'!M124)</f>
        <v>393781.510390926</v>
      </c>
      <c r="U124" s="7" t="n">
        <f aca="false">S124*B124*'Prices&amp;Fuel'!M124</f>
        <v>4.39204595750198E-009</v>
      </c>
      <c r="V124" s="7" t="n">
        <f aca="false">32852-10000</f>
        <v>22852</v>
      </c>
      <c r="W124" s="14" t="n">
        <f aca="false">P124-R124-V124</f>
        <v>1.92812876775861E-010</v>
      </c>
    </row>
    <row r="125" customFormat="false" ht="11.25" hidden="false" customHeight="false" outlineLevel="0" collapsed="false">
      <c r="A125" s="6" t="n">
        <f aca="false">+A124+365/12</f>
        <v>39399</v>
      </c>
      <c r="B125" s="1" t="n">
        <v>30</v>
      </c>
      <c r="C125" s="27" t="n">
        <v>-0.127642043752322</v>
      </c>
      <c r="E125" s="28" t="n">
        <v>0.0194999999999999</v>
      </c>
      <c r="F125" s="1" t="n">
        <f aca="false">7761-1128-1707</f>
        <v>4926</v>
      </c>
      <c r="G125" s="1" t="n">
        <f aca="false">14039-666-3474-4167</f>
        <v>5732</v>
      </c>
      <c r="H125" s="1" t="n">
        <f aca="false">18200-4732-4126</f>
        <v>9342</v>
      </c>
      <c r="I125" s="1" t="n">
        <v>2563</v>
      </c>
      <c r="J125" s="1" t="n">
        <v>2862</v>
      </c>
      <c r="K125" s="1" t="n">
        <v>1685</v>
      </c>
      <c r="L125" s="1" t="n">
        <v>683</v>
      </c>
      <c r="M125" s="7" t="n">
        <f aca="false">F125+I125</f>
        <v>7489</v>
      </c>
      <c r="N125" s="7" t="n">
        <f aca="false">G125+J125+L125</f>
        <v>9277</v>
      </c>
      <c r="O125" s="7" t="n">
        <f aca="false">H125+K125</f>
        <v>11027</v>
      </c>
      <c r="P125" s="7" t="n">
        <f aca="false">SUM(M125:O125)</f>
        <v>27793</v>
      </c>
      <c r="Q125" s="7" t="n">
        <f aca="false">'Index Price Deals'!B125+'Index Price Deals'!C125+'Index Price Deals'!D125-'Prices&amp;Fuel'!AE125</f>
        <v>0</v>
      </c>
      <c r="R125" s="1" t="n">
        <f aca="false">('Long Term Deals'!BB125+'Long Term Deals'!BC125+'Long Term Deals'!BD125+'Long Term Deals'!BE125+'Long Term Deals'!BF125+'Long Term Deals'!BG125)*(1-'Prices&amp;Fuel'!F125)</f>
        <v>12000</v>
      </c>
      <c r="S125" s="14" t="n">
        <f aca="false">P125-Q125-R125-V125</f>
        <v>0</v>
      </c>
      <c r="T125" s="14" t="n">
        <f aca="false">((I125+J125+K125)*'Prices&amp;Fuel'!H125*'Prices&amp;Fuel'!L125)+('Prices&amp;Fuel'!N125*'Prices&amp;Fuel'!H125*Transport!L125)+(('Long Term Deals'!BB125+'Long Term Deals'!BC125+'Long Term Deals'!BD125)*'Prices&amp;Fuel'!H125*'Prices&amp;Fuel'!M125)</f>
        <v>188430.224941082</v>
      </c>
      <c r="U125" s="7" t="n">
        <f aca="false">S125*B125*'Prices&amp;Fuel'!M125</f>
        <v>0</v>
      </c>
      <c r="V125" s="7" t="n">
        <f aca="false">35793-20000</f>
        <v>15793</v>
      </c>
      <c r="W125" s="14" t="n">
        <f aca="false">P125-R125-V125</f>
        <v>0</v>
      </c>
    </row>
    <row r="126" customFormat="false" ht="11.25" hidden="false" customHeight="false" outlineLevel="0" collapsed="false">
      <c r="A126" s="6" t="n">
        <f aca="false">+A125+365/12</f>
        <v>39429.4166666667</v>
      </c>
      <c r="B126" s="1" t="n">
        <v>31</v>
      </c>
      <c r="C126" s="27" t="n">
        <v>-0.162604545057564</v>
      </c>
      <c r="E126" s="28" t="n">
        <v>0.0245000000000002</v>
      </c>
      <c r="F126" s="1" t="n">
        <f aca="false">7761-1128-1707</f>
        <v>4926</v>
      </c>
      <c r="G126" s="1" t="n">
        <f aca="false">14039-666-3474-4167</f>
        <v>5732</v>
      </c>
      <c r="H126" s="1" t="n">
        <f aca="false">18200-4732-4126</f>
        <v>9342</v>
      </c>
      <c r="I126" s="1" t="n">
        <v>2563</v>
      </c>
      <c r="J126" s="1" t="n">
        <v>2862</v>
      </c>
      <c r="K126" s="1" t="n">
        <v>1685</v>
      </c>
      <c r="L126" s="1" t="n">
        <v>683</v>
      </c>
      <c r="M126" s="7" t="n">
        <f aca="false">F126+I126</f>
        <v>7489</v>
      </c>
      <c r="N126" s="7" t="n">
        <f aca="false">G126+J126+L126</f>
        <v>9277</v>
      </c>
      <c r="O126" s="7" t="n">
        <f aca="false">H126+K126</f>
        <v>11027</v>
      </c>
      <c r="P126" s="7" t="n">
        <f aca="false">SUM(M126:O126)</f>
        <v>27793</v>
      </c>
      <c r="Q126" s="7" t="n">
        <f aca="false">'Index Price Deals'!B126+'Index Price Deals'!C126+'Index Price Deals'!D126-'Prices&amp;Fuel'!AE126</f>
        <v>0</v>
      </c>
      <c r="R126" s="1" t="n">
        <f aca="false">('Long Term Deals'!BB126+'Long Term Deals'!BC126+'Long Term Deals'!BD126+'Long Term Deals'!BE126+'Long Term Deals'!BF126+'Long Term Deals'!BG126)*(1-'Prices&amp;Fuel'!F126)</f>
        <v>12000</v>
      </c>
      <c r="S126" s="14" t="n">
        <f aca="false">P126-Q126-R126-V126</f>
        <v>0</v>
      </c>
      <c r="T126" s="14" t="n">
        <f aca="false">((I126+J126+K126)*'Prices&amp;Fuel'!H126*'Prices&amp;Fuel'!L126)+('Prices&amp;Fuel'!N126*'Prices&amp;Fuel'!H126*Transport!L126)+(('Long Term Deals'!BB126+'Long Term Deals'!BC126+'Long Term Deals'!BD126)*'Prices&amp;Fuel'!H126*'Prices&amp;Fuel'!M126)</f>
        <v>194711.232439118</v>
      </c>
      <c r="U126" s="7" t="n">
        <f aca="false">S126*B126*'Prices&amp;Fuel'!M126</f>
        <v>0</v>
      </c>
      <c r="V126" s="7" t="n">
        <f aca="false">35793-20000</f>
        <v>15793</v>
      </c>
      <c r="W126" s="14" t="n">
        <f aca="false">P126-R126-V126</f>
        <v>0</v>
      </c>
    </row>
    <row r="127" customFormat="false" ht="11.25" hidden="false" customHeight="false" outlineLevel="0" collapsed="false">
      <c r="A127" s="6" t="n">
        <f aca="false">+A126+365/12</f>
        <v>39459.8333333333</v>
      </c>
      <c r="B127" s="1" t="n">
        <v>31</v>
      </c>
      <c r="C127" s="27" t="n">
        <v>-0.147556630058705</v>
      </c>
      <c r="E127" s="28" t="n">
        <v>0.0245000000000002</v>
      </c>
      <c r="F127" s="1" t="n">
        <f aca="false">7761-1128-1707</f>
        <v>4926</v>
      </c>
      <c r="G127" s="1" t="n">
        <f aca="false">14039-666-3474-4167</f>
        <v>5732</v>
      </c>
      <c r="H127" s="1" t="n">
        <f aca="false">18200-4732-4126</f>
        <v>9342</v>
      </c>
      <c r="I127" s="1" t="n">
        <v>2563</v>
      </c>
      <c r="J127" s="1" t="n">
        <v>2862</v>
      </c>
      <c r="K127" s="1" t="n">
        <v>1685</v>
      </c>
      <c r="L127" s="1" t="n">
        <v>683</v>
      </c>
      <c r="M127" s="7" t="n">
        <f aca="false">F127+I127</f>
        <v>7489</v>
      </c>
      <c r="N127" s="7" t="n">
        <f aca="false">G127+J127+L127</f>
        <v>9277</v>
      </c>
      <c r="O127" s="7" t="n">
        <f aca="false">H127+K127</f>
        <v>11027</v>
      </c>
      <c r="P127" s="7" t="n">
        <f aca="false">SUM(M127:O127)</f>
        <v>27793</v>
      </c>
      <c r="Q127" s="7" t="n">
        <f aca="false">'Index Price Deals'!B127+'Index Price Deals'!C127+'Index Price Deals'!D127-'Prices&amp;Fuel'!AE127</f>
        <v>0</v>
      </c>
      <c r="R127" s="1" t="n">
        <f aca="false">('Long Term Deals'!BB127+'Long Term Deals'!BC127+'Long Term Deals'!BD127+'Long Term Deals'!BE127+'Long Term Deals'!BF127+'Long Term Deals'!BG127)*(1-'Prices&amp;Fuel'!F127)</f>
        <v>12000</v>
      </c>
      <c r="S127" s="14" t="n">
        <f aca="false">P127-Q127-R127-V127</f>
        <v>0</v>
      </c>
      <c r="T127" s="14" t="n">
        <f aca="false">((I127+J127+K127)*'Prices&amp;Fuel'!H127*'Prices&amp;Fuel'!L127)+('Prices&amp;Fuel'!N127*'Prices&amp;Fuel'!H127*Transport!L127)+(('Long Term Deals'!BB127+'Long Term Deals'!BC127+'Long Term Deals'!BD127)*'Prices&amp;Fuel'!H127*'Prices&amp;Fuel'!M127)</f>
        <v>194448.470243922</v>
      </c>
      <c r="U127" s="7" t="n">
        <f aca="false">S127*B127*'Prices&amp;Fuel'!M127</f>
        <v>0</v>
      </c>
      <c r="V127" s="7" t="n">
        <f aca="false">35793-20000</f>
        <v>15793</v>
      </c>
      <c r="W127" s="14" t="n">
        <f aca="false">P127-R127-V127</f>
        <v>0</v>
      </c>
    </row>
    <row r="128" customFormat="false" ht="11.25" hidden="false" customHeight="false" outlineLevel="0" collapsed="false">
      <c r="A128" s="6" t="n">
        <f aca="false">+A127+365/12</f>
        <v>39490.25</v>
      </c>
      <c r="B128" s="1" t="n">
        <v>29</v>
      </c>
      <c r="C128" s="27" t="n">
        <v>-0.147584406869637</v>
      </c>
      <c r="E128" s="28" t="n">
        <v>0.0245000000000002</v>
      </c>
      <c r="F128" s="1" t="n">
        <f aca="false">7761-1128-1707</f>
        <v>4926</v>
      </c>
      <c r="G128" s="1" t="n">
        <f aca="false">14039-666-3474-4167</f>
        <v>5732</v>
      </c>
      <c r="H128" s="1" t="n">
        <f aca="false">18200-4732-4126</f>
        <v>9342</v>
      </c>
      <c r="I128" s="1" t="n">
        <v>2563</v>
      </c>
      <c r="J128" s="1" t="n">
        <v>2862</v>
      </c>
      <c r="K128" s="1" t="n">
        <v>1685</v>
      </c>
      <c r="L128" s="1" t="n">
        <v>683</v>
      </c>
      <c r="M128" s="7" t="n">
        <f aca="false">F128+I128</f>
        <v>7489</v>
      </c>
      <c r="N128" s="7" t="n">
        <f aca="false">G128+J128+L128</f>
        <v>9277</v>
      </c>
      <c r="O128" s="7" t="n">
        <f aca="false">H128+K128</f>
        <v>11027</v>
      </c>
      <c r="P128" s="7" t="n">
        <f aca="false">SUM(M128:O128)</f>
        <v>27793</v>
      </c>
      <c r="Q128" s="7" t="n">
        <f aca="false">'Index Price Deals'!B128+'Index Price Deals'!C128+'Index Price Deals'!D128-'Prices&amp;Fuel'!AE128</f>
        <v>0</v>
      </c>
      <c r="R128" s="1" t="n">
        <f aca="false">('Long Term Deals'!BB128+'Long Term Deals'!BC128+'Long Term Deals'!BD128+'Long Term Deals'!BE128+'Long Term Deals'!BF128+'Long Term Deals'!BG128)*(1-'Prices&amp;Fuel'!F128)</f>
        <v>12000</v>
      </c>
      <c r="S128" s="14" t="n">
        <f aca="false">P128-Q128-R128-V128</f>
        <v>0</v>
      </c>
      <c r="T128" s="14" t="n">
        <f aca="false">((I128+J128+K128)*'Prices&amp;Fuel'!H128*'Prices&amp;Fuel'!L128)+('Prices&amp;Fuel'!N128*'Prices&amp;Fuel'!H128*Transport!L128)+(('Long Term Deals'!BB128+'Long Term Deals'!BC128+'Long Term Deals'!BD128)*'Prices&amp;Fuel'!H128*'Prices&amp;Fuel'!M128)</f>
        <v>181903.40764754</v>
      </c>
      <c r="U128" s="7" t="n">
        <f aca="false">S128*B128*'Prices&amp;Fuel'!M128</f>
        <v>0</v>
      </c>
      <c r="V128" s="7" t="n">
        <f aca="false">35793-20000</f>
        <v>15793</v>
      </c>
      <c r="W128" s="14" t="n">
        <f aca="false">P128-R128-V128</f>
        <v>0</v>
      </c>
    </row>
    <row r="129" customFormat="false" ht="11.25" hidden="false" customHeight="false" outlineLevel="0" collapsed="false">
      <c r="A129" s="6" t="n">
        <f aca="false">+A128+365/12</f>
        <v>39520.6666666667</v>
      </c>
      <c r="B129" s="1" t="n">
        <v>31</v>
      </c>
      <c r="C129" s="27" t="n">
        <v>-0.122620169513713</v>
      </c>
      <c r="E129" s="28" t="n">
        <v>0.0195000000000003</v>
      </c>
      <c r="F129" s="1" t="n">
        <f aca="false">7761-1128-1707</f>
        <v>4926</v>
      </c>
      <c r="G129" s="1" t="n">
        <f aca="false">14039-666-3474-4167</f>
        <v>5732</v>
      </c>
      <c r="H129" s="1" t="n">
        <f aca="false">18200-4732-4126</f>
        <v>9342</v>
      </c>
      <c r="I129" s="1" t="n">
        <v>2563</v>
      </c>
      <c r="J129" s="1" t="n">
        <v>2862</v>
      </c>
      <c r="K129" s="1" t="n">
        <v>1685</v>
      </c>
      <c r="L129" s="1" t="n">
        <v>683</v>
      </c>
      <c r="M129" s="7" t="n">
        <f aca="false">F129+I129</f>
        <v>7489</v>
      </c>
      <c r="N129" s="7" t="n">
        <f aca="false">G129+J129+L129</f>
        <v>9277</v>
      </c>
      <c r="O129" s="7" t="n">
        <f aca="false">H129+K129</f>
        <v>11027</v>
      </c>
      <c r="P129" s="7" t="n">
        <f aca="false">SUM(M129:O129)</f>
        <v>27793</v>
      </c>
      <c r="Q129" s="7" t="n">
        <f aca="false">'Index Price Deals'!B129+'Index Price Deals'!C129+'Index Price Deals'!D129-'Prices&amp;Fuel'!AE129</f>
        <v>0</v>
      </c>
      <c r="R129" s="1" t="n">
        <f aca="false">('Long Term Deals'!BB129+'Long Term Deals'!BC129+'Long Term Deals'!BD129+'Long Term Deals'!BE129+'Long Term Deals'!BF129+'Long Term Deals'!BG129)*(1-'Prices&amp;Fuel'!F129)</f>
        <v>12000</v>
      </c>
      <c r="S129" s="14" t="n">
        <f aca="false">P129-Q129-R129-V129</f>
        <v>0</v>
      </c>
      <c r="T129" s="14" t="n">
        <f aca="false">((I129+J129+K129)*'Prices&amp;Fuel'!H129*'Prices&amp;Fuel'!L129)+('Prices&amp;Fuel'!N129*'Prices&amp;Fuel'!H129*Transport!L129)+(('Long Term Deals'!BB129+'Long Term Deals'!BC129+'Long Term Deals'!BD129)*'Prices&amp;Fuel'!H129*'Prices&amp;Fuel'!M129)</f>
        <v>194448.470243922</v>
      </c>
      <c r="U129" s="7" t="n">
        <f aca="false">S129*B129*'Prices&amp;Fuel'!M129</f>
        <v>0</v>
      </c>
      <c r="V129" s="7" t="n">
        <f aca="false">35793-20000</f>
        <v>15793</v>
      </c>
      <c r="W129" s="14" t="n">
        <f aca="false">P129-R129-V129</f>
        <v>0</v>
      </c>
    </row>
    <row r="130" customFormat="false" ht="11.25" hidden="false" customHeight="false" outlineLevel="0" collapsed="false">
      <c r="A130" s="6" t="n">
        <f aca="false">+A129+365/12</f>
        <v>39551.0833333333</v>
      </c>
      <c r="B130" s="1" t="n">
        <v>30</v>
      </c>
      <c r="C130" s="27" t="n">
        <v>-0.0731371828104095</v>
      </c>
      <c r="E130" s="28" t="n">
        <v>0.00599999999999978</v>
      </c>
      <c r="F130" s="1" t="n">
        <f aca="false">7761-828</f>
        <v>6933</v>
      </c>
      <c r="G130" s="1" t="n">
        <f aca="false">14039-5241</f>
        <v>8798</v>
      </c>
      <c r="H130" s="1" t="n">
        <f aca="false">18200-3931</f>
        <v>14269</v>
      </c>
      <c r="I130" s="1" t="n">
        <v>1880</v>
      </c>
      <c r="J130" s="1" t="n">
        <v>2073</v>
      </c>
      <c r="K130" s="1" t="n">
        <v>1258</v>
      </c>
      <c r="L130" s="1" t="n">
        <v>683</v>
      </c>
      <c r="M130" s="7" t="n">
        <f aca="false">F130+I130</f>
        <v>8813</v>
      </c>
      <c r="N130" s="7" t="n">
        <f aca="false">G130+J130+L130</f>
        <v>11554</v>
      </c>
      <c r="O130" s="7" t="n">
        <f aca="false">H130+K130</f>
        <v>15527</v>
      </c>
      <c r="P130" s="7" t="n">
        <f aca="false">SUM(M130:O130)</f>
        <v>35894</v>
      </c>
      <c r="Q130" s="7" t="n">
        <f aca="false">'Index Price Deals'!B130+'Index Price Deals'!C130+'Index Price Deals'!D130-'Prices&amp;Fuel'!AE130</f>
        <v>0</v>
      </c>
      <c r="R130" s="1" t="n">
        <f aca="false">('Long Term Deals'!BB130+'Long Term Deals'!BC130+'Long Term Deals'!BD130+'Long Term Deals'!BE130+'Long Term Deals'!BF130+'Long Term Deals'!BG130)*(1-'Prices&amp;Fuel'!F130)</f>
        <v>12000</v>
      </c>
      <c r="S130" s="14" t="n">
        <f aca="false">P130-Q130-R130-V130</f>
        <v>0</v>
      </c>
      <c r="T130" s="14" t="n">
        <f aca="false">((I130+J130+K130)*'Prices&amp;Fuel'!H130*'Prices&amp;Fuel'!L130)+('Prices&amp;Fuel'!N130*'Prices&amp;Fuel'!H130*Transport!L130)+(('Long Term Deals'!BB130+'Long Term Deals'!BC130+'Long Term Deals'!BD130)*'Prices&amp;Fuel'!H130*'Prices&amp;Fuel'!M130)</f>
        <v>208604.209641982</v>
      </c>
      <c r="U130" s="7" t="n">
        <f aca="false">S130*B130*'Prices&amp;Fuel'!M130</f>
        <v>0</v>
      </c>
      <c r="V130" s="7" t="n">
        <f aca="false">33894-10000</f>
        <v>23894</v>
      </c>
      <c r="W130" s="14" t="n">
        <f aca="false">P130-R130-V130</f>
        <v>0</v>
      </c>
    </row>
    <row r="131" customFormat="false" ht="11.25" hidden="false" customHeight="false" outlineLevel="0" collapsed="false">
      <c r="A131" s="6" t="n">
        <f aca="false">+A130+365/12</f>
        <v>39581.5</v>
      </c>
      <c r="B131" s="1" t="n">
        <v>31</v>
      </c>
      <c r="C131" s="27" t="n">
        <v>-0.0755565851128583</v>
      </c>
      <c r="E131" s="28" t="n">
        <v>0.00599999999999978</v>
      </c>
      <c r="F131" s="1" t="n">
        <v>8730</v>
      </c>
      <c r="G131" s="1" t="n">
        <f aca="false">15795-5034</f>
        <v>10761</v>
      </c>
      <c r="H131" s="1" t="n">
        <f aca="false">20475-4966</f>
        <v>15509</v>
      </c>
      <c r="I131" s="1" t="n">
        <v>1880</v>
      </c>
      <c r="J131" s="1" t="n">
        <v>2295</v>
      </c>
      <c r="K131" s="1" t="n">
        <v>1036</v>
      </c>
      <c r="L131" s="1" t="n">
        <v>683</v>
      </c>
      <c r="M131" s="7" t="n">
        <f aca="false">F131+I131</f>
        <v>10610</v>
      </c>
      <c r="N131" s="7" t="n">
        <f aca="false">G131+J131+L131</f>
        <v>13739</v>
      </c>
      <c r="O131" s="7" t="n">
        <f aca="false">H131+K131</f>
        <v>16545</v>
      </c>
      <c r="P131" s="7" t="n">
        <f aca="false">SUM(M131:O131)</f>
        <v>40894</v>
      </c>
      <c r="Q131" s="7" t="n">
        <f aca="false">'Index Price Deals'!B131+'Index Price Deals'!C131+'Index Price Deals'!D131-'Prices&amp;Fuel'!AE131</f>
        <v>0</v>
      </c>
      <c r="R131" s="1" t="n">
        <f aca="false">('Long Term Deals'!BB131+'Long Term Deals'!BC131+'Long Term Deals'!BD131+'Long Term Deals'!BE131+'Long Term Deals'!BF131+'Long Term Deals'!BG131)*(1-'Prices&amp;Fuel'!F131)</f>
        <v>20999.9999999999</v>
      </c>
      <c r="S131" s="14" t="n">
        <f aca="false">P131-Q131-R131-V131</f>
        <v>1.38243194669485E-010</v>
      </c>
      <c r="T131" s="14" t="n">
        <f aca="false">((I131+J131+K131)*'Prices&amp;Fuel'!H131*'Prices&amp;Fuel'!L131)+('Prices&amp;Fuel'!N131*'Prices&amp;Fuel'!H131*Transport!L131)+(('Long Term Deals'!BB131+'Long Term Deals'!BC131+'Long Term Deals'!BD131)*'Prices&amp;Fuel'!H131*'Prices&amp;Fuel'!M131)</f>
        <v>426364.058618048</v>
      </c>
      <c r="U131" s="7" t="n">
        <f aca="false">S131*B131*'Prices&amp;Fuel'!M131</f>
        <v>3.14901408273727E-009</v>
      </c>
      <c r="V131" s="7" t="n">
        <f aca="false">29894-10000</f>
        <v>19894</v>
      </c>
      <c r="W131" s="14" t="n">
        <f aca="false">P131-R131-V131</f>
        <v>1.38243194669485E-010</v>
      </c>
    </row>
    <row r="132" customFormat="false" ht="11.25" hidden="false" customHeight="false" outlineLevel="0" collapsed="false">
      <c r="A132" s="6" t="n">
        <f aca="false">+A131+365/12</f>
        <v>39611.9166666667</v>
      </c>
      <c r="B132" s="1" t="n">
        <v>30</v>
      </c>
      <c r="C132" s="27" t="n">
        <v>-0.0755597399266255</v>
      </c>
      <c r="E132" s="28" t="n">
        <v>0.00599999999999978</v>
      </c>
      <c r="F132" s="1" t="n">
        <v>8730</v>
      </c>
      <c r="G132" s="1" t="n">
        <f aca="false">15795-5034</f>
        <v>10761</v>
      </c>
      <c r="H132" s="1" t="n">
        <f aca="false">20475-4966</f>
        <v>15509</v>
      </c>
      <c r="I132" s="1" t="n">
        <v>1880</v>
      </c>
      <c r="J132" s="1" t="n">
        <v>2295</v>
      </c>
      <c r="K132" s="1" t="n">
        <v>1036</v>
      </c>
      <c r="L132" s="1" t="n">
        <v>683</v>
      </c>
      <c r="M132" s="7" t="n">
        <f aca="false">F132+I132</f>
        <v>10610</v>
      </c>
      <c r="N132" s="7" t="n">
        <f aca="false">G132+J132+L132</f>
        <v>13739</v>
      </c>
      <c r="O132" s="7" t="n">
        <f aca="false">H132+K132</f>
        <v>16545</v>
      </c>
      <c r="P132" s="7" t="n">
        <f aca="false">SUM(M132:O132)</f>
        <v>40894</v>
      </c>
      <c r="Q132" s="7" t="n">
        <f aca="false">'Index Price Deals'!B132+'Index Price Deals'!C132+'Index Price Deals'!D132-'Prices&amp;Fuel'!AE132</f>
        <v>0</v>
      </c>
      <c r="R132" s="1" t="n">
        <f aca="false">('Long Term Deals'!BB132+'Long Term Deals'!BC132+'Long Term Deals'!BD132+'Long Term Deals'!BE132+'Long Term Deals'!BF132+'Long Term Deals'!BG132)*(1-'Prices&amp;Fuel'!F132)</f>
        <v>20999.9999999999</v>
      </c>
      <c r="S132" s="14" t="n">
        <f aca="false">P132-Q132-R132-V132</f>
        <v>1.38243194669485E-010</v>
      </c>
      <c r="T132" s="14" t="n">
        <f aca="false">((I132+J132+K132)*'Prices&amp;Fuel'!H132*'Prices&amp;Fuel'!L132)+('Prices&amp;Fuel'!N132*'Prices&amp;Fuel'!H132*Transport!L132)+(('Long Term Deals'!BB132+'Long Term Deals'!BC132+'Long Term Deals'!BD132)*'Prices&amp;Fuel'!H132*'Prices&amp;Fuel'!M132)</f>
        <v>412610.379307789</v>
      </c>
      <c r="U132" s="7" t="n">
        <f aca="false">S132*B132*'Prices&amp;Fuel'!M132</f>
        <v>3.04743298329413E-009</v>
      </c>
      <c r="V132" s="7" t="n">
        <f aca="false">29894-10000</f>
        <v>19894</v>
      </c>
      <c r="W132" s="14" t="n">
        <f aca="false">P132-R132-V132</f>
        <v>1.38243194669485E-010</v>
      </c>
    </row>
    <row r="133" customFormat="false" ht="11.25" hidden="false" customHeight="false" outlineLevel="0" collapsed="false">
      <c r="A133" s="6" t="n">
        <f aca="false">+A132+365/12</f>
        <v>39642.3333333333</v>
      </c>
      <c r="B133" s="1" t="n">
        <v>31</v>
      </c>
      <c r="C133" s="27" t="n">
        <v>-0.0800616328148855</v>
      </c>
      <c r="E133" s="28" t="n">
        <v>0.00949999999999984</v>
      </c>
      <c r="F133" s="1" t="n">
        <v>8730</v>
      </c>
      <c r="G133" s="1" t="n">
        <f aca="false">15795-5034</f>
        <v>10761</v>
      </c>
      <c r="H133" s="1" t="n">
        <f aca="false">20475-4966</f>
        <v>15509</v>
      </c>
      <c r="I133" s="1" t="n">
        <v>1880</v>
      </c>
      <c r="J133" s="1" t="n">
        <v>2295</v>
      </c>
      <c r="K133" s="1" t="n">
        <v>1036</v>
      </c>
      <c r="L133" s="1" t="n">
        <v>683</v>
      </c>
      <c r="M133" s="7" t="n">
        <f aca="false">F133+I133</f>
        <v>10610</v>
      </c>
      <c r="N133" s="7" t="n">
        <f aca="false">G133+J133+L133</f>
        <v>13739</v>
      </c>
      <c r="O133" s="7" t="n">
        <f aca="false">H133+K133</f>
        <v>16545</v>
      </c>
      <c r="P133" s="7" t="n">
        <f aca="false">SUM(M133:O133)</f>
        <v>40894</v>
      </c>
      <c r="Q133" s="7" t="n">
        <f aca="false">'Index Price Deals'!B133+'Index Price Deals'!C133+'Index Price Deals'!D133-'Prices&amp;Fuel'!AE133</f>
        <v>0</v>
      </c>
      <c r="R133" s="1" t="n">
        <f aca="false">('Long Term Deals'!BB133+'Long Term Deals'!BC133+'Long Term Deals'!BD133+'Long Term Deals'!BE133+'Long Term Deals'!BF133+'Long Term Deals'!BG133)*(1-'Prices&amp;Fuel'!F133)</f>
        <v>20999.9999999999</v>
      </c>
      <c r="S133" s="14" t="n">
        <f aca="false">P133-Q133-R133-V133</f>
        <v>1.38243194669485E-010</v>
      </c>
      <c r="T133" s="14" t="n">
        <f aca="false">((I133+J133+K133)*'Prices&amp;Fuel'!H133*'Prices&amp;Fuel'!L133)+('Prices&amp;Fuel'!N133*'Prices&amp;Fuel'!H133*Transport!L133)+(('Long Term Deals'!BB133+'Long Term Deals'!BC133+'Long Term Deals'!BD133)*'Prices&amp;Fuel'!H133*'Prices&amp;Fuel'!M133)</f>
        <v>426364.058618048</v>
      </c>
      <c r="U133" s="7" t="n">
        <f aca="false">S133*B133*'Prices&amp;Fuel'!M133</f>
        <v>3.14901408273727E-009</v>
      </c>
      <c r="V133" s="7" t="n">
        <f aca="false">29894-10000</f>
        <v>19894</v>
      </c>
      <c r="W133" s="14" t="n">
        <f aca="false">P133-R133-V133</f>
        <v>1.38243194669485E-010</v>
      </c>
    </row>
    <row r="134" customFormat="false" ht="11.25" hidden="false" customHeight="false" outlineLevel="0" collapsed="false">
      <c r="A134" s="6" t="n">
        <f aca="false">+A133+365/12</f>
        <v>39672.75</v>
      </c>
      <c r="B134" s="1" t="n">
        <v>31</v>
      </c>
      <c r="C134" s="27" t="n">
        <v>-0.0800654185914067</v>
      </c>
      <c r="E134" s="28" t="n">
        <v>0.00949999999999962</v>
      </c>
      <c r="F134" s="1" t="n">
        <v>8730</v>
      </c>
      <c r="G134" s="1" t="n">
        <f aca="false">15795-5034</f>
        <v>10761</v>
      </c>
      <c r="H134" s="1" t="n">
        <f aca="false">20475-4966</f>
        <v>15509</v>
      </c>
      <c r="I134" s="1" t="n">
        <v>1880</v>
      </c>
      <c r="J134" s="1" t="n">
        <v>2295</v>
      </c>
      <c r="K134" s="1" t="n">
        <v>1036</v>
      </c>
      <c r="L134" s="1" t="n">
        <v>683</v>
      </c>
      <c r="M134" s="7" t="n">
        <f aca="false">F134+I134</f>
        <v>10610</v>
      </c>
      <c r="N134" s="7" t="n">
        <f aca="false">G134+J134+L134</f>
        <v>13739</v>
      </c>
      <c r="O134" s="7" t="n">
        <f aca="false">H134+K134</f>
        <v>16545</v>
      </c>
      <c r="P134" s="7" t="n">
        <f aca="false">SUM(M134:O134)</f>
        <v>40894</v>
      </c>
      <c r="Q134" s="7" t="n">
        <f aca="false">'Index Price Deals'!B134+'Index Price Deals'!C134+'Index Price Deals'!D134-'Prices&amp;Fuel'!AE134</f>
        <v>0</v>
      </c>
      <c r="R134" s="1" t="n">
        <f aca="false">('Long Term Deals'!BB134+'Long Term Deals'!BC134+'Long Term Deals'!BD134+'Long Term Deals'!BE134+'Long Term Deals'!BF134+'Long Term Deals'!BG134)*(1-'Prices&amp;Fuel'!F134)</f>
        <v>20999.9999999999</v>
      </c>
      <c r="S134" s="14" t="n">
        <f aca="false">P134-Q134-R134-V134</f>
        <v>1.38243194669485E-010</v>
      </c>
      <c r="T134" s="14" t="n">
        <f aca="false">((I134+J134+K134)*'Prices&amp;Fuel'!H134*'Prices&amp;Fuel'!L134)+('Prices&amp;Fuel'!N134*'Prices&amp;Fuel'!H134*Transport!L134)+(('Long Term Deals'!BB134+'Long Term Deals'!BC134+'Long Term Deals'!BD134)*'Prices&amp;Fuel'!H134*'Prices&amp;Fuel'!M134)</f>
        <v>426364.058618048</v>
      </c>
      <c r="U134" s="7" t="n">
        <f aca="false">S134*B134*'Prices&amp;Fuel'!M134</f>
        <v>3.14901408273727E-009</v>
      </c>
      <c r="V134" s="7" t="n">
        <f aca="false">29894-10000</f>
        <v>19894</v>
      </c>
      <c r="W134" s="14" t="n">
        <f aca="false">P134-R134-V134</f>
        <v>1.38243194669485E-010</v>
      </c>
    </row>
    <row r="135" customFormat="false" ht="11.25" hidden="false" customHeight="false" outlineLevel="0" collapsed="false">
      <c r="A135" s="6" t="n">
        <f aca="false">+A134+365/12</f>
        <v>39703.1666666667</v>
      </c>
      <c r="B135" s="1" t="n">
        <v>30</v>
      </c>
      <c r="C135" s="27" t="n">
        <v>-0.0800717282189418</v>
      </c>
      <c r="E135" s="28" t="n">
        <v>0.00949999999999962</v>
      </c>
      <c r="F135" s="1" t="n">
        <v>8730</v>
      </c>
      <c r="G135" s="1" t="n">
        <f aca="false">15795-5034</f>
        <v>10761</v>
      </c>
      <c r="H135" s="1" t="n">
        <f aca="false">20475-4966</f>
        <v>15509</v>
      </c>
      <c r="I135" s="1" t="n">
        <v>1880</v>
      </c>
      <c r="J135" s="1" t="n">
        <v>2295</v>
      </c>
      <c r="K135" s="1" t="n">
        <v>1036</v>
      </c>
      <c r="L135" s="1" t="n">
        <v>683</v>
      </c>
      <c r="M135" s="7" t="n">
        <f aca="false">F135+I135</f>
        <v>10610</v>
      </c>
      <c r="N135" s="7" t="n">
        <f aca="false">G135+J135+L135</f>
        <v>13739</v>
      </c>
      <c r="O135" s="7" t="n">
        <f aca="false">H135+K135</f>
        <v>16545</v>
      </c>
      <c r="P135" s="7" t="n">
        <f aca="false">SUM(M135:O135)</f>
        <v>40894</v>
      </c>
      <c r="Q135" s="7" t="n">
        <f aca="false">'Index Price Deals'!B135+'Index Price Deals'!C135+'Index Price Deals'!D135-'Prices&amp;Fuel'!AE135</f>
        <v>0</v>
      </c>
      <c r="R135" s="1" t="n">
        <f aca="false">('Long Term Deals'!BB135+'Long Term Deals'!BC135+'Long Term Deals'!BD135+'Long Term Deals'!BE135+'Long Term Deals'!BF135+'Long Term Deals'!BG135)*(1-'Prices&amp;Fuel'!F135)</f>
        <v>20999.9999999999</v>
      </c>
      <c r="S135" s="14" t="n">
        <f aca="false">P135-Q135-R135-V135</f>
        <v>1.38243194669485E-010</v>
      </c>
      <c r="T135" s="14" t="n">
        <f aca="false">((I135+J135+K135)*'Prices&amp;Fuel'!H135*'Prices&amp;Fuel'!L135)+('Prices&amp;Fuel'!N135*'Prices&amp;Fuel'!H135*Transport!L135)+(('Long Term Deals'!BB135+'Long Term Deals'!BC135+'Long Term Deals'!BD135)*'Prices&amp;Fuel'!H135*'Prices&amp;Fuel'!M135)</f>
        <v>412610.379307789</v>
      </c>
      <c r="U135" s="7" t="n">
        <f aca="false">S135*B135*'Prices&amp;Fuel'!M135</f>
        <v>3.04743298329413E-009</v>
      </c>
      <c r="V135" s="7" t="n">
        <f aca="false">29894-10000</f>
        <v>19894</v>
      </c>
      <c r="W135" s="14" t="n">
        <f aca="false">P135-R135-V135</f>
        <v>1.38243194669485E-010</v>
      </c>
    </row>
    <row r="136" customFormat="false" ht="11.25" hidden="false" customHeight="false" outlineLevel="0" collapsed="false">
      <c r="A136" s="6" t="n">
        <f aca="false">+A135+365/12</f>
        <v>39733.5833333333</v>
      </c>
      <c r="B136" s="1" t="n">
        <v>31</v>
      </c>
      <c r="C136" s="27" t="n">
        <v>-0.0826274609265836</v>
      </c>
      <c r="E136" s="28" t="n">
        <v>0.0145</v>
      </c>
      <c r="F136" s="1" t="n">
        <f aca="false">8730-0</f>
        <v>8730</v>
      </c>
      <c r="G136" s="1" t="n">
        <f aca="false">15795-5434</f>
        <v>10361</v>
      </c>
      <c r="H136" s="1" t="n">
        <f aca="false">20475-4566</f>
        <v>15909</v>
      </c>
      <c r="I136" s="1" t="n">
        <v>2830</v>
      </c>
      <c r="J136" s="1" t="n">
        <v>3500</v>
      </c>
      <c r="K136" s="1" t="n">
        <v>1521</v>
      </c>
      <c r="L136" s="1" t="n">
        <v>1001</v>
      </c>
      <c r="M136" s="7" t="n">
        <f aca="false">F136+I136</f>
        <v>11560</v>
      </c>
      <c r="N136" s="7" t="n">
        <f aca="false">G136+J136+L136</f>
        <v>14862</v>
      </c>
      <c r="O136" s="7" t="n">
        <f aca="false">H136+K136</f>
        <v>17430</v>
      </c>
      <c r="P136" s="7" t="n">
        <f aca="false">SUM(M136:O136)</f>
        <v>43852</v>
      </c>
      <c r="Q136" s="7" t="n">
        <f aca="false">'Index Price Deals'!B136+'Index Price Deals'!C136+'Index Price Deals'!D136-'Prices&amp;Fuel'!AE136</f>
        <v>0</v>
      </c>
      <c r="R136" s="1" t="n">
        <f aca="false">('Long Term Deals'!BB136+'Long Term Deals'!BC136+'Long Term Deals'!BD136+'Long Term Deals'!BE136+'Long Term Deals'!BF136+'Long Term Deals'!BG136)*(1-'Prices&amp;Fuel'!F136)</f>
        <v>20999.9999999998</v>
      </c>
      <c r="S136" s="14" t="n">
        <f aca="false">P136-Q136-R136-V136</f>
        <v>1.92812876775861E-010</v>
      </c>
      <c r="T136" s="14" t="n">
        <f aca="false">((I136+J136+K136)*'Prices&amp;Fuel'!H136*'Prices&amp;Fuel'!L136)+('Prices&amp;Fuel'!N136*'Prices&amp;Fuel'!H136*Transport!L136)+(('Long Term Deals'!BB136+'Long Term Deals'!BC136+'Long Term Deals'!BD136)*'Prices&amp;Fuel'!H136*'Prices&amp;Fuel'!M136)</f>
        <v>393483.04112981</v>
      </c>
      <c r="U136" s="7" t="n">
        <f aca="false">S136*B136*'Prices&amp;Fuel'!M136</f>
        <v>4.39204595750198E-009</v>
      </c>
      <c r="V136" s="7" t="n">
        <f aca="false">32852-10000</f>
        <v>22852</v>
      </c>
      <c r="W136" s="14" t="n">
        <f aca="false">P136-R136-V136</f>
        <v>1.92812876775861E-010</v>
      </c>
    </row>
    <row r="137" customFormat="false" ht="11.25" hidden="false" customHeight="false" outlineLevel="0" collapsed="false">
      <c r="A137" s="6" t="n">
        <f aca="false">+A136+365/12</f>
        <v>39764</v>
      </c>
      <c r="B137" s="1" t="n">
        <v>30</v>
      </c>
      <c r="C137" s="27" t="n">
        <v>-0.127599684115651</v>
      </c>
      <c r="E137" s="28" t="n">
        <v>0.0194999999999999</v>
      </c>
      <c r="F137" s="1" t="n">
        <f aca="false">7761-1128-1707</f>
        <v>4926</v>
      </c>
      <c r="G137" s="1" t="n">
        <f aca="false">14039-666-3474-4167</f>
        <v>5732</v>
      </c>
      <c r="H137" s="1" t="n">
        <f aca="false">18200-4732-4126</f>
        <v>9342</v>
      </c>
      <c r="I137" s="1" t="n">
        <v>2563</v>
      </c>
      <c r="J137" s="1" t="n">
        <v>2862</v>
      </c>
      <c r="K137" s="1" t="n">
        <v>1685</v>
      </c>
      <c r="L137" s="1" t="n">
        <v>683</v>
      </c>
      <c r="M137" s="7" t="n">
        <f aca="false">F137+I137</f>
        <v>7489</v>
      </c>
      <c r="N137" s="7" t="n">
        <f aca="false">G137+J137+L137</f>
        <v>9277</v>
      </c>
      <c r="O137" s="7" t="n">
        <f aca="false">H137+K137</f>
        <v>11027</v>
      </c>
      <c r="P137" s="7" t="n">
        <f aca="false">SUM(M137:O137)</f>
        <v>27793</v>
      </c>
      <c r="Q137" s="7" t="n">
        <f aca="false">'Index Price Deals'!B137+'Index Price Deals'!C137+'Index Price Deals'!D137-'Prices&amp;Fuel'!AE137</f>
        <v>0</v>
      </c>
      <c r="R137" s="1" t="n">
        <f aca="false">('Long Term Deals'!BB137+'Long Term Deals'!BC137+'Long Term Deals'!BD137+'Long Term Deals'!BE137+'Long Term Deals'!BF137+'Long Term Deals'!BG137)*(1-'Prices&amp;Fuel'!F137)</f>
        <v>12000</v>
      </c>
      <c r="S137" s="14" t="n">
        <f aca="false">P137-Q137-R137-V137</f>
        <v>0</v>
      </c>
      <c r="T137" s="14" t="n">
        <f aca="false">((I137+J137+K137)*'Prices&amp;Fuel'!H137*'Prices&amp;Fuel'!L137)+('Prices&amp;Fuel'!N137*'Prices&amp;Fuel'!H137*Transport!L137)+(('Long Term Deals'!BB137+'Long Term Deals'!BC137+'Long Term Deals'!BD137)*'Prices&amp;Fuel'!H137*'Prices&amp;Fuel'!M137)</f>
        <v>188175.938945731</v>
      </c>
      <c r="U137" s="7" t="n">
        <f aca="false">S137*B137*'Prices&amp;Fuel'!M137</f>
        <v>0</v>
      </c>
      <c r="V137" s="7" t="n">
        <f aca="false">35793-20000</f>
        <v>15793</v>
      </c>
      <c r="W137" s="14" t="n">
        <f aca="false">P137-R137-V137</f>
        <v>0</v>
      </c>
    </row>
    <row r="138" customFormat="false" ht="11.25" hidden="false" customHeight="false" outlineLevel="0" collapsed="false">
      <c r="A138" s="6" t="n">
        <f aca="false">+A137+365/12</f>
        <v>39794.4166666667</v>
      </c>
      <c r="B138" s="1" t="n">
        <v>31</v>
      </c>
      <c r="C138" s="27" t="n">
        <v>-0.162562185420891</v>
      </c>
      <c r="E138" s="28" t="n">
        <v>0.0245000000000002</v>
      </c>
      <c r="F138" s="1" t="n">
        <f aca="false">7761-1128-1707</f>
        <v>4926</v>
      </c>
      <c r="G138" s="1" t="n">
        <f aca="false">14039-666-3474-4167</f>
        <v>5732</v>
      </c>
      <c r="H138" s="1" t="n">
        <f aca="false">18200-4732-4126</f>
        <v>9342</v>
      </c>
      <c r="I138" s="1" t="n">
        <v>2563</v>
      </c>
      <c r="J138" s="1" t="n">
        <v>2862</v>
      </c>
      <c r="K138" s="1" t="n">
        <v>1685</v>
      </c>
      <c r="L138" s="1" t="n">
        <v>683</v>
      </c>
      <c r="M138" s="7" t="n">
        <f aca="false">F138+I138</f>
        <v>7489</v>
      </c>
      <c r="N138" s="7" t="n">
        <f aca="false">G138+J138+L138</f>
        <v>9277</v>
      </c>
      <c r="O138" s="7" t="n">
        <f aca="false">H138+K138</f>
        <v>11027</v>
      </c>
      <c r="P138" s="7" t="n">
        <f aca="false">SUM(M138:O138)</f>
        <v>27793</v>
      </c>
      <c r="Q138" s="7" t="n">
        <f aca="false">'Index Price Deals'!B138+'Index Price Deals'!C138+'Index Price Deals'!D138-'Prices&amp;Fuel'!AE138</f>
        <v>0</v>
      </c>
      <c r="R138" s="1" t="n">
        <f aca="false">('Long Term Deals'!BB138+'Long Term Deals'!BC138+'Long Term Deals'!BD138+'Long Term Deals'!BE138+'Long Term Deals'!BF138+'Long Term Deals'!BG138)*(1-'Prices&amp;Fuel'!F138)</f>
        <v>12000</v>
      </c>
      <c r="S138" s="14" t="n">
        <f aca="false">P138-Q138-R138-V138</f>
        <v>0</v>
      </c>
      <c r="T138" s="14" t="n">
        <f aca="false">((I138+J138+K138)*'Prices&amp;Fuel'!H138*'Prices&amp;Fuel'!L138)+('Prices&amp;Fuel'!N138*'Prices&amp;Fuel'!H138*Transport!L138)+(('Long Term Deals'!BB138+'Long Term Deals'!BC138+'Long Term Deals'!BD138)*'Prices&amp;Fuel'!H138*'Prices&amp;Fuel'!M138)</f>
        <v>194448.470243922</v>
      </c>
      <c r="U138" s="7" t="n">
        <f aca="false">S138*B138*'Prices&amp;Fuel'!M138</f>
        <v>0</v>
      </c>
      <c r="V138" s="7" t="n">
        <f aca="false">35793-20000</f>
        <v>15793</v>
      </c>
      <c r="W138" s="14" t="n">
        <f aca="false">P138-R138-V138</f>
        <v>0</v>
      </c>
    </row>
    <row r="139" customFormat="false" ht="11.25" hidden="false" customHeight="false" outlineLevel="0" collapsed="false">
      <c r="A139" s="6" t="n">
        <f aca="false">+A138+365/12</f>
        <v>39824.8333333333</v>
      </c>
      <c r="B139" s="1" t="n">
        <v>31</v>
      </c>
      <c r="C139" s="27" t="n">
        <v>-0.147509062269983</v>
      </c>
      <c r="E139" s="28" t="n">
        <v>0.0245000000000002</v>
      </c>
      <c r="F139" s="1" t="n">
        <f aca="false">7761-1128-1707</f>
        <v>4926</v>
      </c>
      <c r="G139" s="1" t="n">
        <f aca="false">14039-666-3474-4167</f>
        <v>5732</v>
      </c>
      <c r="H139" s="1" t="n">
        <f aca="false">18200-4732-4126</f>
        <v>9342</v>
      </c>
      <c r="I139" s="1" t="n">
        <v>2563</v>
      </c>
      <c r="J139" s="1" t="n">
        <v>2862</v>
      </c>
      <c r="K139" s="1" t="n">
        <v>1685</v>
      </c>
      <c r="L139" s="1" t="n">
        <v>683</v>
      </c>
      <c r="M139" s="7" t="n">
        <f aca="false">F139+I139</f>
        <v>7489</v>
      </c>
      <c r="N139" s="7" t="n">
        <f aca="false">G139+J139+L139</f>
        <v>9277</v>
      </c>
      <c r="O139" s="7" t="n">
        <f aca="false">H139+K139</f>
        <v>11027</v>
      </c>
      <c r="P139" s="7" t="n">
        <f aca="false">SUM(M139:O139)</f>
        <v>27793</v>
      </c>
      <c r="Q139" s="7" t="n">
        <f aca="false">'Index Price Deals'!B139+'Index Price Deals'!C139+'Index Price Deals'!D139-'Prices&amp;Fuel'!AE139</f>
        <v>0</v>
      </c>
      <c r="R139" s="1" t="n">
        <f aca="false">('Long Term Deals'!BB139+'Long Term Deals'!BC139+'Long Term Deals'!BD139+'Long Term Deals'!BE139+'Long Term Deals'!BF139+'Long Term Deals'!BG139)*(1-'Prices&amp;Fuel'!F139)</f>
        <v>12000</v>
      </c>
      <c r="S139" s="14" t="n">
        <f aca="false">P139-Q139-R139-V139</f>
        <v>0</v>
      </c>
      <c r="T139" s="14" t="n">
        <f aca="false">((I139+J139+K139)*'Prices&amp;Fuel'!H139*'Prices&amp;Fuel'!L139)+('Prices&amp;Fuel'!N139*'Prices&amp;Fuel'!H139*Transport!L139)+(('Long Term Deals'!BB139+'Long Term Deals'!BC139+'Long Term Deals'!BD139)*'Prices&amp;Fuel'!H139*'Prices&amp;Fuel'!M139)</f>
        <v>194711.232439118</v>
      </c>
      <c r="U139" s="7" t="n">
        <f aca="false">S139*B139*'Prices&amp;Fuel'!M139</f>
        <v>0</v>
      </c>
      <c r="V139" s="7" t="n">
        <f aca="false">35793-20000</f>
        <v>15793</v>
      </c>
      <c r="W139" s="14" t="n">
        <f aca="false">P139-R139-V139</f>
        <v>0</v>
      </c>
    </row>
    <row r="140" customFormat="false" ht="11.25" hidden="false" customHeight="false" outlineLevel="0" collapsed="false">
      <c r="A140" s="6" t="n">
        <f aca="false">+A139+365/12</f>
        <v>39855.25</v>
      </c>
      <c r="B140" s="1" t="n">
        <v>28</v>
      </c>
      <c r="C140" s="27" t="n">
        <v>-0.147536839080916</v>
      </c>
      <c r="E140" s="28" t="n">
        <v>0.0245000000000002</v>
      </c>
      <c r="F140" s="1" t="n">
        <f aca="false">7761-1128-1707</f>
        <v>4926</v>
      </c>
      <c r="G140" s="1" t="n">
        <f aca="false">14039-666-3474-4167</f>
        <v>5732</v>
      </c>
      <c r="H140" s="1" t="n">
        <f aca="false">18200-4732-4126</f>
        <v>9342</v>
      </c>
      <c r="I140" s="1" t="n">
        <v>2563</v>
      </c>
      <c r="J140" s="1" t="n">
        <v>2862</v>
      </c>
      <c r="K140" s="1" t="n">
        <v>1685</v>
      </c>
      <c r="L140" s="1" t="n">
        <v>683</v>
      </c>
      <c r="M140" s="7" t="n">
        <f aca="false">F140+I140</f>
        <v>7489</v>
      </c>
      <c r="N140" s="7" t="n">
        <f aca="false">G140+J140+L140</f>
        <v>9277</v>
      </c>
      <c r="O140" s="7" t="n">
        <f aca="false">H140+K140</f>
        <v>11027</v>
      </c>
      <c r="P140" s="7" t="n">
        <f aca="false">SUM(M140:O140)</f>
        <v>27793</v>
      </c>
      <c r="Q140" s="7" t="n">
        <f aca="false">'Index Price Deals'!B140+'Index Price Deals'!C140+'Index Price Deals'!D140-'Prices&amp;Fuel'!AE140</f>
        <v>0</v>
      </c>
      <c r="R140" s="1" t="n">
        <f aca="false">('Long Term Deals'!BB140+'Long Term Deals'!BC140+'Long Term Deals'!BD140+'Long Term Deals'!BE140+'Long Term Deals'!BF140+'Long Term Deals'!BG140)*(1-'Prices&amp;Fuel'!F140)</f>
        <v>12000</v>
      </c>
      <c r="S140" s="14" t="n">
        <f aca="false">P140-Q140-R140-V140</f>
        <v>0</v>
      </c>
      <c r="T140" s="14" t="n">
        <f aca="false">((I140+J140+K140)*'Prices&amp;Fuel'!H140*'Prices&amp;Fuel'!L140)+('Prices&amp;Fuel'!N140*'Prices&amp;Fuel'!H140*Transport!L140)+(('Long Term Deals'!BB140+'Long Term Deals'!BC140+'Long Term Deals'!BD140)*'Prices&amp;Fuel'!H140*'Prices&amp;Fuel'!M140)</f>
        <v>175868.209945009</v>
      </c>
      <c r="U140" s="7" t="n">
        <f aca="false">S140*B140*'Prices&amp;Fuel'!M140</f>
        <v>0</v>
      </c>
      <c r="V140" s="7" t="n">
        <f aca="false">35793-20000</f>
        <v>15793</v>
      </c>
      <c r="W140" s="14" t="n">
        <f aca="false">P140-R140-V140</f>
        <v>0</v>
      </c>
    </row>
    <row r="141" customFormat="false" ht="11.25" hidden="false" customHeight="false" outlineLevel="0" collapsed="false">
      <c r="A141" s="6" t="n">
        <f aca="false">+A140+365/12</f>
        <v>39885.6666666667</v>
      </c>
      <c r="B141" s="1" t="n">
        <v>31</v>
      </c>
      <c r="C141" s="27" t="n">
        <v>-0.122572601724992</v>
      </c>
      <c r="E141" s="28" t="n">
        <v>0.0195000000000003</v>
      </c>
      <c r="F141" s="1" t="n">
        <f aca="false">7761-1128-1707</f>
        <v>4926</v>
      </c>
      <c r="G141" s="1" t="n">
        <f aca="false">14039-666-3474-4167</f>
        <v>5732</v>
      </c>
      <c r="H141" s="1" t="n">
        <f aca="false">18200-4732-4126</f>
        <v>9342</v>
      </c>
      <c r="I141" s="1" t="n">
        <v>2563</v>
      </c>
      <c r="J141" s="1" t="n">
        <v>2862</v>
      </c>
      <c r="K141" s="1" t="n">
        <v>1685</v>
      </c>
      <c r="L141" s="1" t="n">
        <v>683</v>
      </c>
      <c r="M141" s="7" t="n">
        <f aca="false">F141+I141</f>
        <v>7489</v>
      </c>
      <c r="N141" s="7" t="n">
        <f aca="false">G141+J141+L141</f>
        <v>9277</v>
      </c>
      <c r="O141" s="7" t="n">
        <f aca="false">H141+K141</f>
        <v>11027</v>
      </c>
      <c r="P141" s="7" t="n">
        <f aca="false">SUM(M141:O141)</f>
        <v>27793</v>
      </c>
      <c r="Q141" s="7" t="n">
        <f aca="false">'Index Price Deals'!B141+'Index Price Deals'!C141+'Index Price Deals'!D141-'Prices&amp;Fuel'!AE141</f>
        <v>0</v>
      </c>
      <c r="R141" s="1" t="n">
        <f aca="false">('Long Term Deals'!BB141+'Long Term Deals'!BC141+'Long Term Deals'!BD141+'Long Term Deals'!BE141+'Long Term Deals'!BF141+'Long Term Deals'!BG141)*(1-'Prices&amp;Fuel'!F141)</f>
        <v>12000</v>
      </c>
      <c r="S141" s="14" t="n">
        <f aca="false">P141-Q141-R141-V141</f>
        <v>0</v>
      </c>
      <c r="T141" s="14" t="n">
        <f aca="false">((I141+J141+K141)*'Prices&amp;Fuel'!H141*'Prices&amp;Fuel'!L141)+('Prices&amp;Fuel'!N141*'Prices&amp;Fuel'!H141*Transport!L141)+(('Long Term Deals'!BB141+'Long Term Deals'!BC141+'Long Term Deals'!BD141)*'Prices&amp;Fuel'!H141*'Prices&amp;Fuel'!M141)</f>
        <v>194711.232439118</v>
      </c>
      <c r="U141" s="7" t="n">
        <f aca="false">S141*B141*'Prices&amp;Fuel'!M141</f>
        <v>0</v>
      </c>
      <c r="V141" s="7" t="n">
        <f aca="false">35793-20000</f>
        <v>15793</v>
      </c>
      <c r="W141" s="14" t="n">
        <f aca="false">P141-R141-V141</f>
        <v>0</v>
      </c>
    </row>
    <row r="142" customFormat="false" ht="11.25" hidden="false" customHeight="false" outlineLevel="0" collapsed="false">
      <c r="A142" s="6" t="n">
        <f aca="false">+A141+365/12</f>
        <v>39916.0833333333</v>
      </c>
      <c r="B142" s="1" t="n">
        <v>30</v>
      </c>
      <c r="C142" s="27" t="n">
        <v>-0.0730896150216878</v>
      </c>
      <c r="E142" s="28" t="n">
        <v>0.00599999999999978</v>
      </c>
      <c r="F142" s="1" t="n">
        <f aca="false">7761-828</f>
        <v>6933</v>
      </c>
      <c r="G142" s="1" t="n">
        <f aca="false">14039-5241</f>
        <v>8798</v>
      </c>
      <c r="H142" s="1" t="n">
        <f aca="false">18200-3931</f>
        <v>14269</v>
      </c>
      <c r="I142" s="1" t="n">
        <v>1880</v>
      </c>
      <c r="J142" s="1" t="n">
        <v>2073</v>
      </c>
      <c r="K142" s="1" t="n">
        <v>1258</v>
      </c>
      <c r="L142" s="1" t="n">
        <v>683</v>
      </c>
      <c r="M142" s="7" t="n">
        <f aca="false">F142+I142</f>
        <v>8813</v>
      </c>
      <c r="N142" s="7" t="n">
        <f aca="false">G142+J142+L142</f>
        <v>11554</v>
      </c>
      <c r="O142" s="7" t="n">
        <f aca="false">H142+K142</f>
        <v>15527</v>
      </c>
      <c r="P142" s="7" t="n">
        <f aca="false">SUM(M142:O142)</f>
        <v>35894</v>
      </c>
      <c r="Q142" s="7" t="n">
        <f aca="false">'Index Price Deals'!B142+'Index Price Deals'!C142+'Index Price Deals'!D142-'Prices&amp;Fuel'!AE142</f>
        <v>0</v>
      </c>
      <c r="R142" s="1" t="n">
        <f aca="false">('Long Term Deals'!BB142+'Long Term Deals'!BC142+'Long Term Deals'!BD142+'Long Term Deals'!BE142+'Long Term Deals'!BF142+'Long Term Deals'!BG142)*(1-'Prices&amp;Fuel'!F142)</f>
        <v>12000</v>
      </c>
      <c r="S142" s="14" t="n">
        <f aca="false">P142-Q142-R142-V142</f>
        <v>0</v>
      </c>
      <c r="T142" s="14" t="n">
        <f aca="false">((I142+J142+K142)*'Prices&amp;Fuel'!H142*'Prices&amp;Fuel'!L142)+('Prices&amp;Fuel'!N142*'Prices&amp;Fuel'!H142*Transport!L142)+(('Long Term Deals'!BB142+'Long Term Deals'!BC142+'Long Term Deals'!BD142)*'Prices&amp;Fuel'!H142*'Prices&amp;Fuel'!M142)</f>
        <v>208796.531168557</v>
      </c>
      <c r="U142" s="7" t="n">
        <f aca="false">S142*B142*'Prices&amp;Fuel'!M142</f>
        <v>0</v>
      </c>
      <c r="V142" s="7" t="n">
        <f aca="false">33894-10000</f>
        <v>23894</v>
      </c>
      <c r="W142" s="14" t="n">
        <f aca="false">P142-R142-V142</f>
        <v>0</v>
      </c>
    </row>
    <row r="143" customFormat="false" ht="11.25" hidden="false" customHeight="false" outlineLevel="0" collapsed="false">
      <c r="A143" s="6" t="n">
        <f aca="false">+A142+365/12</f>
        <v>39946.5</v>
      </c>
      <c r="B143" s="1" t="n">
        <v>31</v>
      </c>
      <c r="C143" s="27" t="n">
        <v>-0.0756430270100856</v>
      </c>
      <c r="E143" s="28" t="n">
        <v>0.00599999999999978</v>
      </c>
      <c r="F143" s="1" t="n">
        <v>8730</v>
      </c>
      <c r="G143" s="1" t="n">
        <f aca="false">15795-5034</f>
        <v>10761</v>
      </c>
      <c r="H143" s="1" t="n">
        <f aca="false">20475-4966</f>
        <v>15509</v>
      </c>
      <c r="I143" s="1" t="n">
        <v>1880</v>
      </c>
      <c r="J143" s="1" t="n">
        <v>2295</v>
      </c>
      <c r="K143" s="1" t="n">
        <v>1036</v>
      </c>
      <c r="L143" s="1" t="n">
        <v>683</v>
      </c>
      <c r="M143" s="7" t="n">
        <f aca="false">F143+I143</f>
        <v>10610</v>
      </c>
      <c r="N143" s="7" t="n">
        <f aca="false">G143+J143+L143</f>
        <v>13739</v>
      </c>
      <c r="O143" s="7" t="n">
        <f aca="false">H143+K143</f>
        <v>16545</v>
      </c>
      <c r="P143" s="7" t="n">
        <f aca="false">SUM(M143:O143)</f>
        <v>40894</v>
      </c>
      <c r="Q143" s="7" t="n">
        <f aca="false">'Index Price Deals'!B143+'Index Price Deals'!C143+'Index Price Deals'!D143-'Prices&amp;Fuel'!AE143</f>
        <v>0</v>
      </c>
      <c r="R143" s="1" t="n">
        <f aca="false">('Long Term Deals'!BB143+'Long Term Deals'!BC143+'Long Term Deals'!BD143+'Long Term Deals'!BE143+'Long Term Deals'!BF143+'Long Term Deals'!BG143)*(1-'Prices&amp;Fuel'!F143)</f>
        <v>20999.9999999999</v>
      </c>
      <c r="S143" s="14" t="n">
        <f aca="false">P143-Q143-R143-V143</f>
        <v>1.38243194669485E-010</v>
      </c>
      <c r="T143" s="14" t="n">
        <f aca="false">((I143+J143+K143)*'Prices&amp;Fuel'!H143*'Prices&amp;Fuel'!L143)+('Prices&amp;Fuel'!N143*'Prices&amp;Fuel'!H143*Transport!L143)+(('Long Term Deals'!BB143+'Long Term Deals'!BC143+'Long Term Deals'!BD143)*'Prices&amp;Fuel'!H143*'Prices&amp;Fuel'!M143)</f>
        <v>426562.790862176</v>
      </c>
      <c r="U143" s="7" t="n">
        <f aca="false">S143*B143*'Prices&amp;Fuel'!M143</f>
        <v>3.14901408273727E-009</v>
      </c>
      <c r="V143" s="7" t="n">
        <f aca="false">29894-10000</f>
        <v>19894</v>
      </c>
      <c r="W143" s="14" t="n">
        <f aca="false">P143-R143-V143</f>
        <v>1.38243194669485E-010</v>
      </c>
    </row>
    <row r="144" customFormat="false" ht="11.25" hidden="false" customHeight="false" outlineLevel="0" collapsed="false">
      <c r="A144" s="6" t="n">
        <f aca="false">+A143+365/12</f>
        <v>39976.9166666667</v>
      </c>
      <c r="B144" s="1" t="n">
        <v>30</v>
      </c>
      <c r="C144" s="27" t="n">
        <v>-0.0756461818238532</v>
      </c>
      <c r="E144" s="28" t="n">
        <v>0.00599999999999978</v>
      </c>
      <c r="F144" s="1" t="n">
        <v>8730</v>
      </c>
      <c r="G144" s="1" t="n">
        <f aca="false">15795-5034</f>
        <v>10761</v>
      </c>
      <c r="H144" s="1" t="n">
        <f aca="false">20475-4966</f>
        <v>15509</v>
      </c>
      <c r="I144" s="1" t="n">
        <v>1880</v>
      </c>
      <c r="J144" s="1" t="n">
        <v>2295</v>
      </c>
      <c r="K144" s="1" t="n">
        <v>1036</v>
      </c>
      <c r="L144" s="1" t="n">
        <v>683</v>
      </c>
      <c r="M144" s="7" t="n">
        <f aca="false">F144+I144</f>
        <v>10610</v>
      </c>
      <c r="N144" s="7" t="n">
        <f aca="false">G144+J144+L144</f>
        <v>13739</v>
      </c>
      <c r="O144" s="7" t="n">
        <f aca="false">H144+K144</f>
        <v>16545</v>
      </c>
      <c r="P144" s="7" t="n">
        <f aca="false">SUM(M144:O144)</f>
        <v>40894</v>
      </c>
      <c r="Q144" s="7" t="n">
        <f aca="false">'Index Price Deals'!B144+'Index Price Deals'!C144+'Index Price Deals'!D144-'Prices&amp;Fuel'!AE144</f>
        <v>0</v>
      </c>
      <c r="R144" s="1" t="n">
        <f aca="false">('Long Term Deals'!BB144+'Long Term Deals'!BC144+'Long Term Deals'!BD144+'Long Term Deals'!BE144+'Long Term Deals'!BF144+'Long Term Deals'!BG144)*(1-'Prices&amp;Fuel'!F144)</f>
        <v>20999.9999999999</v>
      </c>
      <c r="S144" s="14" t="n">
        <f aca="false">P144-Q144-R144-V144</f>
        <v>1.38243194669485E-010</v>
      </c>
      <c r="T144" s="14" t="n">
        <f aca="false">((I144+J144+K144)*'Prices&amp;Fuel'!H144*'Prices&amp;Fuel'!L144)+('Prices&amp;Fuel'!N144*'Prices&amp;Fuel'!H144*Transport!L144)+(('Long Term Deals'!BB144+'Long Term Deals'!BC144+'Long Term Deals'!BD144)*'Prices&amp;Fuel'!H144*'Prices&amp;Fuel'!M144)</f>
        <v>412802.700834364</v>
      </c>
      <c r="U144" s="7" t="n">
        <f aca="false">S144*B144*'Prices&amp;Fuel'!M144</f>
        <v>3.04743298329413E-009</v>
      </c>
      <c r="V144" s="7" t="n">
        <f aca="false">29894-10000</f>
        <v>19894</v>
      </c>
      <c r="W144" s="14" t="n">
        <f aca="false">P144-R144-V144</f>
        <v>1.38243194669485E-010</v>
      </c>
    </row>
    <row r="145" customFormat="false" ht="11.25" hidden="false" customHeight="false" outlineLevel="0" collapsed="false">
      <c r="A145" s="6" t="n">
        <f aca="false">+A144+365/12</f>
        <v>40007.3333333333</v>
      </c>
      <c r="B145" s="1" t="n">
        <v>31</v>
      </c>
      <c r="C145" s="27" t="n">
        <v>-0.0801480747121137</v>
      </c>
      <c r="E145" s="28" t="n">
        <v>0.00949999999999984</v>
      </c>
      <c r="F145" s="1" t="n">
        <v>8730</v>
      </c>
      <c r="G145" s="1" t="n">
        <f aca="false">15795-5034</f>
        <v>10761</v>
      </c>
      <c r="H145" s="1" t="n">
        <f aca="false">20475-4966</f>
        <v>15509</v>
      </c>
      <c r="I145" s="1" t="n">
        <v>1880</v>
      </c>
      <c r="J145" s="1" t="n">
        <v>2295</v>
      </c>
      <c r="K145" s="1" t="n">
        <v>1036</v>
      </c>
      <c r="L145" s="1" t="n">
        <v>683</v>
      </c>
      <c r="M145" s="7" t="n">
        <f aca="false">F145+I145</f>
        <v>10610</v>
      </c>
      <c r="N145" s="7" t="n">
        <f aca="false">G145+J145+L145</f>
        <v>13739</v>
      </c>
      <c r="O145" s="7" t="n">
        <f aca="false">H145+K145</f>
        <v>16545</v>
      </c>
      <c r="P145" s="7" t="n">
        <f aca="false">SUM(M145:O145)</f>
        <v>40894</v>
      </c>
      <c r="Q145" s="7" t="n">
        <f aca="false">'Index Price Deals'!B145+'Index Price Deals'!C145+'Index Price Deals'!D145-'Prices&amp;Fuel'!AE145</f>
        <v>0</v>
      </c>
      <c r="R145" s="1" t="n">
        <f aca="false">('Long Term Deals'!BB145+'Long Term Deals'!BC145+'Long Term Deals'!BD145+'Long Term Deals'!BE145+'Long Term Deals'!BF145+'Long Term Deals'!BG145)*(1-'Prices&amp;Fuel'!F145)</f>
        <v>20999.9999999999</v>
      </c>
      <c r="S145" s="14" t="n">
        <f aca="false">P145-Q145-R145-V145</f>
        <v>1.38243194669485E-010</v>
      </c>
      <c r="T145" s="14" t="n">
        <f aca="false">((I145+J145+K145)*'Prices&amp;Fuel'!H145*'Prices&amp;Fuel'!L145)+('Prices&amp;Fuel'!N145*'Prices&amp;Fuel'!H145*Transport!L145)+(('Long Term Deals'!BB145+'Long Term Deals'!BC145+'Long Term Deals'!BD145)*'Prices&amp;Fuel'!H145*'Prices&amp;Fuel'!M145)</f>
        <v>426562.790862176</v>
      </c>
      <c r="U145" s="7" t="n">
        <f aca="false">S145*B145*'Prices&amp;Fuel'!M145</f>
        <v>3.14901408273727E-009</v>
      </c>
      <c r="V145" s="7" t="n">
        <f aca="false">29894-10000</f>
        <v>19894</v>
      </c>
      <c r="W145" s="14" t="n">
        <f aca="false">P145-R145-V145</f>
        <v>1.38243194669485E-010</v>
      </c>
    </row>
    <row r="146" customFormat="false" ht="11.25" hidden="false" customHeight="false" outlineLevel="0" collapsed="false">
      <c r="A146" s="6" t="n">
        <f aca="false">+A145+365/12</f>
        <v>40037.75</v>
      </c>
      <c r="B146" s="1" t="n">
        <v>31</v>
      </c>
      <c r="C146" s="27" t="n">
        <v>-0.0801518604886344</v>
      </c>
      <c r="E146" s="28" t="n">
        <v>0.00949999999999962</v>
      </c>
      <c r="F146" s="1" t="n">
        <v>8730</v>
      </c>
      <c r="G146" s="1" t="n">
        <f aca="false">15795-5034</f>
        <v>10761</v>
      </c>
      <c r="H146" s="1" t="n">
        <f aca="false">20475-4966</f>
        <v>15509</v>
      </c>
      <c r="I146" s="1" t="n">
        <v>1880</v>
      </c>
      <c r="J146" s="1" t="n">
        <v>2295</v>
      </c>
      <c r="K146" s="1" t="n">
        <v>1036</v>
      </c>
      <c r="L146" s="1" t="n">
        <v>683</v>
      </c>
      <c r="M146" s="7" t="n">
        <f aca="false">F146+I146</f>
        <v>10610</v>
      </c>
      <c r="N146" s="7" t="n">
        <f aca="false">G146+J146+L146</f>
        <v>13739</v>
      </c>
      <c r="O146" s="7" t="n">
        <f aca="false">H146+K146</f>
        <v>16545</v>
      </c>
      <c r="P146" s="7" t="n">
        <f aca="false">SUM(M146:O146)</f>
        <v>40894</v>
      </c>
      <c r="Q146" s="7" t="n">
        <f aca="false">'Index Price Deals'!B146+'Index Price Deals'!C146+'Index Price Deals'!D146-'Prices&amp;Fuel'!AE146</f>
        <v>0</v>
      </c>
      <c r="R146" s="1" t="n">
        <f aca="false">('Long Term Deals'!BB146+'Long Term Deals'!BC146+'Long Term Deals'!BD146+'Long Term Deals'!BE146+'Long Term Deals'!BF146+'Long Term Deals'!BG146)*(1-'Prices&amp;Fuel'!F146)</f>
        <v>20999.9999999999</v>
      </c>
      <c r="S146" s="14" t="n">
        <f aca="false">P146-Q146-R146-V146</f>
        <v>1.38243194669485E-010</v>
      </c>
      <c r="T146" s="14" t="n">
        <f aca="false">((I146+J146+K146)*'Prices&amp;Fuel'!H146*'Prices&amp;Fuel'!L146)+('Prices&amp;Fuel'!N146*'Prices&amp;Fuel'!H146*Transport!L146)+(('Long Term Deals'!BB146+'Long Term Deals'!BC146+'Long Term Deals'!BD146)*'Prices&amp;Fuel'!H146*'Prices&amp;Fuel'!M146)</f>
        <v>426562.790862176</v>
      </c>
      <c r="U146" s="7" t="n">
        <f aca="false">S146*B146*'Prices&amp;Fuel'!M146</f>
        <v>3.14901408273727E-009</v>
      </c>
      <c r="V146" s="7" t="n">
        <f aca="false">29894-10000</f>
        <v>19894</v>
      </c>
      <c r="W146" s="14" t="n">
        <f aca="false">P146-R146-V146</f>
        <v>1.38243194669485E-010</v>
      </c>
    </row>
    <row r="147" customFormat="false" ht="11.25" hidden="false" customHeight="false" outlineLevel="0" collapsed="false">
      <c r="A147" s="6" t="n">
        <f aca="false">+A146+365/12</f>
        <v>40068.1666666667</v>
      </c>
      <c r="B147" s="1" t="n">
        <v>30</v>
      </c>
      <c r="C147" s="27" t="n">
        <v>-0.08015817011617</v>
      </c>
      <c r="E147" s="28" t="n">
        <v>0.00949999999999962</v>
      </c>
      <c r="F147" s="1" t="n">
        <v>8730</v>
      </c>
      <c r="G147" s="1" t="n">
        <f aca="false">15795-5034</f>
        <v>10761</v>
      </c>
      <c r="H147" s="1" t="n">
        <f aca="false">20475-4966</f>
        <v>15509</v>
      </c>
      <c r="I147" s="1" t="n">
        <v>1880</v>
      </c>
      <c r="J147" s="1" t="n">
        <v>2295</v>
      </c>
      <c r="K147" s="1" t="n">
        <v>1036</v>
      </c>
      <c r="L147" s="1" t="n">
        <v>683</v>
      </c>
      <c r="M147" s="7" t="n">
        <f aca="false">F147+I147</f>
        <v>10610</v>
      </c>
      <c r="N147" s="7" t="n">
        <f aca="false">G147+J147+L147</f>
        <v>13739</v>
      </c>
      <c r="O147" s="7" t="n">
        <f aca="false">H147+K147</f>
        <v>16545</v>
      </c>
      <c r="P147" s="7" t="n">
        <f aca="false">SUM(M147:O147)</f>
        <v>40894</v>
      </c>
      <c r="Q147" s="7" t="n">
        <f aca="false">'Index Price Deals'!B147+'Index Price Deals'!C147+'Index Price Deals'!D147-'Prices&amp;Fuel'!AE147</f>
        <v>0</v>
      </c>
      <c r="R147" s="1" t="n">
        <f aca="false">('Long Term Deals'!BB147+'Long Term Deals'!BC147+'Long Term Deals'!BD147+'Long Term Deals'!BE147+'Long Term Deals'!BF147+'Long Term Deals'!BG147)*(1-'Prices&amp;Fuel'!F147)</f>
        <v>20999.9999999999</v>
      </c>
      <c r="S147" s="14" t="n">
        <f aca="false">P147-Q147-R147-V147</f>
        <v>1.38243194669485E-010</v>
      </c>
      <c r="T147" s="14" t="n">
        <f aca="false">((I147+J147+K147)*'Prices&amp;Fuel'!H147*'Prices&amp;Fuel'!L147)+('Prices&amp;Fuel'!N147*'Prices&amp;Fuel'!H147*Transport!L147)+(('Long Term Deals'!BB147+'Long Term Deals'!BC147+'Long Term Deals'!BD147)*'Prices&amp;Fuel'!H147*'Prices&amp;Fuel'!M147)</f>
        <v>412802.700834364</v>
      </c>
      <c r="U147" s="7" t="n">
        <f aca="false">S147*B147*'Prices&amp;Fuel'!M147</f>
        <v>3.04743298329413E-009</v>
      </c>
      <c r="V147" s="7" t="n">
        <f aca="false">29894-10000</f>
        <v>19894</v>
      </c>
      <c r="W147" s="14" t="n">
        <f aca="false">P147-R147-V147</f>
        <v>1.38243194669485E-010</v>
      </c>
    </row>
    <row r="148" customFormat="false" ht="11.25" hidden="false" customHeight="false" outlineLevel="0" collapsed="false">
      <c r="A148" s="6" t="n">
        <f aca="false">+A147+365/12</f>
        <v>40098.5833333333</v>
      </c>
      <c r="B148" s="1" t="n">
        <v>31</v>
      </c>
      <c r="C148" s="27" t="n">
        <v>-0.0825798931378614</v>
      </c>
      <c r="E148" s="28" t="n">
        <v>0.0145</v>
      </c>
      <c r="F148" s="1" t="n">
        <f aca="false">8730-0</f>
        <v>8730</v>
      </c>
      <c r="G148" s="1" t="n">
        <f aca="false">15795-5434</f>
        <v>10361</v>
      </c>
      <c r="H148" s="1" t="n">
        <f aca="false">20475-4566</f>
        <v>15909</v>
      </c>
      <c r="I148" s="1" t="n">
        <v>2830</v>
      </c>
      <c r="J148" s="1" t="n">
        <v>3500</v>
      </c>
      <c r="K148" s="1" t="n">
        <v>1521</v>
      </c>
      <c r="L148" s="1" t="n">
        <v>1001</v>
      </c>
      <c r="M148" s="7" t="n">
        <f aca="false">F148+I148</f>
        <v>11560</v>
      </c>
      <c r="N148" s="7" t="n">
        <f aca="false">G148+J148+L148</f>
        <v>14862</v>
      </c>
      <c r="O148" s="7" t="n">
        <f aca="false">H148+K148</f>
        <v>17430</v>
      </c>
      <c r="P148" s="7" t="n">
        <f aca="false">SUM(M148:O148)</f>
        <v>43852</v>
      </c>
      <c r="Q148" s="7" t="n">
        <f aca="false">'Index Price Deals'!B148+'Index Price Deals'!C148+'Index Price Deals'!D148-'Prices&amp;Fuel'!AE148</f>
        <v>0</v>
      </c>
      <c r="R148" s="1" t="n">
        <f aca="false">('Long Term Deals'!BB148+'Long Term Deals'!BC148+'Long Term Deals'!BD148+'Long Term Deals'!BE148+'Long Term Deals'!BF148+'Long Term Deals'!BG148)*(1-'Prices&amp;Fuel'!F148)</f>
        <v>20999.9999999998</v>
      </c>
      <c r="S148" s="14" t="n">
        <f aca="false">P148-Q148-R148-V148</f>
        <v>1.92812876775861E-010</v>
      </c>
      <c r="T148" s="14" t="n">
        <f aca="false">((I148+J148+K148)*'Prices&amp;Fuel'!H148*'Prices&amp;Fuel'!L148)+('Prices&amp;Fuel'!N148*'Prices&amp;Fuel'!H148*Transport!L148)+(('Long Term Deals'!BB148+'Long Term Deals'!BC148+'Long Term Deals'!BD148)*'Prices&amp;Fuel'!H148*'Prices&amp;Fuel'!M148)</f>
        <v>393781.510390926</v>
      </c>
      <c r="U148" s="7" t="n">
        <f aca="false">S148*B148*'Prices&amp;Fuel'!M148</f>
        <v>4.39204595750198E-009</v>
      </c>
      <c r="V148" s="7" t="n">
        <f aca="false">32852-10000</f>
        <v>22852</v>
      </c>
      <c r="W148" s="14" t="n">
        <f aca="false">P148-R148-V148</f>
        <v>1.92812876775861E-010</v>
      </c>
    </row>
    <row r="149" customFormat="false" ht="11.25" hidden="false" customHeight="false" outlineLevel="0" collapsed="false">
      <c r="A149" s="6" t="n">
        <f aca="false">+A148+365/12</f>
        <v>40129</v>
      </c>
      <c r="B149" s="1" t="n">
        <v>30</v>
      </c>
      <c r="C149" s="27" t="n">
        <v>-0.127552116326928</v>
      </c>
      <c r="E149" s="28" t="n">
        <v>0.0194999999999999</v>
      </c>
      <c r="F149" s="1" t="n">
        <f aca="false">7761-1128-1707</f>
        <v>4926</v>
      </c>
      <c r="G149" s="1" t="n">
        <f aca="false">14039-666-3474-4167</f>
        <v>5732</v>
      </c>
      <c r="H149" s="1" t="n">
        <f aca="false">18200-4732-4126</f>
        <v>9342</v>
      </c>
      <c r="I149" s="1" t="n">
        <v>2563</v>
      </c>
      <c r="J149" s="1" t="n">
        <v>2862</v>
      </c>
      <c r="K149" s="1" t="n">
        <v>1685</v>
      </c>
      <c r="L149" s="1" t="n">
        <v>683</v>
      </c>
      <c r="M149" s="7" t="n">
        <f aca="false">F149+I149</f>
        <v>7489</v>
      </c>
      <c r="N149" s="7" t="n">
        <f aca="false">G149+J149+L149</f>
        <v>9277</v>
      </c>
      <c r="O149" s="7" t="n">
        <f aca="false">H149+K149</f>
        <v>11027</v>
      </c>
      <c r="P149" s="7" t="n">
        <f aca="false">SUM(M149:O149)</f>
        <v>27793</v>
      </c>
      <c r="Q149" s="7" t="n">
        <f aca="false">'Index Price Deals'!B149+'Index Price Deals'!C149+'Index Price Deals'!D149-'Prices&amp;Fuel'!AE149</f>
        <v>0</v>
      </c>
      <c r="R149" s="1" t="n">
        <f aca="false">('Long Term Deals'!BB149+'Long Term Deals'!BC149+'Long Term Deals'!BD149+'Long Term Deals'!BE149+'Long Term Deals'!BF149+'Long Term Deals'!BG149)*(1-'Prices&amp;Fuel'!F149)</f>
        <v>12000</v>
      </c>
      <c r="S149" s="14" t="n">
        <f aca="false">P149-Q149-R149-V149</f>
        <v>0</v>
      </c>
      <c r="T149" s="14" t="n">
        <f aca="false">((I149+J149+K149)*'Prices&amp;Fuel'!H149*'Prices&amp;Fuel'!L149)+('Prices&amp;Fuel'!N149*'Prices&amp;Fuel'!H149*Transport!L149)+(('Long Term Deals'!BB149+'Long Term Deals'!BC149+'Long Term Deals'!BD149)*'Prices&amp;Fuel'!H149*'Prices&amp;Fuel'!M149)</f>
        <v>188430.224941082</v>
      </c>
      <c r="U149" s="7" t="n">
        <f aca="false">S149*B149*'Prices&amp;Fuel'!M149</f>
        <v>0</v>
      </c>
      <c r="V149" s="7" t="n">
        <f aca="false">35793-20000</f>
        <v>15793</v>
      </c>
      <c r="W149" s="14" t="n">
        <f aca="false">P149-R149-V149</f>
        <v>0</v>
      </c>
    </row>
    <row r="150" customFormat="false" ht="11.25" hidden="false" customHeight="false" outlineLevel="0" collapsed="false">
      <c r="A150" s="6" t="n">
        <f aca="false">+A149+365/12</f>
        <v>40159.4166666667</v>
      </c>
      <c r="B150" s="1" t="n">
        <v>31</v>
      </c>
      <c r="C150" s="27" t="n">
        <v>-0.16251461763217</v>
      </c>
      <c r="E150" s="28" t="n">
        <v>0.0245000000000002</v>
      </c>
      <c r="F150" s="1" t="n">
        <f aca="false">7761-1128-1707</f>
        <v>4926</v>
      </c>
      <c r="G150" s="1" t="n">
        <f aca="false">14039-666-3474-4167</f>
        <v>5732</v>
      </c>
      <c r="H150" s="1" t="n">
        <f aca="false">18200-4732-4126</f>
        <v>9342</v>
      </c>
      <c r="I150" s="1" t="n">
        <v>2563</v>
      </c>
      <c r="J150" s="1" t="n">
        <v>2862</v>
      </c>
      <c r="K150" s="1" t="n">
        <v>1685</v>
      </c>
      <c r="L150" s="1" t="n">
        <v>683</v>
      </c>
      <c r="M150" s="7" t="n">
        <f aca="false">F150+I150</f>
        <v>7489</v>
      </c>
      <c r="N150" s="7" t="n">
        <f aca="false">G150+J150+L150</f>
        <v>9277</v>
      </c>
      <c r="O150" s="7" t="n">
        <f aca="false">H150+K150</f>
        <v>11027</v>
      </c>
      <c r="P150" s="7" t="n">
        <f aca="false">SUM(M150:O150)</f>
        <v>27793</v>
      </c>
      <c r="Q150" s="7" t="n">
        <f aca="false">'Index Price Deals'!B150+'Index Price Deals'!C150+'Index Price Deals'!D150-'Prices&amp;Fuel'!AE150</f>
        <v>0</v>
      </c>
      <c r="R150" s="1" t="n">
        <f aca="false">('Long Term Deals'!BB150+'Long Term Deals'!BC150+'Long Term Deals'!BD150+'Long Term Deals'!BE150+'Long Term Deals'!BF150+'Long Term Deals'!BG150)*(1-'Prices&amp;Fuel'!F150)</f>
        <v>12000</v>
      </c>
      <c r="S150" s="14" t="n">
        <f aca="false">P150-Q150-R150-V150</f>
        <v>0</v>
      </c>
      <c r="T150" s="14" t="n">
        <f aca="false">((I150+J150+K150)*'Prices&amp;Fuel'!H150*'Prices&amp;Fuel'!L150)+('Prices&amp;Fuel'!N150*'Prices&amp;Fuel'!H150*Transport!L150)+(('Long Term Deals'!BB150+'Long Term Deals'!BC150+'Long Term Deals'!BD150)*'Prices&amp;Fuel'!H150*'Prices&amp;Fuel'!M150)</f>
        <v>194711.232439118</v>
      </c>
      <c r="U150" s="7" t="n">
        <f aca="false">S150*B150*'Prices&amp;Fuel'!M150</f>
        <v>0</v>
      </c>
      <c r="V150" s="7" t="n">
        <f aca="false">35793-20000</f>
        <v>15793</v>
      </c>
      <c r="W150" s="14" t="n">
        <f aca="false">P150-R150-V150</f>
        <v>0</v>
      </c>
    </row>
    <row r="151" customFormat="false" ht="11.25" hidden="false" customHeight="false" outlineLevel="0" collapsed="false">
      <c r="A151" s="6" t="n">
        <f aca="false">+A150+365/12</f>
        <v>40189.8333333333</v>
      </c>
      <c r="B151" s="1" t="n">
        <v>31</v>
      </c>
      <c r="C151" s="27" t="n">
        <v>-0.147509062269983</v>
      </c>
      <c r="E151" s="28" t="n">
        <v>0.0245000000000002</v>
      </c>
      <c r="F151" s="1" t="n">
        <f aca="false">7761-1128-1707</f>
        <v>4926</v>
      </c>
      <c r="G151" s="1" t="n">
        <f aca="false">14039-666-3474-4167</f>
        <v>5732</v>
      </c>
      <c r="H151" s="1" t="n">
        <f aca="false">18200-4732-4126</f>
        <v>9342</v>
      </c>
      <c r="I151" s="1" t="n">
        <v>2563</v>
      </c>
      <c r="J151" s="1" t="n">
        <v>2862</v>
      </c>
      <c r="K151" s="1" t="n">
        <v>1685</v>
      </c>
      <c r="L151" s="1" t="n">
        <v>683</v>
      </c>
      <c r="M151" s="7" t="n">
        <f aca="false">F151+I151</f>
        <v>7489</v>
      </c>
      <c r="N151" s="7" t="n">
        <f aca="false">G151+J151+L151</f>
        <v>9277</v>
      </c>
      <c r="O151" s="7" t="n">
        <f aca="false">H151+K151</f>
        <v>11027</v>
      </c>
      <c r="P151" s="7" t="n">
        <f aca="false">SUM(M151:O151)</f>
        <v>27793</v>
      </c>
      <c r="Q151" s="7" t="n">
        <f aca="false">'Index Price Deals'!B151+'Index Price Deals'!C151+'Index Price Deals'!D151-'Prices&amp;Fuel'!AE151</f>
        <v>0</v>
      </c>
      <c r="R151" s="1" t="n">
        <f aca="false">('Long Term Deals'!BB151+'Long Term Deals'!BC151+'Long Term Deals'!BD151+'Long Term Deals'!BE151+'Long Term Deals'!BF151+'Long Term Deals'!BG151)*(1-'Prices&amp;Fuel'!F151)</f>
        <v>12000</v>
      </c>
      <c r="S151" s="14" t="n">
        <f aca="false">P151-Q151-R151-V151</f>
        <v>0</v>
      </c>
      <c r="T151" s="14" t="n">
        <f aca="false">((I151+J151+K151)*'Prices&amp;Fuel'!H151*'Prices&amp;Fuel'!L151)+('Prices&amp;Fuel'!N151*'Prices&amp;Fuel'!H151*Transport!L151)+(('Long Term Deals'!BB151+'Long Term Deals'!BC151+'Long Term Deals'!BD151)*'Prices&amp;Fuel'!H151*'Prices&amp;Fuel'!M151)</f>
        <v>194711.232439118</v>
      </c>
      <c r="U151" s="7" t="n">
        <f aca="false">S151*B151*'Prices&amp;Fuel'!M151</f>
        <v>0</v>
      </c>
      <c r="V151" s="7" t="n">
        <f aca="false">35793-20000</f>
        <v>15793</v>
      </c>
      <c r="W151" s="14" t="n">
        <f aca="false">P151-R151-V151</f>
        <v>0</v>
      </c>
    </row>
    <row r="152" customFormat="false" ht="11.25" hidden="false" customHeight="false" outlineLevel="0" collapsed="false">
      <c r="A152" s="6" t="n">
        <f aca="false">+A151+365/12</f>
        <v>40220.25</v>
      </c>
      <c r="B152" s="1" t="n">
        <v>28</v>
      </c>
      <c r="C152" s="27" t="n">
        <v>-0.147536839080916</v>
      </c>
      <c r="E152" s="28" t="n">
        <v>0.0245000000000002</v>
      </c>
      <c r="F152" s="1" t="n">
        <f aca="false">7761-1128-1707</f>
        <v>4926</v>
      </c>
      <c r="G152" s="1" t="n">
        <f aca="false">14039-666-3474-4167</f>
        <v>5732</v>
      </c>
      <c r="H152" s="1" t="n">
        <f aca="false">18200-4732-4126</f>
        <v>9342</v>
      </c>
      <c r="I152" s="1" t="n">
        <v>2563</v>
      </c>
      <c r="J152" s="1" t="n">
        <v>2862</v>
      </c>
      <c r="K152" s="1" t="n">
        <v>1685</v>
      </c>
      <c r="L152" s="1" t="n">
        <v>683</v>
      </c>
      <c r="M152" s="7" t="n">
        <f aca="false">F152+I152</f>
        <v>7489</v>
      </c>
      <c r="N152" s="7" t="n">
        <f aca="false">G152+J152+L152</f>
        <v>9277</v>
      </c>
      <c r="O152" s="7" t="n">
        <f aca="false">H152+K152</f>
        <v>11027</v>
      </c>
      <c r="P152" s="7" t="n">
        <f aca="false">SUM(M152:O152)</f>
        <v>27793</v>
      </c>
      <c r="Q152" s="7" t="n">
        <f aca="false">'Index Price Deals'!B152+'Index Price Deals'!C152+'Index Price Deals'!D152-'Prices&amp;Fuel'!AE152</f>
        <v>0</v>
      </c>
      <c r="R152" s="1" t="n">
        <f aca="false">('Long Term Deals'!BB152+'Long Term Deals'!BC152+'Long Term Deals'!BD152+'Long Term Deals'!BE152+'Long Term Deals'!BF152+'Long Term Deals'!BG152)*(1-'Prices&amp;Fuel'!F152)</f>
        <v>12000</v>
      </c>
      <c r="S152" s="14" t="n">
        <f aca="false">P152-Q152-R152-V152</f>
        <v>0</v>
      </c>
      <c r="T152" s="14" t="n">
        <f aca="false">((I152+J152+K152)*'Prices&amp;Fuel'!H152*'Prices&amp;Fuel'!L152)+('Prices&amp;Fuel'!N152*'Prices&amp;Fuel'!H152*Transport!L152)+(('Long Term Deals'!BB152+'Long Term Deals'!BC152+'Long Term Deals'!BD152)*'Prices&amp;Fuel'!H152*'Prices&amp;Fuel'!M152)</f>
        <v>175868.209945009</v>
      </c>
      <c r="U152" s="7" t="n">
        <f aca="false">S152*B152*'Prices&amp;Fuel'!M152</f>
        <v>0</v>
      </c>
      <c r="V152" s="7" t="n">
        <f aca="false">35793-20000</f>
        <v>15793</v>
      </c>
      <c r="W152" s="14" t="n">
        <f aca="false">P152-R152-V152</f>
        <v>0</v>
      </c>
    </row>
    <row r="153" customFormat="false" ht="11.25" hidden="false" customHeight="false" outlineLevel="0" collapsed="false">
      <c r="A153" s="6" t="n">
        <f aca="false">+A152+365/12</f>
        <v>40250.6666666667</v>
      </c>
      <c r="B153" s="1" t="n">
        <v>31</v>
      </c>
      <c r="C153" s="27" t="n">
        <v>-0.122572601724992</v>
      </c>
      <c r="E153" s="28" t="n">
        <v>0.0195000000000003</v>
      </c>
      <c r="F153" s="1" t="n">
        <f aca="false">7761-1128-1707</f>
        <v>4926</v>
      </c>
      <c r="G153" s="1" t="n">
        <f aca="false">14039-666-3474-4167</f>
        <v>5732</v>
      </c>
      <c r="H153" s="1" t="n">
        <f aca="false">18200-4732-4126</f>
        <v>9342</v>
      </c>
      <c r="I153" s="1" t="n">
        <v>2563</v>
      </c>
      <c r="J153" s="1" t="n">
        <v>2862</v>
      </c>
      <c r="K153" s="1" t="n">
        <v>1685</v>
      </c>
      <c r="L153" s="1" t="n">
        <v>683</v>
      </c>
      <c r="M153" s="7" t="n">
        <f aca="false">F153+I153</f>
        <v>7489</v>
      </c>
      <c r="N153" s="7" t="n">
        <f aca="false">G153+J153+L153</f>
        <v>9277</v>
      </c>
      <c r="O153" s="7" t="n">
        <f aca="false">H153+K153</f>
        <v>11027</v>
      </c>
      <c r="P153" s="7" t="n">
        <f aca="false">SUM(M153:O153)</f>
        <v>27793</v>
      </c>
      <c r="Q153" s="7" t="n">
        <f aca="false">'Index Price Deals'!B153+'Index Price Deals'!C153+'Index Price Deals'!D153-'Prices&amp;Fuel'!AE153</f>
        <v>0</v>
      </c>
      <c r="R153" s="1" t="n">
        <f aca="false">('Long Term Deals'!BB153+'Long Term Deals'!BC153+'Long Term Deals'!BD153+'Long Term Deals'!BE153+'Long Term Deals'!BF153+'Long Term Deals'!BG153)*(1-'Prices&amp;Fuel'!F153)</f>
        <v>12000</v>
      </c>
      <c r="S153" s="14" t="n">
        <f aca="false">P153-Q153-R153-V153</f>
        <v>0</v>
      </c>
      <c r="T153" s="14" t="n">
        <f aca="false">((I153+J153+K153)*'Prices&amp;Fuel'!H153*'Prices&amp;Fuel'!L153)+('Prices&amp;Fuel'!N153*'Prices&amp;Fuel'!H153*Transport!L153)+(('Long Term Deals'!BB153+'Long Term Deals'!BC153+'Long Term Deals'!BD153)*'Prices&amp;Fuel'!H153*'Prices&amp;Fuel'!M153)</f>
        <v>194711.232439118</v>
      </c>
      <c r="U153" s="7" t="n">
        <f aca="false">S153*B153*'Prices&amp;Fuel'!M153</f>
        <v>0</v>
      </c>
      <c r="V153" s="7" t="n">
        <f aca="false">35793-20000</f>
        <v>15793</v>
      </c>
      <c r="W153" s="14" t="n">
        <f aca="false">P153-R153-V153</f>
        <v>0</v>
      </c>
    </row>
    <row r="154" customFormat="false" ht="11.25" hidden="false" customHeight="false" outlineLevel="0" collapsed="false">
      <c r="A154" s="6" t="n">
        <f aca="false">+A153+365/12</f>
        <v>40281.0833333333</v>
      </c>
      <c r="B154" s="1" t="n">
        <v>30</v>
      </c>
      <c r="C154" s="27" t="n">
        <v>-0.0730896150216878</v>
      </c>
      <c r="E154" s="28" t="n">
        <v>0.00599999999999978</v>
      </c>
      <c r="F154" s="1" t="n">
        <f aca="false">7761-828</f>
        <v>6933</v>
      </c>
      <c r="G154" s="1" t="n">
        <f aca="false">14039-5241</f>
        <v>8798</v>
      </c>
      <c r="H154" s="1" t="n">
        <f aca="false">18200-3931</f>
        <v>14269</v>
      </c>
      <c r="I154" s="1" t="n">
        <v>1880</v>
      </c>
      <c r="J154" s="1" t="n">
        <v>2073</v>
      </c>
      <c r="K154" s="1" t="n">
        <v>1258</v>
      </c>
      <c r="L154" s="1" t="n">
        <v>683</v>
      </c>
      <c r="M154" s="7" t="n">
        <f aca="false">F154+I154</f>
        <v>8813</v>
      </c>
      <c r="N154" s="7" t="n">
        <f aca="false">G154+J154+L154</f>
        <v>11554</v>
      </c>
      <c r="O154" s="7" t="n">
        <f aca="false">H154+K154</f>
        <v>15527</v>
      </c>
      <c r="P154" s="7" t="n">
        <f aca="false">SUM(M154:O154)</f>
        <v>35894</v>
      </c>
      <c r="Q154" s="7" t="n">
        <f aca="false">'Index Price Deals'!B154+'Index Price Deals'!C154+'Index Price Deals'!D154-'Prices&amp;Fuel'!AE154</f>
        <v>0</v>
      </c>
      <c r="R154" s="1" t="n">
        <f aca="false">('Long Term Deals'!BB154+'Long Term Deals'!BC154+'Long Term Deals'!BD154+'Long Term Deals'!BE154+'Long Term Deals'!BF154+'Long Term Deals'!BG154)*(1-'Prices&amp;Fuel'!F154)</f>
        <v>12000</v>
      </c>
      <c r="S154" s="14" t="n">
        <f aca="false">P154-Q154-R154-V154</f>
        <v>0</v>
      </c>
      <c r="T154" s="14" t="n">
        <f aca="false">((I154+J154+K154)*'Prices&amp;Fuel'!H154*'Prices&amp;Fuel'!L154)+('Prices&amp;Fuel'!N154*'Prices&amp;Fuel'!H154*Transport!L154)+(('Long Term Deals'!BB154+'Long Term Deals'!BC154+'Long Term Deals'!BD154)*'Prices&amp;Fuel'!H154*'Prices&amp;Fuel'!M154)</f>
        <v>208796.531168557</v>
      </c>
      <c r="U154" s="7" t="n">
        <f aca="false">S154*B154*'Prices&amp;Fuel'!M154</f>
        <v>0</v>
      </c>
      <c r="V154" s="7" t="n">
        <f aca="false">33894-10000</f>
        <v>23894</v>
      </c>
      <c r="W154" s="14" t="n">
        <f aca="false">P154-R154-V154</f>
        <v>0</v>
      </c>
    </row>
    <row r="155" customFormat="false" ht="11.25" hidden="false" customHeight="false" outlineLevel="0" collapsed="false">
      <c r="A155" s="6" t="n">
        <f aca="false">+A154+365/12</f>
        <v>40311.5</v>
      </c>
      <c r="B155" s="1" t="n">
        <v>31</v>
      </c>
      <c r="C155" s="27" t="n">
        <v>-0.0756430270100856</v>
      </c>
      <c r="E155" s="28" t="n">
        <v>0.00599999999999978</v>
      </c>
      <c r="F155" s="1" t="n">
        <v>8730</v>
      </c>
      <c r="G155" s="1" t="n">
        <f aca="false">15795-5034</f>
        <v>10761</v>
      </c>
      <c r="H155" s="1" t="n">
        <f aca="false">20475-4966</f>
        <v>15509</v>
      </c>
      <c r="I155" s="1" t="n">
        <v>1880</v>
      </c>
      <c r="J155" s="1" t="n">
        <v>2295</v>
      </c>
      <c r="K155" s="1" t="n">
        <v>1036</v>
      </c>
      <c r="L155" s="1" t="n">
        <v>683</v>
      </c>
      <c r="M155" s="7" t="n">
        <f aca="false">F155+I155</f>
        <v>10610</v>
      </c>
      <c r="N155" s="7" t="n">
        <f aca="false">G155+J155+L155</f>
        <v>13739</v>
      </c>
      <c r="O155" s="7" t="n">
        <f aca="false">H155+K155</f>
        <v>16545</v>
      </c>
      <c r="P155" s="7" t="n">
        <f aca="false">SUM(M155:O155)</f>
        <v>40894</v>
      </c>
      <c r="Q155" s="7" t="n">
        <f aca="false">'Index Price Deals'!B155+'Index Price Deals'!C155+'Index Price Deals'!D155-'Prices&amp;Fuel'!AE155</f>
        <v>0</v>
      </c>
      <c r="R155" s="1" t="n">
        <f aca="false">('Long Term Deals'!BB155+'Long Term Deals'!BC155+'Long Term Deals'!BD155+'Long Term Deals'!BE155+'Long Term Deals'!BF155+'Long Term Deals'!BG155)*(1-'Prices&amp;Fuel'!F155)</f>
        <v>20999.9999999999</v>
      </c>
      <c r="S155" s="14" t="n">
        <f aca="false">P155-Q155-R155-V155</f>
        <v>1.38243194669485E-010</v>
      </c>
      <c r="T155" s="14" t="n">
        <f aca="false">((I155+J155+K155)*'Prices&amp;Fuel'!H155*'Prices&amp;Fuel'!L155)+('Prices&amp;Fuel'!N155*'Prices&amp;Fuel'!H155*Transport!L155)+(('Long Term Deals'!BB155+'Long Term Deals'!BC155+'Long Term Deals'!BD155)*'Prices&amp;Fuel'!H155*'Prices&amp;Fuel'!M155)</f>
        <v>426562.790862176</v>
      </c>
      <c r="U155" s="7" t="n">
        <f aca="false">S155*B155*'Prices&amp;Fuel'!M155</f>
        <v>3.14901408273727E-009</v>
      </c>
      <c r="V155" s="7" t="n">
        <f aca="false">29894-10000</f>
        <v>19894</v>
      </c>
      <c r="W155" s="14" t="n">
        <f aca="false">P155-R155-V155</f>
        <v>1.38243194669485E-010</v>
      </c>
    </row>
    <row r="156" customFormat="false" ht="11.25" hidden="false" customHeight="false" outlineLevel="0" collapsed="false">
      <c r="A156" s="6" t="n">
        <f aca="false">+A155+365/12</f>
        <v>40341.9166666667</v>
      </c>
      <c r="B156" s="1" t="n">
        <v>30</v>
      </c>
      <c r="C156" s="27" t="n">
        <v>-0.0756461818238532</v>
      </c>
      <c r="E156" s="28" t="n">
        <v>0.00599999999999978</v>
      </c>
      <c r="F156" s="1" t="n">
        <v>8730</v>
      </c>
      <c r="G156" s="1" t="n">
        <f aca="false">15795-5034</f>
        <v>10761</v>
      </c>
      <c r="H156" s="1" t="n">
        <f aca="false">20475-4966</f>
        <v>15509</v>
      </c>
      <c r="I156" s="1" t="n">
        <v>1880</v>
      </c>
      <c r="J156" s="1" t="n">
        <v>2295</v>
      </c>
      <c r="K156" s="1" t="n">
        <v>1036</v>
      </c>
      <c r="L156" s="1" t="n">
        <v>683</v>
      </c>
      <c r="M156" s="7" t="n">
        <f aca="false">F156+I156</f>
        <v>10610</v>
      </c>
      <c r="N156" s="7" t="n">
        <f aca="false">G156+J156+L156</f>
        <v>13739</v>
      </c>
      <c r="O156" s="7" t="n">
        <f aca="false">H156+K156</f>
        <v>16545</v>
      </c>
      <c r="P156" s="7" t="n">
        <f aca="false">SUM(M156:O156)</f>
        <v>40894</v>
      </c>
      <c r="Q156" s="7" t="n">
        <f aca="false">'Index Price Deals'!B156+'Index Price Deals'!C156+'Index Price Deals'!D156-'Prices&amp;Fuel'!AE156</f>
        <v>0</v>
      </c>
      <c r="R156" s="1" t="n">
        <f aca="false">('Long Term Deals'!BB156+'Long Term Deals'!BC156+'Long Term Deals'!BD156+'Long Term Deals'!BE156+'Long Term Deals'!BF156+'Long Term Deals'!BG156)*(1-'Prices&amp;Fuel'!F156)</f>
        <v>20999.9999999999</v>
      </c>
      <c r="S156" s="14" t="n">
        <f aca="false">P156-Q156-R156-V156</f>
        <v>1.38243194669485E-010</v>
      </c>
      <c r="T156" s="14" t="n">
        <f aca="false">((I156+J156+K156)*'Prices&amp;Fuel'!H156*'Prices&amp;Fuel'!L156)+('Prices&amp;Fuel'!N156*'Prices&amp;Fuel'!H156*Transport!L156)+(('Long Term Deals'!BB156+'Long Term Deals'!BC156+'Long Term Deals'!BD156)*'Prices&amp;Fuel'!H156*'Prices&amp;Fuel'!M156)</f>
        <v>412802.700834364</v>
      </c>
      <c r="U156" s="7" t="n">
        <f aca="false">S156*B156*'Prices&amp;Fuel'!M156</f>
        <v>3.04743298329413E-009</v>
      </c>
      <c r="V156" s="7" t="n">
        <f aca="false">29894-10000</f>
        <v>19894</v>
      </c>
      <c r="W156" s="14" t="n">
        <f aca="false">P156-R156-V156</f>
        <v>1.38243194669485E-010</v>
      </c>
    </row>
    <row r="157" customFormat="false" ht="11.25" hidden="false" customHeight="false" outlineLevel="0" collapsed="false">
      <c r="A157" s="6" t="n">
        <f aca="false">+A156+365/12</f>
        <v>40372.3333333333</v>
      </c>
      <c r="B157" s="1" t="n">
        <v>31</v>
      </c>
      <c r="C157" s="27" t="n">
        <v>-0.0801480747121137</v>
      </c>
      <c r="E157" s="28" t="n">
        <v>0.00949999999999984</v>
      </c>
      <c r="F157" s="1" t="n">
        <v>8730</v>
      </c>
      <c r="G157" s="1" t="n">
        <f aca="false">15795-5034</f>
        <v>10761</v>
      </c>
      <c r="H157" s="1" t="n">
        <f aca="false">20475-4966</f>
        <v>15509</v>
      </c>
      <c r="I157" s="1" t="n">
        <v>1880</v>
      </c>
      <c r="J157" s="1" t="n">
        <v>2295</v>
      </c>
      <c r="K157" s="1" t="n">
        <v>1036</v>
      </c>
      <c r="L157" s="1" t="n">
        <v>683</v>
      </c>
      <c r="M157" s="7" t="n">
        <f aca="false">F157+I157</f>
        <v>10610</v>
      </c>
      <c r="N157" s="7" t="n">
        <f aca="false">G157+J157+L157</f>
        <v>13739</v>
      </c>
      <c r="O157" s="7" t="n">
        <f aca="false">H157+K157</f>
        <v>16545</v>
      </c>
      <c r="P157" s="7" t="n">
        <f aca="false">SUM(M157:O157)</f>
        <v>40894</v>
      </c>
      <c r="Q157" s="7" t="n">
        <f aca="false">'Index Price Deals'!B157+'Index Price Deals'!C157+'Index Price Deals'!D157-'Prices&amp;Fuel'!AE157</f>
        <v>0</v>
      </c>
      <c r="R157" s="1" t="n">
        <f aca="false">('Long Term Deals'!BB157+'Long Term Deals'!BC157+'Long Term Deals'!BD157+'Long Term Deals'!BE157+'Long Term Deals'!BF157+'Long Term Deals'!BG157)*(1-'Prices&amp;Fuel'!F157)</f>
        <v>20999.9999999999</v>
      </c>
      <c r="S157" s="14" t="n">
        <f aca="false">P157-Q157-R157-V157</f>
        <v>1.38243194669485E-010</v>
      </c>
      <c r="T157" s="14" t="n">
        <f aca="false">((I157+J157+K157)*'Prices&amp;Fuel'!H157*'Prices&amp;Fuel'!L157)+('Prices&amp;Fuel'!N157*'Prices&amp;Fuel'!H157*Transport!L157)+(('Long Term Deals'!BB157+'Long Term Deals'!BC157+'Long Term Deals'!BD157)*'Prices&amp;Fuel'!H157*'Prices&amp;Fuel'!M157)</f>
        <v>426562.790862176</v>
      </c>
      <c r="U157" s="7" t="n">
        <f aca="false">S157*B157*'Prices&amp;Fuel'!M157</f>
        <v>3.14901408273727E-009</v>
      </c>
      <c r="V157" s="7" t="n">
        <f aca="false">29894-10000</f>
        <v>19894</v>
      </c>
      <c r="W157" s="14" t="n">
        <f aca="false">P157-R157-V157</f>
        <v>1.38243194669485E-010</v>
      </c>
    </row>
    <row r="158" customFormat="false" ht="11.25" hidden="false" customHeight="false" outlineLevel="0" collapsed="false">
      <c r="A158" s="6" t="n">
        <f aca="false">+A157+365/12</f>
        <v>40402.75</v>
      </c>
      <c r="B158" s="1" t="n">
        <v>31</v>
      </c>
      <c r="C158" s="27" t="n">
        <v>-0.0801518604886344</v>
      </c>
      <c r="E158" s="28" t="n">
        <v>0.00949999999999962</v>
      </c>
      <c r="F158" s="1" t="n">
        <v>8730</v>
      </c>
      <c r="G158" s="1" t="n">
        <f aca="false">15795-5034</f>
        <v>10761</v>
      </c>
      <c r="H158" s="1" t="n">
        <f aca="false">20475-4966</f>
        <v>15509</v>
      </c>
      <c r="I158" s="1" t="n">
        <v>1880</v>
      </c>
      <c r="J158" s="1" t="n">
        <v>2295</v>
      </c>
      <c r="K158" s="1" t="n">
        <v>1036</v>
      </c>
      <c r="L158" s="1" t="n">
        <v>683</v>
      </c>
      <c r="M158" s="7" t="n">
        <f aca="false">F158+I158</f>
        <v>10610</v>
      </c>
      <c r="N158" s="7" t="n">
        <f aca="false">G158+J158+L158</f>
        <v>13739</v>
      </c>
      <c r="O158" s="7" t="n">
        <f aca="false">H158+K158</f>
        <v>16545</v>
      </c>
      <c r="P158" s="7" t="n">
        <f aca="false">SUM(M158:O158)</f>
        <v>40894</v>
      </c>
      <c r="Q158" s="7" t="n">
        <f aca="false">'Index Price Deals'!B158+'Index Price Deals'!C158+'Index Price Deals'!D158-'Prices&amp;Fuel'!AE158</f>
        <v>0</v>
      </c>
      <c r="R158" s="1" t="n">
        <f aca="false">('Long Term Deals'!BB158+'Long Term Deals'!BC158+'Long Term Deals'!BD158+'Long Term Deals'!BE158+'Long Term Deals'!BF158+'Long Term Deals'!BG158)*(1-'Prices&amp;Fuel'!F158)</f>
        <v>20999.9999999999</v>
      </c>
      <c r="S158" s="14" t="n">
        <f aca="false">P158-Q158-R158-V158</f>
        <v>1.38243194669485E-010</v>
      </c>
      <c r="T158" s="14" t="n">
        <f aca="false">((I158+J158+K158)*'Prices&amp;Fuel'!H158*'Prices&amp;Fuel'!L158)+('Prices&amp;Fuel'!N158*'Prices&amp;Fuel'!H158*Transport!L158)+(('Long Term Deals'!BB158+'Long Term Deals'!BC158+'Long Term Deals'!BD158)*'Prices&amp;Fuel'!H158*'Prices&amp;Fuel'!M158)</f>
        <v>426562.790862176</v>
      </c>
      <c r="U158" s="7" t="n">
        <f aca="false">S158*B158*'Prices&amp;Fuel'!M158</f>
        <v>3.14901408273727E-009</v>
      </c>
      <c r="V158" s="7" t="n">
        <f aca="false">29894-10000</f>
        <v>19894</v>
      </c>
      <c r="W158" s="14" t="n">
        <f aca="false">P158-R158-V158</f>
        <v>1.38243194669485E-010</v>
      </c>
    </row>
    <row r="159" customFormat="false" ht="11.25" hidden="false" customHeight="false" outlineLevel="0" collapsed="false">
      <c r="A159" s="6" t="n">
        <f aca="false">+A158+365/12</f>
        <v>40433.1666666667</v>
      </c>
      <c r="B159" s="1" t="n">
        <v>30</v>
      </c>
      <c r="C159" s="27" t="n">
        <v>-0.08015817011617</v>
      </c>
      <c r="E159" s="28" t="n">
        <v>0.00949999999999962</v>
      </c>
      <c r="F159" s="1" t="n">
        <v>8730</v>
      </c>
      <c r="G159" s="1" t="n">
        <f aca="false">15795-5034</f>
        <v>10761</v>
      </c>
      <c r="H159" s="1" t="n">
        <f aca="false">20475-4966</f>
        <v>15509</v>
      </c>
      <c r="I159" s="1" t="n">
        <v>1880</v>
      </c>
      <c r="J159" s="1" t="n">
        <v>2295</v>
      </c>
      <c r="K159" s="1" t="n">
        <v>1036</v>
      </c>
      <c r="L159" s="1" t="n">
        <v>683</v>
      </c>
      <c r="M159" s="7" t="n">
        <f aca="false">F159+I159</f>
        <v>10610</v>
      </c>
      <c r="N159" s="7" t="n">
        <f aca="false">G159+J159+L159</f>
        <v>13739</v>
      </c>
      <c r="O159" s="7" t="n">
        <f aca="false">H159+K159</f>
        <v>16545</v>
      </c>
      <c r="P159" s="7" t="n">
        <f aca="false">SUM(M159:O159)</f>
        <v>40894</v>
      </c>
      <c r="Q159" s="7" t="n">
        <f aca="false">'Index Price Deals'!B159+'Index Price Deals'!C159+'Index Price Deals'!D159-'Prices&amp;Fuel'!AE159</f>
        <v>0</v>
      </c>
      <c r="R159" s="1" t="n">
        <f aca="false">('Long Term Deals'!BB159+'Long Term Deals'!BC159+'Long Term Deals'!BD159+'Long Term Deals'!BE159+'Long Term Deals'!BF159+'Long Term Deals'!BG159)*(1-'Prices&amp;Fuel'!F159)</f>
        <v>20999.9999999999</v>
      </c>
      <c r="S159" s="14" t="n">
        <f aca="false">P159-Q159-R159-V159</f>
        <v>1.38243194669485E-010</v>
      </c>
      <c r="T159" s="14" t="n">
        <f aca="false">((I159+J159+K159)*'Prices&amp;Fuel'!H159*'Prices&amp;Fuel'!L159)+('Prices&amp;Fuel'!N159*'Prices&amp;Fuel'!H159*Transport!L159)+(('Long Term Deals'!BB159+'Long Term Deals'!BC159+'Long Term Deals'!BD159)*'Prices&amp;Fuel'!H159*'Prices&amp;Fuel'!M159)</f>
        <v>412802.700834364</v>
      </c>
      <c r="U159" s="7" t="n">
        <f aca="false">S159*B159*'Prices&amp;Fuel'!M159</f>
        <v>3.04743298329413E-009</v>
      </c>
      <c r="V159" s="7" t="n">
        <f aca="false">29894-10000</f>
        <v>19894</v>
      </c>
      <c r="W159" s="14" t="n">
        <f aca="false">P159-R159-V159</f>
        <v>1.38243194669485E-010</v>
      </c>
    </row>
    <row r="160" customFormat="false" ht="11.25" hidden="false" customHeight="false" outlineLevel="0" collapsed="false">
      <c r="A160" s="6" t="n">
        <f aca="false">+A159+365/12</f>
        <v>40463.5833333333</v>
      </c>
      <c r="B160" s="1" t="n">
        <v>31</v>
      </c>
      <c r="C160" s="27" t="n">
        <v>-0.0825798931378614</v>
      </c>
      <c r="E160" s="28" t="n">
        <v>0.0145</v>
      </c>
      <c r="F160" s="1" t="n">
        <f aca="false">8730-0</f>
        <v>8730</v>
      </c>
      <c r="G160" s="1" t="n">
        <f aca="false">15795-5434</f>
        <v>10361</v>
      </c>
      <c r="H160" s="1" t="n">
        <f aca="false">20475-4566</f>
        <v>15909</v>
      </c>
      <c r="I160" s="1" t="n">
        <v>2830</v>
      </c>
      <c r="J160" s="1" t="n">
        <v>3500</v>
      </c>
      <c r="K160" s="1" t="n">
        <v>1521</v>
      </c>
      <c r="L160" s="1" t="n">
        <v>1001</v>
      </c>
      <c r="M160" s="7" t="n">
        <f aca="false">F160+I160</f>
        <v>11560</v>
      </c>
      <c r="N160" s="7" t="n">
        <f aca="false">G160+J160+L160</f>
        <v>14862</v>
      </c>
      <c r="O160" s="7" t="n">
        <f aca="false">H160+K160</f>
        <v>17430</v>
      </c>
      <c r="P160" s="7" t="n">
        <f aca="false">SUM(M160:O160)</f>
        <v>43852</v>
      </c>
      <c r="Q160" s="7" t="n">
        <f aca="false">'Index Price Deals'!B160+'Index Price Deals'!C160+'Index Price Deals'!D160-'Prices&amp;Fuel'!AE160</f>
        <v>0</v>
      </c>
      <c r="R160" s="1" t="n">
        <f aca="false">('Long Term Deals'!BB160+'Long Term Deals'!BC160+'Long Term Deals'!BD160+'Long Term Deals'!BE160+'Long Term Deals'!BF160+'Long Term Deals'!BG160)*(1-'Prices&amp;Fuel'!F160)</f>
        <v>20999.9999999998</v>
      </c>
      <c r="S160" s="14" t="n">
        <f aca="false">P160-Q160-R160-V160</f>
        <v>1.92812876775861E-010</v>
      </c>
      <c r="T160" s="14" t="n">
        <f aca="false">((I160+J160+K160)*'Prices&amp;Fuel'!H160*'Prices&amp;Fuel'!L160)+('Prices&amp;Fuel'!N160*'Prices&amp;Fuel'!H160*Transport!L160)+(('Long Term Deals'!BB160+'Long Term Deals'!BC160+'Long Term Deals'!BD160)*'Prices&amp;Fuel'!H160*'Prices&amp;Fuel'!M160)</f>
        <v>393781.510390926</v>
      </c>
      <c r="U160" s="7" t="n">
        <f aca="false">S160*B160*'Prices&amp;Fuel'!M160</f>
        <v>4.39204595750198E-009</v>
      </c>
      <c r="V160" s="7" t="n">
        <f aca="false">32852-10000</f>
        <v>22852</v>
      </c>
      <c r="W160" s="14" t="n">
        <f aca="false">P160-R160-V160</f>
        <v>1.92812876775861E-010</v>
      </c>
    </row>
    <row r="161" customFormat="false" ht="11.25" hidden="false" customHeight="false" outlineLevel="0" collapsed="false">
      <c r="A161" s="6" t="n">
        <f aca="false">+A160+365/12</f>
        <v>40494</v>
      </c>
      <c r="B161" s="1" t="n">
        <v>30</v>
      </c>
      <c r="C161" s="27" t="n">
        <v>-0.127552116326928</v>
      </c>
      <c r="E161" s="28" t="n">
        <v>0.0194999999999999</v>
      </c>
      <c r="F161" s="1" t="n">
        <f aca="false">7761-1128-1707</f>
        <v>4926</v>
      </c>
      <c r="G161" s="1" t="n">
        <f aca="false">14039-666-3474-4167</f>
        <v>5732</v>
      </c>
      <c r="H161" s="1" t="n">
        <f aca="false">18200-4732-4126</f>
        <v>9342</v>
      </c>
      <c r="I161" s="1" t="n">
        <v>2563</v>
      </c>
      <c r="J161" s="1" t="n">
        <v>2862</v>
      </c>
      <c r="K161" s="1" t="n">
        <v>1685</v>
      </c>
      <c r="L161" s="1" t="n">
        <v>683</v>
      </c>
      <c r="M161" s="7" t="n">
        <f aca="false">F161+I161</f>
        <v>7489</v>
      </c>
      <c r="N161" s="7" t="n">
        <f aca="false">G161+J161+L161</f>
        <v>9277</v>
      </c>
      <c r="O161" s="7" t="n">
        <f aca="false">H161+K161</f>
        <v>11027</v>
      </c>
      <c r="P161" s="7" t="n">
        <f aca="false">SUM(M161:O161)</f>
        <v>27793</v>
      </c>
      <c r="Q161" s="7" t="n">
        <f aca="false">'Index Price Deals'!B161+'Index Price Deals'!C161+'Index Price Deals'!D161-'Prices&amp;Fuel'!AE161</f>
        <v>0</v>
      </c>
      <c r="R161" s="1" t="n">
        <f aca="false">('Long Term Deals'!BB161+'Long Term Deals'!BC161+'Long Term Deals'!BD161+'Long Term Deals'!BE161+'Long Term Deals'!BF161+'Long Term Deals'!BG161)*(1-'Prices&amp;Fuel'!F161)</f>
        <v>12000</v>
      </c>
      <c r="S161" s="14" t="n">
        <f aca="false">P161-Q161-R161-V161</f>
        <v>0</v>
      </c>
      <c r="T161" s="14" t="n">
        <f aca="false">((I161+J161+K161)*'Prices&amp;Fuel'!H161*'Prices&amp;Fuel'!L161)+('Prices&amp;Fuel'!N161*'Prices&amp;Fuel'!H161*Transport!L161)+(('Long Term Deals'!BB161+'Long Term Deals'!BC161+'Long Term Deals'!BD161)*'Prices&amp;Fuel'!H161*'Prices&amp;Fuel'!M161)</f>
        <v>188430.224941082</v>
      </c>
      <c r="U161" s="7" t="n">
        <f aca="false">S161*B161*'Prices&amp;Fuel'!M161</f>
        <v>0</v>
      </c>
      <c r="V161" s="7" t="n">
        <f aca="false">35793-20000</f>
        <v>15793</v>
      </c>
      <c r="W161" s="14" t="n">
        <f aca="false">P161-R161-V161</f>
        <v>0</v>
      </c>
    </row>
    <row r="162" customFormat="false" ht="11.25" hidden="false" customHeight="false" outlineLevel="0" collapsed="false">
      <c r="A162" s="6" t="n">
        <f aca="false">+A161+365/12</f>
        <v>40524.4166666667</v>
      </c>
      <c r="B162" s="1" t="n">
        <v>31</v>
      </c>
      <c r="C162" s="27" t="n">
        <v>-0.16251461763217</v>
      </c>
      <c r="E162" s="28" t="n">
        <v>0.0245000000000002</v>
      </c>
      <c r="F162" s="1" t="n">
        <f aca="false">7761-1128-1707</f>
        <v>4926</v>
      </c>
      <c r="G162" s="1" t="n">
        <f aca="false">14039-666-3474-4167</f>
        <v>5732</v>
      </c>
      <c r="H162" s="1" t="n">
        <f aca="false">18200-4732-4126</f>
        <v>9342</v>
      </c>
      <c r="I162" s="1" t="n">
        <v>2563</v>
      </c>
      <c r="J162" s="1" t="n">
        <v>2862</v>
      </c>
      <c r="K162" s="1" t="n">
        <v>1685</v>
      </c>
      <c r="L162" s="1" t="n">
        <v>683</v>
      </c>
      <c r="M162" s="7" t="n">
        <f aca="false">F162+I162</f>
        <v>7489</v>
      </c>
      <c r="N162" s="7" t="n">
        <f aca="false">G162+J162+L162</f>
        <v>9277</v>
      </c>
      <c r="O162" s="7" t="n">
        <f aca="false">H162+K162</f>
        <v>11027</v>
      </c>
      <c r="P162" s="7" t="n">
        <f aca="false">SUM(M162:O162)</f>
        <v>27793</v>
      </c>
      <c r="Q162" s="7" t="n">
        <f aca="false">'Index Price Deals'!B162+'Index Price Deals'!C162+'Index Price Deals'!D162-'Prices&amp;Fuel'!AE162</f>
        <v>0</v>
      </c>
      <c r="R162" s="1" t="n">
        <f aca="false">('Long Term Deals'!BB162+'Long Term Deals'!BC162+'Long Term Deals'!BD162+'Long Term Deals'!BE162+'Long Term Deals'!BF162+'Long Term Deals'!BG162)*(1-'Prices&amp;Fuel'!F162)</f>
        <v>12000</v>
      </c>
      <c r="S162" s="14" t="n">
        <f aca="false">P162-Q162-R162-V162</f>
        <v>0</v>
      </c>
      <c r="T162" s="14" t="n">
        <f aca="false">((I162+J162+K162)*'Prices&amp;Fuel'!H162*'Prices&amp;Fuel'!L162)+('Prices&amp;Fuel'!N162*'Prices&amp;Fuel'!H162*Transport!L162)+(('Long Term Deals'!BB162+'Long Term Deals'!BC162+'Long Term Deals'!BD162)*'Prices&amp;Fuel'!H162*'Prices&amp;Fuel'!M162)</f>
        <v>194711.232439118</v>
      </c>
      <c r="U162" s="7" t="n">
        <f aca="false">S162*B162*'Prices&amp;Fuel'!M162</f>
        <v>0</v>
      </c>
      <c r="V162" s="7" t="n">
        <f aca="false">35793-20000</f>
        <v>15793</v>
      </c>
      <c r="W162" s="14" t="n">
        <f aca="false">P162-R162-V162</f>
        <v>0</v>
      </c>
    </row>
    <row r="163" customFormat="false" ht="11.25" hidden="false" customHeight="false" outlineLevel="0" collapsed="false">
      <c r="A163" s="6" t="n">
        <f aca="false">+A162+365/12</f>
        <v>40554.8333333333</v>
      </c>
      <c r="B163" s="1" t="n">
        <v>31</v>
      </c>
      <c r="C163" s="27" t="n">
        <v>-0.147509062269983</v>
      </c>
      <c r="E163" s="28" t="n">
        <v>0.0245000000000002</v>
      </c>
      <c r="F163" s="1" t="n">
        <f aca="false">7761-1128-1707</f>
        <v>4926</v>
      </c>
      <c r="G163" s="1" t="n">
        <f aca="false">14039-666-3474-4167</f>
        <v>5732</v>
      </c>
      <c r="H163" s="1" t="n">
        <f aca="false">18200-4732-4126</f>
        <v>9342</v>
      </c>
      <c r="I163" s="1" t="n">
        <v>2563</v>
      </c>
      <c r="J163" s="1" t="n">
        <v>2862</v>
      </c>
      <c r="K163" s="1" t="n">
        <v>1685</v>
      </c>
      <c r="L163" s="1" t="n">
        <v>683</v>
      </c>
      <c r="M163" s="7" t="n">
        <f aca="false">F163+I163</f>
        <v>7489</v>
      </c>
      <c r="N163" s="7" t="n">
        <f aca="false">G163+J163+L163</f>
        <v>9277</v>
      </c>
      <c r="O163" s="7" t="n">
        <f aca="false">H163+K163</f>
        <v>11027</v>
      </c>
      <c r="P163" s="7" t="n">
        <f aca="false">SUM(M163:O163)</f>
        <v>27793</v>
      </c>
      <c r="Q163" s="7" t="n">
        <f aca="false">'Index Price Deals'!B163+'Index Price Deals'!C163+'Index Price Deals'!D163-'Prices&amp;Fuel'!AE163</f>
        <v>0</v>
      </c>
      <c r="R163" s="1" t="n">
        <f aca="false">('Long Term Deals'!BB163+'Long Term Deals'!BC163+'Long Term Deals'!BD163+'Long Term Deals'!BE163+'Long Term Deals'!BF163+'Long Term Deals'!BG163)*(1-'Prices&amp;Fuel'!F163)</f>
        <v>12000</v>
      </c>
      <c r="S163" s="14" t="n">
        <f aca="false">P163-Q163-R163-V163</f>
        <v>0</v>
      </c>
      <c r="T163" s="14" t="n">
        <f aca="false">((I163+J163+K163)*'Prices&amp;Fuel'!H163*'Prices&amp;Fuel'!L163)+('Prices&amp;Fuel'!N163*'Prices&amp;Fuel'!H163*Transport!L163)+(('Long Term Deals'!BB163+'Long Term Deals'!BC163+'Long Term Deals'!BD163)*'Prices&amp;Fuel'!H163*'Prices&amp;Fuel'!M163)</f>
        <v>194711.232439118</v>
      </c>
      <c r="U163" s="7" t="n">
        <f aca="false">S163*B163*'Prices&amp;Fuel'!M163</f>
        <v>0</v>
      </c>
      <c r="V163" s="7" t="n">
        <f aca="false">35793-20000</f>
        <v>15793</v>
      </c>
      <c r="W163" s="14" t="n">
        <f aca="false">P163-R163-V163</f>
        <v>0</v>
      </c>
    </row>
    <row r="164" customFormat="false" ht="11.25" hidden="false" customHeight="false" outlineLevel="0" collapsed="false">
      <c r="A164" s="6" t="n">
        <f aca="false">+A163+365/12</f>
        <v>40585.25</v>
      </c>
      <c r="B164" s="1" t="n">
        <v>28</v>
      </c>
      <c r="C164" s="27" t="n">
        <v>-0.147536839080916</v>
      </c>
      <c r="E164" s="28" t="n">
        <v>0.0245000000000002</v>
      </c>
      <c r="F164" s="1" t="n">
        <f aca="false">7761-1128-1707</f>
        <v>4926</v>
      </c>
      <c r="G164" s="1" t="n">
        <f aca="false">14039-666-3474-4167</f>
        <v>5732</v>
      </c>
      <c r="H164" s="1" t="n">
        <f aca="false">18200-4732-4126</f>
        <v>9342</v>
      </c>
      <c r="I164" s="1" t="n">
        <v>2563</v>
      </c>
      <c r="J164" s="1" t="n">
        <v>2862</v>
      </c>
      <c r="K164" s="1" t="n">
        <v>1685</v>
      </c>
      <c r="L164" s="1" t="n">
        <v>683</v>
      </c>
      <c r="M164" s="7" t="n">
        <f aca="false">F164+I164</f>
        <v>7489</v>
      </c>
      <c r="N164" s="7" t="n">
        <f aca="false">G164+J164+L164</f>
        <v>9277</v>
      </c>
      <c r="O164" s="7" t="n">
        <f aca="false">H164+K164</f>
        <v>11027</v>
      </c>
      <c r="P164" s="7" t="n">
        <f aca="false">SUM(M164:O164)</f>
        <v>27793</v>
      </c>
      <c r="Q164" s="7" t="n">
        <f aca="false">'Index Price Deals'!B164+'Index Price Deals'!C164+'Index Price Deals'!D164-'Prices&amp;Fuel'!AE164</f>
        <v>0</v>
      </c>
      <c r="R164" s="1" t="n">
        <f aca="false">('Long Term Deals'!BB164+'Long Term Deals'!BC164+'Long Term Deals'!BD164+'Long Term Deals'!BE164+'Long Term Deals'!BF164+'Long Term Deals'!BG164)*(1-'Prices&amp;Fuel'!F164)</f>
        <v>12000</v>
      </c>
      <c r="S164" s="14" t="n">
        <f aca="false">P164-Q164-R164-V164</f>
        <v>0</v>
      </c>
      <c r="T164" s="14" t="n">
        <f aca="false">((I164+J164+K164)*'Prices&amp;Fuel'!H164*'Prices&amp;Fuel'!L164)+('Prices&amp;Fuel'!N164*'Prices&amp;Fuel'!H164*Transport!L164)+(('Long Term Deals'!BB164+'Long Term Deals'!BC164+'Long Term Deals'!BD164)*'Prices&amp;Fuel'!H164*'Prices&amp;Fuel'!M164)</f>
        <v>175868.209945009</v>
      </c>
      <c r="U164" s="7" t="n">
        <f aca="false">S164*B164*'Prices&amp;Fuel'!M164</f>
        <v>0</v>
      </c>
      <c r="V164" s="7" t="n">
        <f aca="false">35793-20000</f>
        <v>15793</v>
      </c>
      <c r="W164" s="14" t="n">
        <f aca="false">P164-R164-V164</f>
        <v>0</v>
      </c>
    </row>
    <row r="165" customFormat="false" ht="11.25" hidden="false" customHeight="false" outlineLevel="0" collapsed="false">
      <c r="A165" s="6" t="n">
        <f aca="false">+A164+365/12</f>
        <v>40615.6666666667</v>
      </c>
      <c r="B165" s="1" t="n">
        <v>31</v>
      </c>
      <c r="C165" s="27" t="n">
        <v>-0.122572601724992</v>
      </c>
      <c r="E165" s="28" t="n">
        <v>0.0195000000000003</v>
      </c>
      <c r="F165" s="1" t="n">
        <f aca="false">7761-1128-1707</f>
        <v>4926</v>
      </c>
      <c r="G165" s="1" t="n">
        <f aca="false">14039-666-3474-4167</f>
        <v>5732</v>
      </c>
      <c r="H165" s="1" t="n">
        <f aca="false">18200-4732-4126</f>
        <v>9342</v>
      </c>
      <c r="I165" s="1" t="n">
        <v>2563</v>
      </c>
      <c r="J165" s="1" t="n">
        <v>2862</v>
      </c>
      <c r="K165" s="1" t="n">
        <v>1685</v>
      </c>
      <c r="L165" s="1" t="n">
        <v>683</v>
      </c>
      <c r="M165" s="7" t="n">
        <f aca="false">F165+I165</f>
        <v>7489</v>
      </c>
      <c r="N165" s="7" t="n">
        <f aca="false">G165+J165+L165</f>
        <v>9277</v>
      </c>
      <c r="O165" s="7" t="n">
        <f aca="false">H165+K165</f>
        <v>11027</v>
      </c>
      <c r="P165" s="7" t="n">
        <f aca="false">SUM(M165:O165)</f>
        <v>27793</v>
      </c>
      <c r="Q165" s="7" t="n">
        <f aca="false">'Index Price Deals'!B165+'Index Price Deals'!C165+'Index Price Deals'!D165-'Prices&amp;Fuel'!AE165</f>
        <v>0</v>
      </c>
      <c r="R165" s="1" t="n">
        <f aca="false">('Long Term Deals'!BB165+'Long Term Deals'!BC165+'Long Term Deals'!BD165+'Long Term Deals'!BE165+'Long Term Deals'!BF165+'Long Term Deals'!BG165)*(1-'Prices&amp;Fuel'!F165)</f>
        <v>12000</v>
      </c>
      <c r="S165" s="14" t="n">
        <f aca="false">P165-Q165-R165-V165</f>
        <v>0</v>
      </c>
      <c r="T165" s="14" t="n">
        <f aca="false">((I165+J165+K165)*'Prices&amp;Fuel'!H165*'Prices&amp;Fuel'!L165)+('Prices&amp;Fuel'!N165*'Prices&amp;Fuel'!H165*Transport!L165)+(('Long Term Deals'!BB165+'Long Term Deals'!BC165+'Long Term Deals'!BD165)*'Prices&amp;Fuel'!H165*'Prices&amp;Fuel'!M165)</f>
        <v>194711.232439118</v>
      </c>
      <c r="U165" s="7" t="n">
        <f aca="false">S165*B165*'Prices&amp;Fuel'!M165</f>
        <v>0</v>
      </c>
      <c r="V165" s="7" t="n">
        <f aca="false">35793-20000</f>
        <v>15793</v>
      </c>
      <c r="W165" s="14" t="n">
        <f aca="false">P165-R165-V165</f>
        <v>0</v>
      </c>
    </row>
    <row r="166" customFormat="false" ht="11.25" hidden="false" customHeight="false" outlineLevel="0" collapsed="false">
      <c r="A166" s="6" t="n">
        <f aca="false">+A165+365/12</f>
        <v>40646.0833333333</v>
      </c>
      <c r="B166" s="1" t="n">
        <v>30</v>
      </c>
      <c r="C166" s="27" t="n">
        <v>-0.0730896150216878</v>
      </c>
      <c r="E166" s="28" t="n">
        <v>0.00599999999999978</v>
      </c>
      <c r="F166" s="1" t="n">
        <f aca="false">7761-828</f>
        <v>6933</v>
      </c>
      <c r="G166" s="1" t="n">
        <f aca="false">14039-5241</f>
        <v>8798</v>
      </c>
      <c r="H166" s="1" t="n">
        <f aca="false">18200-3931</f>
        <v>14269</v>
      </c>
      <c r="I166" s="1" t="n">
        <v>1880</v>
      </c>
      <c r="J166" s="1" t="n">
        <v>2073</v>
      </c>
      <c r="K166" s="1" t="n">
        <v>1258</v>
      </c>
      <c r="L166" s="1" t="n">
        <v>683</v>
      </c>
      <c r="M166" s="7" t="n">
        <f aca="false">F166+I166</f>
        <v>8813</v>
      </c>
      <c r="N166" s="7" t="n">
        <f aca="false">G166+J166+L166</f>
        <v>11554</v>
      </c>
      <c r="O166" s="7" t="n">
        <f aca="false">H166+K166</f>
        <v>15527</v>
      </c>
      <c r="P166" s="7" t="n">
        <f aca="false">SUM(M166:O166)</f>
        <v>35894</v>
      </c>
      <c r="Q166" s="7" t="n">
        <f aca="false">'Index Price Deals'!B166+'Index Price Deals'!C166+'Index Price Deals'!D166-'Prices&amp;Fuel'!AE166</f>
        <v>0</v>
      </c>
      <c r="R166" s="1" t="n">
        <f aca="false">('Long Term Deals'!BB166+'Long Term Deals'!BC166+'Long Term Deals'!BD166+'Long Term Deals'!BE166+'Long Term Deals'!BF166+'Long Term Deals'!BG166)*(1-'Prices&amp;Fuel'!F166)</f>
        <v>12000</v>
      </c>
      <c r="S166" s="14" t="n">
        <f aca="false">P166-Q166-R166-V166</f>
        <v>0</v>
      </c>
      <c r="T166" s="14" t="n">
        <f aca="false">((I166+J166+K166)*'Prices&amp;Fuel'!H166*'Prices&amp;Fuel'!L166)+('Prices&amp;Fuel'!N166*'Prices&amp;Fuel'!H166*Transport!L166)+(('Long Term Deals'!BB166+'Long Term Deals'!BC166+'Long Term Deals'!BD166)*'Prices&amp;Fuel'!H166*'Prices&amp;Fuel'!M166)</f>
        <v>208796.531168557</v>
      </c>
      <c r="U166" s="7" t="n">
        <f aca="false">S166*B166*'Prices&amp;Fuel'!M166</f>
        <v>0</v>
      </c>
      <c r="V166" s="7" t="n">
        <f aca="false">33894-10000</f>
        <v>23894</v>
      </c>
      <c r="W166" s="14" t="n">
        <f aca="false">P166-R166-V166</f>
        <v>0</v>
      </c>
    </row>
    <row r="167" customFormat="false" ht="11.25" hidden="false" customHeight="false" outlineLevel="0" collapsed="false">
      <c r="A167" s="6" t="n">
        <f aca="false">+A166+365/12</f>
        <v>40676.5</v>
      </c>
      <c r="B167" s="1" t="n">
        <v>31</v>
      </c>
      <c r="C167" s="27" t="n">
        <v>-0.0756430270100856</v>
      </c>
      <c r="E167" s="28" t="n">
        <v>0.00599999999999978</v>
      </c>
      <c r="F167" s="1" t="n">
        <v>8730</v>
      </c>
      <c r="G167" s="1" t="n">
        <f aca="false">15795-5034</f>
        <v>10761</v>
      </c>
      <c r="H167" s="1" t="n">
        <f aca="false">20475-4966</f>
        <v>15509</v>
      </c>
      <c r="I167" s="1" t="n">
        <v>1880</v>
      </c>
      <c r="J167" s="1" t="n">
        <v>2295</v>
      </c>
      <c r="K167" s="1" t="n">
        <v>1036</v>
      </c>
      <c r="L167" s="1" t="n">
        <v>683</v>
      </c>
      <c r="M167" s="7" t="n">
        <f aca="false">F167+I167</f>
        <v>10610</v>
      </c>
      <c r="N167" s="7" t="n">
        <f aca="false">G167+J167+L167</f>
        <v>13739</v>
      </c>
      <c r="O167" s="7" t="n">
        <f aca="false">H167+K167</f>
        <v>16545</v>
      </c>
      <c r="P167" s="7" t="n">
        <f aca="false">SUM(M167:O167)</f>
        <v>40894</v>
      </c>
      <c r="Q167" s="7" t="n">
        <f aca="false">'Index Price Deals'!B167+'Index Price Deals'!C167+'Index Price Deals'!D167-'Prices&amp;Fuel'!AE167</f>
        <v>0</v>
      </c>
      <c r="R167" s="1" t="n">
        <f aca="false">('Long Term Deals'!BB167+'Long Term Deals'!BC167+'Long Term Deals'!BD167+'Long Term Deals'!BE167+'Long Term Deals'!BF167+'Long Term Deals'!BG167)*(1-'Prices&amp;Fuel'!F167)</f>
        <v>20999.9999999999</v>
      </c>
      <c r="S167" s="14" t="n">
        <f aca="false">P167-Q167-R167-V167</f>
        <v>1.38243194669485E-010</v>
      </c>
      <c r="T167" s="14" t="n">
        <f aca="false">((I167+J167+K167)*'Prices&amp;Fuel'!H167*'Prices&amp;Fuel'!L167)+('Prices&amp;Fuel'!N167*'Prices&amp;Fuel'!H167*Transport!L167)+(('Long Term Deals'!BB167+'Long Term Deals'!BC167+'Long Term Deals'!BD167)*'Prices&amp;Fuel'!H167*'Prices&amp;Fuel'!M167)</f>
        <v>426562.790862176</v>
      </c>
      <c r="U167" s="7" t="n">
        <f aca="false">S167*B167*'Prices&amp;Fuel'!M167</f>
        <v>3.14901408273727E-009</v>
      </c>
      <c r="V167" s="7" t="n">
        <f aca="false">29894-10000</f>
        <v>19894</v>
      </c>
      <c r="W167" s="14" t="n">
        <f aca="false">P167-R167-V167</f>
        <v>1.38243194669485E-010</v>
      </c>
    </row>
    <row r="168" customFormat="false" ht="11.25" hidden="false" customHeight="false" outlineLevel="0" collapsed="false">
      <c r="A168" s="6" t="n">
        <f aca="false">+A167+365/12</f>
        <v>40706.9166666667</v>
      </c>
      <c r="B168" s="1" t="n">
        <v>30</v>
      </c>
      <c r="C168" s="27" t="n">
        <v>-0.0756461818238532</v>
      </c>
      <c r="E168" s="28" t="n">
        <v>0.00599999999999978</v>
      </c>
      <c r="F168" s="1" t="n">
        <v>8730</v>
      </c>
      <c r="G168" s="1" t="n">
        <f aca="false">15795-5034</f>
        <v>10761</v>
      </c>
      <c r="H168" s="1" t="n">
        <f aca="false">20475-4966</f>
        <v>15509</v>
      </c>
      <c r="I168" s="1" t="n">
        <v>1880</v>
      </c>
      <c r="J168" s="1" t="n">
        <v>2295</v>
      </c>
      <c r="K168" s="1" t="n">
        <v>1036</v>
      </c>
      <c r="L168" s="1" t="n">
        <v>683</v>
      </c>
      <c r="M168" s="7" t="n">
        <f aca="false">F168+I168</f>
        <v>10610</v>
      </c>
      <c r="N168" s="7" t="n">
        <f aca="false">G168+J168+L168</f>
        <v>13739</v>
      </c>
      <c r="O168" s="7" t="n">
        <f aca="false">H168+K168</f>
        <v>16545</v>
      </c>
      <c r="P168" s="7" t="n">
        <f aca="false">SUM(M168:O168)</f>
        <v>40894</v>
      </c>
      <c r="Q168" s="7" t="n">
        <f aca="false">'Index Price Deals'!B168+'Index Price Deals'!C168+'Index Price Deals'!D168-'Prices&amp;Fuel'!AE168</f>
        <v>0</v>
      </c>
      <c r="R168" s="1" t="n">
        <f aca="false">('Long Term Deals'!BB168+'Long Term Deals'!BC168+'Long Term Deals'!BD168+'Long Term Deals'!BE168+'Long Term Deals'!BF168+'Long Term Deals'!BG168)*(1-'Prices&amp;Fuel'!F168)</f>
        <v>20999.9999999999</v>
      </c>
      <c r="S168" s="14" t="n">
        <f aca="false">P168-Q168-R168-V168</f>
        <v>1.38243194669485E-010</v>
      </c>
      <c r="T168" s="14" t="n">
        <f aca="false">((I168+J168+K168)*'Prices&amp;Fuel'!H168*'Prices&amp;Fuel'!L168)+('Prices&amp;Fuel'!N168*'Prices&amp;Fuel'!H168*Transport!L168)+(('Long Term Deals'!BB168+'Long Term Deals'!BC168+'Long Term Deals'!BD168)*'Prices&amp;Fuel'!H168*'Prices&amp;Fuel'!M168)</f>
        <v>412802.700834364</v>
      </c>
      <c r="U168" s="7" t="n">
        <f aca="false">S168*B168*'Prices&amp;Fuel'!M168</f>
        <v>3.04743298329413E-009</v>
      </c>
      <c r="V168" s="7" t="n">
        <f aca="false">29894-10000</f>
        <v>19894</v>
      </c>
      <c r="W168" s="14" t="n">
        <f aca="false">P168-R168-V168</f>
        <v>1.38243194669485E-010</v>
      </c>
    </row>
    <row r="169" customFormat="false" ht="11.25" hidden="false" customHeight="false" outlineLevel="0" collapsed="false">
      <c r="A169" s="6" t="n">
        <f aca="false">+A168+365/12</f>
        <v>40737.3333333333</v>
      </c>
      <c r="B169" s="1" t="n">
        <v>31</v>
      </c>
      <c r="C169" s="27" t="n">
        <v>-0.0801480747121137</v>
      </c>
      <c r="E169" s="28" t="n">
        <v>0.00949999999999984</v>
      </c>
      <c r="F169" s="1" t="n">
        <v>8730</v>
      </c>
      <c r="G169" s="1" t="n">
        <f aca="false">15795-5034</f>
        <v>10761</v>
      </c>
      <c r="H169" s="1" t="n">
        <f aca="false">20475-4966</f>
        <v>15509</v>
      </c>
      <c r="I169" s="1" t="n">
        <v>1880</v>
      </c>
      <c r="J169" s="1" t="n">
        <v>2295</v>
      </c>
      <c r="K169" s="1" t="n">
        <v>1036</v>
      </c>
      <c r="L169" s="1" t="n">
        <v>683</v>
      </c>
      <c r="M169" s="7" t="n">
        <f aca="false">F169+I169</f>
        <v>10610</v>
      </c>
      <c r="N169" s="7" t="n">
        <f aca="false">G169+J169+L169</f>
        <v>13739</v>
      </c>
      <c r="O169" s="7" t="n">
        <f aca="false">H169+K169</f>
        <v>16545</v>
      </c>
      <c r="P169" s="7" t="n">
        <f aca="false">SUM(M169:O169)</f>
        <v>40894</v>
      </c>
      <c r="Q169" s="7" t="n">
        <f aca="false">'Index Price Deals'!B169+'Index Price Deals'!C169+'Index Price Deals'!D169-'Prices&amp;Fuel'!AE169</f>
        <v>0</v>
      </c>
      <c r="R169" s="1" t="n">
        <f aca="false">('Long Term Deals'!BB169+'Long Term Deals'!BC169+'Long Term Deals'!BD169+'Long Term Deals'!BE169+'Long Term Deals'!BF169+'Long Term Deals'!BG169)*(1-'Prices&amp;Fuel'!F169)</f>
        <v>20999.9999999999</v>
      </c>
      <c r="S169" s="14" t="n">
        <f aca="false">P169-Q169-R169-V169</f>
        <v>1.38243194669485E-010</v>
      </c>
      <c r="T169" s="14" t="n">
        <f aca="false">((I169+J169+K169)*'Prices&amp;Fuel'!H169*'Prices&amp;Fuel'!L169)+('Prices&amp;Fuel'!N169*'Prices&amp;Fuel'!H169*Transport!L169)+(('Long Term Deals'!BB169+'Long Term Deals'!BC169+'Long Term Deals'!BD169)*'Prices&amp;Fuel'!H169*'Prices&amp;Fuel'!M169)</f>
        <v>426562.790862176</v>
      </c>
      <c r="U169" s="7" t="n">
        <f aca="false">S169*B169*'Prices&amp;Fuel'!M169</f>
        <v>3.14901408273727E-009</v>
      </c>
      <c r="V169" s="7" t="n">
        <f aca="false">29894-10000</f>
        <v>19894</v>
      </c>
      <c r="W169" s="14" t="n">
        <f aca="false">P169-R169-V169</f>
        <v>1.38243194669485E-010</v>
      </c>
    </row>
    <row r="170" customFormat="false" ht="11.25" hidden="false" customHeight="false" outlineLevel="0" collapsed="false">
      <c r="A170" s="6" t="n">
        <f aca="false">+A169+365/12</f>
        <v>40767.75</v>
      </c>
      <c r="B170" s="1" t="n">
        <v>31</v>
      </c>
      <c r="C170" s="27" t="n">
        <v>-0.0801518604886344</v>
      </c>
      <c r="E170" s="28" t="n">
        <v>0.00949999999999962</v>
      </c>
      <c r="F170" s="1" t="n">
        <v>8730</v>
      </c>
      <c r="G170" s="1" t="n">
        <f aca="false">15795-5034</f>
        <v>10761</v>
      </c>
      <c r="H170" s="1" t="n">
        <f aca="false">20475-4966</f>
        <v>15509</v>
      </c>
      <c r="I170" s="1" t="n">
        <v>1880</v>
      </c>
      <c r="J170" s="1" t="n">
        <v>2295</v>
      </c>
      <c r="K170" s="1" t="n">
        <v>1036</v>
      </c>
      <c r="L170" s="1" t="n">
        <v>683</v>
      </c>
      <c r="M170" s="7" t="n">
        <f aca="false">F170+I170</f>
        <v>10610</v>
      </c>
      <c r="N170" s="7" t="n">
        <f aca="false">G170+J170+L170</f>
        <v>13739</v>
      </c>
      <c r="O170" s="7" t="n">
        <f aca="false">H170+K170</f>
        <v>16545</v>
      </c>
      <c r="P170" s="7" t="n">
        <f aca="false">SUM(M170:O170)</f>
        <v>40894</v>
      </c>
      <c r="Q170" s="7" t="n">
        <f aca="false">'Index Price Deals'!B170+'Index Price Deals'!C170+'Index Price Deals'!D170-'Prices&amp;Fuel'!AE170</f>
        <v>0</v>
      </c>
      <c r="R170" s="1" t="n">
        <f aca="false">('Long Term Deals'!BB170+'Long Term Deals'!BC170+'Long Term Deals'!BD170+'Long Term Deals'!BE170+'Long Term Deals'!BF170+'Long Term Deals'!BG170)*(1-'Prices&amp;Fuel'!F170)</f>
        <v>20999.9999999999</v>
      </c>
      <c r="S170" s="14" t="n">
        <f aca="false">P170-Q170-R170-V170</f>
        <v>1.38243194669485E-010</v>
      </c>
      <c r="T170" s="14" t="n">
        <f aca="false">((I170+J170+K170)*'Prices&amp;Fuel'!H170*'Prices&amp;Fuel'!L170)+('Prices&amp;Fuel'!N170*'Prices&amp;Fuel'!H170*Transport!L170)+(('Long Term Deals'!BB170+'Long Term Deals'!BC170+'Long Term Deals'!BD170)*'Prices&amp;Fuel'!H170*'Prices&amp;Fuel'!M170)</f>
        <v>426562.790862176</v>
      </c>
      <c r="U170" s="7" t="n">
        <f aca="false">S170*B170*'Prices&amp;Fuel'!M170</f>
        <v>3.14901408273727E-009</v>
      </c>
      <c r="V170" s="7" t="n">
        <f aca="false">29894-10000</f>
        <v>19894</v>
      </c>
      <c r="W170" s="14" t="n">
        <f aca="false">P170-R170-V170</f>
        <v>1.38243194669485E-010</v>
      </c>
    </row>
    <row r="171" customFormat="false" ht="11.25" hidden="false" customHeight="false" outlineLevel="0" collapsed="false">
      <c r="A171" s="6" t="n">
        <f aca="false">+A170+365/12</f>
        <v>40798.1666666667</v>
      </c>
      <c r="B171" s="1" t="n">
        <v>30</v>
      </c>
      <c r="C171" s="27" t="n">
        <v>-0.08015817011617</v>
      </c>
      <c r="E171" s="28" t="n">
        <v>0.00949999999999962</v>
      </c>
      <c r="F171" s="1" t="n">
        <v>8730</v>
      </c>
      <c r="G171" s="1" t="n">
        <f aca="false">15795-5034</f>
        <v>10761</v>
      </c>
      <c r="H171" s="1" t="n">
        <f aca="false">20475-4966</f>
        <v>15509</v>
      </c>
      <c r="I171" s="1" t="n">
        <v>1880</v>
      </c>
      <c r="J171" s="1" t="n">
        <v>2295</v>
      </c>
      <c r="K171" s="1" t="n">
        <v>1036</v>
      </c>
      <c r="L171" s="1" t="n">
        <v>683</v>
      </c>
      <c r="M171" s="7" t="n">
        <f aca="false">F171+I171</f>
        <v>10610</v>
      </c>
      <c r="N171" s="7" t="n">
        <f aca="false">G171+J171+L171</f>
        <v>13739</v>
      </c>
      <c r="O171" s="7" t="n">
        <f aca="false">H171+K171</f>
        <v>16545</v>
      </c>
      <c r="P171" s="7" t="n">
        <f aca="false">SUM(M171:O171)</f>
        <v>40894</v>
      </c>
      <c r="Q171" s="7" t="n">
        <f aca="false">'Index Price Deals'!B171+'Index Price Deals'!C171+'Index Price Deals'!D171-'Prices&amp;Fuel'!AE171</f>
        <v>0</v>
      </c>
      <c r="R171" s="1" t="n">
        <f aca="false">('Long Term Deals'!BB171+'Long Term Deals'!BC171+'Long Term Deals'!BD171+'Long Term Deals'!BE171+'Long Term Deals'!BF171+'Long Term Deals'!BG171)*(1-'Prices&amp;Fuel'!F171)</f>
        <v>20999.9999999999</v>
      </c>
      <c r="S171" s="14" t="n">
        <f aca="false">P171-Q171-R171-V171</f>
        <v>1.38243194669485E-010</v>
      </c>
      <c r="T171" s="14" t="n">
        <f aca="false">((I171+J171+K171)*'Prices&amp;Fuel'!H171*'Prices&amp;Fuel'!L171)+('Prices&amp;Fuel'!N171*'Prices&amp;Fuel'!H171*Transport!L171)+(('Long Term Deals'!BB171+'Long Term Deals'!BC171+'Long Term Deals'!BD171)*'Prices&amp;Fuel'!H171*'Prices&amp;Fuel'!M171)</f>
        <v>412802.700834364</v>
      </c>
      <c r="U171" s="7" t="n">
        <f aca="false">S171*B171*'Prices&amp;Fuel'!M171</f>
        <v>3.04743298329413E-009</v>
      </c>
      <c r="V171" s="7" t="n">
        <f aca="false">29894-10000</f>
        <v>19894</v>
      </c>
      <c r="W171" s="14" t="n">
        <f aca="false">P171-R171-V171</f>
        <v>1.38243194669485E-010</v>
      </c>
    </row>
    <row r="172" customFormat="false" ht="11.25" hidden="false" customHeight="false" outlineLevel="0" collapsed="false">
      <c r="A172" s="6" t="n">
        <f aca="false">+A171+365/12</f>
        <v>40828.5833333333</v>
      </c>
      <c r="B172" s="1" t="n">
        <v>31</v>
      </c>
      <c r="C172" s="27" t="n">
        <v>-0.0825798931378614</v>
      </c>
      <c r="E172" s="28" t="n">
        <v>0.0145</v>
      </c>
      <c r="F172" s="1" t="n">
        <f aca="false">8730-0</f>
        <v>8730</v>
      </c>
      <c r="G172" s="1" t="n">
        <f aca="false">15795-5434</f>
        <v>10361</v>
      </c>
      <c r="H172" s="1" t="n">
        <f aca="false">20475-4566</f>
        <v>15909</v>
      </c>
      <c r="I172" s="1" t="n">
        <v>2830</v>
      </c>
      <c r="J172" s="1" t="n">
        <v>3500</v>
      </c>
      <c r="K172" s="1" t="n">
        <v>1521</v>
      </c>
      <c r="L172" s="1" t="n">
        <v>1001</v>
      </c>
      <c r="M172" s="7" t="n">
        <f aca="false">F172+I172</f>
        <v>11560</v>
      </c>
      <c r="N172" s="7" t="n">
        <f aca="false">G172+J172+L172</f>
        <v>14862</v>
      </c>
      <c r="O172" s="7" t="n">
        <f aca="false">H172+K172</f>
        <v>17430</v>
      </c>
      <c r="P172" s="7" t="n">
        <f aca="false">SUM(M172:O172)</f>
        <v>43852</v>
      </c>
      <c r="Q172" s="7" t="n">
        <f aca="false">'Index Price Deals'!B172+'Index Price Deals'!C172+'Index Price Deals'!D172-'Prices&amp;Fuel'!AE172</f>
        <v>0</v>
      </c>
      <c r="R172" s="1" t="n">
        <f aca="false">('Long Term Deals'!BB172+'Long Term Deals'!BC172+'Long Term Deals'!BD172+'Long Term Deals'!BE172+'Long Term Deals'!BF172+'Long Term Deals'!BG172)*(1-'Prices&amp;Fuel'!F172)</f>
        <v>20999.9999999998</v>
      </c>
      <c r="S172" s="14" t="n">
        <f aca="false">P172-Q172-R172-V172</f>
        <v>1.92812876775861E-010</v>
      </c>
      <c r="T172" s="14" t="n">
        <f aca="false">((I172+J172+K172)*'Prices&amp;Fuel'!H172*'Prices&amp;Fuel'!L172)+('Prices&amp;Fuel'!N172*'Prices&amp;Fuel'!H172*Transport!L172)+(('Long Term Deals'!BB172+'Long Term Deals'!BC172+'Long Term Deals'!BD172)*'Prices&amp;Fuel'!H172*'Prices&amp;Fuel'!M172)</f>
        <v>393781.510390926</v>
      </c>
      <c r="U172" s="7" t="n">
        <f aca="false">S172*B172*'Prices&amp;Fuel'!M172</f>
        <v>4.39204595750198E-009</v>
      </c>
      <c r="V172" s="7" t="n">
        <f aca="false">32852-10000</f>
        <v>22852</v>
      </c>
      <c r="W172" s="14" t="n">
        <f aca="false">P172-R172-V172</f>
        <v>1.92812876775861E-010</v>
      </c>
    </row>
    <row r="173" customFormat="false" ht="11.25" hidden="false" customHeight="false" outlineLevel="0" collapsed="false">
      <c r="A173" s="6" t="n">
        <f aca="false">+A172+365/12</f>
        <v>40859</v>
      </c>
      <c r="B173" s="1" t="n">
        <v>30</v>
      </c>
      <c r="C173" s="27" t="n">
        <v>-0.127552116326928</v>
      </c>
      <c r="E173" s="28" t="n">
        <v>0.0194999999999999</v>
      </c>
      <c r="F173" s="1" t="n">
        <f aca="false">7761-1128-1707</f>
        <v>4926</v>
      </c>
      <c r="G173" s="1" t="n">
        <f aca="false">14039-666-3474-4167</f>
        <v>5732</v>
      </c>
      <c r="H173" s="1" t="n">
        <f aca="false">18200-4732-4126</f>
        <v>9342</v>
      </c>
      <c r="I173" s="1" t="n">
        <v>2563</v>
      </c>
      <c r="J173" s="1" t="n">
        <v>2862</v>
      </c>
      <c r="K173" s="1" t="n">
        <v>1685</v>
      </c>
      <c r="L173" s="1" t="n">
        <v>683</v>
      </c>
      <c r="M173" s="7" t="n">
        <f aca="false">F173+I173</f>
        <v>7489</v>
      </c>
      <c r="N173" s="7" t="n">
        <f aca="false">G173+J173+L173</f>
        <v>9277</v>
      </c>
      <c r="O173" s="7" t="n">
        <f aca="false">H173+K173</f>
        <v>11027</v>
      </c>
      <c r="P173" s="7" t="n">
        <f aca="false">SUM(M173:O173)</f>
        <v>27793</v>
      </c>
      <c r="Q173" s="7" t="n">
        <f aca="false">'Index Price Deals'!B173+'Index Price Deals'!C173+'Index Price Deals'!D173-'Prices&amp;Fuel'!AE173</f>
        <v>0</v>
      </c>
      <c r="R173" s="1" t="n">
        <f aca="false">('Long Term Deals'!BB173+'Long Term Deals'!BC173+'Long Term Deals'!BD173+'Long Term Deals'!BE173+'Long Term Deals'!BF173+'Long Term Deals'!BG173)*(1-'Prices&amp;Fuel'!F173)</f>
        <v>12000</v>
      </c>
      <c r="S173" s="14" t="n">
        <f aca="false">P173-Q173-R173-V173</f>
        <v>0</v>
      </c>
      <c r="T173" s="14" t="n">
        <f aca="false">((I173+J173+K173)*'Prices&amp;Fuel'!H173*'Prices&amp;Fuel'!L173)+('Prices&amp;Fuel'!N173*'Prices&amp;Fuel'!H173*Transport!L173)+(('Long Term Deals'!BB173+'Long Term Deals'!BC173+'Long Term Deals'!BD173)*'Prices&amp;Fuel'!H173*'Prices&amp;Fuel'!M173)</f>
        <v>188430.224941082</v>
      </c>
      <c r="U173" s="7" t="n">
        <f aca="false">S173*B173*'Prices&amp;Fuel'!M173</f>
        <v>0</v>
      </c>
      <c r="V173" s="7" t="n">
        <f aca="false">35793-20000</f>
        <v>15793</v>
      </c>
      <c r="W173" s="14" t="n">
        <f aca="false">P173-R173-V173</f>
        <v>0</v>
      </c>
    </row>
    <row r="174" customFormat="false" ht="11.25" hidden="false" customHeight="false" outlineLevel="0" collapsed="false">
      <c r="A174" s="6" t="n">
        <f aca="false">+A173+365/12</f>
        <v>40889.4166666667</v>
      </c>
      <c r="B174" s="1" t="n">
        <v>31</v>
      </c>
      <c r="C174" s="27" t="n">
        <v>-0.16251461763217</v>
      </c>
      <c r="E174" s="28" t="n">
        <v>0.0245000000000002</v>
      </c>
      <c r="F174" s="1" t="n">
        <f aca="false">7761-1128-1707</f>
        <v>4926</v>
      </c>
      <c r="G174" s="1" t="n">
        <f aca="false">14039-666-3474-4167</f>
        <v>5732</v>
      </c>
      <c r="H174" s="1" t="n">
        <f aca="false">18200-4732-4126</f>
        <v>9342</v>
      </c>
      <c r="I174" s="1" t="n">
        <v>2563</v>
      </c>
      <c r="J174" s="1" t="n">
        <v>2862</v>
      </c>
      <c r="K174" s="1" t="n">
        <v>1685</v>
      </c>
      <c r="L174" s="1" t="n">
        <v>683</v>
      </c>
      <c r="M174" s="7" t="n">
        <f aca="false">F174+I174</f>
        <v>7489</v>
      </c>
      <c r="N174" s="7" t="n">
        <f aca="false">G174+J174+L174</f>
        <v>9277</v>
      </c>
      <c r="O174" s="7" t="n">
        <f aca="false">H174+K174</f>
        <v>11027</v>
      </c>
      <c r="P174" s="7" t="n">
        <f aca="false">SUM(M174:O174)</f>
        <v>27793</v>
      </c>
      <c r="Q174" s="7" t="n">
        <f aca="false">'Index Price Deals'!B174+'Index Price Deals'!C174+'Index Price Deals'!D174-'Prices&amp;Fuel'!AE174</f>
        <v>0</v>
      </c>
      <c r="R174" s="1" t="n">
        <f aca="false">('Long Term Deals'!BB174+'Long Term Deals'!BC174+'Long Term Deals'!BD174+'Long Term Deals'!BE174+'Long Term Deals'!BF174+'Long Term Deals'!BG174)*(1-'Prices&amp;Fuel'!F174)</f>
        <v>12000</v>
      </c>
      <c r="S174" s="14" t="n">
        <f aca="false">P174-Q174-R174-V174</f>
        <v>0</v>
      </c>
      <c r="T174" s="14" t="n">
        <f aca="false">((I174+J174+K174)*'Prices&amp;Fuel'!H174*'Prices&amp;Fuel'!L174)+('Prices&amp;Fuel'!N174*'Prices&amp;Fuel'!H174*Transport!L174)+(('Long Term Deals'!BB174+'Long Term Deals'!BC174+'Long Term Deals'!BD174)*'Prices&amp;Fuel'!H174*'Prices&amp;Fuel'!M174)</f>
        <v>194711.232439118</v>
      </c>
      <c r="U174" s="7" t="n">
        <f aca="false">S174*B174*'Prices&amp;Fuel'!M174</f>
        <v>0</v>
      </c>
      <c r="V174" s="7" t="n">
        <f aca="false">35793-20000</f>
        <v>15793</v>
      </c>
      <c r="W174" s="14" t="n">
        <f aca="false">P174-R174-V174</f>
        <v>0</v>
      </c>
    </row>
    <row r="175" customFormat="false" ht="11.25" hidden="false" customHeight="false" outlineLevel="0" collapsed="false">
      <c r="A175" s="6" t="n">
        <f aca="false">+A174+365/12</f>
        <v>40919.8333333333</v>
      </c>
      <c r="B175" s="1" t="n">
        <v>31</v>
      </c>
      <c r="C175" s="27" t="n">
        <v>-0.147509062269983</v>
      </c>
      <c r="E175" s="28" t="n">
        <v>0.0245000000000002</v>
      </c>
      <c r="F175" s="1" t="n">
        <f aca="false">7761-1128-1707</f>
        <v>4926</v>
      </c>
      <c r="G175" s="1" t="n">
        <f aca="false">14039-666-3474-4167</f>
        <v>5732</v>
      </c>
      <c r="H175" s="1" t="n">
        <f aca="false">18200-4732-4126</f>
        <v>9342</v>
      </c>
      <c r="I175" s="1" t="n">
        <v>2563</v>
      </c>
      <c r="J175" s="1" t="n">
        <v>2862</v>
      </c>
      <c r="K175" s="1" t="n">
        <v>1685</v>
      </c>
      <c r="L175" s="1" t="n">
        <v>683</v>
      </c>
      <c r="M175" s="7" t="n">
        <f aca="false">F175+I175</f>
        <v>7489</v>
      </c>
      <c r="N175" s="7" t="n">
        <f aca="false">G175+J175+L175</f>
        <v>9277</v>
      </c>
      <c r="O175" s="7" t="n">
        <f aca="false">H175+K175</f>
        <v>11027</v>
      </c>
      <c r="P175" s="7" t="n">
        <f aca="false">SUM(M175:O175)</f>
        <v>27793</v>
      </c>
      <c r="Q175" s="7" t="n">
        <f aca="false">'Index Price Deals'!B175+'Index Price Deals'!C175+'Index Price Deals'!D175-'Prices&amp;Fuel'!AE175</f>
        <v>0</v>
      </c>
      <c r="R175" s="1" t="n">
        <f aca="false">('Long Term Deals'!BB175+'Long Term Deals'!BC175+'Long Term Deals'!BD175+'Long Term Deals'!BE175+'Long Term Deals'!BF175+'Long Term Deals'!BG175)*(1-'Prices&amp;Fuel'!F175)</f>
        <v>12000</v>
      </c>
      <c r="S175" s="14" t="n">
        <f aca="false">P175-Q175-R175-V175</f>
        <v>0</v>
      </c>
      <c r="T175" s="14" t="n">
        <f aca="false">((I175+J175+K175)*'Prices&amp;Fuel'!H175*'Prices&amp;Fuel'!L175)+('Prices&amp;Fuel'!N175*'Prices&amp;Fuel'!H175*Transport!L175)+(('Long Term Deals'!BB175+'Long Term Deals'!BC175+'Long Term Deals'!BD175)*'Prices&amp;Fuel'!H175*'Prices&amp;Fuel'!M175)</f>
        <v>194448.470243922</v>
      </c>
      <c r="U175" s="7" t="n">
        <f aca="false">S175*B175*'Prices&amp;Fuel'!M175</f>
        <v>0</v>
      </c>
      <c r="V175" s="7" t="n">
        <f aca="false">35793-20000</f>
        <v>15793</v>
      </c>
      <c r="W175" s="14" t="n">
        <f aca="false">P175-R175-V175</f>
        <v>0</v>
      </c>
    </row>
    <row r="176" customFormat="false" ht="11.25" hidden="false" customHeight="false" outlineLevel="0" collapsed="false">
      <c r="A176" s="6" t="n">
        <f aca="false">+A175+365/12</f>
        <v>40950.25</v>
      </c>
      <c r="B176" s="1" t="n">
        <v>29</v>
      </c>
      <c r="C176" s="27" t="n">
        <v>-0.147536839080916</v>
      </c>
      <c r="E176" s="28" t="n">
        <v>0.0245000000000002</v>
      </c>
      <c r="F176" s="1" t="n">
        <f aca="false">7761-1128-1707</f>
        <v>4926</v>
      </c>
      <c r="G176" s="1" t="n">
        <f aca="false">14039-666-3474-4167</f>
        <v>5732</v>
      </c>
      <c r="H176" s="1" t="n">
        <f aca="false">18200-4732-4126</f>
        <v>9342</v>
      </c>
      <c r="I176" s="1" t="n">
        <v>2563</v>
      </c>
      <c r="J176" s="1" t="n">
        <v>2862</v>
      </c>
      <c r="K176" s="1" t="n">
        <v>1685</v>
      </c>
      <c r="L176" s="1" t="n">
        <v>683</v>
      </c>
      <c r="M176" s="7" t="n">
        <f aca="false">F176+I176</f>
        <v>7489</v>
      </c>
      <c r="N176" s="7" t="n">
        <f aca="false">G176+J176+L176</f>
        <v>9277</v>
      </c>
      <c r="O176" s="7" t="n">
        <f aca="false">H176+K176</f>
        <v>11027</v>
      </c>
      <c r="P176" s="7" t="n">
        <f aca="false">SUM(M176:O176)</f>
        <v>27793</v>
      </c>
      <c r="Q176" s="7" t="n">
        <f aca="false">'Index Price Deals'!B176+'Index Price Deals'!C176+'Index Price Deals'!D176-'Prices&amp;Fuel'!AE176</f>
        <v>0</v>
      </c>
      <c r="R176" s="1" t="n">
        <f aca="false">('Long Term Deals'!BB176+'Long Term Deals'!BC176+'Long Term Deals'!BD176+'Long Term Deals'!BE176+'Long Term Deals'!BF176+'Long Term Deals'!BG176)*(1-'Prices&amp;Fuel'!F176)</f>
        <v>12000</v>
      </c>
      <c r="S176" s="14" t="n">
        <f aca="false">P176-Q176-R176-V176</f>
        <v>0</v>
      </c>
      <c r="T176" s="14" t="n">
        <f aca="false">((I176+J176+K176)*'Prices&amp;Fuel'!H176*'Prices&amp;Fuel'!L176)+('Prices&amp;Fuel'!N176*'Prices&amp;Fuel'!H176*Transport!L176)+(('Long Term Deals'!BB176+'Long Term Deals'!BC176+'Long Term Deals'!BD176)*'Prices&amp;Fuel'!H176*'Prices&amp;Fuel'!M176)</f>
        <v>181903.40764754</v>
      </c>
      <c r="U176" s="7" t="n">
        <f aca="false">S176*B176*'Prices&amp;Fuel'!M176</f>
        <v>0</v>
      </c>
      <c r="V176" s="7" t="n">
        <f aca="false">35793-20000</f>
        <v>15793</v>
      </c>
      <c r="W176" s="14" t="n">
        <f aca="false">P176-R176-V176</f>
        <v>0</v>
      </c>
    </row>
    <row r="177" customFormat="false" ht="11.25" hidden="false" customHeight="false" outlineLevel="0" collapsed="false">
      <c r="A177" s="6" t="n">
        <f aca="false">+A176+365/12</f>
        <v>40980.6666666667</v>
      </c>
      <c r="B177" s="1" t="n">
        <v>31</v>
      </c>
      <c r="C177" s="27" t="n">
        <v>-0.122572601724992</v>
      </c>
      <c r="E177" s="28" t="n">
        <v>0.0195000000000003</v>
      </c>
      <c r="F177" s="1" t="n">
        <f aca="false">7761-1128-1707</f>
        <v>4926</v>
      </c>
      <c r="G177" s="1" t="n">
        <f aca="false">14039-666-3474-4167</f>
        <v>5732</v>
      </c>
      <c r="H177" s="1" t="n">
        <f aca="false">18200-4732-4126</f>
        <v>9342</v>
      </c>
      <c r="I177" s="1" t="n">
        <v>2563</v>
      </c>
      <c r="J177" s="1" t="n">
        <v>2862</v>
      </c>
      <c r="K177" s="1" t="n">
        <v>1685</v>
      </c>
      <c r="L177" s="1" t="n">
        <v>683</v>
      </c>
      <c r="M177" s="7" t="n">
        <f aca="false">F177+I177</f>
        <v>7489</v>
      </c>
      <c r="N177" s="7" t="n">
        <f aca="false">G177+J177+L177</f>
        <v>9277</v>
      </c>
      <c r="O177" s="7" t="n">
        <f aca="false">H177+K177</f>
        <v>11027</v>
      </c>
      <c r="P177" s="7" t="n">
        <f aca="false">SUM(M177:O177)</f>
        <v>27793</v>
      </c>
      <c r="Q177" s="7" t="n">
        <f aca="false">'Index Price Deals'!B177+'Index Price Deals'!C177+'Index Price Deals'!D177-'Prices&amp;Fuel'!AE177</f>
        <v>0</v>
      </c>
      <c r="R177" s="1" t="n">
        <f aca="false">('Long Term Deals'!BB177+'Long Term Deals'!BC177+'Long Term Deals'!BD177+'Long Term Deals'!BE177+'Long Term Deals'!BF177+'Long Term Deals'!BG177)*(1-'Prices&amp;Fuel'!F177)</f>
        <v>12000</v>
      </c>
      <c r="S177" s="14" t="n">
        <f aca="false">P177-Q177-R177-V177</f>
        <v>0</v>
      </c>
      <c r="T177" s="14" t="n">
        <f aca="false">((I177+J177+K177)*'Prices&amp;Fuel'!H177*'Prices&amp;Fuel'!L177)+('Prices&amp;Fuel'!N177*'Prices&amp;Fuel'!H177*Transport!L177)+(('Long Term Deals'!BB177+'Long Term Deals'!BC177+'Long Term Deals'!BD177)*'Prices&amp;Fuel'!H177*'Prices&amp;Fuel'!M177)</f>
        <v>194448.470243922</v>
      </c>
      <c r="U177" s="7" t="n">
        <f aca="false">S177*B177*'Prices&amp;Fuel'!M177</f>
        <v>0</v>
      </c>
      <c r="V177" s="7" t="n">
        <f aca="false">35793-20000</f>
        <v>15793</v>
      </c>
      <c r="W177" s="14" t="n">
        <f aca="false">P177-R177-V177</f>
        <v>0</v>
      </c>
    </row>
    <row r="178" customFormat="false" ht="11.25" hidden="false" customHeight="false" outlineLevel="0" collapsed="false">
      <c r="A178" s="6" t="n">
        <f aca="false">+A177+365/12</f>
        <v>41011.0833333333</v>
      </c>
      <c r="B178" s="1" t="n">
        <v>30</v>
      </c>
      <c r="C178" s="27" t="n">
        <v>-0.0730896150216878</v>
      </c>
      <c r="E178" s="28" t="n">
        <v>0.00599999999999978</v>
      </c>
      <c r="F178" s="1" t="n">
        <f aca="false">7761-828</f>
        <v>6933</v>
      </c>
      <c r="G178" s="1" t="n">
        <f aca="false">14039-5241</f>
        <v>8798</v>
      </c>
      <c r="H178" s="1" t="n">
        <f aca="false">18200-3931</f>
        <v>14269</v>
      </c>
      <c r="I178" s="1" t="n">
        <v>1880</v>
      </c>
      <c r="J178" s="1" t="n">
        <v>2073</v>
      </c>
      <c r="K178" s="1" t="n">
        <v>1258</v>
      </c>
      <c r="L178" s="1" t="n">
        <v>683</v>
      </c>
      <c r="M178" s="7" t="n">
        <f aca="false">F178+I178</f>
        <v>8813</v>
      </c>
      <c r="N178" s="7" t="n">
        <f aca="false">G178+J178+L178</f>
        <v>11554</v>
      </c>
      <c r="O178" s="7" t="n">
        <f aca="false">H178+K178</f>
        <v>15527</v>
      </c>
      <c r="P178" s="7" t="n">
        <f aca="false">SUM(M178:O178)</f>
        <v>35894</v>
      </c>
      <c r="Q178" s="7" t="n">
        <f aca="false">'Index Price Deals'!B178+'Index Price Deals'!C178+'Index Price Deals'!D178-'Prices&amp;Fuel'!AE178</f>
        <v>0</v>
      </c>
      <c r="R178" s="1" t="n">
        <f aca="false">('Long Term Deals'!BB178+'Long Term Deals'!BC178+'Long Term Deals'!BD178+'Long Term Deals'!BE178+'Long Term Deals'!BF178+'Long Term Deals'!BG178)*(1-'Prices&amp;Fuel'!F178)</f>
        <v>12000</v>
      </c>
      <c r="S178" s="14" t="n">
        <f aca="false">P178-Q178-R178-V178</f>
        <v>0</v>
      </c>
      <c r="T178" s="14" t="n">
        <f aca="false">((I178+J178+K178)*'Prices&amp;Fuel'!H178*'Prices&amp;Fuel'!L178)+('Prices&amp;Fuel'!N178*'Prices&amp;Fuel'!H178*Transport!L178)+(('Long Term Deals'!BB178+'Long Term Deals'!BC178+'Long Term Deals'!BD178)*'Prices&amp;Fuel'!H178*'Prices&amp;Fuel'!M178)</f>
        <v>208604.209641982</v>
      </c>
      <c r="U178" s="7" t="n">
        <f aca="false">S178*B178*'Prices&amp;Fuel'!M178</f>
        <v>0</v>
      </c>
      <c r="V178" s="7" t="n">
        <f aca="false">33894-10000</f>
        <v>23894</v>
      </c>
      <c r="W178" s="14" t="n">
        <f aca="false">P178-R178-V178</f>
        <v>0</v>
      </c>
    </row>
    <row r="179" customFormat="false" ht="11.25" hidden="false" customHeight="false" outlineLevel="0" collapsed="false">
      <c r="A179" s="6" t="n">
        <f aca="false">+A178+365/12</f>
        <v>41041.5</v>
      </c>
      <c r="B179" s="1" t="n">
        <v>31</v>
      </c>
      <c r="C179" s="27" t="n">
        <v>-0.0756430270100856</v>
      </c>
      <c r="E179" s="28" t="n">
        <v>0.00599999999999978</v>
      </c>
      <c r="F179" s="1" t="n">
        <v>8730</v>
      </c>
      <c r="G179" s="1" t="n">
        <f aca="false">15795-5034</f>
        <v>10761</v>
      </c>
      <c r="H179" s="1" t="n">
        <f aca="false">20475-4966</f>
        <v>15509</v>
      </c>
      <c r="I179" s="1" t="n">
        <v>1880</v>
      </c>
      <c r="J179" s="1" t="n">
        <v>2295</v>
      </c>
      <c r="K179" s="1" t="n">
        <v>1036</v>
      </c>
      <c r="L179" s="1" t="n">
        <v>683</v>
      </c>
      <c r="M179" s="7" t="n">
        <f aca="false">F179+I179</f>
        <v>10610</v>
      </c>
      <c r="N179" s="7" t="n">
        <f aca="false">G179+J179+L179</f>
        <v>13739</v>
      </c>
      <c r="O179" s="7" t="n">
        <f aca="false">H179+K179</f>
        <v>16545</v>
      </c>
      <c r="P179" s="7" t="n">
        <f aca="false">SUM(M179:O179)</f>
        <v>40894</v>
      </c>
      <c r="Q179" s="7" t="n">
        <f aca="false">'Index Price Deals'!B179+'Index Price Deals'!C179+'Index Price Deals'!D179-'Prices&amp;Fuel'!AE179</f>
        <v>0</v>
      </c>
      <c r="R179" s="1" t="n">
        <f aca="false">('Long Term Deals'!BB179+'Long Term Deals'!BC179+'Long Term Deals'!BD179+'Long Term Deals'!BE179+'Long Term Deals'!BF179+'Long Term Deals'!BG179)*(1-'Prices&amp;Fuel'!F179)</f>
        <v>20999.9999999999</v>
      </c>
      <c r="S179" s="14" t="n">
        <f aca="false">P179-Q179-R179-V179</f>
        <v>1.38243194669485E-010</v>
      </c>
      <c r="T179" s="14" t="n">
        <f aca="false">((I179+J179+K179)*'Prices&amp;Fuel'!H179*'Prices&amp;Fuel'!L179)+('Prices&amp;Fuel'!N179*'Prices&amp;Fuel'!H179*Transport!L179)+(('Long Term Deals'!BB179+'Long Term Deals'!BC179+'Long Term Deals'!BD179)*'Prices&amp;Fuel'!H179*'Prices&amp;Fuel'!M179)</f>
        <v>426364.058618048</v>
      </c>
      <c r="U179" s="7" t="n">
        <f aca="false">S179*B179*'Prices&amp;Fuel'!M179</f>
        <v>3.14901408273727E-009</v>
      </c>
      <c r="V179" s="7" t="n">
        <f aca="false">29894-10000</f>
        <v>19894</v>
      </c>
      <c r="W179" s="14" t="n">
        <f aca="false">P179-R179-V179</f>
        <v>1.38243194669485E-010</v>
      </c>
    </row>
    <row r="180" customFormat="false" ht="11.25" hidden="false" customHeight="false" outlineLevel="0" collapsed="false">
      <c r="A180" s="6" t="n">
        <f aca="false">+A179+365/12</f>
        <v>41071.9166666667</v>
      </c>
      <c r="B180" s="1" t="n">
        <v>30</v>
      </c>
      <c r="C180" s="27" t="n">
        <v>-0.0756461818238532</v>
      </c>
      <c r="E180" s="28" t="n">
        <v>0.00599999999999978</v>
      </c>
      <c r="F180" s="1" t="n">
        <v>8730</v>
      </c>
      <c r="G180" s="1" t="n">
        <f aca="false">15795-5034</f>
        <v>10761</v>
      </c>
      <c r="H180" s="1" t="n">
        <f aca="false">20475-4966</f>
        <v>15509</v>
      </c>
      <c r="I180" s="1" t="n">
        <v>1880</v>
      </c>
      <c r="J180" s="1" t="n">
        <v>2295</v>
      </c>
      <c r="K180" s="1" t="n">
        <v>1036</v>
      </c>
      <c r="L180" s="1" t="n">
        <v>683</v>
      </c>
      <c r="M180" s="7" t="n">
        <f aca="false">F180+I180</f>
        <v>10610</v>
      </c>
      <c r="N180" s="7" t="n">
        <f aca="false">G180+J180+L180</f>
        <v>13739</v>
      </c>
      <c r="O180" s="7" t="n">
        <f aca="false">H180+K180</f>
        <v>16545</v>
      </c>
      <c r="P180" s="7" t="n">
        <f aca="false">SUM(M180:O180)</f>
        <v>40894</v>
      </c>
      <c r="Q180" s="7" t="n">
        <f aca="false">'Index Price Deals'!B180+'Index Price Deals'!C180+'Index Price Deals'!D180-'Prices&amp;Fuel'!AE180</f>
        <v>0</v>
      </c>
      <c r="R180" s="1" t="n">
        <f aca="false">('Long Term Deals'!BB180+'Long Term Deals'!BC180+'Long Term Deals'!BD180+'Long Term Deals'!BE180+'Long Term Deals'!BF180+'Long Term Deals'!BG180)*(1-'Prices&amp;Fuel'!F180)</f>
        <v>20999.9999999999</v>
      </c>
      <c r="S180" s="14" t="n">
        <f aca="false">P180-Q180-R180-V180</f>
        <v>1.38243194669485E-010</v>
      </c>
      <c r="T180" s="14" t="n">
        <f aca="false">((I180+J180+K180)*'Prices&amp;Fuel'!H180*'Prices&amp;Fuel'!L180)+('Prices&amp;Fuel'!N180*'Prices&amp;Fuel'!H180*Transport!L180)+(('Long Term Deals'!BB180+'Long Term Deals'!BC180+'Long Term Deals'!BD180)*'Prices&amp;Fuel'!H180*'Prices&amp;Fuel'!M180)</f>
        <v>412610.379307789</v>
      </c>
      <c r="U180" s="7" t="n">
        <f aca="false">S180*B180*'Prices&amp;Fuel'!M180</f>
        <v>3.04743298329413E-009</v>
      </c>
      <c r="V180" s="7" t="n">
        <f aca="false">29894-10000</f>
        <v>19894</v>
      </c>
      <c r="W180" s="14" t="n">
        <f aca="false">P180-R180-V180</f>
        <v>1.38243194669485E-010</v>
      </c>
    </row>
    <row r="181" customFormat="false" ht="11.25" hidden="false" customHeight="false" outlineLevel="0" collapsed="false">
      <c r="A181" s="6" t="n">
        <f aca="false">+A180+365/12</f>
        <v>41102.3333333333</v>
      </c>
      <c r="B181" s="1" t="n">
        <v>31</v>
      </c>
      <c r="C181" s="27" t="n">
        <v>-0.0801480747121137</v>
      </c>
      <c r="E181" s="28" t="n">
        <v>0.00949999999999984</v>
      </c>
      <c r="F181" s="1" t="n">
        <v>8730</v>
      </c>
      <c r="G181" s="1" t="n">
        <f aca="false">15795-5034</f>
        <v>10761</v>
      </c>
      <c r="H181" s="1" t="n">
        <f aca="false">20475-4966</f>
        <v>15509</v>
      </c>
      <c r="I181" s="1" t="n">
        <v>1880</v>
      </c>
      <c r="J181" s="1" t="n">
        <v>2295</v>
      </c>
      <c r="K181" s="1" t="n">
        <v>1036</v>
      </c>
      <c r="L181" s="1" t="n">
        <v>683</v>
      </c>
      <c r="M181" s="7" t="n">
        <f aca="false">F181+I181</f>
        <v>10610</v>
      </c>
      <c r="N181" s="7" t="n">
        <f aca="false">G181+J181+L181</f>
        <v>13739</v>
      </c>
      <c r="O181" s="7" t="n">
        <f aca="false">H181+K181</f>
        <v>16545</v>
      </c>
      <c r="P181" s="7" t="n">
        <f aca="false">SUM(M181:O181)</f>
        <v>40894</v>
      </c>
      <c r="Q181" s="7" t="n">
        <f aca="false">'Index Price Deals'!B181+'Index Price Deals'!C181+'Index Price Deals'!D181-'Prices&amp;Fuel'!AE181</f>
        <v>0</v>
      </c>
      <c r="R181" s="1" t="n">
        <f aca="false">('Long Term Deals'!BB181+'Long Term Deals'!BC181+'Long Term Deals'!BD181+'Long Term Deals'!BE181+'Long Term Deals'!BF181+'Long Term Deals'!BG181)*(1-'Prices&amp;Fuel'!F181)</f>
        <v>20999.9999999999</v>
      </c>
      <c r="S181" s="14" t="n">
        <f aca="false">P181-Q181-R181-V181</f>
        <v>1.38243194669485E-010</v>
      </c>
      <c r="T181" s="14" t="n">
        <f aca="false">((I181+J181+K181)*'Prices&amp;Fuel'!H181*'Prices&amp;Fuel'!L181)+('Prices&amp;Fuel'!N181*'Prices&amp;Fuel'!H181*Transport!L181)+(('Long Term Deals'!BB181+'Long Term Deals'!BC181+'Long Term Deals'!BD181)*'Prices&amp;Fuel'!H181*'Prices&amp;Fuel'!M181)</f>
        <v>426364.058618048</v>
      </c>
      <c r="U181" s="7" t="n">
        <f aca="false">S181*B181*'Prices&amp;Fuel'!M181</f>
        <v>3.14901408273727E-009</v>
      </c>
      <c r="V181" s="7" t="n">
        <f aca="false">29894-10000</f>
        <v>19894</v>
      </c>
      <c r="W181" s="14" t="n">
        <f aca="false">P181-R181-V181</f>
        <v>1.38243194669485E-010</v>
      </c>
    </row>
    <row r="182" customFormat="false" ht="11.25" hidden="false" customHeight="false" outlineLevel="0" collapsed="false">
      <c r="A182" s="6" t="n">
        <f aca="false">+A181+365/12</f>
        <v>41132.75</v>
      </c>
      <c r="B182" s="1" t="n">
        <v>31</v>
      </c>
      <c r="C182" s="27" t="n">
        <v>-0.0801518604886344</v>
      </c>
      <c r="E182" s="28" t="n">
        <v>0.00949999999999962</v>
      </c>
      <c r="F182" s="1" t="n">
        <v>8730</v>
      </c>
      <c r="G182" s="1" t="n">
        <f aca="false">15795-5034</f>
        <v>10761</v>
      </c>
      <c r="H182" s="1" t="n">
        <f aca="false">20475-4966</f>
        <v>15509</v>
      </c>
      <c r="I182" s="1" t="n">
        <v>1880</v>
      </c>
      <c r="J182" s="1" t="n">
        <v>2295</v>
      </c>
      <c r="K182" s="1" t="n">
        <v>1036</v>
      </c>
      <c r="L182" s="1" t="n">
        <v>683</v>
      </c>
      <c r="M182" s="7" t="n">
        <f aca="false">F182+I182</f>
        <v>10610</v>
      </c>
      <c r="N182" s="7" t="n">
        <f aca="false">G182+J182+L182</f>
        <v>13739</v>
      </c>
      <c r="O182" s="7" t="n">
        <f aca="false">H182+K182</f>
        <v>16545</v>
      </c>
      <c r="P182" s="7" t="n">
        <f aca="false">SUM(M182:O182)</f>
        <v>40894</v>
      </c>
      <c r="Q182" s="7" t="n">
        <f aca="false">'Index Price Deals'!B182+'Index Price Deals'!C182+'Index Price Deals'!D182-'Prices&amp;Fuel'!AE182</f>
        <v>0</v>
      </c>
      <c r="R182" s="1" t="n">
        <f aca="false">('Long Term Deals'!BB182+'Long Term Deals'!BC182+'Long Term Deals'!BD182+'Long Term Deals'!BE182+'Long Term Deals'!BF182+'Long Term Deals'!BG182)*(1-'Prices&amp;Fuel'!F182)</f>
        <v>20999.9999999999</v>
      </c>
      <c r="S182" s="14" t="n">
        <f aca="false">P182-Q182-R182-V182</f>
        <v>1.38243194669485E-010</v>
      </c>
      <c r="T182" s="14" t="n">
        <f aca="false">((I182+J182+K182)*'Prices&amp;Fuel'!H182*'Prices&amp;Fuel'!L182)+('Prices&amp;Fuel'!N182*'Prices&amp;Fuel'!H182*Transport!L182)+(('Long Term Deals'!BB182+'Long Term Deals'!BC182+'Long Term Deals'!BD182)*'Prices&amp;Fuel'!H182*'Prices&amp;Fuel'!M182)</f>
        <v>426364.058618048</v>
      </c>
      <c r="U182" s="7" t="n">
        <f aca="false">S182*B182*'Prices&amp;Fuel'!M182</f>
        <v>3.14901408273727E-009</v>
      </c>
      <c r="V182" s="7" t="n">
        <f aca="false">29894-10000</f>
        <v>19894</v>
      </c>
      <c r="W182" s="14" t="n">
        <f aca="false">P182-R182-V182</f>
        <v>1.38243194669485E-010</v>
      </c>
    </row>
    <row r="183" customFormat="false" ht="11.25" hidden="false" customHeight="false" outlineLevel="0" collapsed="false">
      <c r="A183" s="6" t="n">
        <f aca="false">+A182+365/12</f>
        <v>41163.1666666667</v>
      </c>
      <c r="B183" s="1" t="n">
        <v>30</v>
      </c>
      <c r="C183" s="27" t="n">
        <v>-0.08015817011617</v>
      </c>
      <c r="E183" s="28" t="n">
        <v>0.00949999999999962</v>
      </c>
      <c r="F183" s="1" t="n">
        <v>8730</v>
      </c>
      <c r="G183" s="1" t="n">
        <f aca="false">15795-5034</f>
        <v>10761</v>
      </c>
      <c r="H183" s="1" t="n">
        <f aca="false">20475-4966</f>
        <v>15509</v>
      </c>
      <c r="I183" s="1" t="n">
        <v>1880</v>
      </c>
      <c r="J183" s="1" t="n">
        <v>2295</v>
      </c>
      <c r="K183" s="1" t="n">
        <v>1036</v>
      </c>
      <c r="L183" s="1" t="n">
        <v>683</v>
      </c>
      <c r="M183" s="7" t="n">
        <f aca="false">F183+I183</f>
        <v>10610</v>
      </c>
      <c r="N183" s="7" t="n">
        <f aca="false">G183+J183+L183</f>
        <v>13739</v>
      </c>
      <c r="O183" s="7" t="n">
        <f aca="false">H183+K183</f>
        <v>16545</v>
      </c>
      <c r="P183" s="7" t="n">
        <f aca="false">SUM(M183:O183)</f>
        <v>40894</v>
      </c>
      <c r="Q183" s="7" t="n">
        <f aca="false">'Index Price Deals'!B183+'Index Price Deals'!C183+'Index Price Deals'!D183-'Prices&amp;Fuel'!AE183</f>
        <v>0</v>
      </c>
      <c r="R183" s="1" t="n">
        <f aca="false">('Long Term Deals'!BB183+'Long Term Deals'!BC183+'Long Term Deals'!BD183+'Long Term Deals'!BE183+'Long Term Deals'!BF183+'Long Term Deals'!BG183)*(1-'Prices&amp;Fuel'!F183)</f>
        <v>20999.9999999999</v>
      </c>
      <c r="S183" s="14" t="n">
        <f aca="false">P183-Q183-R183-V183</f>
        <v>1.38243194669485E-010</v>
      </c>
      <c r="T183" s="14" t="n">
        <f aca="false">((I183+J183+K183)*'Prices&amp;Fuel'!H183*'Prices&amp;Fuel'!L183)+('Prices&amp;Fuel'!N183*'Prices&amp;Fuel'!H183*Transport!L183)+(('Long Term Deals'!BB183+'Long Term Deals'!BC183+'Long Term Deals'!BD183)*'Prices&amp;Fuel'!H183*'Prices&amp;Fuel'!M183)</f>
        <v>412610.379307789</v>
      </c>
      <c r="U183" s="7" t="n">
        <f aca="false">S183*B183*'Prices&amp;Fuel'!M183</f>
        <v>3.04743298329413E-009</v>
      </c>
      <c r="V183" s="7" t="n">
        <f aca="false">29894-10000</f>
        <v>19894</v>
      </c>
      <c r="W183" s="14" t="n">
        <f aca="false">P183-R183-V183</f>
        <v>1.38243194669485E-010</v>
      </c>
    </row>
    <row r="184" customFormat="false" ht="11.25" hidden="false" customHeight="false" outlineLevel="0" collapsed="false">
      <c r="A184" s="6" t="n">
        <f aca="false">+A183+365/12</f>
        <v>41193.5833333333</v>
      </c>
      <c r="B184" s="1" t="n">
        <v>31</v>
      </c>
      <c r="C184" s="27" t="n">
        <v>-0.0825798931378614</v>
      </c>
      <c r="E184" s="28" t="n">
        <v>0.0145</v>
      </c>
      <c r="F184" s="1" t="n">
        <f aca="false">8730-0</f>
        <v>8730</v>
      </c>
      <c r="G184" s="1" t="n">
        <f aca="false">15795-5434</f>
        <v>10361</v>
      </c>
      <c r="H184" s="1" t="n">
        <f aca="false">20475-4566</f>
        <v>15909</v>
      </c>
      <c r="I184" s="1" t="n">
        <v>2830</v>
      </c>
      <c r="J184" s="1" t="n">
        <v>3500</v>
      </c>
      <c r="K184" s="1" t="n">
        <v>1521</v>
      </c>
      <c r="L184" s="1" t="n">
        <v>1001</v>
      </c>
      <c r="M184" s="7" t="n">
        <f aca="false">F184+I184</f>
        <v>11560</v>
      </c>
      <c r="N184" s="7" t="n">
        <f aca="false">G184+J184+L184</f>
        <v>14862</v>
      </c>
      <c r="O184" s="7" t="n">
        <f aca="false">H184+K184</f>
        <v>17430</v>
      </c>
      <c r="P184" s="7" t="n">
        <f aca="false">SUM(M184:O184)</f>
        <v>43852</v>
      </c>
      <c r="Q184" s="7" t="n">
        <f aca="false">'Index Price Deals'!B184+'Index Price Deals'!C184+'Index Price Deals'!D184-'Prices&amp;Fuel'!AE184</f>
        <v>0</v>
      </c>
      <c r="R184" s="1" t="n">
        <f aca="false">('Long Term Deals'!BB184+'Long Term Deals'!BC184+'Long Term Deals'!BD184+'Long Term Deals'!BE184+'Long Term Deals'!BF184+'Long Term Deals'!BG184)*(1-'Prices&amp;Fuel'!F184)</f>
        <v>20999.9999999998</v>
      </c>
      <c r="S184" s="14" t="n">
        <f aca="false">P184-Q184-R184-V184</f>
        <v>1.92812876775861E-010</v>
      </c>
      <c r="T184" s="14" t="n">
        <f aca="false">((I184+J184+K184)*'Prices&amp;Fuel'!H184*'Prices&amp;Fuel'!L184)+('Prices&amp;Fuel'!N184*'Prices&amp;Fuel'!H184*Transport!L184)+(('Long Term Deals'!BB184+'Long Term Deals'!BC184+'Long Term Deals'!BD184)*'Prices&amp;Fuel'!H184*'Prices&amp;Fuel'!M184)</f>
        <v>393483.04112981</v>
      </c>
      <c r="U184" s="7" t="n">
        <f aca="false">S184*B184*'Prices&amp;Fuel'!M184</f>
        <v>4.39204595750198E-009</v>
      </c>
      <c r="V184" s="7" t="n">
        <f aca="false">32852-10000</f>
        <v>22852</v>
      </c>
      <c r="W184" s="14" t="n">
        <f aca="false">P184-R184-V184</f>
        <v>1.92812876775861E-010</v>
      </c>
    </row>
    <row r="185" customFormat="false" ht="11.25" hidden="false" customHeight="false" outlineLevel="0" collapsed="false">
      <c r="A185" s="6" t="n">
        <f aca="false">+A184+365/12</f>
        <v>41224</v>
      </c>
      <c r="B185" s="1" t="n">
        <v>30</v>
      </c>
      <c r="C185" s="27" t="n">
        <v>-0.127552116326928</v>
      </c>
      <c r="E185" s="28" t="n">
        <v>0.0194999999999999</v>
      </c>
      <c r="F185" s="1" t="n">
        <f aca="false">7761-1128-1707</f>
        <v>4926</v>
      </c>
      <c r="G185" s="1" t="n">
        <f aca="false">14039-666-3474-4167</f>
        <v>5732</v>
      </c>
      <c r="H185" s="1" t="n">
        <f aca="false">18200-4732-4126</f>
        <v>9342</v>
      </c>
      <c r="I185" s="1" t="n">
        <v>2563</v>
      </c>
      <c r="J185" s="1" t="n">
        <v>2862</v>
      </c>
      <c r="K185" s="1" t="n">
        <v>1685</v>
      </c>
      <c r="L185" s="1" t="n">
        <v>683</v>
      </c>
      <c r="M185" s="7" t="n">
        <f aca="false">F185+I185</f>
        <v>7489</v>
      </c>
      <c r="N185" s="7" t="n">
        <f aca="false">G185+J185+L185</f>
        <v>9277</v>
      </c>
      <c r="O185" s="7" t="n">
        <f aca="false">H185+K185</f>
        <v>11027</v>
      </c>
      <c r="P185" s="7" t="n">
        <f aca="false">SUM(M185:O185)</f>
        <v>27793</v>
      </c>
      <c r="Q185" s="7" t="n">
        <f aca="false">'Index Price Deals'!B185+'Index Price Deals'!C185+'Index Price Deals'!D185-'Prices&amp;Fuel'!AE185</f>
        <v>0</v>
      </c>
      <c r="R185" s="1" t="n">
        <f aca="false">('Long Term Deals'!BB185+'Long Term Deals'!BC185+'Long Term Deals'!BD185+'Long Term Deals'!BE185+'Long Term Deals'!BF185+'Long Term Deals'!BG185)*(1-'Prices&amp;Fuel'!F185)</f>
        <v>12000</v>
      </c>
      <c r="S185" s="14" t="n">
        <f aca="false">P185-Q185-R185-V185</f>
        <v>0</v>
      </c>
      <c r="T185" s="14" t="n">
        <f aca="false">((I185+J185+K185)*'Prices&amp;Fuel'!H185*'Prices&amp;Fuel'!L185)+('Prices&amp;Fuel'!N185*'Prices&amp;Fuel'!H185*Transport!L185)+(('Long Term Deals'!BB185+'Long Term Deals'!BC185+'Long Term Deals'!BD185)*'Prices&amp;Fuel'!H185*'Prices&amp;Fuel'!M185)</f>
        <v>188175.938945731</v>
      </c>
      <c r="U185" s="7" t="n">
        <f aca="false">S185*B185*'Prices&amp;Fuel'!M185</f>
        <v>0</v>
      </c>
      <c r="V185" s="7" t="n">
        <f aca="false">35793-20000</f>
        <v>15793</v>
      </c>
      <c r="W185" s="14" t="n">
        <f aca="false">P185-R185-V185</f>
        <v>0</v>
      </c>
    </row>
    <row r="186" customFormat="false" ht="11.25" hidden="false" customHeight="false" outlineLevel="0" collapsed="false">
      <c r="A186" s="6" t="n">
        <f aca="false">+A185+365/12</f>
        <v>41254.4166666667</v>
      </c>
      <c r="B186" s="1" t="n">
        <v>31</v>
      </c>
      <c r="C186" s="27" t="n">
        <v>-0.16251461763217</v>
      </c>
      <c r="E186" s="28" t="n">
        <v>0.0245000000000002</v>
      </c>
      <c r="F186" s="1" t="n">
        <f aca="false">7761-1128-1707</f>
        <v>4926</v>
      </c>
      <c r="G186" s="1" t="n">
        <f aca="false">14039-666-3474-4167</f>
        <v>5732</v>
      </c>
      <c r="H186" s="1" t="n">
        <f aca="false">18200-4732-4126</f>
        <v>9342</v>
      </c>
      <c r="I186" s="1" t="n">
        <v>2563</v>
      </c>
      <c r="J186" s="1" t="n">
        <v>2862</v>
      </c>
      <c r="K186" s="1" t="n">
        <v>1685</v>
      </c>
      <c r="L186" s="1" t="n">
        <v>683</v>
      </c>
      <c r="M186" s="7" t="n">
        <f aca="false">F186+I186</f>
        <v>7489</v>
      </c>
      <c r="N186" s="7" t="n">
        <f aca="false">G186+J186+L186</f>
        <v>9277</v>
      </c>
      <c r="O186" s="7" t="n">
        <f aca="false">H186+K186</f>
        <v>11027</v>
      </c>
      <c r="P186" s="7" t="n">
        <f aca="false">SUM(M186:O186)</f>
        <v>27793</v>
      </c>
      <c r="Q186" s="7" t="n">
        <f aca="false">'Index Price Deals'!B186+'Index Price Deals'!C186+'Index Price Deals'!D186-'Prices&amp;Fuel'!AE186</f>
        <v>0</v>
      </c>
      <c r="R186" s="1" t="n">
        <f aca="false">('Long Term Deals'!BB186+'Long Term Deals'!BC186+'Long Term Deals'!BD186+'Long Term Deals'!BE186+'Long Term Deals'!BF186+'Long Term Deals'!BG186)*(1-'Prices&amp;Fuel'!F186)</f>
        <v>12000</v>
      </c>
      <c r="S186" s="14" t="n">
        <f aca="false">P186-Q186-R186-V186</f>
        <v>0</v>
      </c>
      <c r="T186" s="14" t="n">
        <f aca="false">((I186+J186+K186)*'Prices&amp;Fuel'!H186*'Prices&amp;Fuel'!L186)+('Prices&amp;Fuel'!N186*'Prices&amp;Fuel'!H186*Transport!L186)+(('Long Term Deals'!BB186+'Long Term Deals'!BC186+'Long Term Deals'!BD186)*'Prices&amp;Fuel'!H186*'Prices&amp;Fuel'!M186)</f>
        <v>194448.470243922</v>
      </c>
      <c r="U186" s="7" t="n">
        <f aca="false">S186*B186*'Prices&amp;Fuel'!M186</f>
        <v>0</v>
      </c>
      <c r="V186" s="7" t="n">
        <f aca="false">35793-20000</f>
        <v>15793</v>
      </c>
      <c r="W186" s="14" t="n">
        <f aca="false">P186-R186-V186</f>
        <v>0</v>
      </c>
    </row>
    <row r="187" customFormat="false" ht="11.25" hidden="false" customHeight="false" outlineLevel="0" collapsed="false">
      <c r="A187" s="6" t="n">
        <f aca="false">+A186+365/12</f>
        <v>41284.8333333333</v>
      </c>
      <c r="B187" s="1" t="n">
        <v>31</v>
      </c>
      <c r="C187" s="27" t="n">
        <v>-0.147509062269983</v>
      </c>
      <c r="E187" s="28" t="n">
        <v>0.0245000000000002</v>
      </c>
      <c r="F187" s="1" t="n">
        <f aca="false">7761-1128-1707</f>
        <v>4926</v>
      </c>
      <c r="G187" s="1" t="n">
        <f aca="false">14039-666-3474-4167</f>
        <v>5732</v>
      </c>
      <c r="H187" s="1" t="n">
        <f aca="false">18200-4732-4126</f>
        <v>9342</v>
      </c>
      <c r="I187" s="1" t="n">
        <v>2563</v>
      </c>
      <c r="J187" s="1" t="n">
        <v>2862</v>
      </c>
      <c r="K187" s="1" t="n">
        <v>1685</v>
      </c>
      <c r="L187" s="1" t="n">
        <v>683</v>
      </c>
      <c r="M187" s="7" t="n">
        <f aca="false">F187+I187</f>
        <v>7489</v>
      </c>
      <c r="N187" s="7" t="n">
        <f aca="false">G187+J187+L187</f>
        <v>9277</v>
      </c>
      <c r="O187" s="7" t="n">
        <f aca="false">H187+K187</f>
        <v>11027</v>
      </c>
      <c r="P187" s="7" t="n">
        <f aca="false">SUM(M187:O187)</f>
        <v>27793</v>
      </c>
      <c r="Q187" s="7" t="n">
        <f aca="false">'Index Price Deals'!B187+'Index Price Deals'!C187+'Index Price Deals'!D187-'Prices&amp;Fuel'!AE187</f>
        <v>0</v>
      </c>
      <c r="R187" s="1" t="n">
        <f aca="false">('Long Term Deals'!BB187+'Long Term Deals'!BC187+'Long Term Deals'!BD187+'Long Term Deals'!BE187+'Long Term Deals'!BF187+'Long Term Deals'!BG187)*(1-'Prices&amp;Fuel'!F187)</f>
        <v>12000</v>
      </c>
      <c r="S187" s="14" t="n">
        <f aca="false">P187-Q187-R187-V187</f>
        <v>0</v>
      </c>
      <c r="T187" s="14" t="n">
        <f aca="false">((I187+J187+K187)*'Prices&amp;Fuel'!H187*'Prices&amp;Fuel'!L187)+('Prices&amp;Fuel'!N187*'Prices&amp;Fuel'!H187*Transport!L187)+(('Long Term Deals'!BB187+'Long Term Deals'!BC187+'Long Term Deals'!BD187)*'Prices&amp;Fuel'!H187*'Prices&amp;Fuel'!M187)</f>
        <v>194711.232439118</v>
      </c>
      <c r="U187" s="7" t="n">
        <f aca="false">S187*B187*'Prices&amp;Fuel'!M187</f>
        <v>0</v>
      </c>
      <c r="V187" s="7" t="n">
        <f aca="false">35793-20000</f>
        <v>15793</v>
      </c>
      <c r="W187" s="14" t="n">
        <f aca="false">P187-R187-V187</f>
        <v>0</v>
      </c>
    </row>
    <row r="188" customFormat="false" ht="11.25" hidden="false" customHeight="false" outlineLevel="0" collapsed="false">
      <c r="A188" s="6" t="n">
        <f aca="false">+A187+365/12</f>
        <v>41315.25</v>
      </c>
      <c r="B188" s="1" t="n">
        <v>28</v>
      </c>
      <c r="C188" s="27" t="n">
        <v>-0.147536839080916</v>
      </c>
      <c r="E188" s="28" t="n">
        <v>0.0245000000000002</v>
      </c>
      <c r="F188" s="1" t="n">
        <f aca="false">7761-1128-1707</f>
        <v>4926</v>
      </c>
      <c r="G188" s="1" t="n">
        <f aca="false">14039-666-3474-4167</f>
        <v>5732</v>
      </c>
      <c r="H188" s="1" t="n">
        <f aca="false">18200-4732-4126</f>
        <v>9342</v>
      </c>
      <c r="I188" s="1" t="n">
        <v>2563</v>
      </c>
      <c r="J188" s="1" t="n">
        <v>2862</v>
      </c>
      <c r="K188" s="1" t="n">
        <v>1685</v>
      </c>
      <c r="L188" s="1" t="n">
        <v>683</v>
      </c>
      <c r="M188" s="7" t="n">
        <f aca="false">F188+I188</f>
        <v>7489</v>
      </c>
      <c r="N188" s="7" t="n">
        <f aca="false">G188+J188+L188</f>
        <v>9277</v>
      </c>
      <c r="O188" s="7" t="n">
        <f aca="false">H188+K188</f>
        <v>11027</v>
      </c>
      <c r="P188" s="7" t="n">
        <f aca="false">SUM(M188:O188)</f>
        <v>27793</v>
      </c>
      <c r="Q188" s="7" t="n">
        <f aca="false">'Index Price Deals'!B188+'Index Price Deals'!C188+'Index Price Deals'!D188-'Prices&amp;Fuel'!AE188</f>
        <v>0</v>
      </c>
      <c r="R188" s="1" t="n">
        <f aca="false">('Long Term Deals'!BB188+'Long Term Deals'!BC188+'Long Term Deals'!BD188+'Long Term Deals'!BE188+'Long Term Deals'!BF188+'Long Term Deals'!BG188)*(1-'Prices&amp;Fuel'!F188)</f>
        <v>12000</v>
      </c>
      <c r="S188" s="14" t="n">
        <f aca="false">P188-Q188-R188-V188</f>
        <v>0</v>
      </c>
      <c r="T188" s="14" t="n">
        <f aca="false">((I188+J188+K188)*'Prices&amp;Fuel'!H188*'Prices&amp;Fuel'!L188)+('Prices&amp;Fuel'!N188*'Prices&amp;Fuel'!H188*Transport!L188)+(('Long Term Deals'!BB188+'Long Term Deals'!BC188+'Long Term Deals'!BD188)*'Prices&amp;Fuel'!H188*'Prices&amp;Fuel'!M188)</f>
        <v>175868.209945009</v>
      </c>
      <c r="U188" s="7" t="n">
        <f aca="false">S188*B188*'Prices&amp;Fuel'!M188</f>
        <v>0</v>
      </c>
      <c r="V188" s="7" t="n">
        <f aca="false">35793-20000</f>
        <v>15793</v>
      </c>
      <c r="W188" s="14" t="n">
        <f aca="false">P188-R188-V188</f>
        <v>0</v>
      </c>
    </row>
    <row r="189" customFormat="false" ht="11.25" hidden="false" customHeight="false" outlineLevel="0" collapsed="false">
      <c r="A189" s="6" t="n">
        <f aca="false">+A188+365/12</f>
        <v>41345.6666666667</v>
      </c>
      <c r="B189" s="1" t="n">
        <v>31</v>
      </c>
      <c r="C189" s="27" t="n">
        <v>-0.122572601724992</v>
      </c>
      <c r="E189" s="28" t="n">
        <v>0.0195000000000003</v>
      </c>
      <c r="F189" s="1" t="n">
        <f aca="false">7761-1128-1707</f>
        <v>4926</v>
      </c>
      <c r="G189" s="1" t="n">
        <f aca="false">14039-666-3474-4167</f>
        <v>5732</v>
      </c>
      <c r="H189" s="1" t="n">
        <f aca="false">18200-4732-4126</f>
        <v>9342</v>
      </c>
      <c r="I189" s="1" t="n">
        <v>2563</v>
      </c>
      <c r="J189" s="1" t="n">
        <v>2862</v>
      </c>
      <c r="K189" s="1" t="n">
        <v>1685</v>
      </c>
      <c r="L189" s="1" t="n">
        <v>683</v>
      </c>
      <c r="M189" s="7" t="n">
        <f aca="false">F189+I189</f>
        <v>7489</v>
      </c>
      <c r="N189" s="7" t="n">
        <f aca="false">G189+J189+L189</f>
        <v>9277</v>
      </c>
      <c r="O189" s="7" t="n">
        <f aca="false">H189+K189</f>
        <v>11027</v>
      </c>
      <c r="P189" s="7" t="n">
        <f aca="false">SUM(M189:O189)</f>
        <v>27793</v>
      </c>
      <c r="Q189" s="7" t="n">
        <f aca="false">'Index Price Deals'!B189+'Index Price Deals'!C189+'Index Price Deals'!D189-'Prices&amp;Fuel'!AE189</f>
        <v>0</v>
      </c>
      <c r="R189" s="1" t="n">
        <f aca="false">('Long Term Deals'!BB189+'Long Term Deals'!BC189+'Long Term Deals'!BD189+'Long Term Deals'!BE189+'Long Term Deals'!BF189+'Long Term Deals'!BG189)*(1-'Prices&amp;Fuel'!F189)</f>
        <v>12000</v>
      </c>
      <c r="S189" s="14" t="n">
        <f aca="false">P189-Q189-R189-V189</f>
        <v>0</v>
      </c>
      <c r="T189" s="14" t="n">
        <f aca="false">((I189+J189+K189)*'Prices&amp;Fuel'!H189*'Prices&amp;Fuel'!L189)+('Prices&amp;Fuel'!N189*'Prices&amp;Fuel'!H189*Transport!L189)+(('Long Term Deals'!BB189+'Long Term Deals'!BC189+'Long Term Deals'!BD189)*'Prices&amp;Fuel'!H189*'Prices&amp;Fuel'!M189)</f>
        <v>194711.232439118</v>
      </c>
      <c r="U189" s="7" t="n">
        <f aca="false">S189*B189*'Prices&amp;Fuel'!M189</f>
        <v>0</v>
      </c>
      <c r="V189" s="7" t="n">
        <f aca="false">35793-20000</f>
        <v>15793</v>
      </c>
      <c r="W189" s="14" t="n">
        <f aca="false">P189-R189-V189</f>
        <v>0</v>
      </c>
    </row>
    <row r="190" customFormat="false" ht="11.25" hidden="false" customHeight="false" outlineLevel="0" collapsed="false">
      <c r="A190" s="6" t="n">
        <f aca="false">+A189+365/12</f>
        <v>41376.0833333333</v>
      </c>
      <c r="B190" s="1" t="n">
        <v>30</v>
      </c>
      <c r="C190" s="27" t="n">
        <v>-0.0730896150216878</v>
      </c>
      <c r="E190" s="28" t="n">
        <v>0.00599999999999978</v>
      </c>
      <c r="F190" s="1" t="n">
        <f aca="false">7761-828</f>
        <v>6933</v>
      </c>
      <c r="G190" s="1" t="n">
        <f aca="false">14039-5241</f>
        <v>8798</v>
      </c>
      <c r="H190" s="1" t="n">
        <f aca="false">18200-3931</f>
        <v>14269</v>
      </c>
      <c r="I190" s="1" t="n">
        <v>1880</v>
      </c>
      <c r="J190" s="1" t="n">
        <v>2073</v>
      </c>
      <c r="K190" s="1" t="n">
        <v>1258</v>
      </c>
      <c r="L190" s="1" t="n">
        <v>683</v>
      </c>
      <c r="M190" s="7" t="n">
        <f aca="false">F190+I190</f>
        <v>8813</v>
      </c>
      <c r="N190" s="7" t="n">
        <f aca="false">G190+J190+L190</f>
        <v>11554</v>
      </c>
      <c r="O190" s="7" t="n">
        <f aca="false">H190+K190</f>
        <v>15527</v>
      </c>
      <c r="P190" s="7" t="n">
        <f aca="false">SUM(M190:O190)</f>
        <v>35894</v>
      </c>
      <c r="Q190" s="7" t="n">
        <f aca="false">'Index Price Deals'!B190+'Index Price Deals'!C190+'Index Price Deals'!D190-'Prices&amp;Fuel'!AE190</f>
        <v>0</v>
      </c>
      <c r="R190" s="1" t="n">
        <f aca="false">('Long Term Deals'!BB190+'Long Term Deals'!BC190+'Long Term Deals'!BD190+'Long Term Deals'!BE190+'Long Term Deals'!BF190+'Long Term Deals'!BG190)*(1-'Prices&amp;Fuel'!F190)</f>
        <v>12000</v>
      </c>
      <c r="S190" s="14" t="n">
        <f aca="false">P190-Q190-R190-V190</f>
        <v>0</v>
      </c>
      <c r="T190" s="14" t="n">
        <f aca="false">((I190+J190+K190)*'Prices&amp;Fuel'!H190*'Prices&amp;Fuel'!L190)+('Prices&amp;Fuel'!N190*'Prices&amp;Fuel'!H190*Transport!L190)+(('Long Term Deals'!BB190+'Long Term Deals'!BC190+'Long Term Deals'!BD190)*'Prices&amp;Fuel'!H190*'Prices&amp;Fuel'!M190)</f>
        <v>208796.531168557</v>
      </c>
      <c r="U190" s="7" t="n">
        <f aca="false">S190*B190*'Prices&amp;Fuel'!M190</f>
        <v>0</v>
      </c>
      <c r="V190" s="7" t="n">
        <f aca="false">33894-10000</f>
        <v>23894</v>
      </c>
      <c r="W190" s="14" t="n">
        <f aca="false">P190-R190-V190</f>
        <v>0</v>
      </c>
    </row>
    <row r="191" customFormat="false" ht="11.25" hidden="false" customHeight="false" outlineLevel="0" collapsed="false">
      <c r="A191" s="6" t="n">
        <f aca="false">+A190+365/12</f>
        <v>41406.5</v>
      </c>
      <c r="B191" s="1" t="n">
        <v>31</v>
      </c>
      <c r="C191" s="27" t="n">
        <v>-0.0756430270100856</v>
      </c>
      <c r="E191" s="28" t="n">
        <v>0.00599999999999978</v>
      </c>
      <c r="F191" s="1" t="n">
        <v>8730</v>
      </c>
      <c r="G191" s="1" t="n">
        <f aca="false">15795-5034</f>
        <v>10761</v>
      </c>
      <c r="H191" s="1" t="n">
        <f aca="false">20475-4966</f>
        <v>15509</v>
      </c>
      <c r="I191" s="1" t="n">
        <v>1880</v>
      </c>
      <c r="J191" s="1" t="n">
        <v>2295</v>
      </c>
      <c r="K191" s="1" t="n">
        <v>1036</v>
      </c>
      <c r="L191" s="1" t="n">
        <v>683</v>
      </c>
      <c r="M191" s="7" t="n">
        <f aca="false">F191+I191</f>
        <v>10610</v>
      </c>
      <c r="N191" s="7" t="n">
        <f aca="false">G191+J191+L191</f>
        <v>13739</v>
      </c>
      <c r="O191" s="7" t="n">
        <f aca="false">H191+K191</f>
        <v>16545</v>
      </c>
      <c r="P191" s="7" t="n">
        <f aca="false">SUM(M191:O191)</f>
        <v>40894</v>
      </c>
      <c r="Q191" s="7" t="n">
        <f aca="false">'Index Price Deals'!B191+'Index Price Deals'!C191+'Index Price Deals'!D191-'Prices&amp;Fuel'!AE191</f>
        <v>0</v>
      </c>
      <c r="R191" s="1" t="n">
        <f aca="false">('Long Term Deals'!BB191+'Long Term Deals'!BC191+'Long Term Deals'!BD191+'Long Term Deals'!BE191+'Long Term Deals'!BF191+'Long Term Deals'!BG191)*(1-'Prices&amp;Fuel'!F191)</f>
        <v>20999.9999999999</v>
      </c>
      <c r="S191" s="14" t="n">
        <f aca="false">P191-Q191-R191-V191</f>
        <v>1.38243194669485E-010</v>
      </c>
      <c r="T191" s="14" t="n">
        <f aca="false">((I191+J191+K191)*'Prices&amp;Fuel'!H191*'Prices&amp;Fuel'!L191)+('Prices&amp;Fuel'!N191*'Prices&amp;Fuel'!H191*Transport!L191)+(('Long Term Deals'!BB191+'Long Term Deals'!BC191+'Long Term Deals'!BD191)*'Prices&amp;Fuel'!H191*'Prices&amp;Fuel'!M191)</f>
        <v>426562.790862176</v>
      </c>
      <c r="U191" s="7" t="n">
        <f aca="false">S191*B191*'Prices&amp;Fuel'!M191</f>
        <v>3.14901408273727E-009</v>
      </c>
      <c r="V191" s="7" t="n">
        <f aca="false">29894-10000</f>
        <v>19894</v>
      </c>
      <c r="W191" s="14" t="n">
        <f aca="false">P191-R191-V191</f>
        <v>1.38243194669485E-010</v>
      </c>
    </row>
    <row r="192" customFormat="false" ht="11.25" hidden="false" customHeight="false" outlineLevel="0" collapsed="false">
      <c r="A192" s="6" t="n">
        <f aca="false">+A191+365/12</f>
        <v>41436.9166666667</v>
      </c>
      <c r="B192" s="1" t="n">
        <v>30</v>
      </c>
      <c r="C192" s="27" t="n">
        <v>-0.0756461818238532</v>
      </c>
      <c r="E192" s="28" t="n">
        <v>0.00599999999999978</v>
      </c>
      <c r="F192" s="1" t="n">
        <v>8730</v>
      </c>
      <c r="G192" s="1" t="n">
        <f aca="false">15795-5034</f>
        <v>10761</v>
      </c>
      <c r="H192" s="1" t="n">
        <f aca="false">20475-4966</f>
        <v>15509</v>
      </c>
      <c r="I192" s="1" t="n">
        <v>1880</v>
      </c>
      <c r="J192" s="1" t="n">
        <v>2295</v>
      </c>
      <c r="K192" s="1" t="n">
        <v>1036</v>
      </c>
      <c r="L192" s="1" t="n">
        <v>683</v>
      </c>
      <c r="M192" s="7" t="n">
        <f aca="false">F192+I192</f>
        <v>10610</v>
      </c>
      <c r="N192" s="7" t="n">
        <f aca="false">G192+J192+L192</f>
        <v>13739</v>
      </c>
      <c r="O192" s="7" t="n">
        <f aca="false">H192+K192</f>
        <v>16545</v>
      </c>
      <c r="P192" s="7" t="n">
        <f aca="false">SUM(M192:O192)</f>
        <v>40894</v>
      </c>
      <c r="Q192" s="7" t="n">
        <f aca="false">'Index Price Deals'!B192+'Index Price Deals'!C192+'Index Price Deals'!D192-'Prices&amp;Fuel'!AE192</f>
        <v>0</v>
      </c>
      <c r="R192" s="1" t="n">
        <f aca="false">('Long Term Deals'!BB192+'Long Term Deals'!BC192+'Long Term Deals'!BD192+'Long Term Deals'!BE192+'Long Term Deals'!BF192+'Long Term Deals'!BG192)*(1-'Prices&amp;Fuel'!F192)</f>
        <v>20999.9999999999</v>
      </c>
      <c r="S192" s="14" t="n">
        <f aca="false">P192-Q192-R192-V192</f>
        <v>1.38243194669485E-010</v>
      </c>
      <c r="T192" s="14" t="n">
        <f aca="false">((I192+J192+K192)*'Prices&amp;Fuel'!H192*'Prices&amp;Fuel'!L192)+('Prices&amp;Fuel'!N192*'Prices&amp;Fuel'!H192*Transport!L192)+(('Long Term Deals'!BB192+'Long Term Deals'!BC192+'Long Term Deals'!BD192)*'Prices&amp;Fuel'!H192*'Prices&amp;Fuel'!M192)</f>
        <v>412802.700834364</v>
      </c>
      <c r="U192" s="7" t="n">
        <f aca="false">S192*B192*'Prices&amp;Fuel'!M192</f>
        <v>3.04743298329413E-009</v>
      </c>
      <c r="V192" s="7" t="n">
        <f aca="false">29894-10000</f>
        <v>19894</v>
      </c>
      <c r="W192" s="14" t="n">
        <f aca="false">P192-R192-V192</f>
        <v>1.38243194669485E-010</v>
      </c>
    </row>
    <row r="193" customFormat="false" ht="11.25" hidden="false" customHeight="false" outlineLevel="0" collapsed="false">
      <c r="A193" s="6" t="n">
        <f aca="false">+A192+365/12</f>
        <v>41467.3333333333</v>
      </c>
      <c r="B193" s="1" t="n">
        <v>31</v>
      </c>
      <c r="C193" s="27" t="n">
        <v>-0.0801480747121137</v>
      </c>
      <c r="E193" s="28" t="n">
        <v>0.00949999999999984</v>
      </c>
      <c r="F193" s="1" t="n">
        <v>8730</v>
      </c>
      <c r="G193" s="1" t="n">
        <f aca="false">15795-5034</f>
        <v>10761</v>
      </c>
      <c r="H193" s="1" t="n">
        <f aca="false">20475-4966</f>
        <v>15509</v>
      </c>
      <c r="I193" s="1" t="n">
        <v>1880</v>
      </c>
      <c r="J193" s="1" t="n">
        <v>2295</v>
      </c>
      <c r="K193" s="1" t="n">
        <v>1036</v>
      </c>
      <c r="L193" s="1" t="n">
        <v>683</v>
      </c>
      <c r="M193" s="7" t="n">
        <f aca="false">F193+I193</f>
        <v>10610</v>
      </c>
      <c r="N193" s="7" t="n">
        <f aca="false">G193+J193+L193</f>
        <v>13739</v>
      </c>
      <c r="O193" s="7" t="n">
        <f aca="false">H193+K193</f>
        <v>16545</v>
      </c>
      <c r="P193" s="7" t="n">
        <f aca="false">SUM(M193:O193)</f>
        <v>40894</v>
      </c>
      <c r="Q193" s="7" t="n">
        <f aca="false">'Index Price Deals'!B193+'Index Price Deals'!C193+'Index Price Deals'!D193-'Prices&amp;Fuel'!AE193</f>
        <v>0</v>
      </c>
      <c r="R193" s="1" t="n">
        <f aca="false">('Long Term Deals'!BB193+'Long Term Deals'!BC193+'Long Term Deals'!BD193+'Long Term Deals'!BE193+'Long Term Deals'!BF193+'Long Term Deals'!BG193)*(1-'Prices&amp;Fuel'!F193)</f>
        <v>20999.9999999999</v>
      </c>
      <c r="S193" s="14" t="n">
        <f aca="false">P193-Q193-R193-V193</f>
        <v>1.38243194669485E-010</v>
      </c>
      <c r="T193" s="14" t="n">
        <f aca="false">((I193+J193+K193)*'Prices&amp;Fuel'!H193*'Prices&amp;Fuel'!L193)+('Prices&amp;Fuel'!N193*'Prices&amp;Fuel'!H193*Transport!L193)+(('Long Term Deals'!BB193+'Long Term Deals'!BC193+'Long Term Deals'!BD193)*'Prices&amp;Fuel'!H193*'Prices&amp;Fuel'!M193)</f>
        <v>426562.790862176</v>
      </c>
      <c r="U193" s="7" t="n">
        <f aca="false">S193*B193*'Prices&amp;Fuel'!M193</f>
        <v>3.14901408273727E-009</v>
      </c>
      <c r="V193" s="7" t="n">
        <f aca="false">29894-10000</f>
        <v>19894</v>
      </c>
      <c r="W193" s="14" t="n">
        <f aca="false">P193-R193-V193</f>
        <v>1.38243194669485E-010</v>
      </c>
    </row>
    <row r="194" customFormat="false" ht="11.25" hidden="false" customHeight="false" outlineLevel="0" collapsed="false">
      <c r="A194" s="6" t="n">
        <f aca="false">+A193+365/12</f>
        <v>41497.75</v>
      </c>
      <c r="B194" s="1" t="n">
        <v>31</v>
      </c>
      <c r="C194" s="27" t="n">
        <v>-0.0801518604886344</v>
      </c>
      <c r="E194" s="28" t="n">
        <v>0.00949999999999962</v>
      </c>
      <c r="F194" s="1" t="n">
        <v>8730</v>
      </c>
      <c r="G194" s="1" t="n">
        <f aca="false">15795-5034</f>
        <v>10761</v>
      </c>
      <c r="H194" s="1" t="n">
        <f aca="false">20475-4966</f>
        <v>15509</v>
      </c>
      <c r="I194" s="1" t="n">
        <v>1880</v>
      </c>
      <c r="J194" s="1" t="n">
        <v>2295</v>
      </c>
      <c r="K194" s="1" t="n">
        <v>1036</v>
      </c>
      <c r="L194" s="1" t="n">
        <v>683</v>
      </c>
      <c r="M194" s="7" t="n">
        <f aca="false">F194+I194</f>
        <v>10610</v>
      </c>
      <c r="N194" s="7" t="n">
        <f aca="false">G194+J194+L194</f>
        <v>13739</v>
      </c>
      <c r="O194" s="7" t="n">
        <f aca="false">H194+K194</f>
        <v>16545</v>
      </c>
      <c r="P194" s="7" t="n">
        <f aca="false">SUM(M194:O194)</f>
        <v>40894</v>
      </c>
      <c r="Q194" s="7" t="n">
        <f aca="false">'Index Price Deals'!B194+'Index Price Deals'!C194+'Index Price Deals'!D194-'Prices&amp;Fuel'!AE194</f>
        <v>0</v>
      </c>
      <c r="R194" s="1" t="n">
        <f aca="false">('Long Term Deals'!BB194+'Long Term Deals'!BC194+'Long Term Deals'!BD194+'Long Term Deals'!BE194+'Long Term Deals'!BF194+'Long Term Deals'!BG194)*(1-'Prices&amp;Fuel'!F194)</f>
        <v>20999.9999999999</v>
      </c>
      <c r="S194" s="14" t="n">
        <f aca="false">P194-Q194-R194-V194</f>
        <v>1.38243194669485E-010</v>
      </c>
      <c r="T194" s="14" t="n">
        <f aca="false">((I194+J194+K194)*'Prices&amp;Fuel'!H194*'Prices&amp;Fuel'!L194)+('Prices&amp;Fuel'!N194*'Prices&amp;Fuel'!H194*Transport!L194)+(('Long Term Deals'!BB194+'Long Term Deals'!BC194+'Long Term Deals'!BD194)*'Prices&amp;Fuel'!H194*'Prices&amp;Fuel'!M194)</f>
        <v>426562.790862176</v>
      </c>
      <c r="U194" s="7" t="n">
        <f aca="false">S194*B194*'Prices&amp;Fuel'!M194</f>
        <v>3.14901408273727E-009</v>
      </c>
      <c r="V194" s="7" t="n">
        <f aca="false">29894-10000</f>
        <v>19894</v>
      </c>
      <c r="W194" s="14" t="n">
        <f aca="false">P194-R194-V194</f>
        <v>1.38243194669485E-010</v>
      </c>
    </row>
    <row r="195" customFormat="false" ht="11.25" hidden="false" customHeight="false" outlineLevel="0" collapsed="false">
      <c r="A195" s="6" t="n">
        <f aca="false">+A194+365/12</f>
        <v>41528.1666666667</v>
      </c>
      <c r="B195" s="1" t="n">
        <v>30</v>
      </c>
      <c r="C195" s="27" t="n">
        <v>-0.08015817011617</v>
      </c>
      <c r="E195" s="28" t="n">
        <v>0.00949999999999962</v>
      </c>
      <c r="F195" s="1" t="n">
        <v>8730</v>
      </c>
      <c r="G195" s="1" t="n">
        <f aca="false">15795-5034</f>
        <v>10761</v>
      </c>
      <c r="H195" s="1" t="n">
        <f aca="false">20475-4966</f>
        <v>15509</v>
      </c>
      <c r="I195" s="1" t="n">
        <v>1880</v>
      </c>
      <c r="J195" s="1" t="n">
        <v>2295</v>
      </c>
      <c r="K195" s="1" t="n">
        <v>1036</v>
      </c>
      <c r="L195" s="1" t="n">
        <v>683</v>
      </c>
      <c r="M195" s="7" t="n">
        <f aca="false">F195+I195</f>
        <v>10610</v>
      </c>
      <c r="N195" s="7" t="n">
        <f aca="false">G195+J195+L195</f>
        <v>13739</v>
      </c>
      <c r="O195" s="7" t="n">
        <f aca="false">H195+K195</f>
        <v>16545</v>
      </c>
      <c r="P195" s="7" t="n">
        <f aca="false">SUM(M195:O195)</f>
        <v>40894</v>
      </c>
      <c r="Q195" s="7" t="n">
        <f aca="false">'Index Price Deals'!B195+'Index Price Deals'!C195+'Index Price Deals'!D195-'Prices&amp;Fuel'!AE195</f>
        <v>0</v>
      </c>
      <c r="R195" s="1" t="n">
        <f aca="false">('Long Term Deals'!BB195+'Long Term Deals'!BC195+'Long Term Deals'!BD195+'Long Term Deals'!BE195+'Long Term Deals'!BF195+'Long Term Deals'!BG195)*(1-'Prices&amp;Fuel'!F195)</f>
        <v>20999.9999999999</v>
      </c>
      <c r="S195" s="14" t="n">
        <f aca="false">P195-Q195-R195-V195</f>
        <v>1.38243194669485E-010</v>
      </c>
      <c r="T195" s="14" t="n">
        <f aca="false">((I195+J195+K195)*'Prices&amp;Fuel'!H195*'Prices&amp;Fuel'!L195)+('Prices&amp;Fuel'!N195*'Prices&amp;Fuel'!H195*Transport!L195)+(('Long Term Deals'!BB195+'Long Term Deals'!BC195+'Long Term Deals'!BD195)*'Prices&amp;Fuel'!H195*'Prices&amp;Fuel'!M195)</f>
        <v>412802.700834364</v>
      </c>
      <c r="U195" s="7" t="n">
        <f aca="false">S195*B195*'Prices&amp;Fuel'!M195</f>
        <v>3.04743298329413E-009</v>
      </c>
      <c r="V195" s="7" t="n">
        <f aca="false">29894-10000</f>
        <v>19894</v>
      </c>
      <c r="W195" s="14" t="n">
        <f aca="false">P195-R195-V195</f>
        <v>1.38243194669485E-010</v>
      </c>
    </row>
    <row r="196" customFormat="false" ht="11.25" hidden="false" customHeight="false" outlineLevel="0" collapsed="false">
      <c r="A196" s="6" t="n">
        <f aca="false">+A195+365/12</f>
        <v>41558.5833333333</v>
      </c>
      <c r="B196" s="1" t="n">
        <v>31</v>
      </c>
      <c r="C196" s="27"/>
      <c r="E196" s="28"/>
      <c r="F196" s="1" t="n">
        <f aca="false">8730-0</f>
        <v>8730</v>
      </c>
      <c r="G196" s="1" t="n">
        <f aca="false">15795-5434</f>
        <v>10361</v>
      </c>
      <c r="H196" s="1" t="n">
        <f aca="false">20475-4566</f>
        <v>15909</v>
      </c>
      <c r="I196" s="1" t="n">
        <v>2830</v>
      </c>
      <c r="J196" s="1" t="n">
        <v>3500</v>
      </c>
      <c r="K196" s="1" t="n">
        <v>1521</v>
      </c>
      <c r="L196" s="1" t="n">
        <v>1001</v>
      </c>
      <c r="M196" s="7" t="n">
        <f aca="false">F196+I196</f>
        <v>11560</v>
      </c>
      <c r="N196" s="7" t="n">
        <f aca="false">G196+J196+L196</f>
        <v>14862</v>
      </c>
      <c r="O196" s="7" t="n">
        <f aca="false">H196+K196</f>
        <v>17430</v>
      </c>
      <c r="P196" s="7" t="n">
        <f aca="false">SUM(M196:O196)</f>
        <v>43852</v>
      </c>
      <c r="Q196" s="7"/>
      <c r="R196" s="1" t="n">
        <f aca="false">('Long Term Deals'!BB196+'Long Term Deals'!BC196+'Long Term Deals'!BD196+'Long Term Deals'!BE196+'Long Term Deals'!BF196+'Long Term Deals'!BG196)*(1-'Prices&amp;Fuel'!F196)</f>
        <v>20999.9999999998</v>
      </c>
      <c r="S196" s="14" t="n">
        <f aca="false">P196-Q196-R196-V196</f>
        <v>1.92812876775861E-010</v>
      </c>
      <c r="T196" s="14" t="n">
        <f aca="false">((I196+J196+K196)*'Prices&amp;Fuel'!H196*'Prices&amp;Fuel'!L196)+('Prices&amp;Fuel'!N196*'Prices&amp;Fuel'!H196*Transport!L196)+(('Long Term Deals'!BB196+'Long Term Deals'!BC196+'Long Term Deals'!BD196)*'Prices&amp;Fuel'!H196*'Prices&amp;Fuel'!M196)</f>
        <v>393781.510390926</v>
      </c>
      <c r="U196" s="7" t="n">
        <f aca="false">S196*B196*'Prices&amp;Fuel'!M196</f>
        <v>4.39204595750198E-009</v>
      </c>
      <c r="V196" s="7" t="n">
        <f aca="false">32852-10000</f>
        <v>22852</v>
      </c>
      <c r="W196" s="14" t="n">
        <f aca="false">P196-R196-V196</f>
        <v>1.92812876775861E-010</v>
      </c>
    </row>
    <row r="197" customFormat="false" ht="11.25" hidden="false" customHeight="false" outlineLevel="0" collapsed="false">
      <c r="A197" s="6" t="n">
        <f aca="false">+A196+365/12</f>
        <v>41589</v>
      </c>
      <c r="B197" s="1" t="n">
        <v>30</v>
      </c>
      <c r="C197" s="27"/>
      <c r="E197" s="28"/>
      <c r="F197" s="1" t="n">
        <f aca="false">7761-1128-1707</f>
        <v>4926</v>
      </c>
      <c r="G197" s="1" t="n">
        <f aca="false">14039-666-3474-4167</f>
        <v>5732</v>
      </c>
      <c r="H197" s="1" t="n">
        <f aca="false">18200-4732-4126</f>
        <v>9342</v>
      </c>
      <c r="M197" s="7" t="n">
        <f aca="false">F197+I197</f>
        <v>4926</v>
      </c>
      <c r="N197" s="7" t="n">
        <f aca="false">G197+J197+L197</f>
        <v>5732</v>
      </c>
      <c r="O197" s="7" t="n">
        <f aca="false">H197+K197</f>
        <v>9342</v>
      </c>
      <c r="P197" s="7" t="n">
        <f aca="false">SUM(M197:O197)</f>
        <v>20000</v>
      </c>
      <c r="S197" s="14" t="n">
        <f aca="false">P197-Q197-R197-V197</f>
        <v>4207</v>
      </c>
      <c r="T197" s="14" t="n">
        <f aca="false">((I197+J197+K197)*'Prices&amp;Fuel'!H197*'Prices&amp;Fuel'!L197)+('Prices&amp;Fuel'!N197*'Prices&amp;Fuel'!H197*Transport!L197)+(('Long Term Deals'!BB197+'Long Term Deals'!BC197+'Long Term Deals'!BD197)*'Prices&amp;Fuel'!H197*'Prices&amp;Fuel'!M197)</f>
        <v>0</v>
      </c>
      <c r="U197" s="7" t="n">
        <f aca="false">S197*B197*'Prices&amp;Fuel'!M197</f>
        <v>92739.108</v>
      </c>
      <c r="V197" s="7" t="n">
        <f aca="false">35793-20000</f>
        <v>15793</v>
      </c>
      <c r="W197" s="14" t="n">
        <f aca="false">P197-R197-V197</f>
        <v>4207</v>
      </c>
    </row>
    <row r="198" customFormat="false" ht="11.25" hidden="false" customHeight="false" outlineLevel="0" collapsed="false">
      <c r="A198" s="6" t="n">
        <f aca="false">+A197+365/12</f>
        <v>41619.4166666667</v>
      </c>
      <c r="B198" s="1" t="n">
        <v>31</v>
      </c>
      <c r="C198" s="27"/>
      <c r="E198" s="28"/>
      <c r="F198" s="1" t="n">
        <f aca="false">7761-1128-1707</f>
        <v>4926</v>
      </c>
      <c r="G198" s="1" t="n">
        <f aca="false">14039-666-3474-4167</f>
        <v>5732</v>
      </c>
      <c r="H198" s="1" t="n">
        <f aca="false">18200-4732-4126</f>
        <v>9342</v>
      </c>
      <c r="M198" s="7" t="n">
        <f aca="false">F198+I198</f>
        <v>4926</v>
      </c>
      <c r="N198" s="7" t="n">
        <f aca="false">G198+J198+L198</f>
        <v>5732</v>
      </c>
      <c r="O198" s="7" t="n">
        <f aca="false">H198+K198</f>
        <v>9342</v>
      </c>
      <c r="P198" s="7" t="n">
        <f aca="false">SUM(M198:O198)</f>
        <v>20000</v>
      </c>
      <c r="S198" s="14" t="n">
        <f aca="false">P198-Q198-R198-V198</f>
        <v>4207</v>
      </c>
      <c r="T198" s="14" t="n">
        <f aca="false">((I198+J198+K198)*'Prices&amp;Fuel'!H198*'Prices&amp;Fuel'!L198)+('Prices&amp;Fuel'!N198*'Prices&amp;Fuel'!H198*Transport!L198)+(('Long Term Deals'!BB198+'Long Term Deals'!BC198+'Long Term Deals'!BD198)*'Prices&amp;Fuel'!H198*'Prices&amp;Fuel'!M198)</f>
        <v>0</v>
      </c>
      <c r="U198" s="7" t="n">
        <f aca="false">S198*B198*'Prices&amp;Fuel'!M198</f>
        <v>95830.4116</v>
      </c>
      <c r="V198" s="7" t="n">
        <f aca="false">35793-20000</f>
        <v>15793</v>
      </c>
      <c r="W198" s="14" t="n">
        <f aca="false">P198-R198-V198</f>
        <v>4207</v>
      </c>
    </row>
    <row r="199" customFormat="false" ht="11.25" hidden="false" customHeight="false" outlineLevel="0" collapsed="false">
      <c r="A199" s="6" t="n">
        <f aca="false">+A198+365/12</f>
        <v>41649.8333333333</v>
      </c>
      <c r="B199" s="1" t="n">
        <v>31</v>
      </c>
      <c r="F199" s="1" t="n">
        <f aca="false">7761-1128-1707</f>
        <v>4926</v>
      </c>
      <c r="G199" s="1" t="n">
        <f aca="false">14039-666-3474-4167</f>
        <v>5732</v>
      </c>
      <c r="H199" s="1" t="n">
        <f aca="false">18200-4732-4126</f>
        <v>9342</v>
      </c>
      <c r="M199" s="7" t="n">
        <f aca="false">F199+I199</f>
        <v>4926</v>
      </c>
      <c r="N199" s="7" t="n">
        <f aca="false">G199+J199+L199</f>
        <v>5732</v>
      </c>
      <c r="O199" s="7" t="n">
        <f aca="false">H199+K199</f>
        <v>9342</v>
      </c>
      <c r="P199" s="7" t="n">
        <f aca="false">SUM(M199:O199)</f>
        <v>20000</v>
      </c>
      <c r="S199" s="14" t="n">
        <f aca="false">P199-Q199-R199-V199</f>
        <v>4207</v>
      </c>
      <c r="T199" s="14" t="n">
        <f aca="false">((I199+J199+K199)*'Prices&amp;Fuel'!H199*'Prices&amp;Fuel'!L199)+('Prices&amp;Fuel'!N199*'Prices&amp;Fuel'!H199*Transport!L199)+(('Long Term Deals'!BB199+'Long Term Deals'!BC199+'Long Term Deals'!BD199)*'Prices&amp;Fuel'!H199*'Prices&amp;Fuel'!M199)</f>
        <v>0</v>
      </c>
      <c r="U199" s="7" t="n">
        <f aca="false">S199*B199*'Prices&amp;Fuel'!M199</f>
        <v>95830.4116</v>
      </c>
      <c r="V199" s="7" t="n">
        <f aca="false">35793-20000</f>
        <v>15793</v>
      </c>
      <c r="W199" s="14" t="n">
        <f aca="false">P199-R199-V199</f>
        <v>4207</v>
      </c>
    </row>
    <row r="200" customFormat="false" ht="11.25" hidden="false" customHeight="false" outlineLevel="0" collapsed="false">
      <c r="A200" s="6" t="n">
        <f aca="false">+A199+365/12</f>
        <v>41680.25</v>
      </c>
      <c r="B200" s="1" t="n">
        <v>28</v>
      </c>
      <c r="F200" s="1" t="n">
        <f aca="false">7761-1128-1707</f>
        <v>4926</v>
      </c>
      <c r="G200" s="1" t="n">
        <f aca="false">14039-666-3474-4167</f>
        <v>5732</v>
      </c>
      <c r="H200" s="1" t="n">
        <f aca="false">18200-4732-4126</f>
        <v>9342</v>
      </c>
      <c r="M200" s="7" t="n">
        <f aca="false">F200+I200</f>
        <v>4926</v>
      </c>
      <c r="N200" s="7" t="n">
        <f aca="false">G200+J200+L200</f>
        <v>5732</v>
      </c>
      <c r="O200" s="7" t="n">
        <f aca="false">H200+K200</f>
        <v>9342</v>
      </c>
      <c r="P200" s="7" t="n">
        <f aca="false">SUM(M200:O200)</f>
        <v>20000</v>
      </c>
      <c r="S200" s="14" t="n">
        <f aca="false">P200-Q200-R200-V200</f>
        <v>4207</v>
      </c>
      <c r="T200" s="14" t="n">
        <f aca="false">((I200+J200+K200)*'Prices&amp;Fuel'!H200*'Prices&amp;Fuel'!L200)+('Prices&amp;Fuel'!N200*'Prices&amp;Fuel'!H200*Transport!L200)+(('Long Term Deals'!BB200+'Long Term Deals'!BC200+'Long Term Deals'!BD200)*'Prices&amp;Fuel'!H200*'Prices&amp;Fuel'!M200)</f>
        <v>0</v>
      </c>
      <c r="U200" s="7" t="n">
        <f aca="false">S200*B200*'Prices&amp;Fuel'!M200</f>
        <v>86556.5008</v>
      </c>
      <c r="V200" s="7" t="n">
        <f aca="false">35793-20000</f>
        <v>15793</v>
      </c>
      <c r="W200" s="14" t="n">
        <f aca="false">P200-R200-V200</f>
        <v>4207</v>
      </c>
    </row>
    <row r="201" customFormat="false" ht="11.25" hidden="false" customHeight="false" outlineLevel="0" collapsed="false">
      <c r="A201" s="6" t="n">
        <f aca="false">+A200+365/12</f>
        <v>41710.6666666667</v>
      </c>
      <c r="B201" s="1" t="n">
        <v>31</v>
      </c>
      <c r="F201" s="1" t="n">
        <f aca="false">7761-1128-1707</f>
        <v>4926</v>
      </c>
      <c r="G201" s="1" t="n">
        <f aca="false">14039-666-3474-4167</f>
        <v>5732</v>
      </c>
      <c r="H201" s="1" t="n">
        <f aca="false">18200-4732-4126</f>
        <v>9342</v>
      </c>
      <c r="M201" s="7" t="n">
        <f aca="false">F201+I201</f>
        <v>4926</v>
      </c>
      <c r="N201" s="7" t="n">
        <f aca="false">G201+J201+L201</f>
        <v>5732</v>
      </c>
      <c r="O201" s="7" t="n">
        <f aca="false">H201+K201</f>
        <v>9342</v>
      </c>
      <c r="P201" s="7" t="n">
        <f aca="false">SUM(M201:O201)</f>
        <v>20000</v>
      </c>
      <c r="S201" s="14" t="n">
        <f aca="false">P201-Q201-R201-V201</f>
        <v>4207</v>
      </c>
      <c r="T201" s="14" t="n">
        <f aca="false">((I201+J201+K201)*'Prices&amp;Fuel'!H201*'Prices&amp;Fuel'!L201)+('Prices&amp;Fuel'!N201*'Prices&amp;Fuel'!H201*Transport!L201)+(('Long Term Deals'!BB201+'Long Term Deals'!BC201+'Long Term Deals'!BD201)*'Prices&amp;Fuel'!H201*'Prices&amp;Fuel'!M201)</f>
        <v>0</v>
      </c>
      <c r="U201" s="7" t="n">
        <f aca="false">S201*B201*'Prices&amp;Fuel'!M201</f>
        <v>95830.4116</v>
      </c>
      <c r="V201" s="7" t="n">
        <f aca="false">35793-20000</f>
        <v>15793</v>
      </c>
      <c r="W201" s="14" t="n">
        <f aca="false">P201-R201-V201</f>
        <v>4207</v>
      </c>
    </row>
    <row r="202" customFormat="false" ht="11.25" hidden="false" customHeight="false" outlineLevel="0" collapsed="false">
      <c r="A202" s="6" t="n">
        <f aca="false">+A201+365/12</f>
        <v>41741.0833333333</v>
      </c>
      <c r="B202" s="1" t="n">
        <v>30</v>
      </c>
      <c r="F202" s="1" t="n">
        <f aca="false">7761-828</f>
        <v>6933</v>
      </c>
      <c r="G202" s="1" t="n">
        <f aca="false">14039-5241</f>
        <v>8798</v>
      </c>
      <c r="H202" s="1" t="n">
        <f aca="false">18200-3931</f>
        <v>14269</v>
      </c>
      <c r="M202" s="7" t="n">
        <f aca="false">F202+I202</f>
        <v>6933</v>
      </c>
      <c r="N202" s="7" t="n">
        <f aca="false">G202+J202+L202</f>
        <v>8798</v>
      </c>
      <c r="O202" s="7" t="n">
        <f aca="false">H202+K202</f>
        <v>14269</v>
      </c>
      <c r="P202" s="7" t="n">
        <f aca="false">SUM(M202:O202)</f>
        <v>30000</v>
      </c>
      <c r="S202" s="14" t="n">
        <f aca="false">P202-Q202-R202-V202</f>
        <v>6106</v>
      </c>
      <c r="T202" s="14" t="n">
        <f aca="false">((I202+J202+K202)*'Prices&amp;Fuel'!H202*'Prices&amp;Fuel'!L202)+('Prices&amp;Fuel'!N202*'Prices&amp;Fuel'!H202*Transport!L202)+(('Long Term Deals'!BB202+'Long Term Deals'!BC202+'Long Term Deals'!BD202)*'Prices&amp;Fuel'!H202*'Prices&amp;Fuel'!M202)</f>
        <v>0</v>
      </c>
      <c r="U202" s="7" t="n">
        <f aca="false">S202*B202*'Prices&amp;Fuel'!M202</f>
        <v>134600.664</v>
      </c>
      <c r="V202" s="7" t="n">
        <f aca="false">33894-10000</f>
        <v>23894</v>
      </c>
      <c r="W202" s="14" t="n">
        <f aca="false">P202-R202-V202</f>
        <v>6106</v>
      </c>
    </row>
    <row r="203" customFormat="false" ht="11.25" hidden="false" customHeight="false" outlineLevel="0" collapsed="false">
      <c r="A203" s="6" t="n">
        <f aca="false">+A202+365/12</f>
        <v>41771.5</v>
      </c>
      <c r="B203" s="1" t="n">
        <v>31</v>
      </c>
      <c r="F203" s="1" t="n">
        <v>8730</v>
      </c>
      <c r="G203" s="1" t="n">
        <f aca="false">15795-5034</f>
        <v>10761</v>
      </c>
      <c r="H203" s="1" t="n">
        <f aca="false">20475-4966</f>
        <v>15509</v>
      </c>
      <c r="M203" s="7" t="n">
        <f aca="false">F203+I203</f>
        <v>8730</v>
      </c>
      <c r="N203" s="7" t="n">
        <f aca="false">G203+J203+L203</f>
        <v>10761</v>
      </c>
      <c r="O203" s="7" t="n">
        <f aca="false">H203+K203</f>
        <v>15509</v>
      </c>
      <c r="P203" s="7" t="n">
        <f aca="false">SUM(M203:O203)</f>
        <v>35000</v>
      </c>
      <c r="S203" s="14" t="n">
        <f aca="false">P203-Q203-R203-V203</f>
        <v>15106</v>
      </c>
      <c r="T203" s="14" t="n">
        <f aca="false">((I203+J203+K203)*'Prices&amp;Fuel'!H203*'Prices&amp;Fuel'!L203)+('Prices&amp;Fuel'!N203*'Prices&amp;Fuel'!H203*Transport!L203)+(('Long Term Deals'!BB203+'Long Term Deals'!BC203+'Long Term Deals'!BD203)*'Prices&amp;Fuel'!H203*'Prices&amp;Fuel'!M203)</f>
        <v>0</v>
      </c>
      <c r="U203" s="7" t="n">
        <f aca="false">S203*B203*'Prices&amp;Fuel'!M203</f>
        <v>344096.5528</v>
      </c>
      <c r="V203" s="7" t="n">
        <f aca="false">29894-10000</f>
        <v>19894</v>
      </c>
      <c r="W203" s="14" t="n">
        <f aca="false">P203-R203-V203</f>
        <v>15106</v>
      </c>
    </row>
    <row r="204" customFormat="false" ht="11.25" hidden="false" customHeight="false" outlineLevel="0" collapsed="false">
      <c r="A204" s="6" t="n">
        <f aca="false">+A203+365/12</f>
        <v>41801.9166666667</v>
      </c>
      <c r="B204" s="1" t="n">
        <v>30</v>
      </c>
      <c r="F204" s="1" t="n">
        <v>8730</v>
      </c>
      <c r="G204" s="1" t="n">
        <f aca="false">15795-5034</f>
        <v>10761</v>
      </c>
      <c r="H204" s="1" t="n">
        <f aca="false">20475-4966</f>
        <v>15509</v>
      </c>
      <c r="M204" s="7" t="n">
        <f aca="false">F204+I204</f>
        <v>8730</v>
      </c>
      <c r="N204" s="7" t="n">
        <f aca="false">G204+J204+L204</f>
        <v>10761</v>
      </c>
      <c r="O204" s="7" t="n">
        <f aca="false">H204+K204</f>
        <v>15509</v>
      </c>
      <c r="P204" s="7" t="n">
        <f aca="false">SUM(M204:O204)</f>
        <v>35000</v>
      </c>
      <c r="S204" s="14" t="n">
        <f aca="false">P204-Q204-R204-V204</f>
        <v>15106</v>
      </c>
      <c r="T204" s="14" t="n">
        <f aca="false">((I204+J204+K204)*'Prices&amp;Fuel'!H204*'Prices&amp;Fuel'!L204)+('Prices&amp;Fuel'!N204*'Prices&amp;Fuel'!H204*Transport!L204)+(('Long Term Deals'!BB204+'Long Term Deals'!BC204+'Long Term Deals'!BD204)*'Prices&amp;Fuel'!H204*'Prices&amp;Fuel'!M204)</f>
        <v>0</v>
      </c>
      <c r="U204" s="7" t="n">
        <f aca="false">S204*B204*'Prices&amp;Fuel'!M204</f>
        <v>332996.664</v>
      </c>
      <c r="V204" s="7" t="n">
        <f aca="false">29894-10000</f>
        <v>19894</v>
      </c>
      <c r="W204" s="14" t="n">
        <f aca="false">P204-R204-V204</f>
        <v>15106</v>
      </c>
    </row>
    <row r="205" customFormat="false" ht="11.25" hidden="false" customHeight="false" outlineLevel="0" collapsed="false">
      <c r="A205" s="6" t="n">
        <f aca="false">+A204+365/12</f>
        <v>41832.3333333333</v>
      </c>
      <c r="B205" s="1" t="n">
        <v>31</v>
      </c>
      <c r="F205" s="1" t="n">
        <v>8730</v>
      </c>
      <c r="G205" s="1" t="n">
        <f aca="false">15795-5034</f>
        <v>10761</v>
      </c>
      <c r="H205" s="1" t="n">
        <f aca="false">20475-4966</f>
        <v>15509</v>
      </c>
      <c r="M205" s="7" t="n">
        <f aca="false">F205+I205</f>
        <v>8730</v>
      </c>
      <c r="N205" s="7" t="n">
        <f aca="false">G205+J205+L205</f>
        <v>10761</v>
      </c>
      <c r="O205" s="7" t="n">
        <f aca="false">H205+K205</f>
        <v>15509</v>
      </c>
      <c r="P205" s="7" t="n">
        <f aca="false">SUM(M205:O205)</f>
        <v>35000</v>
      </c>
      <c r="S205" s="14" t="n">
        <f aca="false">P205-Q205-R205-V205</f>
        <v>15106</v>
      </c>
      <c r="T205" s="14" t="n">
        <f aca="false">((I205+J205+K205)*'Prices&amp;Fuel'!H205*'Prices&amp;Fuel'!L205)+('Prices&amp;Fuel'!N205*'Prices&amp;Fuel'!H205*Transport!L205)+(('Long Term Deals'!BB205+'Long Term Deals'!BC205+'Long Term Deals'!BD205)*'Prices&amp;Fuel'!H205*'Prices&amp;Fuel'!M205)</f>
        <v>0</v>
      </c>
      <c r="U205" s="7" t="n">
        <f aca="false">S205*B205*'Prices&amp;Fuel'!M205</f>
        <v>344096.5528</v>
      </c>
      <c r="V205" s="7" t="n">
        <f aca="false">29894-10000</f>
        <v>19894</v>
      </c>
      <c r="W205" s="14" t="n">
        <f aca="false">P205-R205-V205</f>
        <v>15106</v>
      </c>
    </row>
    <row r="206" customFormat="false" ht="11.25" hidden="false" customHeight="false" outlineLevel="0" collapsed="false">
      <c r="A206" s="6" t="n">
        <f aca="false">+A205+365/12</f>
        <v>41862.75</v>
      </c>
      <c r="B206" s="1" t="n">
        <v>31</v>
      </c>
      <c r="F206" s="1" t="n">
        <v>8730</v>
      </c>
      <c r="G206" s="1" t="n">
        <f aca="false">15795-5034</f>
        <v>10761</v>
      </c>
      <c r="H206" s="1" t="n">
        <f aca="false">20475-4966</f>
        <v>15509</v>
      </c>
      <c r="M206" s="7" t="n">
        <f aca="false">F206+I206</f>
        <v>8730</v>
      </c>
      <c r="N206" s="7" t="n">
        <f aca="false">G206+J206+L206</f>
        <v>10761</v>
      </c>
      <c r="O206" s="7" t="n">
        <f aca="false">H206+K206</f>
        <v>15509</v>
      </c>
      <c r="P206" s="7" t="n">
        <f aca="false">SUM(M206:O206)</f>
        <v>35000</v>
      </c>
      <c r="S206" s="14" t="n">
        <f aca="false">P206-Q206-R206-V206</f>
        <v>15106</v>
      </c>
      <c r="T206" s="14" t="n">
        <f aca="false">((I206+J206+K206)*'Prices&amp;Fuel'!H206*'Prices&amp;Fuel'!L206)+('Prices&amp;Fuel'!N206*'Prices&amp;Fuel'!H206*Transport!L206)+(('Long Term Deals'!BB206+'Long Term Deals'!BC206+'Long Term Deals'!BD206)*'Prices&amp;Fuel'!H206*'Prices&amp;Fuel'!M206)</f>
        <v>0</v>
      </c>
      <c r="U206" s="7" t="n">
        <f aca="false">S206*B206*'Prices&amp;Fuel'!M206</f>
        <v>344096.5528</v>
      </c>
      <c r="V206" s="7" t="n">
        <f aca="false">29894-10000</f>
        <v>19894</v>
      </c>
      <c r="W206" s="14" t="n">
        <f aca="false">P206-R206-V206</f>
        <v>15106</v>
      </c>
    </row>
    <row r="207" customFormat="false" ht="11.25" hidden="false" customHeight="false" outlineLevel="0" collapsed="false">
      <c r="A207" s="6" t="n">
        <f aca="false">+A206+365/12</f>
        <v>41893.1666666667</v>
      </c>
      <c r="B207" s="1" t="n">
        <v>30</v>
      </c>
      <c r="F207" s="1" t="n">
        <v>8730</v>
      </c>
      <c r="G207" s="1" t="n">
        <f aca="false">15795-5034</f>
        <v>10761</v>
      </c>
      <c r="H207" s="1" t="n">
        <f aca="false">20475-4966</f>
        <v>15509</v>
      </c>
      <c r="M207" s="7" t="n">
        <f aca="false">F207+I207</f>
        <v>8730</v>
      </c>
      <c r="N207" s="7" t="n">
        <f aca="false">G207+J207+L207</f>
        <v>10761</v>
      </c>
      <c r="O207" s="7" t="n">
        <f aca="false">H207+K207</f>
        <v>15509</v>
      </c>
      <c r="P207" s="7" t="n">
        <f aca="false">SUM(M207:O207)</f>
        <v>35000</v>
      </c>
      <c r="S207" s="14" t="n">
        <f aca="false">P207-Q207-R207-V207</f>
        <v>15106</v>
      </c>
      <c r="T207" s="14" t="n">
        <f aca="false">((I207+J207+K207)*'Prices&amp;Fuel'!H207*'Prices&amp;Fuel'!L207)+('Prices&amp;Fuel'!N207*'Prices&amp;Fuel'!H207*Transport!L207)+(('Long Term Deals'!BB207+'Long Term Deals'!BC207+'Long Term Deals'!BD207)*'Prices&amp;Fuel'!H207*'Prices&amp;Fuel'!M207)</f>
        <v>0</v>
      </c>
      <c r="U207" s="7" t="n">
        <f aca="false">S207*B207*'Prices&amp;Fuel'!M207</f>
        <v>332996.664</v>
      </c>
      <c r="V207" s="7" t="n">
        <f aca="false">29894-10000</f>
        <v>19894</v>
      </c>
      <c r="W207" s="14" t="n">
        <f aca="false">P207-R207-V207</f>
        <v>15106</v>
      </c>
    </row>
    <row r="208" customFormat="false" ht="11.25" hidden="false" customHeight="false" outlineLevel="0" collapsed="false">
      <c r="A208" s="6" t="n">
        <f aca="false">+A207+365/12</f>
        <v>41923.5833333333</v>
      </c>
      <c r="B208" s="1" t="n">
        <v>31</v>
      </c>
      <c r="F208" s="1" t="n">
        <f aca="false">8730-0</f>
        <v>8730</v>
      </c>
      <c r="G208" s="1" t="n">
        <f aca="false">15795-5434</f>
        <v>10361</v>
      </c>
      <c r="H208" s="1" t="n">
        <f aca="false">20475-4566</f>
        <v>15909</v>
      </c>
      <c r="M208" s="7" t="n">
        <f aca="false">F208+I208</f>
        <v>8730</v>
      </c>
      <c r="N208" s="7" t="n">
        <f aca="false">G208+J208+L208</f>
        <v>10361</v>
      </c>
      <c r="O208" s="7" t="n">
        <f aca="false">H208+K208</f>
        <v>15909</v>
      </c>
      <c r="P208" s="7" t="n">
        <f aca="false">SUM(M208:O208)</f>
        <v>35000</v>
      </c>
      <c r="S208" s="14" t="n">
        <f aca="false">P208-Q208-R208-V208</f>
        <v>12148</v>
      </c>
      <c r="T208" s="14" t="n">
        <f aca="false">((I208+J208+K208)*'Prices&amp;Fuel'!H208*'Prices&amp;Fuel'!L208)+('Prices&amp;Fuel'!N208*'Prices&amp;Fuel'!H208*Transport!L208)+(('Long Term Deals'!BB208+'Long Term Deals'!BC208+'Long Term Deals'!BD208)*'Prices&amp;Fuel'!H208*'Prices&amp;Fuel'!M208)</f>
        <v>0</v>
      </c>
      <c r="U208" s="7" t="n">
        <f aca="false">S208*B208*'Prices&amp;Fuel'!M208</f>
        <v>276716.8624</v>
      </c>
      <c r="V208" s="7" t="n">
        <f aca="false">32852-10000</f>
        <v>22852</v>
      </c>
      <c r="W208" s="14" t="n">
        <f aca="false">P208-R208-V208</f>
        <v>12148</v>
      </c>
    </row>
    <row r="209" customFormat="false" ht="11.25" hidden="false" customHeight="false" outlineLevel="0" collapsed="false">
      <c r="A209" s="6" t="n">
        <f aca="false">+A208+365/12</f>
        <v>41954</v>
      </c>
      <c r="B209" s="1" t="n">
        <v>30</v>
      </c>
      <c r="F209" s="1" t="n">
        <f aca="false">7761-1128-1707</f>
        <v>4926</v>
      </c>
      <c r="G209" s="1" t="n">
        <f aca="false">14039-666-3474-4167</f>
        <v>5732</v>
      </c>
      <c r="H209" s="1" t="n">
        <f aca="false">18200-4732-4126</f>
        <v>9342</v>
      </c>
      <c r="M209" s="7" t="n">
        <f aca="false">F209+I209</f>
        <v>4926</v>
      </c>
      <c r="N209" s="7" t="n">
        <f aca="false">G209+J209+L209</f>
        <v>5732</v>
      </c>
      <c r="O209" s="7" t="n">
        <f aca="false">H209+K209</f>
        <v>9342</v>
      </c>
      <c r="P209" s="7" t="n">
        <f aca="false">SUM(M209:O209)</f>
        <v>20000</v>
      </c>
      <c r="S209" s="14" t="n">
        <f aca="false">P209-Q209-R209-V209</f>
        <v>4207</v>
      </c>
      <c r="T209" s="14" t="n">
        <f aca="false">((I209+J209+K209)*'Prices&amp;Fuel'!H209*'Prices&amp;Fuel'!L209)+('Prices&amp;Fuel'!N209*'Prices&amp;Fuel'!H209*Transport!L209)+(('Long Term Deals'!BB209+'Long Term Deals'!BC209+'Long Term Deals'!BD209)*'Prices&amp;Fuel'!H209*'Prices&amp;Fuel'!M209)</f>
        <v>0</v>
      </c>
      <c r="U209" s="7" t="n">
        <f aca="false">S209*B209*'Prices&amp;Fuel'!M209</f>
        <v>92739.108</v>
      </c>
      <c r="V209" s="7" t="n">
        <f aca="false">35793-20000</f>
        <v>15793</v>
      </c>
      <c r="W209" s="14" t="n">
        <f aca="false">P209-R209-V209</f>
        <v>4207</v>
      </c>
    </row>
    <row r="210" customFormat="false" ht="11.25" hidden="false" customHeight="false" outlineLevel="0" collapsed="false">
      <c r="A210" s="6" t="n">
        <f aca="false">+A209+365/12</f>
        <v>41984.4166666667</v>
      </c>
      <c r="B210" s="1" t="n">
        <v>31</v>
      </c>
      <c r="F210" s="1" t="n">
        <f aca="false">7761-1128-1707</f>
        <v>4926</v>
      </c>
      <c r="G210" s="1" t="n">
        <f aca="false">14039-666-3474-4167</f>
        <v>5732</v>
      </c>
      <c r="H210" s="1" t="n">
        <f aca="false">18200-4732-4126</f>
        <v>9342</v>
      </c>
      <c r="M210" s="7" t="n">
        <f aca="false">F210+I210</f>
        <v>4926</v>
      </c>
      <c r="N210" s="7" t="n">
        <f aca="false">G210+J210+L210</f>
        <v>5732</v>
      </c>
      <c r="O210" s="7" t="n">
        <f aca="false">H210+K210</f>
        <v>9342</v>
      </c>
      <c r="P210" s="7" t="n">
        <f aca="false">SUM(M210:O210)</f>
        <v>20000</v>
      </c>
      <c r="S210" s="14" t="n">
        <f aca="false">P210-Q210-R210-V210</f>
        <v>4207</v>
      </c>
      <c r="T210" s="14" t="n">
        <f aca="false">((I210+J210+K210)*'Prices&amp;Fuel'!H210*'Prices&amp;Fuel'!L210)+('Prices&amp;Fuel'!N210*'Prices&amp;Fuel'!H210*Transport!L210)+(('Long Term Deals'!BB210+'Long Term Deals'!BC210+'Long Term Deals'!BD210)*'Prices&amp;Fuel'!H210*'Prices&amp;Fuel'!M210)</f>
        <v>0</v>
      </c>
      <c r="U210" s="7" t="n">
        <f aca="false">S210*B210*'Prices&amp;Fuel'!M210</f>
        <v>95830.4116</v>
      </c>
      <c r="V210" s="7" t="n">
        <f aca="false">35793-20000</f>
        <v>15793</v>
      </c>
      <c r="W210" s="14" t="n">
        <f aca="false">P210-R210-V210</f>
        <v>4207</v>
      </c>
    </row>
    <row r="211" customFormat="false" ht="11.25" hidden="false" customHeight="false" outlineLevel="0" collapsed="false">
      <c r="A211" s="6" t="n">
        <f aca="false">+A210+365/12</f>
        <v>42014.8333333333</v>
      </c>
      <c r="B211" s="1" t="n">
        <v>31</v>
      </c>
      <c r="F211" s="1" t="n">
        <f aca="false">7761-1128-1707</f>
        <v>4926</v>
      </c>
      <c r="G211" s="1" t="n">
        <f aca="false">14039-666-3474-4167</f>
        <v>5732</v>
      </c>
      <c r="H211" s="1" t="n">
        <f aca="false">18200-4732-4126</f>
        <v>9342</v>
      </c>
      <c r="M211" s="7" t="n">
        <f aca="false">F211+I211</f>
        <v>4926</v>
      </c>
      <c r="N211" s="7" t="n">
        <f aca="false">G211+J211+L211</f>
        <v>5732</v>
      </c>
      <c r="O211" s="7" t="n">
        <f aca="false">H211+K211</f>
        <v>9342</v>
      </c>
      <c r="P211" s="7" t="n">
        <f aca="false">SUM(M211:O211)</f>
        <v>20000</v>
      </c>
      <c r="S211" s="14" t="n">
        <f aca="false">P211-Q211-R211-V211</f>
        <v>4207</v>
      </c>
      <c r="T211" s="14" t="n">
        <f aca="false">((I211+J211+K211)*'Prices&amp;Fuel'!H211*'Prices&amp;Fuel'!L211)+('Prices&amp;Fuel'!N211*'Prices&amp;Fuel'!H211*Transport!L211)+(('Long Term Deals'!BB211+'Long Term Deals'!BC211+'Long Term Deals'!BD211)*'Prices&amp;Fuel'!H211*'Prices&amp;Fuel'!M211)</f>
        <v>0</v>
      </c>
      <c r="U211" s="7" t="n">
        <f aca="false">S211*B211*'Prices&amp;Fuel'!M211</f>
        <v>95830.4116</v>
      </c>
      <c r="V211" s="7" t="n">
        <f aca="false">35793-20000</f>
        <v>15793</v>
      </c>
      <c r="W211" s="14" t="n">
        <f aca="false">P211-R211-V211</f>
        <v>4207</v>
      </c>
    </row>
    <row r="212" customFormat="false" ht="11.25" hidden="false" customHeight="false" outlineLevel="0" collapsed="false">
      <c r="A212" s="6" t="n">
        <f aca="false">+A211+365/12</f>
        <v>42045.25</v>
      </c>
      <c r="B212" s="1" t="n">
        <v>28</v>
      </c>
      <c r="F212" s="1" t="n">
        <f aca="false">7761-1128-1707</f>
        <v>4926</v>
      </c>
      <c r="G212" s="1" t="n">
        <f aca="false">14039-666-3474-4167</f>
        <v>5732</v>
      </c>
      <c r="H212" s="1" t="n">
        <f aca="false">18200-4732-4126</f>
        <v>9342</v>
      </c>
      <c r="M212" s="7" t="n">
        <f aca="false">F212+I212</f>
        <v>4926</v>
      </c>
      <c r="N212" s="7" t="n">
        <f aca="false">G212+J212+L212</f>
        <v>5732</v>
      </c>
      <c r="O212" s="7" t="n">
        <f aca="false">H212+K212</f>
        <v>9342</v>
      </c>
      <c r="P212" s="7" t="n">
        <f aca="false">SUM(M212:O212)</f>
        <v>20000</v>
      </c>
      <c r="S212" s="14" t="n">
        <f aca="false">P212-Q212-R212-V212</f>
        <v>4207</v>
      </c>
      <c r="T212" s="14" t="n">
        <f aca="false">((I212+J212+K212)*'Prices&amp;Fuel'!H212*'Prices&amp;Fuel'!L212)+('Prices&amp;Fuel'!N212*'Prices&amp;Fuel'!H212*Transport!L212)+(('Long Term Deals'!BB212+'Long Term Deals'!BC212+'Long Term Deals'!BD212)*'Prices&amp;Fuel'!H212*'Prices&amp;Fuel'!M212)</f>
        <v>0</v>
      </c>
      <c r="U212" s="7" t="n">
        <f aca="false">S212*B212*'Prices&amp;Fuel'!M212</f>
        <v>86556.5008</v>
      </c>
      <c r="V212" s="7" t="n">
        <f aca="false">35793-20000</f>
        <v>15793</v>
      </c>
      <c r="W212" s="14" t="n">
        <f aca="false">P212-R212-V212</f>
        <v>4207</v>
      </c>
    </row>
    <row r="213" customFormat="false" ht="11.25" hidden="false" customHeight="false" outlineLevel="0" collapsed="false">
      <c r="A213" s="1"/>
      <c r="U213" s="7"/>
      <c r="V213" s="7"/>
      <c r="W213" s="14"/>
    </row>
    <row r="214" customFormat="false" ht="11.25" hidden="false" customHeight="false" outlineLevel="0" collapsed="false">
      <c r="A214" s="1"/>
      <c r="U214" s="7"/>
      <c r="V214" s="7"/>
      <c r="W214" s="14"/>
    </row>
    <row r="215" customFormat="false" ht="11.25" hidden="false" customHeight="false" outlineLevel="0" collapsed="false">
      <c r="A215" s="1"/>
      <c r="U215" s="7"/>
      <c r="V215" s="7"/>
      <c r="W215" s="14"/>
    </row>
    <row r="216" customFormat="false" ht="11.25" hidden="false" customHeight="false" outlineLevel="0" collapsed="false">
      <c r="A216" s="1"/>
      <c r="U216" s="7"/>
      <c r="V216" s="7"/>
      <c r="W216" s="14"/>
    </row>
    <row r="217" customFormat="false" ht="11.25" hidden="false" customHeight="false" outlineLevel="0" collapsed="false">
      <c r="A217" s="1"/>
      <c r="U217" s="7"/>
      <c r="V217" s="7"/>
      <c r="W217" s="14"/>
    </row>
    <row r="218" customFormat="false" ht="11.25" hidden="false" customHeight="false" outlineLevel="0" collapsed="false">
      <c r="A218" s="1"/>
      <c r="U218" s="7"/>
      <c r="V218" s="7"/>
      <c r="W218" s="14"/>
    </row>
    <row r="219" customFormat="false" ht="11.25" hidden="false" customHeight="false" outlineLevel="0" collapsed="false">
      <c r="A219" s="1"/>
      <c r="U219" s="7"/>
      <c r="V219" s="7"/>
      <c r="W219" s="14"/>
    </row>
    <row r="220" customFormat="false" ht="11.25" hidden="false" customHeight="false" outlineLevel="0" collapsed="false">
      <c r="A220" s="1"/>
      <c r="W220" s="14"/>
    </row>
    <row r="221" customFormat="false" ht="11.25" hidden="false" customHeight="false" outlineLevel="0" collapsed="false">
      <c r="A221" s="1"/>
      <c r="W221" s="14"/>
    </row>
    <row r="222" customFormat="false" ht="11.25" hidden="false" customHeight="false" outlineLevel="0" collapsed="false">
      <c r="A222" s="1"/>
      <c r="W222" s="14"/>
    </row>
    <row r="223" customFormat="false" ht="11.25" hidden="false" customHeight="false" outlineLevel="0" collapsed="false">
      <c r="A223" s="1"/>
      <c r="W223" s="14"/>
    </row>
    <row r="224" customFormat="false" ht="11.25" hidden="false" customHeight="false" outlineLevel="0" collapsed="false">
      <c r="A224" s="1"/>
      <c r="W224" s="14"/>
    </row>
    <row r="225" customFormat="false" ht="11.25" hidden="false" customHeight="false" outlineLevel="0" collapsed="false">
      <c r="A225" s="1"/>
      <c r="W225" s="14"/>
    </row>
    <row r="226" customFormat="false" ht="11.25" hidden="false" customHeight="false" outlineLevel="0" collapsed="false">
      <c r="A226" s="1"/>
      <c r="W226" s="14"/>
    </row>
    <row r="227" customFormat="false" ht="11.25" hidden="false" customHeight="false" outlineLevel="0" collapsed="false">
      <c r="A227" s="1"/>
      <c r="W227" s="14"/>
    </row>
    <row r="228" customFormat="false" ht="11.25" hidden="false" customHeight="false" outlineLevel="0" collapsed="false">
      <c r="A228" s="1"/>
      <c r="W228" s="14"/>
    </row>
    <row r="229" customFormat="false" ht="11.25" hidden="false" customHeight="false" outlineLevel="0" collapsed="false">
      <c r="A229" s="1"/>
      <c r="W229" s="14"/>
    </row>
    <row r="230" customFormat="false" ht="11.25" hidden="false" customHeight="false" outlineLevel="0" collapsed="false">
      <c r="A230" s="1"/>
      <c r="W230" s="14"/>
    </row>
    <row r="231" customFormat="false" ht="11.25" hidden="false" customHeight="false" outlineLevel="0" collapsed="false">
      <c r="A231" s="1"/>
      <c r="W231" s="14"/>
    </row>
    <row r="232" customFormat="false" ht="11.25" hidden="false" customHeight="false" outlineLevel="0" collapsed="false">
      <c r="A232" s="1"/>
      <c r="W232" s="14"/>
    </row>
    <row r="233" customFormat="false" ht="11.25" hidden="false" customHeight="false" outlineLevel="0" collapsed="false">
      <c r="A233" s="1"/>
      <c r="W233" s="14"/>
    </row>
    <row r="234" customFormat="false" ht="11.25" hidden="false" customHeight="false" outlineLevel="0" collapsed="false">
      <c r="A234" s="1"/>
      <c r="W234" s="14"/>
    </row>
    <row r="235" customFormat="false" ht="11.25" hidden="false" customHeight="false" outlineLevel="0" collapsed="false">
      <c r="A235" s="1"/>
      <c r="W235" s="14"/>
    </row>
    <row r="236" customFormat="false" ht="11.25" hidden="false" customHeight="false" outlineLevel="0" collapsed="false">
      <c r="A236" s="1"/>
      <c r="W236" s="14"/>
    </row>
    <row r="237" customFormat="false" ht="11.25" hidden="false" customHeight="false" outlineLevel="0" collapsed="false">
      <c r="A237" s="1"/>
      <c r="W237" s="14"/>
    </row>
    <row r="238" customFormat="false" ht="11.25" hidden="false" customHeight="false" outlineLevel="0" collapsed="false">
      <c r="A238" s="1"/>
      <c r="W238" s="14"/>
    </row>
    <row r="239" customFormat="false" ht="11.25" hidden="false" customHeight="false" outlineLevel="0" collapsed="false">
      <c r="A239" s="1"/>
      <c r="W239" s="14"/>
    </row>
    <row r="240" customFormat="false" ht="11.25" hidden="false" customHeight="false" outlineLevel="0" collapsed="false">
      <c r="A240" s="1"/>
      <c r="W240" s="14"/>
    </row>
    <row r="241" customFormat="false" ht="11.25" hidden="false" customHeight="false" outlineLevel="0" collapsed="false">
      <c r="A241" s="1"/>
      <c r="W241" s="14"/>
    </row>
    <row r="242" customFormat="false" ht="11.25" hidden="false" customHeight="false" outlineLevel="0" collapsed="false">
      <c r="A242" s="1"/>
      <c r="W242" s="14"/>
    </row>
    <row r="243" customFormat="false" ht="11.25" hidden="false" customHeight="false" outlineLevel="0" collapsed="false">
      <c r="A243" s="1"/>
      <c r="W243" s="14"/>
    </row>
    <row r="244" customFormat="false" ht="11.25" hidden="false" customHeight="false" outlineLevel="0" collapsed="false">
      <c r="A244" s="1"/>
      <c r="W244" s="14"/>
    </row>
    <row r="245" customFormat="false" ht="11.25" hidden="false" customHeight="false" outlineLevel="0" collapsed="false">
      <c r="A245" s="1"/>
      <c r="W245" s="14"/>
    </row>
    <row r="246" customFormat="false" ht="11.25" hidden="false" customHeight="false" outlineLevel="0" collapsed="false">
      <c r="A246" s="1"/>
      <c r="W246" s="14"/>
    </row>
    <row r="247" customFormat="false" ht="11.25" hidden="false" customHeight="false" outlineLevel="0" collapsed="false">
      <c r="A247" s="1"/>
      <c r="W247" s="14"/>
    </row>
    <row r="248" customFormat="false" ht="11.25" hidden="false" customHeight="false" outlineLevel="0" collapsed="false">
      <c r="A248" s="1"/>
      <c r="W248" s="14"/>
    </row>
    <row r="249" customFormat="false" ht="11.25" hidden="false" customHeight="false" outlineLevel="0" collapsed="false">
      <c r="A249" s="1"/>
      <c r="W249" s="14"/>
    </row>
    <row r="250" customFormat="false" ht="11.25" hidden="false" customHeight="false" outlineLevel="0" collapsed="false">
      <c r="A250" s="1"/>
      <c r="W250" s="14"/>
    </row>
    <row r="251" customFormat="false" ht="11.25" hidden="false" customHeight="false" outlineLevel="0" collapsed="false">
      <c r="A251" s="1"/>
      <c r="W251" s="14"/>
    </row>
    <row r="252" customFormat="false" ht="11.25" hidden="false" customHeight="false" outlineLevel="0" collapsed="false">
      <c r="A252" s="1"/>
      <c r="W252" s="14"/>
    </row>
    <row r="253" customFormat="false" ht="11.25" hidden="false" customHeight="false" outlineLevel="0" collapsed="false">
      <c r="A253" s="1"/>
      <c r="W253" s="14"/>
    </row>
    <row r="254" customFormat="false" ht="11.25" hidden="false" customHeight="false" outlineLevel="0" collapsed="false">
      <c r="A254" s="1"/>
      <c r="W254" s="14"/>
    </row>
    <row r="255" customFormat="false" ht="11.25" hidden="false" customHeight="false" outlineLevel="0" collapsed="false">
      <c r="A255" s="1"/>
      <c r="W255" s="14"/>
    </row>
    <row r="256" customFormat="false" ht="11.25" hidden="false" customHeight="false" outlineLevel="0" collapsed="false">
      <c r="A256" s="1"/>
      <c r="W256" s="14"/>
    </row>
    <row r="257" customFormat="false" ht="11.25" hidden="false" customHeight="false" outlineLevel="0" collapsed="false">
      <c r="A257" s="1"/>
      <c r="W257" s="14"/>
    </row>
    <row r="258" customFormat="false" ht="11.25" hidden="false" customHeight="false" outlineLevel="0" collapsed="false">
      <c r="A258" s="1"/>
      <c r="W258" s="14"/>
    </row>
    <row r="259" customFormat="false" ht="11.25" hidden="false" customHeight="false" outlineLevel="0" collapsed="false">
      <c r="A259" s="1"/>
      <c r="W259" s="14"/>
    </row>
    <row r="260" customFormat="false" ht="11.25" hidden="false" customHeight="false" outlineLevel="0" collapsed="false">
      <c r="A260" s="1"/>
      <c r="W260" s="14"/>
    </row>
    <row r="261" customFormat="false" ht="11.25" hidden="false" customHeight="false" outlineLevel="0" collapsed="false">
      <c r="A261" s="1"/>
      <c r="W261" s="14"/>
    </row>
    <row r="262" customFormat="false" ht="11.25" hidden="false" customHeight="false" outlineLevel="0" collapsed="false">
      <c r="A262" s="1"/>
      <c r="W262" s="14"/>
    </row>
    <row r="263" customFormat="false" ht="11.25" hidden="false" customHeight="false" outlineLevel="0" collapsed="false">
      <c r="A263" s="1"/>
      <c r="W263" s="14"/>
    </row>
    <row r="264" customFormat="false" ht="11.25" hidden="false" customHeight="false" outlineLevel="0" collapsed="false">
      <c r="A264" s="1"/>
      <c r="W264" s="14"/>
    </row>
    <row r="265" customFormat="false" ht="11.25" hidden="false" customHeight="false" outlineLevel="0" collapsed="false">
      <c r="A265" s="1"/>
      <c r="W265" s="14"/>
    </row>
    <row r="266" customFormat="false" ht="11.25" hidden="false" customHeight="false" outlineLevel="0" collapsed="false">
      <c r="A266" s="1"/>
      <c r="W266" s="14"/>
    </row>
    <row r="267" customFormat="false" ht="11.25" hidden="false" customHeight="false" outlineLevel="0" collapsed="false">
      <c r="A267" s="1"/>
      <c r="W267" s="14"/>
    </row>
    <row r="268" customFormat="false" ht="11.25" hidden="false" customHeight="false" outlineLevel="0" collapsed="false">
      <c r="A268" s="1"/>
      <c r="W268" s="14"/>
    </row>
    <row r="269" customFormat="false" ht="11.25" hidden="false" customHeight="false" outlineLevel="0" collapsed="false">
      <c r="W269" s="14"/>
    </row>
    <row r="270" customFormat="false" ht="11.25" hidden="false" customHeight="false" outlineLevel="0" collapsed="false">
      <c r="W270" s="14"/>
    </row>
    <row r="271" customFormat="false" ht="11.25" hidden="false" customHeight="false" outlineLevel="0" collapsed="false">
      <c r="W271" s="14"/>
    </row>
    <row r="272" customFormat="false" ht="11.25" hidden="false" customHeight="false" outlineLevel="0" collapsed="false">
      <c r="W272" s="14"/>
    </row>
    <row r="273" customFormat="false" ht="11.25" hidden="false" customHeight="false" outlineLevel="0" collapsed="false">
      <c r="W273" s="14"/>
    </row>
    <row r="274" customFormat="false" ht="11.25" hidden="false" customHeight="false" outlineLevel="0" collapsed="false">
      <c r="W274" s="14"/>
    </row>
    <row r="275" customFormat="false" ht="11.25" hidden="false" customHeight="false" outlineLevel="0" collapsed="false">
      <c r="W275" s="14"/>
    </row>
    <row r="276" customFormat="false" ht="11.25" hidden="false" customHeight="false" outlineLevel="0" collapsed="false">
      <c r="W276" s="14"/>
    </row>
    <row r="277" customFormat="false" ht="11.25" hidden="false" customHeight="false" outlineLevel="0" collapsed="false">
      <c r="W277" s="14"/>
    </row>
    <row r="278" customFormat="false" ht="11.25" hidden="false" customHeight="false" outlineLevel="0" collapsed="false">
      <c r="W278" s="14"/>
    </row>
    <row r="279" customFormat="false" ht="11.25" hidden="false" customHeight="false" outlineLevel="0" collapsed="false">
      <c r="W279" s="14"/>
    </row>
  </sheetData>
  <mergeCells count="3">
    <mergeCell ref="F1:H1"/>
    <mergeCell ref="I1:K1"/>
    <mergeCell ref="M1:P1"/>
  </mergeCells>
  <printOptions headings="false" gridLines="tru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2" topLeftCell="B37" activePane="bottomRight" state="frozen"/>
      <selection pane="topLeft" activeCell="A1" activeCellId="0" sqref="A1"/>
      <selection pane="topRight" activeCell="B1" activeCellId="0" sqref="B1"/>
      <selection pane="bottomLeft" activeCell="A37" activeCellId="0" sqref="A37"/>
      <selection pane="bottomRight" activeCell="F41" activeCellId="0" sqref="F41"/>
    </sheetView>
  </sheetViews>
  <sheetFormatPr defaultColWidth="9.13671875" defaultRowHeight="11.25" customHeight="true" zeroHeight="false" outlineLevelRow="0" outlineLevelCol="0"/>
  <cols>
    <col collapsed="false" customWidth="false" hidden="false" outlineLevel="0" max="1" min="1" style="6" width="9.14"/>
    <col collapsed="false" customWidth="false" hidden="false" outlineLevel="0" max="4" min="2" style="29" width="9.14"/>
    <col collapsed="false" customWidth="false" hidden="false" outlineLevel="0" max="5" min="5" style="30" width="9.14"/>
    <col collapsed="false" customWidth="false" hidden="false" outlineLevel="0" max="6" min="6" style="31" width="9.14"/>
    <col collapsed="false" customWidth="false" hidden="false" outlineLevel="0" max="7" min="7" style="1" width="9.14"/>
    <col collapsed="false" customWidth="true" hidden="false" outlineLevel="0" max="8" min="8" style="1" width="2.7"/>
    <col collapsed="false" customWidth="true" hidden="true" outlineLevel="0" max="11" min="9" style="1" width="9.06"/>
    <col collapsed="false" customWidth="true" hidden="false" outlineLevel="0" max="12" min="12" style="32" width="9.99"/>
    <col collapsed="false" customWidth="false" hidden="false" outlineLevel="0" max="13" min="13" style="4" width="9.14"/>
    <col collapsed="false" customWidth="true" hidden="false" outlineLevel="0" max="14" min="14" style="8" width="7.42"/>
    <col collapsed="false" customWidth="true" hidden="false" outlineLevel="0" max="15" min="15" style="1" width="7.28"/>
    <col collapsed="false" customWidth="true" hidden="false" outlineLevel="0" max="16" min="16" style="1" width="6.99"/>
    <col collapsed="false" customWidth="false" hidden="false" outlineLevel="0" max="17" min="17" style="1" width="9.14"/>
    <col collapsed="false" customWidth="true" hidden="false" outlineLevel="0" max="23" min="18" style="1" width="6.7"/>
    <col collapsed="false" customWidth="true" hidden="false" outlineLevel="0" max="24" min="24" style="1" width="7.42"/>
    <col collapsed="false" customWidth="true" hidden="true" outlineLevel="0" max="31" min="25" style="1" width="9.06"/>
    <col collapsed="false" customWidth="false" hidden="false" outlineLevel="0" max="257" min="32" style="1" width="9.14"/>
  </cols>
  <sheetData>
    <row r="1" customFormat="false" ht="45" hidden="false" customHeight="false" outlineLevel="0" collapsed="false">
      <c r="A1" s="8"/>
      <c r="B1" s="33" t="s">
        <v>83</v>
      </c>
      <c r="C1" s="33"/>
      <c r="D1" s="33"/>
      <c r="E1" s="15" t="s">
        <v>84</v>
      </c>
      <c r="F1" s="34" t="s">
        <v>85</v>
      </c>
      <c r="G1" s="34"/>
      <c r="L1" s="32" t="s">
        <v>86</v>
      </c>
      <c r="M1" s="4" t="s">
        <v>87</v>
      </c>
      <c r="N1" s="32" t="s">
        <v>88</v>
      </c>
      <c r="O1" s="4" t="s">
        <v>89</v>
      </c>
      <c r="P1" s="4" t="s">
        <v>90</v>
      </c>
      <c r="Q1" s="4" t="s">
        <v>91</v>
      </c>
      <c r="R1" s="3" t="s">
        <v>73</v>
      </c>
      <c r="S1" s="3"/>
      <c r="T1" s="3"/>
      <c r="U1" s="3" t="s">
        <v>74</v>
      </c>
      <c r="V1" s="3"/>
      <c r="W1" s="3"/>
      <c r="X1" s="2" t="s">
        <v>75</v>
      </c>
      <c r="Y1" s="3" t="s">
        <v>92</v>
      </c>
      <c r="Z1" s="3"/>
      <c r="AA1" s="3"/>
      <c r="AB1" s="3" t="s">
        <v>93</v>
      </c>
      <c r="AC1" s="3"/>
      <c r="AD1" s="3"/>
      <c r="AF1" s="19"/>
    </row>
    <row r="2" customFormat="false" ht="11.25" hidden="false" customHeight="false" outlineLevel="0" collapsed="false">
      <c r="A2" s="23"/>
      <c r="B2" s="35" t="s">
        <v>29</v>
      </c>
      <c r="C2" s="35" t="s">
        <v>30</v>
      </c>
      <c r="D2" s="35" t="s">
        <v>31</v>
      </c>
      <c r="E2" s="26"/>
      <c r="F2" s="36" t="s">
        <v>94</v>
      </c>
      <c r="G2" s="36" t="s">
        <v>95</v>
      </c>
      <c r="H2" s="19"/>
      <c r="I2" s="19"/>
      <c r="J2" s="19"/>
      <c r="K2" s="19"/>
      <c r="N2" s="37"/>
      <c r="O2" s="19"/>
      <c r="P2" s="19"/>
      <c r="Q2" s="19"/>
      <c r="R2" s="26" t="s">
        <v>29</v>
      </c>
      <c r="S2" s="26" t="s">
        <v>30</v>
      </c>
      <c r="T2" s="26" t="s">
        <v>31</v>
      </c>
      <c r="U2" s="26" t="s">
        <v>29</v>
      </c>
      <c r="V2" s="26" t="s">
        <v>30</v>
      </c>
      <c r="W2" s="26" t="s">
        <v>31</v>
      </c>
      <c r="X2" s="26" t="s">
        <v>30</v>
      </c>
      <c r="Y2" s="26" t="s">
        <v>29</v>
      </c>
      <c r="Z2" s="26" t="s">
        <v>30</v>
      </c>
      <c r="AA2" s="26" t="s">
        <v>31</v>
      </c>
      <c r="AB2" s="26" t="s">
        <v>29</v>
      </c>
      <c r="AC2" s="26" t="s">
        <v>30</v>
      </c>
      <c r="AD2" s="26" t="s">
        <v>31</v>
      </c>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row>
    <row r="3" customFormat="false" ht="11.25" hidden="false" customHeight="false" outlineLevel="0" collapsed="false">
      <c r="A3" s="24"/>
      <c r="C3" s="35"/>
      <c r="F3" s="36"/>
      <c r="G3" s="36"/>
    </row>
    <row r="4" customFormat="false" ht="11.25" hidden="false" customHeight="false" outlineLevel="0" collapsed="false">
      <c r="A4" s="24"/>
      <c r="C4" s="35"/>
      <c r="F4" s="36"/>
      <c r="G4" s="36"/>
    </row>
    <row r="5" customFormat="false" ht="11.25" hidden="false" customHeight="false" outlineLevel="0" collapsed="false">
      <c r="A5" s="6" t="n">
        <v>35749</v>
      </c>
      <c r="B5" s="29" t="n">
        <v>3.2</v>
      </c>
      <c r="C5" s="29" t="n">
        <v>3.26</v>
      </c>
      <c r="D5" s="29" t="n">
        <v>3.2</v>
      </c>
      <c r="E5" s="29" t="n">
        <f aca="false">(3.785+3.467+3.266)/3</f>
        <v>3.506</v>
      </c>
      <c r="F5" s="31" t="n">
        <v>0.0305</v>
      </c>
      <c r="G5" s="38" t="n">
        <v>0.0305</v>
      </c>
      <c r="H5" s="1" t="n">
        <v>30</v>
      </c>
      <c r="I5" s="27" t="n">
        <v>-0.134658140919536</v>
      </c>
      <c r="K5" s="28" t="n">
        <v>0.0175000000000001</v>
      </c>
      <c r="L5" s="32" t="n">
        <v>0.3772</v>
      </c>
      <c r="M5" s="4" t="n">
        <v>0.8157</v>
      </c>
      <c r="O5" s="1" t="n">
        <v>0.0403</v>
      </c>
      <c r="P5" s="1" t="n">
        <v>0.0235</v>
      </c>
      <c r="Q5" s="1" t="n">
        <f aca="false">1520779.74/479340</f>
        <v>3.17265352359494</v>
      </c>
      <c r="R5" s="1" t="n">
        <f aca="false">Transport!F5</f>
        <v>7761</v>
      </c>
      <c r="S5" s="1" t="n">
        <f aca="false">Transport!G5</f>
        <v>14039</v>
      </c>
      <c r="T5" s="1" t="n">
        <f aca="false">Transport!H5</f>
        <v>18200</v>
      </c>
      <c r="U5" s="1" t="n">
        <f aca="false">Transport!I5</f>
        <v>2563</v>
      </c>
      <c r="V5" s="1" t="n">
        <f aca="false">Transport!J5</f>
        <v>2862</v>
      </c>
      <c r="W5" s="1" t="n">
        <f aca="false">Transport!K5</f>
        <v>1685</v>
      </c>
      <c r="X5" s="1" t="n">
        <f aca="false">Transport!L5</f>
        <v>0</v>
      </c>
      <c r="Y5" s="1" t="n">
        <v>538</v>
      </c>
      <c r="Z5" s="1" t="n">
        <v>643</v>
      </c>
      <c r="AA5" s="1" t="n">
        <v>314</v>
      </c>
      <c r="AD5" s="1" t="n">
        <v>718</v>
      </c>
      <c r="AE5" s="1" t="n">
        <f aca="false">Y5+Z5+AA5+AD5</f>
        <v>2213</v>
      </c>
    </row>
    <row r="6" customFormat="false" ht="11.25" hidden="false" customHeight="false" outlineLevel="0" collapsed="false">
      <c r="A6" s="6" t="n">
        <f aca="false">+A5+365/12</f>
        <v>35779.4166666667</v>
      </c>
      <c r="B6" s="29" t="n">
        <v>2.45</v>
      </c>
      <c r="C6" s="29" t="n">
        <v>2.55</v>
      </c>
      <c r="D6" s="29" t="n">
        <v>2.49</v>
      </c>
      <c r="E6" s="29" t="n">
        <v>2.6823</v>
      </c>
      <c r="F6" s="31" t="n">
        <f aca="false">+F5</f>
        <v>0.0305</v>
      </c>
      <c r="G6" s="38" t="n">
        <f aca="false">G5</f>
        <v>0.0305</v>
      </c>
      <c r="H6" s="1" t="n">
        <v>31</v>
      </c>
      <c r="I6" s="27" t="n">
        <v>-0.154639662050322</v>
      </c>
      <c r="K6" s="28" t="n">
        <v>0.0225</v>
      </c>
      <c r="L6" s="32" t="n">
        <f aca="false">L5</f>
        <v>0.3772</v>
      </c>
      <c r="M6" s="4" t="n">
        <f aca="false">M5</f>
        <v>0.8157</v>
      </c>
      <c r="O6" s="1" t="n">
        <f aca="false">O5</f>
        <v>0.0403</v>
      </c>
      <c r="P6" s="1" t="n">
        <f aca="false">P5</f>
        <v>0.0235</v>
      </c>
      <c r="Q6" s="1" t="n">
        <f aca="false">708259.67/286051</f>
        <v>2.47599088973645</v>
      </c>
      <c r="R6" s="1" t="n">
        <f aca="false">Transport!F6</f>
        <v>7761</v>
      </c>
      <c r="S6" s="1" t="n">
        <f aca="false">Transport!G6</f>
        <v>14039</v>
      </c>
      <c r="T6" s="1" t="n">
        <f aca="false">Transport!H6</f>
        <v>18200</v>
      </c>
      <c r="U6" s="1" t="n">
        <f aca="false">Transport!I6</f>
        <v>2563</v>
      </c>
      <c r="V6" s="1" t="n">
        <f aca="false">Transport!J6</f>
        <v>2862</v>
      </c>
      <c r="W6" s="1" t="n">
        <f aca="false">Transport!K6</f>
        <v>1685</v>
      </c>
      <c r="X6" s="1" t="n">
        <f aca="false">Transport!L6</f>
        <v>0</v>
      </c>
      <c r="Y6" s="1" t="n">
        <v>538</v>
      </c>
      <c r="Z6" s="1" t="n">
        <v>643</v>
      </c>
      <c r="AA6" s="1" t="n">
        <v>314</v>
      </c>
      <c r="AD6" s="1" t="n">
        <v>718</v>
      </c>
      <c r="AE6" s="1" t="n">
        <f aca="false">Y6+Z6+AA6+AD6</f>
        <v>2213</v>
      </c>
    </row>
    <row r="7" customFormat="false" ht="11.25" hidden="false" customHeight="false" outlineLevel="0" collapsed="false">
      <c r="A7" s="6" t="n">
        <f aca="false">+A6+365/12</f>
        <v>35809.8333333333</v>
      </c>
      <c r="B7" s="29" t="n">
        <v>2.21</v>
      </c>
      <c r="C7" s="39" t="n">
        <v>2.28</v>
      </c>
      <c r="D7" s="29" t="n">
        <v>2.23</v>
      </c>
      <c r="E7" s="29" t="n">
        <v>2.269</v>
      </c>
      <c r="F7" s="31" t="n">
        <f aca="false">+F6</f>
        <v>0.0305</v>
      </c>
      <c r="G7" s="38" t="n">
        <f aca="false">G6</f>
        <v>0.0305</v>
      </c>
      <c r="H7" s="1" t="n">
        <v>31</v>
      </c>
      <c r="I7" s="27" t="n">
        <v>-0.164633782410118</v>
      </c>
      <c r="K7" s="28" t="n">
        <v>0.0225</v>
      </c>
      <c r="L7" s="32" t="n">
        <f aca="false">L6</f>
        <v>0.3772</v>
      </c>
      <c r="M7" s="4" t="n">
        <f aca="false">M6</f>
        <v>0.8157</v>
      </c>
      <c r="N7" s="8" t="n">
        <v>0.2</v>
      </c>
      <c r="O7" s="1" t="n">
        <f aca="false">O6</f>
        <v>0.0403</v>
      </c>
      <c r="P7" s="1" t="n">
        <f aca="false">P6</f>
        <v>0.0235</v>
      </c>
      <c r="Q7" s="1" t="n">
        <f aca="false">606016.25/272893</f>
        <v>2.2207101318099</v>
      </c>
      <c r="R7" s="1" t="n">
        <f aca="false">Transport!F7</f>
        <v>7761</v>
      </c>
      <c r="S7" s="1" t="n">
        <f aca="false">Transport!G7</f>
        <v>14039</v>
      </c>
      <c r="T7" s="1" t="n">
        <f aca="false">Transport!H7</f>
        <v>18200</v>
      </c>
      <c r="U7" s="1" t="n">
        <f aca="false">Transport!I7</f>
        <v>2563</v>
      </c>
      <c r="V7" s="1" t="n">
        <f aca="false">Transport!J7</f>
        <v>2862</v>
      </c>
      <c r="W7" s="1" t="n">
        <f aca="false">Transport!K7</f>
        <v>1685</v>
      </c>
      <c r="X7" s="1" t="n">
        <f aca="false">Transport!L7</f>
        <v>683</v>
      </c>
      <c r="Y7" s="1" t="n">
        <v>538</v>
      </c>
      <c r="Z7" s="1" t="n">
        <v>643</v>
      </c>
      <c r="AA7" s="1" t="n">
        <v>314</v>
      </c>
      <c r="AD7" s="1" t="n">
        <v>718</v>
      </c>
      <c r="AE7" s="1" t="n">
        <f aca="false">Y7+Z7+AA7+AD7</f>
        <v>2213</v>
      </c>
    </row>
    <row r="8" customFormat="false" ht="11.25" hidden="false" customHeight="false" outlineLevel="0" collapsed="false">
      <c r="A8" s="6" t="n">
        <f aca="false">+A7+365/12</f>
        <v>35840.25</v>
      </c>
      <c r="B8" s="29" t="n">
        <v>1.94</v>
      </c>
      <c r="C8" s="39" t="n">
        <v>2.02</v>
      </c>
      <c r="D8" s="29" t="n">
        <v>1.96</v>
      </c>
      <c r="E8" s="29" t="n">
        <f aca="false">(2.001+2.042+2.064)/3</f>
        <v>2.03566666666667</v>
      </c>
      <c r="F8" s="31" t="n">
        <v>0.0275</v>
      </c>
      <c r="G8" s="38" t="n">
        <v>0.0275</v>
      </c>
      <c r="H8" s="1" t="n">
        <v>28</v>
      </c>
      <c r="I8" s="27" t="n">
        <v>-0.149641845916684</v>
      </c>
      <c r="K8" s="28" t="n">
        <v>0.0225</v>
      </c>
      <c r="L8" s="32" t="n">
        <f aca="false">L7</f>
        <v>0.3772</v>
      </c>
      <c r="M8" s="4" t="n">
        <f aca="false">M7</f>
        <v>0.8157</v>
      </c>
      <c r="N8" s="8" t="n">
        <v>0.2</v>
      </c>
      <c r="O8" s="1" t="n">
        <f aca="false">O7</f>
        <v>0.0403</v>
      </c>
      <c r="P8" s="1" t="n">
        <f aca="false">P7</f>
        <v>0.0235</v>
      </c>
      <c r="Q8" s="1" t="n">
        <f aca="false">263528.7/134680</f>
        <v>1.95670255420255</v>
      </c>
      <c r="R8" s="1" t="n">
        <f aca="false">Transport!F8</f>
        <v>7761</v>
      </c>
      <c r="S8" s="1" t="n">
        <f aca="false">Transport!G8</f>
        <v>14039</v>
      </c>
      <c r="T8" s="1" t="n">
        <f aca="false">Transport!H8</f>
        <v>18200</v>
      </c>
      <c r="U8" s="1" t="n">
        <f aca="false">Transport!I8</f>
        <v>2563</v>
      </c>
      <c r="V8" s="1" t="n">
        <f aca="false">Transport!J8</f>
        <v>2862</v>
      </c>
      <c r="W8" s="1" t="n">
        <f aca="false">Transport!K8</f>
        <v>1685</v>
      </c>
      <c r="X8" s="1" t="n">
        <f aca="false">Transport!L8</f>
        <v>683</v>
      </c>
      <c r="Y8" s="1" t="n">
        <v>538</v>
      </c>
      <c r="Z8" s="1" t="n">
        <v>643</v>
      </c>
      <c r="AA8" s="1" t="n">
        <v>314</v>
      </c>
      <c r="AD8" s="1" t="n">
        <v>718</v>
      </c>
      <c r="AE8" s="1" t="n">
        <f aca="false">Y8+Z8+AA8+AD8</f>
        <v>2213</v>
      </c>
    </row>
    <row r="9" customFormat="false" ht="11.25" hidden="false" customHeight="false" outlineLevel="0" collapsed="false">
      <c r="A9" s="6" t="n">
        <f aca="false">+A8+365/12</f>
        <v>35870.6666666667</v>
      </c>
      <c r="B9" s="29" t="n">
        <v>2.19</v>
      </c>
      <c r="C9" s="39" t="n">
        <v>2.25</v>
      </c>
      <c r="D9" s="29" t="n">
        <v>2.19</v>
      </c>
      <c r="E9" s="29" t="n">
        <v>2.227</v>
      </c>
      <c r="F9" s="31" t="n">
        <v>0.0275</v>
      </c>
      <c r="G9" s="38" t="n">
        <v>0.0275</v>
      </c>
      <c r="H9" s="1" t="n">
        <v>31</v>
      </c>
      <c r="I9" s="27" t="n">
        <v>-0.124654781125134</v>
      </c>
      <c r="K9" s="28" t="n">
        <v>0.0174999999999996</v>
      </c>
      <c r="L9" s="32" t="n">
        <f aca="false">L8</f>
        <v>0.3772</v>
      </c>
      <c r="M9" s="4" t="n">
        <f aca="false">M8</f>
        <v>0.8157</v>
      </c>
      <c r="N9" s="8" t="n">
        <v>0.2</v>
      </c>
      <c r="O9" s="1" t="n">
        <f aca="false">O8</f>
        <v>0.0403</v>
      </c>
      <c r="P9" s="1" t="n">
        <f aca="false">P8</f>
        <v>0.0235</v>
      </c>
      <c r="R9" s="1" t="n">
        <f aca="false">Transport!F9</f>
        <v>7761</v>
      </c>
      <c r="S9" s="1" t="n">
        <f aca="false">Transport!G9</f>
        <v>14039</v>
      </c>
      <c r="T9" s="1" t="n">
        <f aca="false">Transport!H9</f>
        <v>18200</v>
      </c>
      <c r="U9" s="1" t="n">
        <f aca="false">Transport!I9</f>
        <v>2563</v>
      </c>
      <c r="V9" s="1" t="n">
        <f aca="false">Transport!J9</f>
        <v>2862</v>
      </c>
      <c r="W9" s="1" t="n">
        <f aca="false">Transport!K9</f>
        <v>1685</v>
      </c>
      <c r="X9" s="1" t="n">
        <f aca="false">Transport!L9</f>
        <v>683</v>
      </c>
      <c r="Y9" s="1" t="n">
        <v>538</v>
      </c>
      <c r="Z9" s="1" t="n">
        <v>643</v>
      </c>
      <c r="AA9" s="1" t="n">
        <v>314</v>
      </c>
      <c r="AD9" s="1" t="n">
        <v>718</v>
      </c>
      <c r="AE9" s="1" t="n">
        <f aca="false">Y9+Z9+AA9+AD9</f>
        <v>2213</v>
      </c>
    </row>
    <row r="10" customFormat="false" ht="11.25" hidden="false" customHeight="false" outlineLevel="0" collapsed="false">
      <c r="A10" s="6" t="n">
        <f aca="false">+A9+365/12</f>
        <v>35901.0833333333</v>
      </c>
      <c r="B10" s="29" t="n">
        <v>2.25</v>
      </c>
      <c r="C10" s="39" t="n">
        <v>2.29</v>
      </c>
      <c r="D10" s="29" t="n">
        <v>2.27</v>
      </c>
      <c r="E10" s="29" t="n">
        <v>2.3343</v>
      </c>
      <c r="F10" s="31" t="n">
        <v>0.0346</v>
      </c>
      <c r="G10" s="38" t="n">
        <v>0.0346</v>
      </c>
      <c r="H10" s="1" t="n">
        <v>30</v>
      </c>
      <c r="I10" s="27" t="n">
        <v>-0.0646876001983481</v>
      </c>
      <c r="K10" s="28" t="n">
        <v>0.00499999999999989</v>
      </c>
      <c r="L10" s="32" t="n">
        <f aca="false">L9</f>
        <v>0.3772</v>
      </c>
      <c r="M10" s="4" t="n">
        <f aca="false">M9</f>
        <v>0.8157</v>
      </c>
      <c r="N10" s="8" t="n">
        <v>0.2</v>
      </c>
      <c r="O10" s="1" t="n">
        <v>0.0561</v>
      </c>
      <c r="P10" s="1" t="n">
        <v>0.0393</v>
      </c>
      <c r="R10" s="1" t="n">
        <f aca="false">Transport!F10</f>
        <v>7761</v>
      </c>
      <c r="S10" s="1" t="n">
        <f aca="false">Transport!G10</f>
        <v>14039</v>
      </c>
      <c r="T10" s="1" t="n">
        <f aca="false">Transport!H10</f>
        <v>18200</v>
      </c>
      <c r="U10" s="1" t="n">
        <f aca="false">Transport!I10</f>
        <v>1880</v>
      </c>
      <c r="V10" s="1" t="n">
        <f aca="false">Transport!J10</f>
        <v>2073</v>
      </c>
      <c r="W10" s="1" t="n">
        <f aca="false">Transport!K10</f>
        <v>1258</v>
      </c>
      <c r="X10" s="1" t="n">
        <f aca="false">Transport!L10</f>
        <v>683</v>
      </c>
      <c r="Y10" s="1" t="n">
        <v>538</v>
      </c>
      <c r="Z10" s="1" t="n">
        <v>643</v>
      </c>
      <c r="AA10" s="1" t="n">
        <v>314</v>
      </c>
      <c r="AD10" s="1" t="n">
        <v>718</v>
      </c>
      <c r="AE10" s="1" t="n">
        <f aca="false">Y10+Z10+AA10+AD10</f>
        <v>2213</v>
      </c>
    </row>
    <row r="11" customFormat="false" ht="11.25" hidden="false" customHeight="false" outlineLevel="0" collapsed="false">
      <c r="A11" s="6" t="n">
        <f aca="false">+A10+365/12</f>
        <v>35931.5</v>
      </c>
      <c r="B11" s="29" t="n">
        <v>2.2</v>
      </c>
      <c r="C11" s="29" t="n">
        <v>2.25</v>
      </c>
      <c r="D11" s="29" t="n">
        <v>2.22</v>
      </c>
      <c r="E11" s="29" t="n">
        <v>2.29066666666667</v>
      </c>
      <c r="F11" s="31" t="n">
        <v>0.0296</v>
      </c>
      <c r="G11" s="38" t="n">
        <f aca="false">F11</f>
        <v>0.0296</v>
      </c>
      <c r="H11" s="1" t="n">
        <v>31</v>
      </c>
      <c r="I11" s="27" t="n">
        <v>-0.0647848561621245</v>
      </c>
      <c r="K11" s="28" t="n">
        <v>0.00499999999999989</v>
      </c>
      <c r="L11" s="32" t="n">
        <f aca="false">L10</f>
        <v>0.3772</v>
      </c>
      <c r="M11" s="4" t="n">
        <f aca="false">M10</f>
        <v>0.8157</v>
      </c>
      <c r="N11" s="8" t="n">
        <v>0.2</v>
      </c>
      <c r="O11" s="1" t="n">
        <f aca="false">O10</f>
        <v>0.0561</v>
      </c>
      <c r="P11" s="1" t="n">
        <f aca="false">P10</f>
        <v>0.0393</v>
      </c>
      <c r="R11" s="1" t="n">
        <f aca="false">Transport!F11</f>
        <v>8730</v>
      </c>
      <c r="S11" s="1" t="n">
        <f aca="false">Transport!G11</f>
        <v>15795</v>
      </c>
      <c r="T11" s="1" t="n">
        <f aca="false">Transport!H11</f>
        <v>20475</v>
      </c>
      <c r="U11" s="1" t="n">
        <f aca="false">Transport!I11</f>
        <v>1880</v>
      </c>
      <c r="V11" s="1" t="n">
        <f aca="false">Transport!J11</f>
        <v>2295</v>
      </c>
      <c r="W11" s="1" t="n">
        <f aca="false">Transport!K11</f>
        <v>1036</v>
      </c>
      <c r="X11" s="1" t="n">
        <f aca="false">Transport!L11</f>
        <v>683</v>
      </c>
      <c r="Y11" s="1" t="n">
        <v>538</v>
      </c>
      <c r="Z11" s="1" t="n">
        <v>643</v>
      </c>
      <c r="AA11" s="1" t="n">
        <v>314</v>
      </c>
      <c r="AD11" s="1" t="n">
        <v>718</v>
      </c>
      <c r="AE11" s="1" t="n">
        <f aca="false">Y11+Z11+AA11+AD11</f>
        <v>2213</v>
      </c>
    </row>
    <row r="12" customFormat="false" ht="11.25" hidden="false" customHeight="false" outlineLevel="0" collapsed="false">
      <c r="A12" s="6" t="n">
        <f aca="false">+A11+365/12</f>
        <v>35961.9166666667</v>
      </c>
      <c r="B12" s="29" t="n">
        <v>1.98</v>
      </c>
      <c r="C12" s="39" t="n">
        <v>2.03</v>
      </c>
      <c r="D12" s="29" t="n">
        <v>1.98</v>
      </c>
      <c r="E12" s="29" t="n">
        <v>2.06866666666667</v>
      </c>
      <c r="F12" s="31" t="n">
        <f aca="false">+F11</f>
        <v>0.0296</v>
      </c>
      <c r="G12" s="38" t="n">
        <f aca="false">F12</f>
        <v>0.0296</v>
      </c>
      <c r="H12" s="1" t="n">
        <v>30</v>
      </c>
      <c r="I12" s="27" t="n">
        <v>-0.0647878396668096</v>
      </c>
      <c r="K12" s="28" t="n">
        <v>0.00499999999999989</v>
      </c>
      <c r="L12" s="32" t="n">
        <f aca="false">L11</f>
        <v>0.3772</v>
      </c>
      <c r="M12" s="4" t="n">
        <f aca="false">M11</f>
        <v>0.8157</v>
      </c>
      <c r="N12" s="8" t="n">
        <v>0.2</v>
      </c>
      <c r="O12" s="1" t="n">
        <f aca="false">O11</f>
        <v>0.0561</v>
      </c>
      <c r="P12" s="1" t="n">
        <f aca="false">P11</f>
        <v>0.0393</v>
      </c>
      <c r="R12" s="1" t="n">
        <f aca="false">Transport!F12</f>
        <v>8730</v>
      </c>
      <c r="S12" s="1" t="n">
        <f aca="false">Transport!G12</f>
        <v>15795</v>
      </c>
      <c r="T12" s="1" t="n">
        <f aca="false">Transport!H12</f>
        <v>20475</v>
      </c>
      <c r="U12" s="1" t="n">
        <f aca="false">Transport!I12</f>
        <v>1880</v>
      </c>
      <c r="V12" s="1" t="n">
        <f aca="false">Transport!J12</f>
        <v>2295</v>
      </c>
      <c r="W12" s="1" t="n">
        <f aca="false">Transport!K12</f>
        <v>1036</v>
      </c>
      <c r="X12" s="1" t="n">
        <f aca="false">Transport!L12</f>
        <v>683</v>
      </c>
      <c r="Y12" s="1" t="n">
        <v>538</v>
      </c>
      <c r="Z12" s="1" t="n">
        <v>643</v>
      </c>
      <c r="AA12" s="1" t="n">
        <v>314</v>
      </c>
      <c r="AD12" s="1" t="n">
        <v>718</v>
      </c>
      <c r="AE12" s="1" t="n">
        <f aca="false">Y12+Z12+AA12+AD12</f>
        <v>2213</v>
      </c>
    </row>
    <row r="13" customFormat="false" ht="11.25" hidden="false" customHeight="false" outlineLevel="0" collapsed="false">
      <c r="A13" s="6" t="n">
        <f aca="false">+A12+365/12</f>
        <v>35992.3333333333</v>
      </c>
      <c r="B13" s="29" t="n">
        <v>2.31</v>
      </c>
      <c r="C13" s="39" t="n">
        <v>2.36</v>
      </c>
      <c r="D13" s="29" t="n">
        <v>2.29</v>
      </c>
      <c r="E13" s="29" t="n">
        <v>2.35266666666667</v>
      </c>
      <c r="F13" s="31" t="n">
        <f aca="false">+F12</f>
        <v>0.0296</v>
      </c>
      <c r="G13" s="38" t="n">
        <f aca="false">F13</f>
        <v>0.0296</v>
      </c>
      <c r="H13" s="1" t="n">
        <v>31</v>
      </c>
      <c r="I13" s="27" t="n">
        <v>-0.064787508166289</v>
      </c>
      <c r="K13" s="28" t="n">
        <v>0.00949999999999984</v>
      </c>
      <c r="L13" s="32" t="n">
        <f aca="false">L12</f>
        <v>0.3772</v>
      </c>
      <c r="M13" s="4" t="n">
        <f aca="false">M12</f>
        <v>0.8157</v>
      </c>
      <c r="N13" s="8" t="n">
        <v>0.2</v>
      </c>
      <c r="O13" s="1" t="n">
        <f aca="false">O12</f>
        <v>0.0561</v>
      </c>
      <c r="P13" s="1" t="n">
        <f aca="false">P12</f>
        <v>0.0393</v>
      </c>
      <c r="R13" s="1" t="n">
        <f aca="false">Transport!F13</f>
        <v>8730</v>
      </c>
      <c r="S13" s="1" t="n">
        <f aca="false">Transport!G13</f>
        <v>15795</v>
      </c>
      <c r="T13" s="1" t="n">
        <f aca="false">Transport!H13</f>
        <v>20475</v>
      </c>
      <c r="U13" s="1" t="n">
        <f aca="false">Transport!I13</f>
        <v>1880</v>
      </c>
      <c r="V13" s="1" t="n">
        <f aca="false">Transport!J13</f>
        <v>2295</v>
      </c>
      <c r="W13" s="1" t="n">
        <f aca="false">Transport!K13</f>
        <v>1036</v>
      </c>
      <c r="X13" s="1" t="n">
        <f aca="false">Transport!L13</f>
        <v>683</v>
      </c>
      <c r="Y13" s="1" t="n">
        <v>538</v>
      </c>
      <c r="Z13" s="1" t="n">
        <v>643</v>
      </c>
      <c r="AA13" s="1" t="n">
        <v>314</v>
      </c>
      <c r="AD13" s="1" t="n">
        <v>718</v>
      </c>
      <c r="AE13" s="1" t="n">
        <f aca="false">Y13+Z13+AA13+AD13</f>
        <v>2213</v>
      </c>
    </row>
    <row r="14" customFormat="false" ht="11.25" hidden="false" customHeight="false" outlineLevel="0" collapsed="false">
      <c r="A14" s="6" t="n">
        <f aca="false">+A13+365/12</f>
        <v>36022.75</v>
      </c>
      <c r="B14" s="29" t="n">
        <v>1.86</v>
      </c>
      <c r="C14" s="39" t="n">
        <v>1.92</v>
      </c>
      <c r="D14" s="29" t="n">
        <v>1.86</v>
      </c>
      <c r="E14" s="29" t="n">
        <v>1.953</v>
      </c>
      <c r="F14" s="31" t="n">
        <f aca="false">+F13</f>
        <v>0.0296</v>
      </c>
      <c r="G14" s="38" t="n">
        <f aca="false">F14</f>
        <v>0.0296</v>
      </c>
      <c r="H14" s="1" t="n">
        <v>31</v>
      </c>
      <c r="I14" s="27" t="n">
        <v>-0.0647867346650743</v>
      </c>
      <c r="K14" s="28" t="n">
        <v>0.00949999999999962</v>
      </c>
      <c r="L14" s="32" t="n">
        <f aca="false">L13</f>
        <v>0.3772</v>
      </c>
      <c r="M14" s="4" t="n">
        <f aca="false">M13</f>
        <v>0.8157</v>
      </c>
      <c r="N14" s="8" t="n">
        <v>0.2</v>
      </c>
      <c r="O14" s="1" t="n">
        <f aca="false">O13</f>
        <v>0.0561</v>
      </c>
      <c r="P14" s="1" t="n">
        <f aca="false">P13</f>
        <v>0.0393</v>
      </c>
      <c r="R14" s="1" t="n">
        <f aca="false">Transport!F14</f>
        <v>8730</v>
      </c>
      <c r="S14" s="1" t="n">
        <f aca="false">Transport!G14</f>
        <v>15795</v>
      </c>
      <c r="T14" s="1" t="n">
        <f aca="false">Transport!H14</f>
        <v>20475</v>
      </c>
      <c r="U14" s="1" t="n">
        <f aca="false">Transport!I14</f>
        <v>1880</v>
      </c>
      <c r="V14" s="1" t="n">
        <f aca="false">Transport!J14</f>
        <v>2295</v>
      </c>
      <c r="W14" s="1" t="n">
        <f aca="false">Transport!K14</f>
        <v>1036</v>
      </c>
      <c r="X14" s="1" t="n">
        <f aca="false">Transport!L14</f>
        <v>683</v>
      </c>
      <c r="Y14" s="1" t="n">
        <v>538</v>
      </c>
      <c r="Z14" s="1" t="n">
        <v>643</v>
      </c>
      <c r="AA14" s="1" t="n">
        <v>314</v>
      </c>
      <c r="AD14" s="1" t="n">
        <v>718</v>
      </c>
      <c r="AE14" s="1" t="n">
        <f aca="false">Y14+Z14+AA14+AD14</f>
        <v>2213</v>
      </c>
    </row>
    <row r="15" customFormat="false" ht="11.25" hidden="false" customHeight="false" outlineLevel="0" collapsed="false">
      <c r="A15" s="6" t="n">
        <f aca="false">+A14+365/12</f>
        <v>36053.1666666667</v>
      </c>
      <c r="B15" s="29" t="n">
        <v>1.57</v>
      </c>
      <c r="C15" s="39" t="n">
        <v>1.61</v>
      </c>
      <c r="D15" s="29" t="n">
        <v>1.57</v>
      </c>
      <c r="E15" s="29" t="n">
        <v>1.754</v>
      </c>
      <c r="F15" s="31" t="n">
        <f aca="false">+F14</f>
        <v>0.0296</v>
      </c>
      <c r="G15" s="38" t="n">
        <f aca="false">F15</f>
        <v>0.0296</v>
      </c>
      <c r="H15" s="1" t="n">
        <v>30</v>
      </c>
      <c r="I15" s="27" t="n">
        <v>-0.0647867346650743</v>
      </c>
      <c r="K15" s="28" t="n">
        <v>0.00949999999999962</v>
      </c>
      <c r="L15" s="32" t="n">
        <f aca="false">L14</f>
        <v>0.3772</v>
      </c>
      <c r="M15" s="4" t="n">
        <f aca="false">M14</f>
        <v>0.8157</v>
      </c>
      <c r="N15" s="8" t="n">
        <v>0.2</v>
      </c>
      <c r="O15" s="1" t="n">
        <f aca="false">O14</f>
        <v>0.0561</v>
      </c>
      <c r="P15" s="1" t="n">
        <f aca="false">P14</f>
        <v>0.0393</v>
      </c>
      <c r="R15" s="1" t="n">
        <f aca="false">Transport!F15</f>
        <v>8730</v>
      </c>
      <c r="S15" s="1" t="n">
        <f aca="false">Transport!G15</f>
        <v>15795</v>
      </c>
      <c r="T15" s="1" t="n">
        <f aca="false">Transport!H15</f>
        <v>20475</v>
      </c>
      <c r="U15" s="1" t="n">
        <f aca="false">Transport!I15</f>
        <v>1880</v>
      </c>
      <c r="V15" s="1" t="n">
        <f aca="false">Transport!J15</f>
        <v>2295</v>
      </c>
      <c r="W15" s="1" t="n">
        <f aca="false">Transport!K15</f>
        <v>1036</v>
      </c>
      <c r="X15" s="1" t="n">
        <f aca="false">Transport!L15</f>
        <v>683</v>
      </c>
      <c r="Y15" s="1" t="n">
        <v>538</v>
      </c>
      <c r="Z15" s="1" t="n">
        <v>643</v>
      </c>
      <c r="AA15" s="1" t="n">
        <v>314</v>
      </c>
      <c r="AD15" s="1" t="n">
        <v>718</v>
      </c>
      <c r="AE15" s="1" t="n">
        <f aca="false">Y15+Z15+AA15+AD15</f>
        <v>2213</v>
      </c>
    </row>
    <row r="16" customFormat="false" ht="11.25" hidden="false" customHeight="false" outlineLevel="0" collapsed="false">
      <c r="A16" s="6" t="n">
        <f aca="false">+A15+365/12</f>
        <v>36083.5833333333</v>
      </c>
      <c r="B16" s="29" t="n">
        <v>1.98</v>
      </c>
      <c r="C16" s="39" t="n">
        <v>2.03</v>
      </c>
      <c r="D16" s="29" t="n">
        <v>1.97</v>
      </c>
      <c r="E16" s="29" t="n">
        <v>2.1303</v>
      </c>
      <c r="F16" s="31" t="n">
        <v>0.0284</v>
      </c>
      <c r="G16" s="38" t="n">
        <v>0.0284</v>
      </c>
      <c r="H16" s="1" t="n">
        <v>31</v>
      </c>
      <c r="I16" s="27" t="n">
        <v>-0.0646943802207625</v>
      </c>
      <c r="K16" s="28" t="n">
        <v>0.0145</v>
      </c>
      <c r="L16" s="32" t="n">
        <f aca="false">L15</f>
        <v>0.3772</v>
      </c>
      <c r="M16" s="4" t="n">
        <f aca="false">M15</f>
        <v>0.8157</v>
      </c>
      <c r="N16" s="8" t="n">
        <v>0.2</v>
      </c>
      <c r="O16" s="1" t="n">
        <v>0.0304</v>
      </c>
      <c r="P16" s="1" t="n">
        <v>0.0136</v>
      </c>
      <c r="Q16" s="1" t="n">
        <f aca="false">(173700.03+556310.8)/(279400+86504)</f>
        <v>1.99508841116796</v>
      </c>
      <c r="R16" s="1" t="n">
        <f aca="false">Transport!F16</f>
        <v>8730</v>
      </c>
      <c r="S16" s="1" t="n">
        <f aca="false">Transport!G16</f>
        <v>15795</v>
      </c>
      <c r="T16" s="1" t="n">
        <f aca="false">Transport!H16</f>
        <v>20475</v>
      </c>
      <c r="U16" s="1" t="n">
        <f aca="false">Transport!I16</f>
        <v>2830</v>
      </c>
      <c r="V16" s="1" t="n">
        <f aca="false">Transport!J16</f>
        <v>3500</v>
      </c>
      <c r="W16" s="1" t="n">
        <f aca="false">Transport!K16</f>
        <v>1521</v>
      </c>
      <c r="X16" s="1" t="n">
        <f aca="false">Transport!L16</f>
        <v>1001</v>
      </c>
      <c r="Y16" s="1" t="n">
        <v>789</v>
      </c>
      <c r="Z16" s="1" t="n">
        <v>943</v>
      </c>
      <c r="AA16" s="1" t="n">
        <v>460</v>
      </c>
      <c r="AD16" s="1" t="n">
        <v>718</v>
      </c>
      <c r="AE16" s="1" t="n">
        <f aca="false">Y16+Z16+AA16+AD16</f>
        <v>2910</v>
      </c>
    </row>
    <row r="17" customFormat="false" ht="11.25" hidden="false" customHeight="false" outlineLevel="0" collapsed="false">
      <c r="A17" s="6" t="n">
        <f aca="false">+A16+365/12</f>
        <v>36114</v>
      </c>
      <c r="B17" s="29" t="n">
        <v>1.92</v>
      </c>
      <c r="C17" s="39" t="n">
        <v>1.99</v>
      </c>
      <c r="D17" s="29" t="n">
        <v>1.91</v>
      </c>
      <c r="E17" s="29" t="n">
        <v>2.126</v>
      </c>
      <c r="F17" s="31" t="n">
        <f aca="false">+F16</f>
        <v>0.0284</v>
      </c>
      <c r="G17" s="38" t="n">
        <f aca="false">F17</f>
        <v>0.0284</v>
      </c>
      <c r="H17" s="1" t="n">
        <v>30</v>
      </c>
      <c r="I17" s="27" t="n">
        <v>-0.104661500713939</v>
      </c>
      <c r="K17" s="28" t="n">
        <v>0.0194999999999999</v>
      </c>
      <c r="L17" s="32" t="n">
        <f aca="false">L16</f>
        <v>0.3772</v>
      </c>
      <c r="M17" s="4" t="n">
        <f aca="false">M16</f>
        <v>0.8157</v>
      </c>
      <c r="N17" s="8" t="n">
        <v>0.2</v>
      </c>
      <c r="O17" s="1" t="n">
        <f aca="false">O16</f>
        <v>0.0304</v>
      </c>
      <c r="P17" s="1" t="n">
        <f aca="false">P16</f>
        <v>0.0136</v>
      </c>
      <c r="Q17" s="1" t="n">
        <f aca="false">(541791.18+174699.9)/(280615+89820)</f>
        <v>1.93418840012418</v>
      </c>
      <c r="R17" s="1" t="n">
        <f aca="false">Transport!F17</f>
        <v>6633</v>
      </c>
      <c r="S17" s="1" t="n">
        <f aca="false">Transport!G17</f>
        <v>9899</v>
      </c>
      <c r="T17" s="1" t="n">
        <f aca="false">Transport!H17</f>
        <v>13468</v>
      </c>
      <c r="U17" s="1" t="n">
        <f aca="false">Transport!I17</f>
        <v>2563</v>
      </c>
      <c r="V17" s="1" t="n">
        <f aca="false">Transport!J17</f>
        <v>2862</v>
      </c>
      <c r="W17" s="1" t="n">
        <f aca="false">Transport!K17</f>
        <v>1685</v>
      </c>
      <c r="X17" s="1" t="n">
        <f aca="false">Transport!L17</f>
        <v>683</v>
      </c>
    </row>
    <row r="18" customFormat="false" ht="11.25" hidden="false" customHeight="false" outlineLevel="0" collapsed="false">
      <c r="A18" s="6" t="n">
        <f aca="false">+A17+365/12</f>
        <v>36144.4166666667</v>
      </c>
      <c r="B18" s="29" t="n">
        <v>2.07</v>
      </c>
      <c r="C18" s="39" t="n">
        <v>2.12</v>
      </c>
      <c r="D18" s="29" t="n">
        <v>2.07</v>
      </c>
      <c r="E18" s="29" t="n">
        <v>2.1363</v>
      </c>
      <c r="F18" s="31" t="n">
        <f aca="false">+F17</f>
        <v>0.0284</v>
      </c>
      <c r="G18" s="38" t="n">
        <f aca="false">F18</f>
        <v>0.0284</v>
      </c>
      <c r="H18" s="1" t="n">
        <v>31</v>
      </c>
      <c r="I18" s="27" t="n">
        <v>-0.134648061536328</v>
      </c>
      <c r="K18" s="28" t="n">
        <v>0.0245000000000002</v>
      </c>
      <c r="L18" s="32" t="n">
        <f aca="false">L17</f>
        <v>0.3772</v>
      </c>
      <c r="M18" s="4" t="n">
        <f aca="false">M17</f>
        <v>0.8157</v>
      </c>
      <c r="N18" s="8" t="n">
        <v>0.2</v>
      </c>
      <c r="O18" s="1" t="n">
        <f aca="false">O17</f>
        <v>0.0304</v>
      </c>
      <c r="P18" s="1" t="n">
        <f aca="false">P17</f>
        <v>0.0136</v>
      </c>
      <c r="Q18" s="40" t="n">
        <f aca="false">(524326.75+190475.53)/(255502+91884)</f>
        <v>2.0576600093268</v>
      </c>
      <c r="R18" s="1" t="n">
        <f aca="false">Transport!F18</f>
        <v>6633</v>
      </c>
      <c r="S18" s="1" t="n">
        <f aca="false">Transport!G18</f>
        <v>9899</v>
      </c>
      <c r="T18" s="1" t="n">
        <f aca="false">Transport!H18</f>
        <v>13468</v>
      </c>
      <c r="U18" s="1" t="n">
        <f aca="false">Transport!I18</f>
        <v>2563</v>
      </c>
      <c r="V18" s="1" t="n">
        <f aca="false">Transport!J18</f>
        <v>2862</v>
      </c>
      <c r="W18" s="1" t="n">
        <f aca="false">Transport!K18</f>
        <v>1685</v>
      </c>
      <c r="X18" s="1" t="n">
        <f aca="false">Transport!L18</f>
        <v>683</v>
      </c>
    </row>
    <row r="19" customFormat="false" ht="11.25" hidden="false" customHeight="false" outlineLevel="0" collapsed="false">
      <c r="A19" s="6" t="n">
        <f aca="false">+A18+365/12</f>
        <v>36174.8333333333</v>
      </c>
      <c r="B19" s="29" t="n">
        <v>1.73</v>
      </c>
      <c r="C19" s="39" t="n">
        <v>1.78</v>
      </c>
      <c r="D19" s="29" t="n">
        <v>1.73</v>
      </c>
      <c r="E19" s="29" t="n">
        <v>1.81133333333333</v>
      </c>
      <c r="F19" s="31" t="n">
        <v>0.025</v>
      </c>
      <c r="G19" s="38" t="n">
        <v>0.025</v>
      </c>
      <c r="H19" s="1" t="n">
        <v>31</v>
      </c>
      <c r="I19" s="27" t="n">
        <v>-0.119638990091441</v>
      </c>
      <c r="K19" s="28" t="n">
        <v>0.0245000000000002</v>
      </c>
      <c r="L19" s="32" t="n">
        <v>0.3763</v>
      </c>
      <c r="M19" s="4" t="n">
        <v>0.8148</v>
      </c>
      <c r="N19" s="8" t="n">
        <v>0.2</v>
      </c>
      <c r="O19" s="1" t="n">
        <v>0.0291</v>
      </c>
      <c r="P19" s="1" t="n">
        <v>0.0123</v>
      </c>
      <c r="Q19" s="1" t="n">
        <f aca="false">(481145.26+145825.15)/(278112+83904)</f>
        <v>1.73188591111995</v>
      </c>
      <c r="R19" s="1" t="n">
        <f aca="false">Transport!F19</f>
        <v>6633</v>
      </c>
      <c r="S19" s="1" t="n">
        <f aca="false">Transport!G19</f>
        <v>9899</v>
      </c>
      <c r="T19" s="1" t="n">
        <f aca="false">Transport!H19</f>
        <v>13468</v>
      </c>
      <c r="U19" s="1" t="n">
        <f aca="false">Transport!I19</f>
        <v>2563</v>
      </c>
      <c r="V19" s="1" t="n">
        <f aca="false">Transport!J19</f>
        <v>2862</v>
      </c>
      <c r="W19" s="1" t="n">
        <f aca="false">Transport!K19</f>
        <v>1685</v>
      </c>
      <c r="X19" s="1" t="n">
        <f aca="false">Transport!L19</f>
        <v>683</v>
      </c>
    </row>
    <row r="20" customFormat="false" ht="11.25" hidden="false" customHeight="false" outlineLevel="0" collapsed="false">
      <c r="A20" s="6" t="n">
        <f aca="false">+A19+365/12</f>
        <v>36205.25</v>
      </c>
      <c r="B20" s="29" t="n">
        <v>1.74</v>
      </c>
      <c r="C20" s="39" t="n">
        <v>1.77</v>
      </c>
      <c r="D20" s="29" t="n">
        <v>1.74</v>
      </c>
      <c r="E20" s="29" t="n">
        <v>1.746</v>
      </c>
      <c r="F20" s="31" t="n">
        <f aca="false">+F19</f>
        <v>0.025</v>
      </c>
      <c r="G20" s="38" t="n">
        <f aca="false">F20</f>
        <v>0.025</v>
      </c>
      <c r="H20" s="1" t="n">
        <v>28</v>
      </c>
      <c r="I20" s="27" t="n">
        <v>-0.119649405454089</v>
      </c>
      <c r="K20" s="28" t="n">
        <v>0.0245000000000002</v>
      </c>
      <c r="L20" s="32" t="n">
        <f aca="false">L19</f>
        <v>0.3763</v>
      </c>
      <c r="M20" s="4" t="n">
        <f aca="false">M19</f>
        <v>0.8148</v>
      </c>
      <c r="N20" s="8" t="n">
        <v>0.2</v>
      </c>
      <c r="O20" s="1" t="n">
        <f aca="false">O19</f>
        <v>0.0291</v>
      </c>
      <c r="P20" s="1" t="n">
        <f aca="false">P19</f>
        <v>0.0123</v>
      </c>
      <c r="Q20" s="1" t="n">
        <f aca="false">(516781.87+127403)/(294055+72183)</f>
        <v>1.7589241695291</v>
      </c>
      <c r="R20" s="1" t="n">
        <f aca="false">Transport!F20</f>
        <v>6633</v>
      </c>
      <c r="S20" s="1" t="n">
        <f aca="false">Transport!G20</f>
        <v>9899</v>
      </c>
      <c r="T20" s="1" t="n">
        <f aca="false">Transport!H20</f>
        <v>13468</v>
      </c>
      <c r="U20" s="1" t="n">
        <f aca="false">Transport!I20</f>
        <v>2563</v>
      </c>
      <c r="V20" s="1" t="n">
        <f aca="false">Transport!J20</f>
        <v>2862</v>
      </c>
      <c r="W20" s="1" t="n">
        <f aca="false">Transport!K20</f>
        <v>1685</v>
      </c>
      <c r="X20" s="1" t="n">
        <f aca="false">Transport!L20</f>
        <v>683</v>
      </c>
    </row>
    <row r="21" customFormat="false" ht="11.25" hidden="false" customHeight="false" outlineLevel="0" collapsed="false">
      <c r="A21" s="6" t="n">
        <f aca="false">+A20+365/12</f>
        <v>36235.6666666667</v>
      </c>
      <c r="B21" s="29" t="n">
        <v>1.59</v>
      </c>
      <c r="C21" s="39" t="n">
        <v>1.63</v>
      </c>
      <c r="D21" s="29" t="n">
        <v>1.6</v>
      </c>
      <c r="E21" s="29" t="n">
        <f aca="false">1.6933</f>
        <v>1.6933</v>
      </c>
      <c r="F21" s="31" t="n">
        <f aca="false">+F20</f>
        <v>0.025</v>
      </c>
      <c r="G21" s="38" t="n">
        <f aca="false">F21</f>
        <v>0.025</v>
      </c>
      <c r="H21" s="1" t="n">
        <v>31</v>
      </c>
      <c r="I21" s="27" t="n">
        <v>-0.0996620046830992</v>
      </c>
      <c r="K21" s="28" t="n">
        <v>0.0195000000000003</v>
      </c>
      <c r="L21" s="32" t="n">
        <f aca="false">L20</f>
        <v>0.3763</v>
      </c>
      <c r="M21" s="4" t="n">
        <f aca="false">0.7719+0.0076</f>
        <v>0.7795</v>
      </c>
      <c r="N21" s="8" t="n">
        <v>0.2</v>
      </c>
      <c r="O21" s="1" t="n">
        <f aca="false">O20</f>
        <v>0.0291</v>
      </c>
      <c r="P21" s="1" t="n">
        <v>0.012</v>
      </c>
      <c r="Q21" s="1" t="n">
        <f aca="false">(424623+110763.2)/(265966+69227)</f>
        <v>1.59724755588571</v>
      </c>
      <c r="R21" s="1" t="n">
        <f aca="false">Transport!F21</f>
        <v>6633</v>
      </c>
      <c r="S21" s="1" t="n">
        <f aca="false">Transport!G21</f>
        <v>9899</v>
      </c>
      <c r="T21" s="1" t="n">
        <f aca="false">Transport!H21</f>
        <v>13468</v>
      </c>
      <c r="U21" s="1" t="n">
        <f aca="false">Transport!I21</f>
        <v>2563</v>
      </c>
      <c r="V21" s="1" t="n">
        <f aca="false">Transport!J21</f>
        <v>2862</v>
      </c>
      <c r="W21" s="1" t="n">
        <f aca="false">Transport!K21</f>
        <v>1685</v>
      </c>
      <c r="X21" s="1" t="n">
        <f aca="false">Transport!L21</f>
        <v>683</v>
      </c>
    </row>
    <row r="22" customFormat="false" ht="11.25" hidden="false" customHeight="false" outlineLevel="0" collapsed="false">
      <c r="A22" s="6" t="n">
        <f aca="false">+A21+365/12</f>
        <v>36266.0833333333</v>
      </c>
      <c r="B22" s="29" t="n">
        <v>1.84</v>
      </c>
      <c r="C22" s="39" t="n">
        <v>1.88</v>
      </c>
      <c r="D22" s="29" t="n">
        <v>1.85</v>
      </c>
      <c r="E22" s="29" t="n">
        <v>1.8153</v>
      </c>
      <c r="F22" s="31" t="n">
        <f aca="false">+F21</f>
        <v>0.025</v>
      </c>
      <c r="G22" s="38" t="n">
        <f aca="false">F22</f>
        <v>0.025</v>
      </c>
      <c r="H22" s="1" t="n">
        <v>30</v>
      </c>
      <c r="I22" s="27" t="n">
        <v>-0.0656961911928935</v>
      </c>
      <c r="K22" s="28" t="n">
        <v>0.00599999999999978</v>
      </c>
      <c r="L22" s="32" t="n">
        <f aca="false">L21</f>
        <v>0.3763</v>
      </c>
      <c r="M22" s="4" t="n">
        <f aca="false">M21</f>
        <v>0.7795</v>
      </c>
      <c r="N22" s="8" t="n">
        <v>0.2</v>
      </c>
      <c r="O22" s="1" t="n">
        <v>0.0359</v>
      </c>
      <c r="P22" s="1" t="n">
        <v>0.0188</v>
      </c>
      <c r="Q22" s="1" t="n">
        <f aca="false">(476121.66+120742.64)/(260184+65621)</f>
        <v>1.83196789490646</v>
      </c>
      <c r="R22" s="1" t="n">
        <f aca="false">Transport!F22</f>
        <v>6933</v>
      </c>
      <c r="S22" s="1" t="n">
        <f aca="false">Transport!G22</f>
        <v>8798</v>
      </c>
      <c r="T22" s="1" t="n">
        <f aca="false">Transport!H22</f>
        <v>14269</v>
      </c>
      <c r="U22" s="1" t="n">
        <f aca="false">Transport!I22</f>
        <v>1880</v>
      </c>
      <c r="V22" s="1" t="n">
        <f aca="false">Transport!J22</f>
        <v>2073</v>
      </c>
      <c r="W22" s="1" t="n">
        <f aca="false">Transport!K22</f>
        <v>1258</v>
      </c>
      <c r="X22" s="1" t="n">
        <f aca="false">Transport!L22</f>
        <v>683</v>
      </c>
    </row>
    <row r="23" customFormat="false" ht="11.25" hidden="false" customHeight="false" outlineLevel="0" collapsed="false">
      <c r="A23" s="6" t="n">
        <f aca="false">+A22+365/12</f>
        <v>36296.5</v>
      </c>
      <c r="B23" s="29" t="n">
        <v>2.3</v>
      </c>
      <c r="C23" s="39" t="n">
        <v>2.35</v>
      </c>
      <c r="D23" s="29" t="n">
        <v>2.3</v>
      </c>
      <c r="E23" s="29" t="n">
        <v>2.326</v>
      </c>
      <c r="F23" s="31" t="n">
        <v>0.03</v>
      </c>
      <c r="G23" s="38" t="n">
        <f aca="false">F23</f>
        <v>0.03</v>
      </c>
      <c r="H23" s="1" t="n">
        <v>31</v>
      </c>
      <c r="I23" s="27" t="n">
        <v>-0.0657860716640333</v>
      </c>
      <c r="K23" s="28" t="n">
        <v>0.00599999999999978</v>
      </c>
      <c r="L23" s="32" t="n">
        <f aca="false">L22</f>
        <v>0.3763</v>
      </c>
      <c r="M23" s="4" t="n">
        <f aca="false">M22</f>
        <v>0.7795</v>
      </c>
      <c r="N23" s="8" t="n">
        <v>0.2</v>
      </c>
      <c r="O23" s="1" t="n">
        <f aca="false">O22</f>
        <v>0.0359</v>
      </c>
      <c r="P23" s="1" t="n">
        <f aca="false">P22</f>
        <v>0.0188</v>
      </c>
      <c r="Q23" s="1" t="n">
        <f aca="false">(675585.81+142712.81)/(294589+61647)</f>
        <v>2.29706885323213</v>
      </c>
      <c r="R23" s="1" t="n">
        <f aca="false">Transport!F23</f>
        <v>8730</v>
      </c>
      <c r="S23" s="1" t="n">
        <f aca="false">Transport!G23</f>
        <v>10761</v>
      </c>
      <c r="T23" s="1" t="n">
        <f aca="false">Transport!H23</f>
        <v>15509</v>
      </c>
      <c r="U23" s="1" t="n">
        <f aca="false">Transport!I23</f>
        <v>1880</v>
      </c>
      <c r="V23" s="1" t="n">
        <f aca="false">Transport!J23</f>
        <v>2295</v>
      </c>
      <c r="W23" s="1" t="n">
        <f aca="false">Transport!K23</f>
        <v>1036</v>
      </c>
      <c r="X23" s="1" t="n">
        <f aca="false">Transport!L23</f>
        <v>683</v>
      </c>
    </row>
    <row r="24" customFormat="false" ht="11.25" hidden="false" customHeight="false" outlineLevel="0" collapsed="false">
      <c r="A24" s="6" t="n">
        <f aca="false">+A23+365/12</f>
        <v>36326.9166666667</v>
      </c>
      <c r="B24" s="29" t="n">
        <v>2.2</v>
      </c>
      <c r="C24" s="39" t="n">
        <v>2.23</v>
      </c>
      <c r="D24" s="29" t="n">
        <v>2.21</v>
      </c>
      <c r="E24" s="29" t="n">
        <v>2.2007</v>
      </c>
      <c r="F24" s="31" t="n">
        <f aca="false">+F23</f>
        <v>0.03</v>
      </c>
      <c r="G24" s="38" t="n">
        <f aca="false">F24</f>
        <v>0.03</v>
      </c>
      <c r="H24" s="1" t="n">
        <v>30</v>
      </c>
      <c r="I24" s="27" t="n">
        <v>-0.0657855191631658</v>
      </c>
      <c r="K24" s="28" t="n">
        <v>0.00599999999999978</v>
      </c>
      <c r="L24" s="32" t="n">
        <f aca="false">L23</f>
        <v>0.3763</v>
      </c>
      <c r="M24" s="4" t="n">
        <f aca="false">M23</f>
        <v>0.7795</v>
      </c>
      <c r="N24" s="8" t="n">
        <v>0.2</v>
      </c>
      <c r="O24" s="1" t="n">
        <f aca="false">O23</f>
        <v>0.0359</v>
      </c>
      <c r="P24" s="1" t="n">
        <f aca="false">P23</f>
        <v>0.0188</v>
      </c>
      <c r="Q24" s="1" t="n">
        <f aca="false">(615097.28+156904.76)/(282846+71548)</f>
        <v>2.17837220720441</v>
      </c>
      <c r="R24" s="1" t="n">
        <f aca="false">Transport!F24</f>
        <v>8730</v>
      </c>
      <c r="S24" s="1" t="n">
        <f aca="false">Transport!G24</f>
        <v>10761</v>
      </c>
      <c r="T24" s="1" t="n">
        <f aca="false">Transport!H24</f>
        <v>15509</v>
      </c>
      <c r="U24" s="1" t="n">
        <f aca="false">Transport!I24</f>
        <v>1880</v>
      </c>
      <c r="V24" s="1" t="n">
        <f aca="false">Transport!J24</f>
        <v>2295</v>
      </c>
      <c r="W24" s="1" t="n">
        <f aca="false">Transport!K24</f>
        <v>1036</v>
      </c>
      <c r="X24" s="1" t="n">
        <f aca="false">Transport!L24</f>
        <v>683</v>
      </c>
    </row>
    <row r="25" customFormat="false" ht="11.25" hidden="false" customHeight="false" outlineLevel="0" collapsed="false">
      <c r="A25" s="6" t="n">
        <f aca="false">+A24+365/12</f>
        <v>36357.3333333333</v>
      </c>
      <c r="B25" s="29" t="n">
        <v>2.24</v>
      </c>
      <c r="C25" s="39" t="n">
        <v>2.27</v>
      </c>
      <c r="D25" s="29" t="n">
        <v>2.24</v>
      </c>
      <c r="E25" s="29" t="n">
        <v>2.2717</v>
      </c>
      <c r="F25" s="31" t="n">
        <f aca="false">+F24</f>
        <v>0.03</v>
      </c>
      <c r="G25" s="38" t="n">
        <f aca="false">F25</f>
        <v>0.03</v>
      </c>
      <c r="H25" s="1" t="n">
        <v>31</v>
      </c>
      <c r="I25" s="27" t="n">
        <v>-0.0762436655826164</v>
      </c>
      <c r="K25" s="28" t="n">
        <v>0.00949999999999984</v>
      </c>
      <c r="L25" s="32" t="n">
        <f aca="false">L24</f>
        <v>0.3763</v>
      </c>
      <c r="M25" s="4" t="n">
        <f aca="false">M24</f>
        <v>0.7795</v>
      </c>
      <c r="N25" s="8" t="n">
        <v>0.2</v>
      </c>
      <c r="O25" s="1" t="n">
        <f aca="false">O24</f>
        <v>0.0359</v>
      </c>
      <c r="P25" s="1" t="n">
        <f aca="false">P24</f>
        <v>0.0188</v>
      </c>
      <c r="Q25" s="1" t="n">
        <f aca="false">(675527.24+157803.88)/(70669+9255+294840)</f>
        <v>2.22361571549028</v>
      </c>
      <c r="R25" s="1" t="n">
        <f aca="false">Transport!F25</f>
        <v>8730</v>
      </c>
      <c r="S25" s="1" t="n">
        <f aca="false">Transport!G25</f>
        <v>10761</v>
      </c>
      <c r="T25" s="1" t="n">
        <f aca="false">Transport!H25</f>
        <v>15509</v>
      </c>
      <c r="U25" s="1" t="n">
        <f aca="false">Transport!I25</f>
        <v>1880</v>
      </c>
      <c r="V25" s="1" t="n">
        <f aca="false">Transport!J25</f>
        <v>2295</v>
      </c>
      <c r="W25" s="1" t="n">
        <f aca="false">Transport!K25</f>
        <v>1036</v>
      </c>
      <c r="X25" s="1" t="n">
        <f aca="false">Transport!L25</f>
        <v>683</v>
      </c>
    </row>
    <row r="26" customFormat="false" ht="11.25" hidden="false" customHeight="false" outlineLevel="0" collapsed="false">
      <c r="A26" s="6" t="n">
        <f aca="false">+A25+365/12</f>
        <v>36387.75</v>
      </c>
      <c r="B26" s="29" t="n">
        <v>2.57</v>
      </c>
      <c r="C26" s="39" t="n">
        <v>2.61</v>
      </c>
      <c r="D26" s="29" t="n">
        <v>2.57</v>
      </c>
      <c r="E26" s="29" t="n">
        <v>2.5527</v>
      </c>
      <c r="F26" s="31" t="n">
        <f aca="false">+F25</f>
        <v>0.03</v>
      </c>
      <c r="G26" s="38" t="n">
        <f aca="false">F26</f>
        <v>0.03</v>
      </c>
      <c r="H26" s="1" t="n">
        <v>31</v>
      </c>
      <c r="I26" s="27" t="n">
        <v>-0.0762428744270065</v>
      </c>
      <c r="K26" s="28" t="n">
        <v>0.00949999999999962</v>
      </c>
      <c r="L26" s="32" t="n">
        <f aca="false">L25</f>
        <v>0.3763</v>
      </c>
      <c r="M26" s="4" t="n">
        <f aca="false">M25</f>
        <v>0.7795</v>
      </c>
      <c r="N26" s="8" t="n">
        <v>0.2</v>
      </c>
      <c r="O26" s="1" t="n">
        <f aca="false">O25</f>
        <v>0.0359</v>
      </c>
      <c r="P26" s="1" t="n">
        <f aca="false">P25</f>
        <v>0.0188</v>
      </c>
      <c r="Q26" s="1" t="n">
        <f aca="false">(550394.91+171326.48)/(215493+66664)</f>
        <v>2.55787164592762</v>
      </c>
      <c r="R26" s="1" t="n">
        <f aca="false">Transport!F26</f>
        <v>8730</v>
      </c>
      <c r="S26" s="1" t="n">
        <f aca="false">Transport!G26</f>
        <v>10761</v>
      </c>
      <c r="T26" s="1" t="n">
        <f aca="false">Transport!H26</f>
        <v>15509</v>
      </c>
      <c r="U26" s="1" t="n">
        <f aca="false">Transport!I26</f>
        <v>1880</v>
      </c>
      <c r="V26" s="1" t="n">
        <f aca="false">Transport!J26</f>
        <v>2295</v>
      </c>
      <c r="W26" s="1" t="n">
        <f aca="false">Transport!K26</f>
        <v>1036</v>
      </c>
      <c r="X26" s="1" t="n">
        <f aca="false">Transport!L26</f>
        <v>683</v>
      </c>
    </row>
    <row r="27" customFormat="false" ht="11.25" hidden="false" customHeight="false" outlineLevel="0" collapsed="false">
      <c r="A27" s="6" t="n">
        <f aca="false">+A26+365/12</f>
        <v>36418.1666666667</v>
      </c>
      <c r="B27" s="29" t="n">
        <v>2.86</v>
      </c>
      <c r="C27" s="39" t="n">
        <v>2.9</v>
      </c>
      <c r="D27" s="29" t="n">
        <v>2.86</v>
      </c>
      <c r="E27" s="29" t="n">
        <v>2.9633</v>
      </c>
      <c r="F27" s="31" t="n">
        <f aca="false">+F26</f>
        <v>0.03</v>
      </c>
      <c r="G27" s="38" t="n">
        <f aca="false">F27</f>
        <v>0.03</v>
      </c>
      <c r="H27" s="1" t="n">
        <v>30</v>
      </c>
      <c r="I27" s="27" t="n">
        <v>-0.076241555834325</v>
      </c>
      <c r="K27" s="28" t="n">
        <v>0.00949999999999962</v>
      </c>
      <c r="L27" s="32" t="n">
        <f aca="false">L26</f>
        <v>0.3763</v>
      </c>
      <c r="M27" s="4" t="n">
        <f aca="false">M26</f>
        <v>0.7795</v>
      </c>
      <c r="N27" s="8" t="n">
        <v>0.2</v>
      </c>
      <c r="O27" s="1" t="n">
        <f aca="false">O26</f>
        <v>0.0359</v>
      </c>
      <c r="P27" s="1" t="n">
        <f aca="false">P26</f>
        <v>0.0188</v>
      </c>
      <c r="Q27" s="1" t="n">
        <f aca="false">(613117.4+159197.4)/(216868+55800)</f>
        <v>2.83243651620286</v>
      </c>
      <c r="R27" s="1" t="n">
        <f aca="false">Transport!F27</f>
        <v>8730</v>
      </c>
      <c r="S27" s="1" t="n">
        <f aca="false">Transport!G27</f>
        <v>10761</v>
      </c>
      <c r="T27" s="1" t="n">
        <f aca="false">Transport!H27</f>
        <v>15509</v>
      </c>
      <c r="U27" s="1" t="n">
        <f aca="false">Transport!I27</f>
        <v>1880</v>
      </c>
      <c r="V27" s="1" t="n">
        <f aca="false">Transport!J27</f>
        <v>2295</v>
      </c>
      <c r="W27" s="1" t="n">
        <f aca="false">Transport!K27</f>
        <v>1036</v>
      </c>
      <c r="X27" s="1" t="n">
        <f aca="false">Transport!L27</f>
        <v>683</v>
      </c>
    </row>
    <row r="28" customFormat="false" ht="11.25" hidden="false" customHeight="false" outlineLevel="0" collapsed="false">
      <c r="A28" s="6" t="n">
        <f aca="false">+A27+365/12</f>
        <v>36448.5833333333</v>
      </c>
      <c r="B28" s="29" t="n">
        <v>2.49</v>
      </c>
      <c r="C28" s="39" t="n">
        <v>2.53</v>
      </c>
      <c r="D28" s="29" t="n">
        <v>2.49</v>
      </c>
      <c r="E28" s="29" t="n">
        <v>2.6073</v>
      </c>
      <c r="F28" s="31" t="n">
        <v>0.0275</v>
      </c>
      <c r="G28" s="38" t="n">
        <v>0.0275</v>
      </c>
      <c r="H28" s="1" t="n">
        <v>31</v>
      </c>
      <c r="I28" s="27" t="n">
        <v>-0.0808118295091473</v>
      </c>
      <c r="K28" s="28" t="n">
        <v>0.0145</v>
      </c>
      <c r="L28" s="32" t="n">
        <f aca="false">L27</f>
        <v>0.3763</v>
      </c>
      <c r="M28" s="4" t="n">
        <f aca="false">M27</f>
        <v>0.7795</v>
      </c>
      <c r="N28" s="8" t="n">
        <v>0.2</v>
      </c>
      <c r="O28" s="1" t="n">
        <v>0.0437</v>
      </c>
      <c r="P28" s="1" t="n">
        <v>0.0266</v>
      </c>
      <c r="Q28" s="1" t="n">
        <f aca="false">(138059.12+21483+628344.4)/(55490+9300+252550)</f>
        <v>2.48278351295141</v>
      </c>
      <c r="R28" s="1" t="n">
        <f aca="false">Transport!F28</f>
        <v>8730</v>
      </c>
      <c r="S28" s="1" t="n">
        <f aca="false">Transport!G28</f>
        <v>10361</v>
      </c>
      <c r="T28" s="1" t="n">
        <f aca="false">Transport!H28</f>
        <v>15909</v>
      </c>
      <c r="U28" s="1" t="n">
        <f aca="false">Transport!I28</f>
        <v>2830</v>
      </c>
      <c r="V28" s="1" t="n">
        <f aca="false">Transport!J28</f>
        <v>3500</v>
      </c>
      <c r="W28" s="1" t="n">
        <f aca="false">Transport!K28</f>
        <v>1521</v>
      </c>
      <c r="X28" s="1" t="n">
        <f aca="false">Transport!L28</f>
        <v>1001</v>
      </c>
    </row>
    <row r="29" customFormat="false" ht="11.25" hidden="false" customHeight="false" outlineLevel="0" collapsed="false">
      <c r="A29" s="6" t="n">
        <f aca="false">+A28+365/12</f>
        <v>36479</v>
      </c>
      <c r="B29" s="29" t="n">
        <v>2.98</v>
      </c>
      <c r="C29" s="39" t="n">
        <v>3.02</v>
      </c>
      <c r="D29" s="29" t="n">
        <v>2.98</v>
      </c>
      <c r="E29" s="29" t="n">
        <v>3.0397</v>
      </c>
      <c r="F29" s="31" t="n">
        <f aca="false">+F28</f>
        <v>0.0275</v>
      </c>
      <c r="G29" s="38" t="n">
        <f aca="false">F29</f>
        <v>0.0275</v>
      </c>
      <c r="H29" s="1" t="n">
        <v>30</v>
      </c>
      <c r="I29" s="27" t="n">
        <v>-0.125784052698215</v>
      </c>
      <c r="K29" s="28" t="n">
        <v>0.0194999999999999</v>
      </c>
      <c r="L29" s="32" t="n">
        <f aca="false">L28</f>
        <v>0.3763</v>
      </c>
      <c r="M29" s="4" t="n">
        <f aca="false">M28</f>
        <v>0.7795</v>
      </c>
      <c r="N29" s="8" t="n">
        <v>0.2</v>
      </c>
      <c r="O29" s="1" t="n">
        <f aca="false">O28</f>
        <v>0.0437</v>
      </c>
      <c r="P29" s="1" t="n">
        <f aca="false">P28</f>
        <v>0.0266</v>
      </c>
      <c r="Q29" s="1" t="n">
        <f aca="false">(792885.5+177317.09)/(268304+59353)</f>
        <v>2.96103116979036</v>
      </c>
      <c r="R29" s="1" t="n">
        <f aca="false">Transport!F29</f>
        <v>4926</v>
      </c>
      <c r="S29" s="1" t="n">
        <f aca="false">Transport!G29</f>
        <v>5732</v>
      </c>
      <c r="T29" s="1" t="n">
        <f aca="false">Transport!H29</f>
        <v>9342</v>
      </c>
      <c r="U29" s="1" t="n">
        <f aca="false">Transport!I29</f>
        <v>2563</v>
      </c>
      <c r="V29" s="1" t="n">
        <f aca="false">Transport!J29</f>
        <v>2862</v>
      </c>
      <c r="W29" s="1" t="n">
        <f aca="false">Transport!K29</f>
        <v>1685</v>
      </c>
      <c r="X29" s="1" t="n">
        <f aca="false">Transport!L29</f>
        <v>683</v>
      </c>
    </row>
    <row r="30" customFormat="false" ht="11.25" hidden="false" customHeight="false" outlineLevel="0" collapsed="false">
      <c r="A30" s="6" t="n">
        <f aca="false">+A29+365/12</f>
        <v>36509.4166666667</v>
      </c>
      <c r="B30" s="29" t="n">
        <v>2.1</v>
      </c>
      <c r="C30" s="39" t="n">
        <v>2.14</v>
      </c>
      <c r="D30" s="29" t="n">
        <v>2.1</v>
      </c>
      <c r="E30" s="29" t="n">
        <v>2.1687</v>
      </c>
      <c r="F30" s="31" t="n">
        <f aca="false">+F29</f>
        <v>0.0275</v>
      </c>
      <c r="G30" s="38" t="n">
        <f aca="false">F30</f>
        <v>0.0275</v>
      </c>
      <c r="H30" s="1" t="n">
        <v>31</v>
      </c>
      <c r="I30" s="27" t="n">
        <v>-0.160746554003456</v>
      </c>
      <c r="K30" s="28" t="n">
        <v>0.0245000000000002</v>
      </c>
      <c r="L30" s="32" t="n">
        <f aca="false">L29</f>
        <v>0.3763</v>
      </c>
      <c r="M30" s="4" t="n">
        <f aca="false">M29</f>
        <v>0.7795</v>
      </c>
      <c r="N30" s="8" t="n">
        <v>0.2</v>
      </c>
      <c r="O30" s="1" t="n">
        <f aca="false">O29</f>
        <v>0.0437</v>
      </c>
      <c r="P30" s="1" t="n">
        <f aca="false">P29</f>
        <v>0.0266</v>
      </c>
      <c r="Q30" s="1" t="n">
        <f aca="false">(19885.26+129713.9)/(9300+60665)</f>
        <v>2.13819995712142</v>
      </c>
      <c r="R30" s="1" t="n">
        <f aca="false">Transport!F30</f>
        <v>4926</v>
      </c>
      <c r="S30" s="1" t="n">
        <f aca="false">Transport!G30</f>
        <v>5732</v>
      </c>
      <c r="T30" s="1" t="n">
        <f aca="false">Transport!H30</f>
        <v>9342</v>
      </c>
      <c r="U30" s="1" t="n">
        <f aca="false">Transport!I30</f>
        <v>2563</v>
      </c>
      <c r="V30" s="1" t="n">
        <f aca="false">Transport!J30</f>
        <v>2862</v>
      </c>
      <c r="W30" s="1" t="n">
        <f aca="false">Transport!K30</f>
        <v>1685</v>
      </c>
      <c r="X30" s="1" t="n">
        <f aca="false">Transport!L30</f>
        <v>683</v>
      </c>
    </row>
    <row r="31" customFormat="false" ht="11.25" hidden="false" customHeight="false" outlineLevel="0" collapsed="false">
      <c r="A31" s="6" t="n">
        <f aca="false">+A30+365/12</f>
        <v>36539.8333333333</v>
      </c>
      <c r="B31" s="29" t="n">
        <v>2.31</v>
      </c>
      <c r="C31" s="39" t="n">
        <v>2.35</v>
      </c>
      <c r="D31" s="29" t="n">
        <v>2.31</v>
      </c>
      <c r="E31" s="29" t="n">
        <v>2.338</v>
      </c>
      <c r="F31" s="31" t="n">
        <f aca="false">+F30</f>
        <v>0.0275</v>
      </c>
      <c r="G31" s="38" t="n">
        <f aca="false">F31</f>
        <v>0.0275</v>
      </c>
      <c r="H31" s="1" t="n">
        <v>31</v>
      </c>
      <c r="I31" s="27" t="n">
        <v>-0.14572641581553</v>
      </c>
      <c r="K31" s="28" t="n">
        <v>0.0245000000000002</v>
      </c>
      <c r="L31" s="32" t="n">
        <v>0.3753</v>
      </c>
      <c r="M31" s="4" t="n">
        <v>0.7785</v>
      </c>
      <c r="N31" s="8" t="n">
        <f aca="false">L31</f>
        <v>0.3753</v>
      </c>
      <c r="O31" s="1" t="n">
        <v>0.0434</v>
      </c>
      <c r="P31" s="1" t="n">
        <v>0.0263</v>
      </c>
      <c r="Q31" s="1" t="n">
        <f aca="false">(21022.61+142787.63)/(9277+61746)</f>
        <v>2.306439322473</v>
      </c>
      <c r="R31" s="1" t="n">
        <f aca="false">Transport!F31</f>
        <v>4926</v>
      </c>
      <c r="S31" s="1" t="n">
        <f aca="false">Transport!G31</f>
        <v>5732</v>
      </c>
      <c r="T31" s="1" t="n">
        <f aca="false">Transport!H31</f>
        <v>9342</v>
      </c>
      <c r="U31" s="1" t="n">
        <f aca="false">Transport!I31</f>
        <v>2563</v>
      </c>
      <c r="V31" s="1" t="n">
        <f aca="false">Transport!J31</f>
        <v>2862</v>
      </c>
      <c r="W31" s="1" t="n">
        <f aca="false">Transport!K31</f>
        <v>1685</v>
      </c>
      <c r="X31" s="1" t="n">
        <f aca="false">Transport!L31</f>
        <v>683</v>
      </c>
    </row>
    <row r="32" customFormat="false" ht="11.25" hidden="false" customHeight="false" outlineLevel="0" collapsed="false">
      <c r="A32" s="6" t="n">
        <f aca="false">+A31+365/12</f>
        <v>36570.25</v>
      </c>
      <c r="B32" s="29" t="n">
        <v>2.58</v>
      </c>
      <c r="C32" s="39" t="n">
        <v>2.62</v>
      </c>
      <c r="D32" s="29" t="n">
        <v>2.58</v>
      </c>
      <c r="E32" s="29" t="n">
        <v>2.583</v>
      </c>
      <c r="F32" s="31" t="n">
        <v>0.03</v>
      </c>
      <c r="G32" s="38" t="n">
        <v>0.03</v>
      </c>
      <c r="H32" s="1" t="n">
        <v>29</v>
      </c>
      <c r="I32" s="27" t="n">
        <v>-0.145754192626462</v>
      </c>
      <c r="K32" s="28" t="n">
        <v>0.0245000000000002</v>
      </c>
      <c r="L32" s="32" t="n">
        <f aca="false">L31</f>
        <v>0.3753</v>
      </c>
      <c r="M32" s="4" t="n">
        <f aca="false">M31</f>
        <v>0.7785</v>
      </c>
      <c r="N32" s="8" t="n">
        <f aca="false">L32</f>
        <v>0.3753</v>
      </c>
      <c r="O32" s="1" t="n">
        <f aca="false">O31</f>
        <v>0.0434</v>
      </c>
      <c r="P32" s="1" t="n">
        <f aca="false">P31</f>
        <v>0.0263</v>
      </c>
      <c r="Q32" s="1" t="n">
        <f aca="false">(19751.04+156540.82)/(7776+60616)</f>
        <v>2.57766785588958</v>
      </c>
      <c r="R32" s="1" t="n">
        <f aca="false">Transport!F32</f>
        <v>4926</v>
      </c>
      <c r="S32" s="1" t="n">
        <f aca="false">Transport!G32</f>
        <v>5732</v>
      </c>
      <c r="T32" s="1" t="n">
        <f aca="false">Transport!H32</f>
        <v>9342</v>
      </c>
      <c r="U32" s="1" t="n">
        <f aca="false">Transport!I32</f>
        <v>2563</v>
      </c>
      <c r="V32" s="1" t="n">
        <f aca="false">Transport!J32</f>
        <v>2862</v>
      </c>
      <c r="W32" s="1" t="n">
        <f aca="false">Transport!K32</f>
        <v>1685</v>
      </c>
      <c r="X32" s="1" t="n">
        <f aca="false">Transport!L32</f>
        <v>683</v>
      </c>
    </row>
    <row r="33" customFormat="false" ht="11.25" hidden="false" customHeight="false" outlineLevel="0" collapsed="false">
      <c r="A33" s="6" t="n">
        <f aca="false">+A32+365/12</f>
        <v>36600.6666666667</v>
      </c>
      <c r="B33" s="29" t="n">
        <v>2.58</v>
      </c>
      <c r="C33" s="39" t="n">
        <v>2.62</v>
      </c>
      <c r="D33" s="29" t="n">
        <v>2.57</v>
      </c>
      <c r="E33" s="29" t="n">
        <v>2.5607</v>
      </c>
      <c r="F33" s="31" t="n">
        <f aca="false">+F32</f>
        <v>0.03</v>
      </c>
      <c r="G33" s="38" t="n">
        <f aca="false">F33</f>
        <v>0.03</v>
      </c>
      <c r="H33" s="1" t="n">
        <v>31</v>
      </c>
      <c r="I33" s="27" t="n">
        <v>-0.120789955270538</v>
      </c>
      <c r="K33" s="28" t="n">
        <v>0.0195000000000003</v>
      </c>
      <c r="L33" s="32" t="n">
        <f aca="false">L32</f>
        <v>0.3753</v>
      </c>
      <c r="M33" s="4" t="n">
        <f aca="false">0.7618+0.0066</f>
        <v>0.7684</v>
      </c>
      <c r="N33" s="8" t="n">
        <f aca="false">L33</f>
        <v>0.3753</v>
      </c>
      <c r="O33" s="1" t="n">
        <f aca="false">O32</f>
        <v>0.0434</v>
      </c>
      <c r="P33" s="1" t="n">
        <v>0.0264</v>
      </c>
      <c r="Q33" s="1" t="n">
        <f aca="false">(22967.28+172850.05)/(8370+62992)</f>
        <v>2.74400002802612</v>
      </c>
      <c r="R33" s="1" t="n">
        <f aca="false">Transport!F33</f>
        <v>4926</v>
      </c>
      <c r="S33" s="1" t="n">
        <f aca="false">Transport!G33</f>
        <v>5732</v>
      </c>
      <c r="T33" s="1" t="n">
        <f aca="false">Transport!H33</f>
        <v>9342</v>
      </c>
      <c r="U33" s="1" t="n">
        <f aca="false">Transport!I33</f>
        <v>2563</v>
      </c>
      <c r="V33" s="1" t="n">
        <f aca="false">Transport!J33</f>
        <v>2862</v>
      </c>
      <c r="W33" s="1" t="n">
        <f aca="false">Transport!K33</f>
        <v>1685</v>
      </c>
      <c r="X33" s="1" t="n">
        <f aca="false">Transport!L33</f>
        <v>683</v>
      </c>
    </row>
    <row r="34" customFormat="false" ht="11.25" hidden="false" customHeight="false" outlineLevel="0" collapsed="false">
      <c r="A34" s="6" t="n">
        <f aca="false">+A33+365/12</f>
        <v>36631.0833333333</v>
      </c>
      <c r="B34" s="29" t="n">
        <v>2.85</v>
      </c>
      <c r="C34" s="39" t="n">
        <v>2.89</v>
      </c>
      <c r="D34" s="29" t="n">
        <v>2.84</v>
      </c>
      <c r="E34" s="29" t="n">
        <v>2.9257</v>
      </c>
      <c r="F34" s="31" t="n">
        <v>0.0299</v>
      </c>
      <c r="G34" s="38" t="n">
        <v>0.0299</v>
      </c>
      <c r="H34" s="1" t="n">
        <v>30</v>
      </c>
      <c r="I34" s="27" t="n">
        <v>-0.0733076629875076</v>
      </c>
      <c r="K34" s="28" t="n">
        <v>0.00599999999999978</v>
      </c>
      <c r="L34" s="32" t="n">
        <f aca="false">L33</f>
        <v>0.3753</v>
      </c>
      <c r="M34" s="4" t="n">
        <f aca="false">M33</f>
        <v>0.7684</v>
      </c>
      <c r="N34" s="8" t="n">
        <f aca="false">L34</f>
        <v>0.3753</v>
      </c>
      <c r="O34" s="1" t="n">
        <v>0.0425</v>
      </c>
      <c r="P34" s="1" t="n">
        <v>0.0255</v>
      </c>
      <c r="Q34" s="1" t="n">
        <f aca="false">(21463.38+148853.25)/(8100+52321)</f>
        <v>2.81883169758859</v>
      </c>
      <c r="R34" s="1" t="n">
        <f aca="false">Transport!F34</f>
        <v>6933</v>
      </c>
      <c r="S34" s="1" t="n">
        <f aca="false">Transport!G34</f>
        <v>8798</v>
      </c>
      <c r="T34" s="1" t="n">
        <f aca="false">Transport!H34</f>
        <v>14269</v>
      </c>
      <c r="U34" s="1" t="n">
        <f aca="false">Transport!I34</f>
        <v>1880</v>
      </c>
      <c r="V34" s="1" t="n">
        <f aca="false">Transport!J34</f>
        <v>2073</v>
      </c>
      <c r="W34" s="1" t="n">
        <f aca="false">Transport!K34</f>
        <v>1258</v>
      </c>
      <c r="X34" s="1" t="n">
        <f aca="false">Transport!L34</f>
        <v>683</v>
      </c>
    </row>
    <row r="35" customFormat="false" ht="11.25" hidden="false" customHeight="false" outlineLevel="0" collapsed="false">
      <c r="A35" s="6" t="n">
        <f aca="false">+A34+365/12</f>
        <v>36661.5</v>
      </c>
      <c r="B35" s="29" t="n">
        <v>3.04</v>
      </c>
      <c r="C35" s="39" t="n">
        <v>3.08</v>
      </c>
      <c r="D35" s="29" t="n">
        <v>3.05</v>
      </c>
      <c r="E35" s="29" t="n">
        <v>3.112</v>
      </c>
      <c r="F35" s="31" t="n">
        <v>0.03</v>
      </c>
      <c r="G35" s="38" t="n">
        <f aca="false">F35</f>
        <v>0.03</v>
      </c>
      <c r="H35" s="1" t="n">
        <v>31</v>
      </c>
      <c r="I35" s="27" t="n">
        <v>-0.0737394460860334</v>
      </c>
      <c r="K35" s="28" t="n">
        <v>0.00599999999999978</v>
      </c>
      <c r="L35" s="32" t="n">
        <f aca="false">L34</f>
        <v>0.3753</v>
      </c>
      <c r="M35" s="4" t="n">
        <f aca="false">M34</f>
        <v>0.7684</v>
      </c>
      <c r="N35" s="8" t="n">
        <f aca="false">L35</f>
        <v>0.3753</v>
      </c>
      <c r="O35" s="1" t="n">
        <f aca="false">O34</f>
        <v>0.0425</v>
      </c>
      <c r="P35" s="1" t="n">
        <f aca="false">P34</f>
        <v>0.0255</v>
      </c>
      <c r="Q35" s="1" t="n">
        <f aca="false">(24769.28+145850.3)/(8368+47859)</f>
        <v>3.03447774201007</v>
      </c>
      <c r="R35" s="1" t="n">
        <f aca="false">Transport!F35</f>
        <v>8730</v>
      </c>
      <c r="S35" s="1" t="n">
        <f aca="false">Transport!G35</f>
        <v>10761</v>
      </c>
      <c r="T35" s="1" t="n">
        <f aca="false">Transport!H35</f>
        <v>15509</v>
      </c>
      <c r="U35" s="1" t="n">
        <f aca="false">Transport!I35</f>
        <v>1880</v>
      </c>
      <c r="V35" s="1" t="n">
        <f aca="false">Transport!J35</f>
        <v>2295</v>
      </c>
      <c r="W35" s="1" t="n">
        <f aca="false">Transport!K35</f>
        <v>1036</v>
      </c>
      <c r="X35" s="1" t="n">
        <f aca="false">Transport!L35</f>
        <v>683</v>
      </c>
    </row>
    <row r="36" customFormat="false" ht="11.25" hidden="false" customHeight="false" outlineLevel="0" collapsed="false">
      <c r="A36" s="6" t="n">
        <f aca="false">+A35+365/12</f>
        <v>36691.9166666667</v>
      </c>
      <c r="B36" s="29" t="n">
        <v>4.35</v>
      </c>
      <c r="C36" s="39" t="n">
        <v>4.39</v>
      </c>
      <c r="D36" s="29" t="n">
        <v>4.34</v>
      </c>
      <c r="E36" s="29" t="n">
        <v>4.2383</v>
      </c>
      <c r="F36" s="31" t="n">
        <v>0.0299</v>
      </c>
      <c r="G36" s="38" t="n">
        <f aca="false">F36</f>
        <v>0.0299</v>
      </c>
      <c r="H36" s="1" t="n">
        <v>30</v>
      </c>
      <c r="I36" s="27" t="n">
        <v>-0.0737387867896924</v>
      </c>
      <c r="K36" s="28" t="n">
        <v>0.00599999999999978</v>
      </c>
      <c r="L36" s="32" t="n">
        <f aca="false">L35</f>
        <v>0.3753</v>
      </c>
      <c r="M36" s="4" t="n">
        <f aca="false">M35</f>
        <v>0.7684</v>
      </c>
      <c r="N36" s="8" t="n">
        <f aca="false">L36</f>
        <v>0.3753</v>
      </c>
      <c r="O36" s="1" t="n">
        <f aca="false">O35</f>
        <v>0.0425</v>
      </c>
      <c r="P36" s="1" t="n">
        <f aca="false">P35</f>
        <v>0.0255</v>
      </c>
      <c r="Q36" s="1" t="n">
        <f aca="false">(24577.5+225836.16)/(7500+52096)</f>
        <v>4.20185348009934</v>
      </c>
      <c r="R36" s="1" t="n">
        <f aca="false">Transport!F36</f>
        <v>8730</v>
      </c>
      <c r="S36" s="1" t="n">
        <f aca="false">Transport!G36</f>
        <v>10761</v>
      </c>
      <c r="T36" s="1" t="n">
        <f aca="false">Transport!H36</f>
        <v>15509</v>
      </c>
      <c r="U36" s="1" t="n">
        <f aca="false">Transport!I36</f>
        <v>1880</v>
      </c>
      <c r="V36" s="1" t="n">
        <f aca="false">Transport!J36</f>
        <v>2295</v>
      </c>
      <c r="W36" s="1" t="n">
        <f aca="false">Transport!K36</f>
        <v>1036</v>
      </c>
      <c r="X36" s="1" t="n">
        <f aca="false">Transport!L36</f>
        <v>683</v>
      </c>
    </row>
    <row r="37" customFormat="false" ht="11.25" hidden="false" customHeight="false" outlineLevel="0" collapsed="false">
      <c r="A37" s="6" t="n">
        <f aca="false">+A36+365/12</f>
        <v>36722.3333333333</v>
      </c>
      <c r="B37" s="29" t="n">
        <v>4.34</v>
      </c>
      <c r="C37" s="39" t="n">
        <v>4.38</v>
      </c>
      <c r="D37" s="29" t="n">
        <v>4.33</v>
      </c>
      <c r="E37" s="29" t="n">
        <v>4.5383</v>
      </c>
      <c r="F37" s="31" t="n">
        <f aca="false">+F36</f>
        <v>0.0299</v>
      </c>
      <c r="G37" s="38" t="n">
        <f aca="false">F37</f>
        <v>0.0299</v>
      </c>
      <c r="H37" s="1" t="n">
        <v>31</v>
      </c>
      <c r="I37" s="27" t="n">
        <v>-0.078238391211888</v>
      </c>
      <c r="K37" s="28" t="n">
        <v>0.00949999999999984</v>
      </c>
      <c r="L37" s="32" t="n">
        <f aca="false">L36</f>
        <v>0.3753</v>
      </c>
      <c r="M37" s="4" t="n">
        <f aca="false">M36</f>
        <v>0.7684</v>
      </c>
      <c r="N37" s="8" t="n">
        <f aca="false">L37</f>
        <v>0.3753</v>
      </c>
      <c r="O37" s="1" t="n">
        <f aca="false">O36</f>
        <v>0.0425</v>
      </c>
      <c r="P37" s="1" t="n">
        <f aca="false">P36</f>
        <v>0.0255</v>
      </c>
      <c r="Q37" s="1" t="n">
        <f aca="false">(24615.4+183893.76)/(7748+42568)</f>
        <v>4.14399316320852</v>
      </c>
      <c r="R37" s="1" t="n">
        <f aca="false">Transport!F37</f>
        <v>8730</v>
      </c>
      <c r="S37" s="1" t="n">
        <f aca="false">Transport!G37</f>
        <v>10761</v>
      </c>
      <c r="T37" s="1" t="n">
        <f aca="false">Transport!H37</f>
        <v>15509</v>
      </c>
      <c r="U37" s="1" t="n">
        <f aca="false">Transport!I37</f>
        <v>1880</v>
      </c>
      <c r="V37" s="1" t="n">
        <f aca="false">Transport!J37</f>
        <v>2295</v>
      </c>
      <c r="W37" s="1" t="n">
        <f aca="false">Transport!K37</f>
        <v>1036</v>
      </c>
      <c r="X37" s="1" t="n">
        <f aca="false">Transport!L37</f>
        <v>683</v>
      </c>
    </row>
    <row r="38" customFormat="false" ht="11.25" hidden="false" customHeight="false" outlineLevel="0" collapsed="false">
      <c r="A38" s="6" t="n">
        <f aca="false">+A37+365/12</f>
        <v>36752.75</v>
      </c>
      <c r="B38" s="29" t="n">
        <v>3.8</v>
      </c>
      <c r="C38" s="39" t="n">
        <v>3.84</v>
      </c>
      <c r="D38" s="29" t="n">
        <v>3.79</v>
      </c>
      <c r="E38" s="29" t="n">
        <v>3.7477</v>
      </c>
      <c r="F38" s="31" t="n">
        <f aca="false">+F37</f>
        <v>0.0299</v>
      </c>
      <c r="G38" s="38" t="n">
        <f aca="false">F38</f>
        <v>0.0299</v>
      </c>
      <c r="H38" s="1" t="n">
        <v>31</v>
      </c>
      <c r="I38" s="27" t="n">
        <v>-0.0782376000562786</v>
      </c>
      <c r="K38" s="28" t="n">
        <v>0.00949999999999962</v>
      </c>
      <c r="L38" s="32" t="n">
        <f aca="false">L37</f>
        <v>0.3753</v>
      </c>
      <c r="M38" s="4" t="n">
        <f aca="false">M37</f>
        <v>0.7684</v>
      </c>
      <c r="N38" s="8" t="n">
        <f aca="false">L38</f>
        <v>0.3753</v>
      </c>
      <c r="O38" s="1" t="n">
        <f aca="false">O37</f>
        <v>0.0425</v>
      </c>
      <c r="P38" s="1" t="n">
        <f aca="false">P37</f>
        <v>0.0255</v>
      </c>
      <c r="Q38" s="1" t="n">
        <f aca="false">(20253.32+163553.66)/(6188+43154)</f>
        <v>3.72516274168052</v>
      </c>
      <c r="R38" s="1" t="n">
        <f aca="false">Transport!F38</f>
        <v>8730</v>
      </c>
      <c r="S38" s="1" t="n">
        <f aca="false">Transport!G38</f>
        <v>10761</v>
      </c>
      <c r="T38" s="1" t="n">
        <f aca="false">Transport!H38</f>
        <v>15509</v>
      </c>
      <c r="U38" s="1" t="n">
        <f aca="false">Transport!I38</f>
        <v>1880</v>
      </c>
      <c r="V38" s="1" t="n">
        <f aca="false">Transport!J38</f>
        <v>2295</v>
      </c>
      <c r="W38" s="1" t="n">
        <f aca="false">Transport!K38</f>
        <v>1036</v>
      </c>
      <c r="X38" s="1" t="n">
        <f aca="false">Transport!L38</f>
        <v>683</v>
      </c>
    </row>
    <row r="39" customFormat="false" ht="11.25" hidden="false" customHeight="false" outlineLevel="0" collapsed="false">
      <c r="A39" s="6" t="n">
        <f aca="false">+A38+365/12</f>
        <v>36783.1666666667</v>
      </c>
      <c r="B39" s="29" t="n">
        <v>4.58</v>
      </c>
      <c r="C39" s="39" t="n">
        <v>4.61</v>
      </c>
      <c r="D39" s="29" t="n">
        <v>4.58</v>
      </c>
      <c r="E39" s="29" t="n">
        <v>4.6437</v>
      </c>
      <c r="F39" s="31" t="n">
        <f aca="false">+F38</f>
        <v>0.0299</v>
      </c>
      <c r="G39" s="38" t="n">
        <f aca="false">F39</f>
        <v>0.0299</v>
      </c>
      <c r="H39" s="1" t="n">
        <v>30</v>
      </c>
      <c r="I39" s="27" t="n">
        <v>-0.0782362814635969</v>
      </c>
      <c r="K39" s="28" t="n">
        <v>0.00949999999999962</v>
      </c>
      <c r="L39" s="32" t="n">
        <f aca="false">L38</f>
        <v>0.3753</v>
      </c>
      <c r="M39" s="4" t="n">
        <f aca="false">M38</f>
        <v>0.7684</v>
      </c>
      <c r="N39" s="8" t="n">
        <f aca="false">L39</f>
        <v>0.3753</v>
      </c>
      <c r="O39" s="1" t="n">
        <v>0.0477</v>
      </c>
      <c r="P39" s="1" t="n">
        <v>0.0307</v>
      </c>
      <c r="Q39" s="1" t="n">
        <f aca="false">(22227.6+185715.66)/(6000+40638)</f>
        <v>4.45866589476393</v>
      </c>
      <c r="R39" s="1" t="n">
        <f aca="false">Transport!F39</f>
        <v>8730</v>
      </c>
      <c r="S39" s="1" t="n">
        <f aca="false">Transport!G39</f>
        <v>10761</v>
      </c>
      <c r="T39" s="1" t="n">
        <f aca="false">Transport!H39</f>
        <v>15509</v>
      </c>
      <c r="U39" s="1" t="n">
        <f aca="false">Transport!I39</f>
        <v>1880</v>
      </c>
      <c r="V39" s="1" t="n">
        <f aca="false">Transport!J39</f>
        <v>2295</v>
      </c>
      <c r="W39" s="1" t="n">
        <f aca="false">Transport!K39</f>
        <v>1036</v>
      </c>
      <c r="X39" s="1" t="n">
        <f aca="false">Transport!L39</f>
        <v>683</v>
      </c>
    </row>
    <row r="40" customFormat="false" ht="11.25" hidden="false" customHeight="false" outlineLevel="0" collapsed="false">
      <c r="A40" s="6" t="n">
        <f aca="false">+A39+365/12</f>
        <v>36813.5833333333</v>
      </c>
      <c r="B40" s="29" t="n">
        <v>5.22</v>
      </c>
      <c r="C40" s="39" t="n">
        <v>5.29</v>
      </c>
      <c r="D40" s="29" t="n">
        <v>5.22</v>
      </c>
      <c r="E40" s="29" t="n">
        <v>5.304</v>
      </c>
      <c r="F40" s="31" t="n">
        <v>0.0314</v>
      </c>
      <c r="G40" s="38" t="n">
        <f aca="false">F40</f>
        <v>0.0314</v>
      </c>
      <c r="H40" s="1" t="n">
        <v>31</v>
      </c>
      <c r="I40" s="27" t="n">
        <v>-0.082797941103681</v>
      </c>
      <c r="K40" s="28" t="n">
        <v>0.0145</v>
      </c>
      <c r="L40" s="32" t="n">
        <f aca="false">L39</f>
        <v>0.3753</v>
      </c>
      <c r="M40" s="4" t="n">
        <f aca="false">M39</f>
        <v>0.7684</v>
      </c>
      <c r="N40" s="8" t="n">
        <f aca="false">L40</f>
        <v>0.3753</v>
      </c>
      <c r="O40" s="1" t="n">
        <f aca="false">O39</f>
        <v>0.0477</v>
      </c>
      <c r="P40" s="1" t="n">
        <f aca="false">P39</f>
        <v>0.0307</v>
      </c>
      <c r="R40" s="1" t="n">
        <f aca="false">Transport!F40</f>
        <v>8730</v>
      </c>
      <c r="S40" s="1" t="n">
        <f aca="false">Transport!G40</f>
        <v>10361</v>
      </c>
      <c r="T40" s="1" t="n">
        <f aca="false">Transport!H40</f>
        <v>15909</v>
      </c>
      <c r="U40" s="1" t="n">
        <f aca="false">Transport!I40</f>
        <v>2830</v>
      </c>
      <c r="V40" s="1" t="n">
        <f aca="false">Transport!J40</f>
        <v>3500</v>
      </c>
      <c r="W40" s="1" t="n">
        <f aca="false">Transport!K40</f>
        <v>1521</v>
      </c>
      <c r="X40" s="1" t="n">
        <f aca="false">Transport!L40</f>
        <v>1001</v>
      </c>
    </row>
    <row r="41" customFormat="false" ht="11.25" hidden="false" customHeight="false" outlineLevel="0" collapsed="false">
      <c r="A41" s="6" t="n">
        <f aca="false">+A40+365/12</f>
        <v>36844</v>
      </c>
      <c r="B41" s="29" t="n">
        <f aca="false">C41-0.06</f>
        <v>3.5</v>
      </c>
      <c r="C41" s="39" t="n">
        <f aca="false">C29+0.54</f>
        <v>3.56</v>
      </c>
      <c r="D41" s="29" t="n">
        <f aca="false">C41-0.05</f>
        <v>3.51</v>
      </c>
      <c r="E41" s="29" t="n">
        <f aca="false">C41</f>
        <v>3.56</v>
      </c>
      <c r="F41" s="31" t="n">
        <v>0.0275</v>
      </c>
      <c r="G41" s="38" t="n">
        <f aca="false">F41</f>
        <v>0.0275</v>
      </c>
      <c r="H41" s="1" t="n">
        <v>30</v>
      </c>
      <c r="I41" s="27" t="n">
        <v>-0.127770164292749</v>
      </c>
      <c r="K41" s="28" t="n">
        <v>0.0194999999999999</v>
      </c>
      <c r="L41" s="32" t="n">
        <f aca="false">L40</f>
        <v>0.3753</v>
      </c>
      <c r="M41" s="4" t="n">
        <f aca="false">M40</f>
        <v>0.7684</v>
      </c>
      <c r="N41" s="8" t="n">
        <f aca="false">L41</f>
        <v>0.3753</v>
      </c>
      <c r="O41" s="1" t="n">
        <f aca="false">O40</f>
        <v>0.0477</v>
      </c>
      <c r="P41" s="1" t="n">
        <f aca="false">P40</f>
        <v>0.0307</v>
      </c>
      <c r="R41" s="1" t="n">
        <f aca="false">Transport!F41</f>
        <v>4926</v>
      </c>
      <c r="S41" s="1" t="n">
        <f aca="false">Transport!G41</f>
        <v>5732</v>
      </c>
      <c r="T41" s="1" t="n">
        <f aca="false">Transport!H41</f>
        <v>9342</v>
      </c>
      <c r="U41" s="1" t="n">
        <f aca="false">Transport!I41</f>
        <v>2563</v>
      </c>
      <c r="V41" s="1" t="n">
        <f aca="false">Transport!J41</f>
        <v>2862</v>
      </c>
      <c r="W41" s="1" t="n">
        <f aca="false">Transport!K41</f>
        <v>1685</v>
      </c>
      <c r="X41" s="1" t="n">
        <f aca="false">Transport!L41</f>
        <v>683</v>
      </c>
    </row>
    <row r="42" customFormat="false" ht="11.25" hidden="false" customHeight="false" outlineLevel="0" collapsed="false">
      <c r="A42" s="6" t="n">
        <f aca="false">+A41+365/12</f>
        <v>36874.4166666667</v>
      </c>
      <c r="B42" s="29" t="n">
        <f aca="false">C42-0.06</f>
        <v>2.62</v>
      </c>
      <c r="C42" s="39" t="n">
        <f aca="false">C30+0.54</f>
        <v>2.68</v>
      </c>
      <c r="D42" s="29" t="n">
        <f aca="false">C42-0.05</f>
        <v>2.63</v>
      </c>
      <c r="E42" s="29" t="n">
        <f aca="false">C42</f>
        <v>2.68</v>
      </c>
      <c r="F42" s="31" t="n">
        <f aca="false">+F41</f>
        <v>0.0275</v>
      </c>
      <c r="G42" s="38" t="n">
        <f aca="false">F42</f>
        <v>0.0275</v>
      </c>
      <c r="H42" s="1" t="n">
        <v>31</v>
      </c>
      <c r="I42" s="27" t="n">
        <v>-0.16273266559799</v>
      </c>
      <c r="K42" s="28" t="n">
        <v>0.0245000000000002</v>
      </c>
      <c r="L42" s="32" t="n">
        <f aca="false">L41</f>
        <v>0.3753</v>
      </c>
      <c r="M42" s="4" t="n">
        <f aca="false">M41</f>
        <v>0.7684</v>
      </c>
      <c r="N42" s="8" t="n">
        <f aca="false">L42</f>
        <v>0.3753</v>
      </c>
      <c r="O42" s="1" t="n">
        <f aca="false">O41</f>
        <v>0.0477</v>
      </c>
      <c r="P42" s="1" t="n">
        <f aca="false">P41</f>
        <v>0.0307</v>
      </c>
      <c r="R42" s="1" t="n">
        <f aca="false">Transport!F42</f>
        <v>4926</v>
      </c>
      <c r="S42" s="1" t="n">
        <f aca="false">Transport!G42</f>
        <v>5732</v>
      </c>
      <c r="T42" s="1" t="n">
        <f aca="false">Transport!H42</f>
        <v>9342</v>
      </c>
      <c r="U42" s="1" t="n">
        <f aca="false">Transport!I42</f>
        <v>2563</v>
      </c>
      <c r="V42" s="1" t="n">
        <f aca="false">Transport!J42</f>
        <v>2862</v>
      </c>
      <c r="W42" s="1" t="n">
        <f aca="false">Transport!K42</f>
        <v>1685</v>
      </c>
      <c r="X42" s="1" t="n">
        <f aca="false">Transport!L42</f>
        <v>683</v>
      </c>
    </row>
    <row r="43" customFormat="false" ht="11.25" hidden="false" customHeight="false" outlineLevel="0" collapsed="false">
      <c r="A43" s="41" t="n">
        <f aca="false">+A42+365/12</f>
        <v>36904.8333333333</v>
      </c>
      <c r="B43" s="42" t="n">
        <f aca="false">C43-0.06</f>
        <v>2.22</v>
      </c>
      <c r="C43" s="42" t="n">
        <f aca="false">C31-0.07</f>
        <v>2.28</v>
      </c>
      <c r="D43" s="42" t="n">
        <f aca="false">C43-0.05</f>
        <v>2.23</v>
      </c>
      <c r="E43" s="42" t="n">
        <f aca="false">C43</f>
        <v>2.28</v>
      </c>
      <c r="F43" s="43" t="n">
        <f aca="false">+F42</f>
        <v>0.0275</v>
      </c>
      <c r="G43" s="44" t="n">
        <f aca="false">F43</f>
        <v>0.0275</v>
      </c>
      <c r="H43" s="45" t="n">
        <v>31</v>
      </c>
      <c r="I43" s="46" t="n">
        <v>-0.147712527410063</v>
      </c>
      <c r="J43" s="45"/>
      <c r="K43" s="47" t="n">
        <v>0.0245000000000002</v>
      </c>
      <c r="L43" s="48" t="n">
        <f aca="false">L42</f>
        <v>0.3753</v>
      </c>
      <c r="M43" s="49" t="n">
        <f aca="false">M42</f>
        <v>0.7684</v>
      </c>
      <c r="N43" s="50" t="n">
        <f aca="false">L43</f>
        <v>0.3753</v>
      </c>
      <c r="O43" s="45" t="n">
        <f aca="false">O42</f>
        <v>0.0477</v>
      </c>
      <c r="P43" s="45" t="n">
        <f aca="false">P42</f>
        <v>0.0307</v>
      </c>
      <c r="Q43" s="45"/>
      <c r="R43" s="45" t="n">
        <f aca="false">Transport!F43</f>
        <v>4926</v>
      </c>
      <c r="S43" s="45" t="n">
        <f aca="false">Transport!G43</f>
        <v>5732</v>
      </c>
      <c r="T43" s="45" t="n">
        <f aca="false">Transport!H43</f>
        <v>9342</v>
      </c>
      <c r="U43" s="45" t="n">
        <f aca="false">Transport!I43</f>
        <v>2563</v>
      </c>
      <c r="V43" s="45" t="n">
        <f aca="false">Transport!J43</f>
        <v>2862</v>
      </c>
      <c r="W43" s="45" t="n">
        <f aca="false">Transport!K43</f>
        <v>1685</v>
      </c>
      <c r="X43" s="45" t="n">
        <f aca="false">Transport!L43</f>
        <v>683</v>
      </c>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row>
    <row r="44" customFormat="false" ht="11.25" hidden="false" customHeight="false" outlineLevel="0" collapsed="false">
      <c r="A44" s="6" t="n">
        <f aca="false">+A43+365/12</f>
        <v>36935.25</v>
      </c>
      <c r="B44" s="29" t="n">
        <f aca="false">C44-0.06</f>
        <v>2.49</v>
      </c>
      <c r="C44" s="29" t="n">
        <f aca="false">C32-0.07</f>
        <v>2.55</v>
      </c>
      <c r="D44" s="29" t="n">
        <f aca="false">C44-0.05</f>
        <v>2.5</v>
      </c>
      <c r="E44" s="29" t="n">
        <f aca="false">C44</f>
        <v>2.55</v>
      </c>
      <c r="F44" s="31" t="n">
        <f aca="false">+F43</f>
        <v>0.0275</v>
      </c>
      <c r="G44" s="38" t="n">
        <f aca="false">F44</f>
        <v>0.0275</v>
      </c>
      <c r="H44" s="1" t="n">
        <v>28</v>
      </c>
      <c r="I44" s="27" t="n">
        <v>-0.147740304220996</v>
      </c>
      <c r="K44" s="28" t="n">
        <v>0.0245000000000002</v>
      </c>
      <c r="L44" s="32" t="n">
        <f aca="false">L43</f>
        <v>0.3753</v>
      </c>
      <c r="M44" s="4" t="n">
        <f aca="false">M43</f>
        <v>0.7684</v>
      </c>
      <c r="N44" s="8" t="n">
        <f aca="false">L44</f>
        <v>0.3753</v>
      </c>
      <c r="O44" s="1" t="n">
        <f aca="false">O43</f>
        <v>0.0477</v>
      </c>
      <c r="P44" s="1" t="n">
        <f aca="false">P43</f>
        <v>0.0307</v>
      </c>
      <c r="R44" s="1" t="n">
        <f aca="false">Transport!F44</f>
        <v>4926</v>
      </c>
      <c r="S44" s="1" t="n">
        <f aca="false">Transport!G44</f>
        <v>5732</v>
      </c>
      <c r="T44" s="1" t="n">
        <f aca="false">Transport!H44</f>
        <v>9342</v>
      </c>
      <c r="U44" s="1" t="n">
        <f aca="false">Transport!I44</f>
        <v>2563</v>
      </c>
      <c r="V44" s="1" t="n">
        <f aca="false">Transport!J44</f>
        <v>2862</v>
      </c>
      <c r="W44" s="1" t="n">
        <f aca="false">Transport!K44</f>
        <v>1685</v>
      </c>
      <c r="X44" s="1" t="n">
        <f aca="false">Transport!L44</f>
        <v>683</v>
      </c>
    </row>
    <row r="45" customFormat="false" ht="11.25" hidden="false" customHeight="false" outlineLevel="0" collapsed="false">
      <c r="A45" s="6" t="n">
        <f aca="false">+A44+365/12</f>
        <v>36965.6666666667</v>
      </c>
      <c r="B45" s="29" t="n">
        <f aca="false">C45-0.06</f>
        <v>2.49</v>
      </c>
      <c r="C45" s="29" t="n">
        <f aca="false">C33-0.07</f>
        <v>2.55</v>
      </c>
      <c r="D45" s="29" t="n">
        <f aca="false">C45-0.05</f>
        <v>2.5</v>
      </c>
      <c r="E45" s="29" t="n">
        <f aca="false">C45</f>
        <v>2.55</v>
      </c>
      <c r="F45" s="31" t="n">
        <f aca="false">+F44</f>
        <v>0.0275</v>
      </c>
      <c r="G45" s="38" t="n">
        <f aca="false">F45</f>
        <v>0.0275</v>
      </c>
      <c r="H45" s="1" t="n">
        <v>31</v>
      </c>
      <c r="I45" s="27" t="n">
        <v>-0.122776066865072</v>
      </c>
      <c r="K45" s="28" t="n">
        <v>0.0195000000000003</v>
      </c>
      <c r="L45" s="32" t="n">
        <f aca="false">L44</f>
        <v>0.3753</v>
      </c>
      <c r="M45" s="4" t="n">
        <f aca="false">M44</f>
        <v>0.7684</v>
      </c>
      <c r="N45" s="8" t="n">
        <f aca="false">L45</f>
        <v>0.3753</v>
      </c>
      <c r="O45" s="1" t="n">
        <f aca="false">O44</f>
        <v>0.0477</v>
      </c>
      <c r="P45" s="1" t="n">
        <f aca="false">P44</f>
        <v>0.0307</v>
      </c>
      <c r="R45" s="1" t="n">
        <f aca="false">Transport!F45</f>
        <v>4926</v>
      </c>
      <c r="S45" s="1" t="n">
        <f aca="false">Transport!G45</f>
        <v>5732</v>
      </c>
      <c r="T45" s="1" t="n">
        <f aca="false">Transport!H45</f>
        <v>9342</v>
      </c>
      <c r="U45" s="1" t="n">
        <f aca="false">Transport!I45</f>
        <v>2563</v>
      </c>
      <c r="V45" s="1" t="n">
        <f aca="false">Transport!J45</f>
        <v>2862</v>
      </c>
      <c r="W45" s="1" t="n">
        <f aca="false">Transport!K45</f>
        <v>1685</v>
      </c>
      <c r="X45" s="1" t="n">
        <f aca="false">Transport!L45</f>
        <v>683</v>
      </c>
    </row>
    <row r="46" customFormat="false" ht="11.25" hidden="false" customHeight="false" outlineLevel="0" collapsed="false">
      <c r="A46" s="6" t="n">
        <f aca="false">+A45+365/12</f>
        <v>36996.0833333333</v>
      </c>
      <c r="B46" s="29" t="n">
        <f aca="false">C46-0.06</f>
        <v>2.76</v>
      </c>
      <c r="C46" s="29" t="n">
        <f aca="false">C34-0.07</f>
        <v>2.82</v>
      </c>
      <c r="D46" s="29" t="n">
        <f aca="false">C46-0.05</f>
        <v>2.77</v>
      </c>
      <c r="E46" s="29" t="n">
        <f aca="false">C46</f>
        <v>2.82</v>
      </c>
      <c r="F46" s="31" t="n">
        <f aca="false">+F45</f>
        <v>0.0275</v>
      </c>
      <c r="G46" s="38" t="n">
        <f aca="false">F46</f>
        <v>0.0275</v>
      </c>
      <c r="H46" s="1" t="n">
        <v>30</v>
      </c>
      <c r="I46" s="27" t="n">
        <v>-0.0732930801617684</v>
      </c>
      <c r="K46" s="28" t="n">
        <v>0.00599999999999978</v>
      </c>
      <c r="L46" s="32" t="n">
        <f aca="false">L45</f>
        <v>0.3753</v>
      </c>
      <c r="M46" s="4" t="n">
        <f aca="false">M45</f>
        <v>0.7684</v>
      </c>
      <c r="N46" s="8" t="n">
        <f aca="false">L46</f>
        <v>0.3753</v>
      </c>
      <c r="O46" s="1" t="n">
        <f aca="false">O45</f>
        <v>0.0477</v>
      </c>
      <c r="P46" s="1" t="n">
        <f aca="false">P45</f>
        <v>0.0307</v>
      </c>
      <c r="R46" s="1" t="n">
        <f aca="false">Transport!F46</f>
        <v>6933</v>
      </c>
      <c r="S46" s="1" t="n">
        <f aca="false">Transport!G46</f>
        <v>8798</v>
      </c>
      <c r="T46" s="1" t="n">
        <f aca="false">Transport!H46</f>
        <v>14269</v>
      </c>
      <c r="U46" s="1" t="n">
        <f aca="false">Transport!I46</f>
        <v>1880</v>
      </c>
      <c r="V46" s="1" t="n">
        <f aca="false">Transport!J46</f>
        <v>2073</v>
      </c>
      <c r="W46" s="1" t="n">
        <f aca="false">Transport!K46</f>
        <v>1258</v>
      </c>
      <c r="X46" s="1" t="n">
        <f aca="false">Transport!L46</f>
        <v>683</v>
      </c>
    </row>
    <row r="47" customFormat="false" ht="11.25" hidden="false" customHeight="false" outlineLevel="0" collapsed="false">
      <c r="A47" s="6" t="n">
        <f aca="false">+A46+365/12</f>
        <v>37026.5</v>
      </c>
      <c r="B47" s="29" t="n">
        <f aca="false">C47-0.06</f>
        <v>2.95</v>
      </c>
      <c r="C47" s="29" t="n">
        <f aca="false">C35-0.07</f>
        <v>3.01</v>
      </c>
      <c r="D47" s="29" t="n">
        <f aca="false">C47-0.05</f>
        <v>2.96</v>
      </c>
      <c r="E47" s="29" t="n">
        <f aca="false">C47</f>
        <v>3.01</v>
      </c>
      <c r="F47" s="31" t="n">
        <f aca="false">+F46</f>
        <v>0.0275</v>
      </c>
      <c r="G47" s="38" t="n">
        <f aca="false">F47</f>
        <v>0.0275</v>
      </c>
      <c r="H47" s="1" t="n">
        <v>31</v>
      </c>
      <c r="I47" s="27" t="n">
        <v>-0.0737339079967696</v>
      </c>
      <c r="K47" s="28" t="n">
        <v>0.00599999999999978</v>
      </c>
      <c r="L47" s="32" t="n">
        <f aca="false">L46</f>
        <v>0.3753</v>
      </c>
      <c r="M47" s="4" t="n">
        <f aca="false">0.746+0.0076-0.0142</f>
        <v>0.7394</v>
      </c>
      <c r="N47" s="8" t="n">
        <f aca="false">L47</f>
        <v>0.3753</v>
      </c>
      <c r="O47" s="1" t="n">
        <f aca="false">O46</f>
        <v>0.0477</v>
      </c>
      <c r="P47" s="1" t="n">
        <f aca="false">P46</f>
        <v>0.0307</v>
      </c>
      <c r="R47" s="1" t="n">
        <f aca="false">Transport!F47</f>
        <v>8730</v>
      </c>
      <c r="S47" s="1" t="n">
        <f aca="false">Transport!G47</f>
        <v>10761</v>
      </c>
      <c r="T47" s="1" t="n">
        <f aca="false">Transport!H47</f>
        <v>15509</v>
      </c>
      <c r="U47" s="1" t="n">
        <f aca="false">Transport!I47</f>
        <v>1880</v>
      </c>
      <c r="V47" s="1" t="n">
        <f aca="false">Transport!J47</f>
        <v>2295</v>
      </c>
      <c r="W47" s="1" t="n">
        <f aca="false">Transport!K47</f>
        <v>1036</v>
      </c>
      <c r="X47" s="1" t="n">
        <f aca="false">Transport!L47</f>
        <v>683</v>
      </c>
    </row>
    <row r="48" customFormat="false" ht="11.25" hidden="false" customHeight="false" outlineLevel="0" collapsed="false">
      <c r="A48" s="6" t="n">
        <f aca="false">+A47+365/12</f>
        <v>37056.9166666667</v>
      </c>
      <c r="B48" s="29" t="n">
        <f aca="false">C48-0.06</f>
        <v>4.26</v>
      </c>
      <c r="C48" s="29" t="n">
        <f aca="false">C36-0.07</f>
        <v>4.32</v>
      </c>
      <c r="D48" s="29" t="n">
        <f aca="false">C48-0.05</f>
        <v>4.27</v>
      </c>
      <c r="E48" s="29" t="n">
        <f aca="false">C48</f>
        <v>4.32</v>
      </c>
      <c r="F48" s="31" t="n">
        <f aca="false">+F47</f>
        <v>0.0275</v>
      </c>
      <c r="G48" s="38" t="n">
        <f aca="false">F48</f>
        <v>0.0275</v>
      </c>
      <c r="H48" s="1" t="n">
        <v>30</v>
      </c>
      <c r="I48" s="27" t="n">
        <v>-0.0737332487004281</v>
      </c>
      <c r="K48" s="28" t="n">
        <v>0.00599999999999978</v>
      </c>
      <c r="L48" s="32" t="n">
        <f aca="false">L47</f>
        <v>0.3753</v>
      </c>
      <c r="M48" s="4" t="n">
        <f aca="false">M47</f>
        <v>0.7394</v>
      </c>
      <c r="N48" s="8" t="n">
        <f aca="false">L48</f>
        <v>0.3753</v>
      </c>
      <c r="O48" s="1" t="n">
        <f aca="false">O47</f>
        <v>0.0477</v>
      </c>
      <c r="P48" s="1" t="n">
        <f aca="false">P47</f>
        <v>0.0307</v>
      </c>
      <c r="R48" s="1" t="n">
        <f aca="false">Transport!F48</f>
        <v>8730</v>
      </c>
      <c r="S48" s="1" t="n">
        <f aca="false">Transport!G48</f>
        <v>10761</v>
      </c>
      <c r="T48" s="1" t="n">
        <f aca="false">Transport!H48</f>
        <v>15509</v>
      </c>
      <c r="U48" s="1" t="n">
        <f aca="false">Transport!I48</f>
        <v>1880</v>
      </c>
      <c r="V48" s="1" t="n">
        <f aca="false">Transport!J48</f>
        <v>2295</v>
      </c>
      <c r="W48" s="1" t="n">
        <f aca="false">Transport!K48</f>
        <v>1036</v>
      </c>
      <c r="X48" s="1" t="n">
        <f aca="false">Transport!L48</f>
        <v>683</v>
      </c>
    </row>
    <row r="49" customFormat="false" ht="11.25" hidden="false" customHeight="false" outlineLevel="0" collapsed="false">
      <c r="A49" s="6" t="n">
        <f aca="false">+A48+365/12</f>
        <v>37087.3333333333</v>
      </c>
      <c r="B49" s="29" t="n">
        <f aca="false">C49-0.06</f>
        <v>4.25</v>
      </c>
      <c r="C49" s="29" t="n">
        <f aca="false">C37-0.07</f>
        <v>4.31</v>
      </c>
      <c r="D49" s="29" t="n">
        <f aca="false">C49-0.05</f>
        <v>4.26</v>
      </c>
      <c r="E49" s="29" t="n">
        <f aca="false">C49</f>
        <v>4.31</v>
      </c>
      <c r="F49" s="31" t="n">
        <f aca="false">+F48</f>
        <v>0.0275</v>
      </c>
      <c r="G49" s="38" t="n">
        <f aca="false">F49</f>
        <v>0.0275</v>
      </c>
      <c r="H49" s="1" t="n">
        <v>31</v>
      </c>
      <c r="I49" s="27" t="n">
        <v>-0.0782328531226235</v>
      </c>
      <c r="K49" s="28" t="n">
        <v>0.00949999999999984</v>
      </c>
      <c r="L49" s="32" t="n">
        <f aca="false">L48</f>
        <v>0.3753</v>
      </c>
      <c r="M49" s="4" t="n">
        <f aca="false">M48</f>
        <v>0.7394</v>
      </c>
      <c r="N49" s="8" t="n">
        <f aca="false">L49</f>
        <v>0.3753</v>
      </c>
      <c r="O49" s="1" t="n">
        <f aca="false">O48</f>
        <v>0.0477</v>
      </c>
      <c r="P49" s="1" t="n">
        <f aca="false">P48</f>
        <v>0.0307</v>
      </c>
      <c r="R49" s="1" t="n">
        <f aca="false">Transport!F49</f>
        <v>8730</v>
      </c>
      <c r="S49" s="1" t="n">
        <f aca="false">Transport!G49</f>
        <v>10761</v>
      </c>
      <c r="T49" s="1" t="n">
        <f aca="false">Transport!H49</f>
        <v>15509</v>
      </c>
      <c r="U49" s="1" t="n">
        <f aca="false">Transport!I49</f>
        <v>1880</v>
      </c>
      <c r="V49" s="1" t="n">
        <f aca="false">Transport!J49</f>
        <v>2295</v>
      </c>
      <c r="W49" s="1" t="n">
        <f aca="false">Transport!K49</f>
        <v>1036</v>
      </c>
      <c r="X49" s="1" t="n">
        <f aca="false">Transport!L49</f>
        <v>683</v>
      </c>
    </row>
    <row r="50" customFormat="false" ht="11.25" hidden="false" customHeight="false" outlineLevel="0" collapsed="false">
      <c r="A50" s="6" t="n">
        <f aca="false">+A49+365/12</f>
        <v>37117.75</v>
      </c>
      <c r="B50" s="29" t="n">
        <f aca="false">C50-0.06</f>
        <v>3.71</v>
      </c>
      <c r="C50" s="29" t="n">
        <f aca="false">C38-0.07</f>
        <v>3.77</v>
      </c>
      <c r="D50" s="29" t="n">
        <f aca="false">C50-0.05</f>
        <v>3.72</v>
      </c>
      <c r="E50" s="29" t="n">
        <f aca="false">C50</f>
        <v>3.77</v>
      </c>
      <c r="F50" s="31" t="n">
        <f aca="false">+F49</f>
        <v>0.0275</v>
      </c>
      <c r="G50" s="38" t="n">
        <f aca="false">F50</f>
        <v>0.0275</v>
      </c>
      <c r="H50" s="1" t="n">
        <v>31</v>
      </c>
      <c r="I50" s="27" t="n">
        <v>-0.078232061967014</v>
      </c>
      <c r="K50" s="28" t="n">
        <v>0.00949999999999962</v>
      </c>
      <c r="L50" s="32" t="n">
        <f aca="false">L49</f>
        <v>0.3753</v>
      </c>
      <c r="M50" s="4" t="n">
        <f aca="false">M49</f>
        <v>0.7394</v>
      </c>
      <c r="N50" s="8" t="n">
        <f aca="false">L50</f>
        <v>0.3753</v>
      </c>
      <c r="O50" s="1" t="n">
        <f aca="false">O49</f>
        <v>0.0477</v>
      </c>
      <c r="P50" s="1" t="n">
        <f aca="false">P49</f>
        <v>0.0307</v>
      </c>
      <c r="R50" s="1" t="n">
        <f aca="false">Transport!F50</f>
        <v>8730</v>
      </c>
      <c r="S50" s="1" t="n">
        <f aca="false">Transport!G50</f>
        <v>10761</v>
      </c>
      <c r="T50" s="1" t="n">
        <f aca="false">Transport!H50</f>
        <v>15509</v>
      </c>
      <c r="U50" s="1" t="n">
        <f aca="false">Transport!I50</f>
        <v>1880</v>
      </c>
      <c r="V50" s="1" t="n">
        <f aca="false">Transport!J50</f>
        <v>2295</v>
      </c>
      <c r="W50" s="1" t="n">
        <f aca="false">Transport!K50</f>
        <v>1036</v>
      </c>
      <c r="X50" s="1" t="n">
        <f aca="false">Transport!L50</f>
        <v>683</v>
      </c>
    </row>
    <row r="51" customFormat="false" ht="11.25" hidden="false" customHeight="false" outlineLevel="0" collapsed="false">
      <c r="A51" s="6" t="n">
        <f aca="false">+A50+365/12</f>
        <v>37148.1666666667</v>
      </c>
      <c r="B51" s="29" t="n">
        <f aca="false">C51-0.06</f>
        <v>4.48</v>
      </c>
      <c r="C51" s="29" t="n">
        <f aca="false">C39-0.07</f>
        <v>4.54</v>
      </c>
      <c r="D51" s="29" t="n">
        <f aca="false">C51-0.05</f>
        <v>4.49</v>
      </c>
      <c r="E51" s="29" t="n">
        <f aca="false">C51</f>
        <v>4.54</v>
      </c>
      <c r="F51" s="31" t="n">
        <f aca="false">+F50</f>
        <v>0.0275</v>
      </c>
      <c r="G51" s="38" t="n">
        <f aca="false">F51</f>
        <v>0.0275</v>
      </c>
      <c r="H51" s="1" t="n">
        <v>30</v>
      </c>
      <c r="I51" s="27" t="n">
        <v>-0.0782307433743323</v>
      </c>
      <c r="K51" s="28" t="n">
        <v>0.00949999999999962</v>
      </c>
      <c r="L51" s="32" t="n">
        <f aca="false">L50</f>
        <v>0.3753</v>
      </c>
      <c r="M51" s="4" t="n">
        <f aca="false">M50</f>
        <v>0.7394</v>
      </c>
      <c r="N51" s="8" t="n">
        <f aca="false">L51</f>
        <v>0.3753</v>
      </c>
      <c r="O51" s="1" t="n">
        <f aca="false">O50</f>
        <v>0.0477</v>
      </c>
      <c r="P51" s="1" t="n">
        <f aca="false">P50</f>
        <v>0.0307</v>
      </c>
      <c r="R51" s="1" t="n">
        <f aca="false">Transport!F51</f>
        <v>8730</v>
      </c>
      <c r="S51" s="1" t="n">
        <f aca="false">Transport!G51</f>
        <v>10761</v>
      </c>
      <c r="T51" s="1" t="n">
        <f aca="false">Transport!H51</f>
        <v>15509</v>
      </c>
      <c r="U51" s="1" t="n">
        <f aca="false">Transport!I51</f>
        <v>1880</v>
      </c>
      <c r="V51" s="1" t="n">
        <f aca="false">Transport!J51</f>
        <v>2295</v>
      </c>
      <c r="W51" s="1" t="n">
        <f aca="false">Transport!K51</f>
        <v>1036</v>
      </c>
      <c r="X51" s="1" t="n">
        <f aca="false">Transport!L51</f>
        <v>683</v>
      </c>
    </row>
    <row r="52" customFormat="false" ht="11.25" hidden="false" customHeight="false" outlineLevel="0" collapsed="false">
      <c r="A52" s="6" t="n">
        <f aca="false">+A51+365/12</f>
        <v>37178.5833333333</v>
      </c>
      <c r="B52" s="29" t="n">
        <f aca="false">C52-0.06</f>
        <v>5.16</v>
      </c>
      <c r="C52" s="29" t="n">
        <f aca="false">C40-0.07</f>
        <v>5.22</v>
      </c>
      <c r="D52" s="29" t="n">
        <f aca="false">C52-0.05</f>
        <v>5.17</v>
      </c>
      <c r="E52" s="29" t="n">
        <f aca="false">C52</f>
        <v>5.22</v>
      </c>
      <c r="F52" s="31" t="n">
        <f aca="false">+F51</f>
        <v>0.0275</v>
      </c>
      <c r="G52" s="38" t="n">
        <f aca="false">F52</f>
        <v>0.0275</v>
      </c>
      <c r="H52" s="1" t="n">
        <v>31</v>
      </c>
      <c r="I52" s="27" t="n">
        <v>-0.0827833582779416</v>
      </c>
      <c r="K52" s="28" t="n">
        <v>0.0145</v>
      </c>
      <c r="L52" s="32" t="n">
        <f aca="false">L51</f>
        <v>0.3753</v>
      </c>
      <c r="M52" s="4" t="n">
        <f aca="false">M51</f>
        <v>0.7394</v>
      </c>
      <c r="N52" s="8" t="n">
        <f aca="false">L52</f>
        <v>0.3753</v>
      </c>
      <c r="O52" s="1" t="n">
        <f aca="false">O51</f>
        <v>0.0477</v>
      </c>
      <c r="P52" s="1" t="n">
        <f aca="false">P51</f>
        <v>0.0307</v>
      </c>
      <c r="R52" s="1" t="n">
        <f aca="false">Transport!F52</f>
        <v>8730</v>
      </c>
      <c r="S52" s="1" t="n">
        <f aca="false">Transport!G52</f>
        <v>10361</v>
      </c>
      <c r="T52" s="1" t="n">
        <f aca="false">Transport!H52</f>
        <v>15909</v>
      </c>
      <c r="U52" s="1" t="n">
        <f aca="false">Transport!I52</f>
        <v>2830</v>
      </c>
      <c r="V52" s="1" t="n">
        <f aca="false">Transport!J52</f>
        <v>3500</v>
      </c>
      <c r="W52" s="1" t="n">
        <f aca="false">Transport!K52</f>
        <v>1521</v>
      </c>
      <c r="X52" s="1" t="n">
        <f aca="false">Transport!L52</f>
        <v>1001</v>
      </c>
    </row>
    <row r="53" customFormat="false" ht="11.25" hidden="false" customHeight="false" outlineLevel="0" collapsed="false">
      <c r="A53" s="6" t="n">
        <f aca="false">+A52+365/12</f>
        <v>37209</v>
      </c>
      <c r="B53" s="29" t="n">
        <f aca="false">C53-0.06</f>
        <v>3.43</v>
      </c>
      <c r="C53" s="29" t="n">
        <f aca="false">C41-0.07</f>
        <v>3.49</v>
      </c>
      <c r="D53" s="29" t="n">
        <f aca="false">C53-0.05</f>
        <v>3.44</v>
      </c>
      <c r="E53" s="29" t="n">
        <f aca="false">C53</f>
        <v>3.49</v>
      </c>
      <c r="F53" s="31" t="n">
        <f aca="false">+F52</f>
        <v>0.0275</v>
      </c>
      <c r="G53" s="38" t="n">
        <f aca="false">F53</f>
        <v>0.0275</v>
      </c>
      <c r="H53" s="1" t="n">
        <v>30</v>
      </c>
      <c r="I53" s="27" t="n">
        <v>-0.127755581467009</v>
      </c>
      <c r="K53" s="28" t="n">
        <v>0.0194999999999999</v>
      </c>
      <c r="L53" s="32" t="n">
        <f aca="false">L52</f>
        <v>0.3753</v>
      </c>
      <c r="M53" s="4" t="n">
        <f aca="false">M52</f>
        <v>0.7394</v>
      </c>
      <c r="N53" s="8" t="n">
        <f aca="false">L53</f>
        <v>0.3753</v>
      </c>
      <c r="O53" s="1" t="n">
        <f aca="false">O52</f>
        <v>0.0477</v>
      </c>
      <c r="P53" s="1" t="n">
        <f aca="false">P52</f>
        <v>0.0307</v>
      </c>
      <c r="R53" s="1" t="n">
        <f aca="false">Transport!F53</f>
        <v>4926</v>
      </c>
      <c r="S53" s="1" t="n">
        <f aca="false">Transport!G53</f>
        <v>5732</v>
      </c>
      <c r="T53" s="1" t="n">
        <f aca="false">Transport!H53</f>
        <v>9342</v>
      </c>
      <c r="U53" s="1" t="n">
        <f aca="false">Transport!I53</f>
        <v>2563</v>
      </c>
      <c r="V53" s="1" t="n">
        <f aca="false">Transport!J53</f>
        <v>2862</v>
      </c>
      <c r="W53" s="1" t="n">
        <f aca="false">Transport!K53</f>
        <v>1685</v>
      </c>
      <c r="X53" s="1" t="n">
        <f aca="false">Transport!L53</f>
        <v>683</v>
      </c>
    </row>
    <row r="54" customFormat="false" ht="11.25" hidden="false" customHeight="false" outlineLevel="0" collapsed="false">
      <c r="A54" s="6" t="n">
        <f aca="false">+A53+365/12</f>
        <v>37239.4166666667</v>
      </c>
      <c r="B54" s="29" t="n">
        <f aca="false">C54-0.06</f>
        <v>2.55</v>
      </c>
      <c r="C54" s="29" t="n">
        <f aca="false">C42-0.07</f>
        <v>2.61</v>
      </c>
      <c r="D54" s="29" t="n">
        <f aca="false">C54-0.05</f>
        <v>2.56</v>
      </c>
      <c r="E54" s="29" t="n">
        <f aca="false">C54</f>
        <v>2.61</v>
      </c>
      <c r="F54" s="31" t="n">
        <f aca="false">+F53</f>
        <v>0.0275</v>
      </c>
      <c r="G54" s="38" t="n">
        <f aca="false">F54</f>
        <v>0.0275</v>
      </c>
      <c r="H54" s="1" t="n">
        <v>31</v>
      </c>
      <c r="I54" s="27" t="n">
        <v>-0.16271808277225</v>
      </c>
      <c r="K54" s="28" t="n">
        <v>0.0245000000000002</v>
      </c>
      <c r="L54" s="32" t="n">
        <f aca="false">L53</f>
        <v>0.3753</v>
      </c>
      <c r="M54" s="4" t="n">
        <f aca="false">M53</f>
        <v>0.7394</v>
      </c>
      <c r="N54" s="8" t="n">
        <f aca="false">L54</f>
        <v>0.3753</v>
      </c>
      <c r="O54" s="1" t="n">
        <f aca="false">O53</f>
        <v>0.0477</v>
      </c>
      <c r="P54" s="1" t="n">
        <f aca="false">P53</f>
        <v>0.0307</v>
      </c>
      <c r="R54" s="1" t="n">
        <f aca="false">Transport!F54</f>
        <v>4926</v>
      </c>
      <c r="S54" s="1" t="n">
        <f aca="false">Transport!G54</f>
        <v>5732</v>
      </c>
      <c r="T54" s="1" t="n">
        <f aca="false">Transport!H54</f>
        <v>9342</v>
      </c>
      <c r="U54" s="1" t="n">
        <f aca="false">Transport!I54</f>
        <v>2563</v>
      </c>
      <c r="V54" s="1" t="n">
        <f aca="false">Transport!J54</f>
        <v>2862</v>
      </c>
      <c r="W54" s="1" t="n">
        <f aca="false">Transport!K54</f>
        <v>1685</v>
      </c>
      <c r="X54" s="1" t="n">
        <f aca="false">Transport!L54</f>
        <v>683</v>
      </c>
    </row>
    <row r="55" customFormat="false" ht="11.25" hidden="false" customHeight="false" outlineLevel="0" collapsed="false">
      <c r="A55" s="41" t="n">
        <f aca="false">+A54+365/12</f>
        <v>37269.8333333333</v>
      </c>
      <c r="B55" s="42" t="n">
        <f aca="false">C55-0.06</f>
        <v>2.21</v>
      </c>
      <c r="C55" s="42" t="n">
        <f aca="false">C43-0.01</f>
        <v>2.27</v>
      </c>
      <c r="D55" s="42" t="n">
        <f aca="false">C55-0.05</f>
        <v>2.22</v>
      </c>
      <c r="E55" s="42" t="n">
        <f aca="false">C55</f>
        <v>2.27</v>
      </c>
      <c r="F55" s="43" t="n">
        <f aca="false">+F54</f>
        <v>0.0275</v>
      </c>
      <c r="G55" s="44" t="n">
        <f aca="false">F55</f>
        <v>0.0275</v>
      </c>
      <c r="H55" s="45" t="n">
        <v>31</v>
      </c>
      <c r="I55" s="46" t="n">
        <v>-0.14770141668569</v>
      </c>
      <c r="J55" s="45"/>
      <c r="K55" s="47" t="n">
        <v>0.0245000000000002</v>
      </c>
      <c r="L55" s="48" t="n">
        <f aca="false">L54</f>
        <v>0.3753</v>
      </c>
      <c r="M55" s="49" t="n">
        <f aca="false">M54</f>
        <v>0.7394</v>
      </c>
      <c r="N55" s="50" t="n">
        <f aca="false">L55</f>
        <v>0.3753</v>
      </c>
      <c r="O55" s="45" t="n">
        <f aca="false">O54</f>
        <v>0.0477</v>
      </c>
      <c r="P55" s="45" t="n">
        <f aca="false">P54</f>
        <v>0.0307</v>
      </c>
      <c r="Q55" s="45"/>
      <c r="R55" s="45" t="n">
        <f aca="false">Transport!F55</f>
        <v>4926</v>
      </c>
      <c r="S55" s="45" t="n">
        <f aca="false">Transport!G55</f>
        <v>5732</v>
      </c>
      <c r="T55" s="45" t="n">
        <f aca="false">Transport!H55</f>
        <v>9342</v>
      </c>
      <c r="U55" s="45" t="n">
        <f aca="false">Transport!I55</f>
        <v>2563</v>
      </c>
      <c r="V55" s="45" t="n">
        <f aca="false">Transport!J55</f>
        <v>2862</v>
      </c>
      <c r="W55" s="45" t="n">
        <f aca="false">Transport!K55</f>
        <v>1685</v>
      </c>
      <c r="X55" s="45" t="n">
        <f aca="false">Transport!L55</f>
        <v>683</v>
      </c>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c r="IW55" s="45"/>
    </row>
    <row r="56" customFormat="false" ht="11.25" hidden="false" customHeight="false" outlineLevel="0" collapsed="false">
      <c r="A56" s="6" t="n">
        <f aca="false">+A55+365/12</f>
        <v>37300.25</v>
      </c>
      <c r="B56" s="29" t="n">
        <f aca="false">C56-0.06</f>
        <v>2.48</v>
      </c>
      <c r="C56" s="29" t="n">
        <f aca="false">C44-0.01</f>
        <v>2.54</v>
      </c>
      <c r="D56" s="29" t="n">
        <f aca="false">C56-0.05</f>
        <v>2.49</v>
      </c>
      <c r="E56" s="29" t="n">
        <f aca="false">C56</f>
        <v>2.54</v>
      </c>
      <c r="F56" s="31" t="n">
        <f aca="false">+F55</f>
        <v>0.0275</v>
      </c>
      <c r="G56" s="38" t="n">
        <f aca="false">F56</f>
        <v>0.0275</v>
      </c>
      <c r="H56" s="1" t="n">
        <v>28</v>
      </c>
      <c r="I56" s="27" t="n">
        <v>-0.147729193496623</v>
      </c>
      <c r="K56" s="28" t="n">
        <v>0.0245000000000002</v>
      </c>
      <c r="L56" s="32" t="n">
        <f aca="false">L55</f>
        <v>0.3753</v>
      </c>
      <c r="M56" s="4" t="n">
        <f aca="false">M55</f>
        <v>0.7394</v>
      </c>
      <c r="N56" s="8" t="n">
        <f aca="false">L56</f>
        <v>0.3753</v>
      </c>
      <c r="O56" s="1" t="n">
        <f aca="false">O55</f>
        <v>0.0477</v>
      </c>
      <c r="P56" s="1" t="n">
        <f aca="false">P55</f>
        <v>0.0307</v>
      </c>
      <c r="R56" s="1" t="n">
        <f aca="false">Transport!F56</f>
        <v>4926</v>
      </c>
      <c r="S56" s="1" t="n">
        <f aca="false">Transport!G56</f>
        <v>5732</v>
      </c>
      <c r="T56" s="1" t="n">
        <f aca="false">Transport!H56</f>
        <v>9342</v>
      </c>
      <c r="U56" s="1" t="n">
        <f aca="false">Transport!I56</f>
        <v>2563</v>
      </c>
      <c r="V56" s="1" t="n">
        <f aca="false">Transport!J56</f>
        <v>2862</v>
      </c>
      <c r="W56" s="1" t="n">
        <f aca="false">Transport!K56</f>
        <v>1685</v>
      </c>
      <c r="X56" s="1" t="n">
        <f aca="false">Transport!L56</f>
        <v>683</v>
      </c>
    </row>
    <row r="57" customFormat="false" ht="11.25" hidden="false" customHeight="false" outlineLevel="0" collapsed="false">
      <c r="A57" s="6" t="n">
        <f aca="false">+A56+365/12</f>
        <v>37330.6666666667</v>
      </c>
      <c r="B57" s="29" t="n">
        <f aca="false">C57-0.06</f>
        <v>2.48</v>
      </c>
      <c r="C57" s="29" t="n">
        <f aca="false">C45-0.01</f>
        <v>2.54</v>
      </c>
      <c r="D57" s="29" t="n">
        <f aca="false">C57-0.05</f>
        <v>2.49</v>
      </c>
      <c r="E57" s="29" t="n">
        <f aca="false">C57</f>
        <v>2.54</v>
      </c>
      <c r="F57" s="31" t="n">
        <f aca="false">+F56</f>
        <v>0.0275</v>
      </c>
      <c r="G57" s="38" t="n">
        <f aca="false">F57</f>
        <v>0.0275</v>
      </c>
      <c r="H57" s="1" t="n">
        <v>31</v>
      </c>
      <c r="I57" s="27" t="n">
        <v>-0.122764956140698</v>
      </c>
      <c r="K57" s="28" t="n">
        <v>0.0195000000000003</v>
      </c>
      <c r="L57" s="32" t="n">
        <f aca="false">L56</f>
        <v>0.3753</v>
      </c>
      <c r="M57" s="4" t="n">
        <f aca="false">M56</f>
        <v>0.7394</v>
      </c>
      <c r="N57" s="8" t="n">
        <f aca="false">L57</f>
        <v>0.3753</v>
      </c>
      <c r="O57" s="1" t="n">
        <f aca="false">O56</f>
        <v>0.0477</v>
      </c>
      <c r="P57" s="1" t="n">
        <f aca="false">P56</f>
        <v>0.0307</v>
      </c>
      <c r="R57" s="1" t="n">
        <f aca="false">Transport!F57</f>
        <v>4926</v>
      </c>
      <c r="S57" s="1" t="n">
        <f aca="false">Transport!G57</f>
        <v>5732</v>
      </c>
      <c r="T57" s="1" t="n">
        <f aca="false">Transport!H57</f>
        <v>9342</v>
      </c>
      <c r="U57" s="1" t="n">
        <f aca="false">Transport!I57</f>
        <v>2563</v>
      </c>
      <c r="V57" s="1" t="n">
        <f aca="false">Transport!J57</f>
        <v>2862</v>
      </c>
      <c r="W57" s="1" t="n">
        <f aca="false">Transport!K57</f>
        <v>1685</v>
      </c>
      <c r="X57" s="1" t="n">
        <f aca="false">Transport!L57</f>
        <v>683</v>
      </c>
    </row>
    <row r="58" customFormat="false" ht="11.25" hidden="false" customHeight="false" outlineLevel="0" collapsed="false">
      <c r="A58" s="6" t="n">
        <f aca="false">+A57+365/12</f>
        <v>37361.0833333333</v>
      </c>
      <c r="B58" s="29" t="n">
        <f aca="false">C58-0.06</f>
        <v>2.75</v>
      </c>
      <c r="C58" s="29" t="n">
        <f aca="false">C46-0.01</f>
        <v>2.81</v>
      </c>
      <c r="D58" s="29" t="n">
        <f aca="false">C58-0.05</f>
        <v>2.76</v>
      </c>
      <c r="E58" s="29" t="n">
        <f aca="false">C58</f>
        <v>2.81</v>
      </c>
      <c r="F58" s="31" t="n">
        <f aca="false">+F57</f>
        <v>0.0275</v>
      </c>
      <c r="G58" s="38" t="n">
        <f aca="false">F58</f>
        <v>0.0275</v>
      </c>
      <c r="H58" s="1" t="n">
        <v>30</v>
      </c>
      <c r="I58" s="27" t="n">
        <v>-0.0732819694373954</v>
      </c>
      <c r="K58" s="28" t="n">
        <v>0.00599999999999978</v>
      </c>
      <c r="L58" s="32" t="n">
        <f aca="false">L57</f>
        <v>0.3753</v>
      </c>
      <c r="M58" s="4" t="n">
        <f aca="false">0.746+0.0076-0.0142</f>
        <v>0.7394</v>
      </c>
      <c r="N58" s="8" t="n">
        <f aca="false">L58</f>
        <v>0.3753</v>
      </c>
      <c r="O58" s="1" t="n">
        <f aca="false">O57</f>
        <v>0.0477</v>
      </c>
      <c r="P58" s="1" t="n">
        <f aca="false">P57</f>
        <v>0.0307</v>
      </c>
      <c r="R58" s="1" t="n">
        <f aca="false">Transport!F58</f>
        <v>6933</v>
      </c>
      <c r="S58" s="1" t="n">
        <f aca="false">Transport!G58</f>
        <v>8798</v>
      </c>
      <c r="T58" s="1" t="n">
        <f aca="false">Transport!H58</f>
        <v>14269</v>
      </c>
      <c r="U58" s="1" t="n">
        <f aca="false">Transport!I58</f>
        <v>1880</v>
      </c>
      <c r="V58" s="1" t="n">
        <f aca="false">Transport!J58</f>
        <v>2073</v>
      </c>
      <c r="W58" s="1" t="n">
        <f aca="false">Transport!K58</f>
        <v>1258</v>
      </c>
      <c r="X58" s="1" t="n">
        <f aca="false">Transport!L58</f>
        <v>683</v>
      </c>
    </row>
    <row r="59" customFormat="false" ht="11.25" hidden="false" customHeight="false" outlineLevel="0" collapsed="false">
      <c r="A59" s="6" t="n">
        <f aca="false">+A58+365/12</f>
        <v>37391.5</v>
      </c>
      <c r="B59" s="29" t="n">
        <f aca="false">C59-0.06</f>
        <v>2.94</v>
      </c>
      <c r="C59" s="29" t="n">
        <f aca="false">C47-0.01</f>
        <v>3</v>
      </c>
      <c r="D59" s="29" t="n">
        <f aca="false">C59-0.05</f>
        <v>2.95</v>
      </c>
      <c r="E59" s="29" t="n">
        <f aca="false">C59</f>
        <v>3</v>
      </c>
      <c r="F59" s="31" t="n">
        <f aca="false">+F58</f>
        <v>0.0275</v>
      </c>
      <c r="G59" s="38" t="n">
        <f aca="false">F59</f>
        <v>0.0275</v>
      </c>
      <c r="H59" s="1" t="n">
        <v>31</v>
      </c>
      <c r="I59" s="27" t="n">
        <v>-0.0737296885001868</v>
      </c>
      <c r="K59" s="28" t="n">
        <v>0.00599999999999978</v>
      </c>
      <c r="L59" s="32" t="n">
        <f aca="false">L58</f>
        <v>0.3753</v>
      </c>
      <c r="M59" s="4" t="n">
        <f aca="false">M58</f>
        <v>0.7394</v>
      </c>
      <c r="N59" s="8" t="n">
        <f aca="false">L59</f>
        <v>0.3753</v>
      </c>
      <c r="O59" s="1" t="n">
        <f aca="false">O58</f>
        <v>0.0477</v>
      </c>
      <c r="P59" s="1" t="n">
        <f aca="false">P58</f>
        <v>0.0307</v>
      </c>
      <c r="R59" s="1" t="n">
        <f aca="false">Transport!F59</f>
        <v>8730</v>
      </c>
      <c r="S59" s="1" t="n">
        <f aca="false">Transport!G59</f>
        <v>10761</v>
      </c>
      <c r="T59" s="1" t="n">
        <f aca="false">Transport!H59</f>
        <v>15509</v>
      </c>
      <c r="U59" s="1" t="n">
        <f aca="false">Transport!I59</f>
        <v>1880</v>
      </c>
      <c r="V59" s="1" t="n">
        <f aca="false">Transport!J59</f>
        <v>2295</v>
      </c>
      <c r="W59" s="1" t="n">
        <f aca="false">Transport!K59</f>
        <v>1036</v>
      </c>
      <c r="X59" s="1" t="n">
        <f aca="false">Transport!L59</f>
        <v>683</v>
      </c>
    </row>
    <row r="60" customFormat="false" ht="11.25" hidden="false" customHeight="false" outlineLevel="0" collapsed="false">
      <c r="A60" s="6" t="n">
        <f aca="false">+A59+365/12</f>
        <v>37421.9166666667</v>
      </c>
      <c r="B60" s="29" t="n">
        <f aca="false">C60-0.06</f>
        <v>4.25</v>
      </c>
      <c r="C60" s="29" t="n">
        <f aca="false">C48-0.01</f>
        <v>4.31</v>
      </c>
      <c r="D60" s="29" t="n">
        <f aca="false">C60-0.05</f>
        <v>4.26</v>
      </c>
      <c r="E60" s="29" t="n">
        <f aca="false">C60</f>
        <v>4.31</v>
      </c>
      <c r="F60" s="31" t="n">
        <f aca="false">+F59</f>
        <v>0.0275</v>
      </c>
      <c r="G60" s="38" t="n">
        <f aca="false">F60</f>
        <v>0.0275</v>
      </c>
      <c r="H60" s="1" t="n">
        <v>30</v>
      </c>
      <c r="I60" s="27" t="n">
        <v>-0.0737290292038462</v>
      </c>
      <c r="K60" s="28" t="n">
        <v>0.00599999999999978</v>
      </c>
      <c r="L60" s="32" t="n">
        <f aca="false">L59</f>
        <v>0.3753</v>
      </c>
      <c r="M60" s="4" t="n">
        <f aca="false">M59</f>
        <v>0.7394</v>
      </c>
      <c r="N60" s="8" t="n">
        <f aca="false">L60</f>
        <v>0.3753</v>
      </c>
      <c r="O60" s="1" t="n">
        <f aca="false">O59</f>
        <v>0.0477</v>
      </c>
      <c r="P60" s="1" t="n">
        <f aca="false">P59</f>
        <v>0.0307</v>
      </c>
      <c r="R60" s="1" t="n">
        <f aca="false">Transport!F60</f>
        <v>8730</v>
      </c>
      <c r="S60" s="1" t="n">
        <f aca="false">Transport!G60</f>
        <v>10761</v>
      </c>
      <c r="T60" s="1" t="n">
        <f aca="false">Transport!H60</f>
        <v>15509</v>
      </c>
      <c r="U60" s="1" t="n">
        <f aca="false">Transport!I60</f>
        <v>1880</v>
      </c>
      <c r="V60" s="1" t="n">
        <f aca="false">Transport!J60</f>
        <v>2295</v>
      </c>
      <c r="W60" s="1" t="n">
        <f aca="false">Transport!K60</f>
        <v>1036</v>
      </c>
      <c r="X60" s="1" t="n">
        <f aca="false">Transport!L60</f>
        <v>683</v>
      </c>
    </row>
    <row r="61" customFormat="false" ht="11.25" hidden="false" customHeight="false" outlineLevel="0" collapsed="false">
      <c r="A61" s="6" t="n">
        <f aca="false">+A60+365/12</f>
        <v>37452.3333333333</v>
      </c>
      <c r="B61" s="29" t="n">
        <f aca="false">C61-0.06</f>
        <v>4.24</v>
      </c>
      <c r="C61" s="29" t="n">
        <f aca="false">C49-0.01</f>
        <v>4.3</v>
      </c>
      <c r="D61" s="29" t="n">
        <f aca="false">C61-0.05</f>
        <v>4.25</v>
      </c>
      <c r="E61" s="29" t="n">
        <f aca="false">C61</f>
        <v>4.3</v>
      </c>
      <c r="F61" s="31" t="n">
        <f aca="false">+F60</f>
        <v>0.0275</v>
      </c>
      <c r="G61" s="38" t="n">
        <f aca="false">F61</f>
        <v>0.0275</v>
      </c>
      <c r="H61" s="1" t="n">
        <v>31</v>
      </c>
      <c r="I61" s="27" t="n">
        <v>-0.0782286336260412</v>
      </c>
      <c r="K61" s="28" t="n">
        <v>0.00949999999999984</v>
      </c>
      <c r="L61" s="32" t="n">
        <f aca="false">L60</f>
        <v>0.3753</v>
      </c>
      <c r="M61" s="4" t="n">
        <f aca="false">M60</f>
        <v>0.7394</v>
      </c>
      <c r="N61" s="8" t="n">
        <f aca="false">L61</f>
        <v>0.3753</v>
      </c>
      <c r="O61" s="1" t="n">
        <f aca="false">O60</f>
        <v>0.0477</v>
      </c>
      <c r="P61" s="1" t="n">
        <f aca="false">P60</f>
        <v>0.0307</v>
      </c>
      <c r="R61" s="1" t="n">
        <f aca="false">Transport!F61</f>
        <v>8730</v>
      </c>
      <c r="S61" s="1" t="n">
        <f aca="false">Transport!G61</f>
        <v>10761</v>
      </c>
      <c r="T61" s="1" t="n">
        <f aca="false">Transport!H61</f>
        <v>15509</v>
      </c>
      <c r="U61" s="1" t="n">
        <f aca="false">Transport!I61</f>
        <v>1880</v>
      </c>
      <c r="V61" s="1" t="n">
        <f aca="false">Transport!J61</f>
        <v>2295</v>
      </c>
      <c r="W61" s="1" t="n">
        <f aca="false">Transport!K61</f>
        <v>1036</v>
      </c>
      <c r="X61" s="1" t="n">
        <f aca="false">Transport!L61</f>
        <v>683</v>
      </c>
    </row>
    <row r="62" customFormat="false" ht="11.25" hidden="false" customHeight="false" outlineLevel="0" collapsed="false">
      <c r="A62" s="6" t="n">
        <f aca="false">+A61+365/12</f>
        <v>37482.75</v>
      </c>
      <c r="B62" s="29" t="n">
        <f aca="false">C62-0.06</f>
        <v>3.7</v>
      </c>
      <c r="C62" s="29" t="n">
        <f aca="false">C50-0.01</f>
        <v>3.76</v>
      </c>
      <c r="D62" s="29" t="n">
        <f aca="false">C62-0.05</f>
        <v>3.71</v>
      </c>
      <c r="E62" s="29" t="n">
        <f aca="false">C62</f>
        <v>3.76</v>
      </c>
      <c r="F62" s="31" t="n">
        <f aca="false">+F61</f>
        <v>0.0275</v>
      </c>
      <c r="G62" s="38" t="n">
        <f aca="false">F62</f>
        <v>0.0275</v>
      </c>
      <c r="H62" s="1" t="n">
        <v>31</v>
      </c>
      <c r="I62" s="27" t="n">
        <v>-0.0782278424704321</v>
      </c>
      <c r="K62" s="28" t="n">
        <v>0.00949999999999962</v>
      </c>
      <c r="L62" s="32" t="n">
        <f aca="false">L61</f>
        <v>0.3753</v>
      </c>
      <c r="M62" s="4" t="n">
        <f aca="false">M61</f>
        <v>0.7394</v>
      </c>
      <c r="N62" s="8" t="n">
        <f aca="false">L62</f>
        <v>0.3753</v>
      </c>
      <c r="O62" s="1" t="n">
        <f aca="false">O61</f>
        <v>0.0477</v>
      </c>
      <c r="P62" s="1" t="n">
        <f aca="false">P61</f>
        <v>0.0307</v>
      </c>
      <c r="R62" s="1" t="n">
        <f aca="false">Transport!F62</f>
        <v>8730</v>
      </c>
      <c r="S62" s="1" t="n">
        <f aca="false">Transport!G62</f>
        <v>10761</v>
      </c>
      <c r="T62" s="1" t="n">
        <f aca="false">Transport!H62</f>
        <v>15509</v>
      </c>
      <c r="U62" s="1" t="n">
        <f aca="false">Transport!I62</f>
        <v>1880</v>
      </c>
      <c r="V62" s="1" t="n">
        <f aca="false">Transport!J62</f>
        <v>2295</v>
      </c>
      <c r="W62" s="1" t="n">
        <f aca="false">Transport!K62</f>
        <v>1036</v>
      </c>
      <c r="X62" s="1" t="n">
        <f aca="false">Transport!L62</f>
        <v>683</v>
      </c>
    </row>
    <row r="63" customFormat="false" ht="11.25" hidden="false" customHeight="false" outlineLevel="0" collapsed="false">
      <c r="A63" s="6" t="n">
        <f aca="false">+A62+365/12</f>
        <v>37513.1666666667</v>
      </c>
      <c r="B63" s="29" t="n">
        <f aca="false">C63-0.06</f>
        <v>4.47</v>
      </c>
      <c r="C63" s="29" t="n">
        <f aca="false">C51-0.01</f>
        <v>4.53</v>
      </c>
      <c r="D63" s="29" t="n">
        <f aca="false">C63-0.05</f>
        <v>4.48</v>
      </c>
      <c r="E63" s="29" t="n">
        <f aca="false">C63</f>
        <v>4.53</v>
      </c>
      <c r="F63" s="31" t="n">
        <f aca="false">+F62</f>
        <v>0.0275</v>
      </c>
      <c r="G63" s="38" t="n">
        <f aca="false">F63</f>
        <v>0.0275</v>
      </c>
      <c r="H63" s="1" t="n">
        <v>30</v>
      </c>
      <c r="I63" s="27" t="n">
        <v>-0.07822652387775</v>
      </c>
      <c r="K63" s="28" t="n">
        <v>0.00949999999999962</v>
      </c>
      <c r="L63" s="32" t="n">
        <f aca="false">L62</f>
        <v>0.3753</v>
      </c>
      <c r="M63" s="4" t="n">
        <f aca="false">M62</f>
        <v>0.7394</v>
      </c>
      <c r="N63" s="8" t="n">
        <f aca="false">L63</f>
        <v>0.3753</v>
      </c>
      <c r="O63" s="1" t="n">
        <f aca="false">O62</f>
        <v>0.0477</v>
      </c>
      <c r="P63" s="1" t="n">
        <f aca="false">P62</f>
        <v>0.0307</v>
      </c>
      <c r="R63" s="1" t="n">
        <f aca="false">Transport!F63</f>
        <v>8730</v>
      </c>
      <c r="S63" s="1" t="n">
        <f aca="false">Transport!G63</f>
        <v>10761</v>
      </c>
      <c r="T63" s="1" t="n">
        <f aca="false">Transport!H63</f>
        <v>15509</v>
      </c>
      <c r="U63" s="1" t="n">
        <f aca="false">Transport!I63</f>
        <v>1880</v>
      </c>
      <c r="V63" s="1" t="n">
        <f aca="false">Transport!J63</f>
        <v>2295</v>
      </c>
      <c r="W63" s="1" t="n">
        <f aca="false">Transport!K63</f>
        <v>1036</v>
      </c>
      <c r="X63" s="1" t="n">
        <f aca="false">Transport!L63</f>
        <v>683</v>
      </c>
    </row>
    <row r="64" customFormat="false" ht="11.25" hidden="false" customHeight="false" outlineLevel="0" collapsed="false">
      <c r="A64" s="6" t="n">
        <f aca="false">+A63+365/12</f>
        <v>37543.5833333333</v>
      </c>
      <c r="B64" s="29" t="n">
        <f aca="false">C64-0.06</f>
        <v>5.15</v>
      </c>
      <c r="C64" s="29" t="n">
        <f aca="false">C52-0.01</f>
        <v>5.21</v>
      </c>
      <c r="D64" s="29" t="n">
        <f aca="false">C64-0.05</f>
        <v>5.16</v>
      </c>
      <c r="E64" s="29" t="n">
        <f aca="false">C64</f>
        <v>5.21</v>
      </c>
      <c r="F64" s="31" t="n">
        <f aca="false">+F63</f>
        <v>0.0275</v>
      </c>
      <c r="G64" s="38" t="n">
        <f aca="false">F64</f>
        <v>0.0275</v>
      </c>
      <c r="H64" s="1" t="n">
        <v>31</v>
      </c>
      <c r="I64" s="27" t="n">
        <v>-0.0827722475535686</v>
      </c>
      <c r="K64" s="28" t="n">
        <v>0.0145</v>
      </c>
      <c r="L64" s="32" t="n">
        <f aca="false">L63</f>
        <v>0.3753</v>
      </c>
      <c r="M64" s="4" t="n">
        <f aca="false">M63</f>
        <v>0.7394</v>
      </c>
      <c r="N64" s="8" t="n">
        <f aca="false">L64</f>
        <v>0.3753</v>
      </c>
      <c r="O64" s="1" t="n">
        <f aca="false">O63</f>
        <v>0.0477</v>
      </c>
      <c r="P64" s="1" t="n">
        <f aca="false">P63</f>
        <v>0.0307</v>
      </c>
      <c r="R64" s="1" t="n">
        <f aca="false">Transport!F64</f>
        <v>8730</v>
      </c>
      <c r="S64" s="1" t="n">
        <f aca="false">Transport!G64</f>
        <v>10361</v>
      </c>
      <c r="T64" s="1" t="n">
        <f aca="false">Transport!H64</f>
        <v>15909</v>
      </c>
      <c r="U64" s="1" t="n">
        <f aca="false">Transport!I64</f>
        <v>2830</v>
      </c>
      <c r="V64" s="1" t="n">
        <f aca="false">Transport!J64</f>
        <v>3500</v>
      </c>
      <c r="W64" s="1" t="n">
        <f aca="false">Transport!K64</f>
        <v>1521</v>
      </c>
      <c r="X64" s="1" t="n">
        <f aca="false">Transport!L64</f>
        <v>1001</v>
      </c>
    </row>
    <row r="65" customFormat="false" ht="11.25" hidden="false" customHeight="false" outlineLevel="0" collapsed="false">
      <c r="A65" s="6" t="n">
        <f aca="false">+A64+365/12</f>
        <v>37574</v>
      </c>
      <c r="B65" s="29" t="n">
        <f aca="false">C65-0.06</f>
        <v>3.42</v>
      </c>
      <c r="C65" s="29" t="n">
        <f aca="false">C53-0.01</f>
        <v>3.48</v>
      </c>
      <c r="D65" s="29" t="n">
        <f aca="false">C65-0.05</f>
        <v>3.43</v>
      </c>
      <c r="E65" s="29" t="n">
        <f aca="false">C65</f>
        <v>3.48</v>
      </c>
      <c r="F65" s="31" t="n">
        <f aca="false">+F64</f>
        <v>0.0275</v>
      </c>
      <c r="G65" s="38" t="n">
        <f aca="false">F65</f>
        <v>0.0275</v>
      </c>
      <c r="H65" s="1" t="n">
        <v>30</v>
      </c>
      <c r="I65" s="27" t="n">
        <v>-0.127744470742636</v>
      </c>
      <c r="K65" s="28" t="n">
        <v>0.0194999999999999</v>
      </c>
      <c r="L65" s="32" t="n">
        <f aca="false">L64</f>
        <v>0.3753</v>
      </c>
      <c r="M65" s="4" t="n">
        <f aca="false">M64</f>
        <v>0.7394</v>
      </c>
      <c r="N65" s="8" t="n">
        <f aca="false">L65</f>
        <v>0.3753</v>
      </c>
      <c r="O65" s="1" t="n">
        <f aca="false">O64</f>
        <v>0.0477</v>
      </c>
      <c r="P65" s="1" t="n">
        <f aca="false">P64</f>
        <v>0.0307</v>
      </c>
      <c r="R65" s="1" t="n">
        <f aca="false">Transport!F65</f>
        <v>4926</v>
      </c>
      <c r="S65" s="1" t="n">
        <f aca="false">Transport!G65</f>
        <v>5732</v>
      </c>
      <c r="T65" s="1" t="n">
        <f aca="false">Transport!H65</f>
        <v>9342</v>
      </c>
      <c r="U65" s="1" t="n">
        <f aca="false">Transport!I65</f>
        <v>2563</v>
      </c>
      <c r="V65" s="1" t="n">
        <f aca="false">Transport!J65</f>
        <v>2862</v>
      </c>
      <c r="W65" s="1" t="n">
        <f aca="false">Transport!K65</f>
        <v>1685</v>
      </c>
      <c r="X65" s="1" t="n">
        <f aca="false">Transport!L65</f>
        <v>683</v>
      </c>
    </row>
    <row r="66" customFormat="false" ht="11.25" hidden="false" customHeight="false" outlineLevel="0" collapsed="false">
      <c r="A66" s="6" t="n">
        <f aca="false">+A65+365/12</f>
        <v>37604.4166666667</v>
      </c>
      <c r="B66" s="29" t="n">
        <f aca="false">C66-0.06</f>
        <v>2.54</v>
      </c>
      <c r="C66" s="29" t="n">
        <f aca="false">C54-0.01</f>
        <v>2.6</v>
      </c>
      <c r="D66" s="29" t="n">
        <f aca="false">C66-0.05</f>
        <v>2.55</v>
      </c>
      <c r="E66" s="29" t="n">
        <f aca="false">C66</f>
        <v>2.6</v>
      </c>
      <c r="F66" s="31" t="n">
        <f aca="false">+F65</f>
        <v>0.0275</v>
      </c>
      <c r="G66" s="38" t="n">
        <f aca="false">F66</f>
        <v>0.0275</v>
      </c>
      <c r="H66" s="1" t="n">
        <v>31</v>
      </c>
      <c r="I66" s="27" t="n">
        <v>-0.162706972047877</v>
      </c>
      <c r="K66" s="28" t="n">
        <v>0.0245000000000002</v>
      </c>
      <c r="L66" s="32" t="n">
        <f aca="false">L65</f>
        <v>0.3753</v>
      </c>
      <c r="M66" s="4" t="n">
        <f aca="false">M65</f>
        <v>0.7394</v>
      </c>
      <c r="N66" s="8" t="n">
        <f aca="false">L66</f>
        <v>0.3753</v>
      </c>
      <c r="O66" s="1" t="n">
        <f aca="false">O65</f>
        <v>0.0477</v>
      </c>
      <c r="P66" s="1" t="n">
        <f aca="false">P65</f>
        <v>0.0307</v>
      </c>
      <c r="R66" s="1" t="n">
        <f aca="false">Transport!F66</f>
        <v>4926</v>
      </c>
      <c r="S66" s="1" t="n">
        <f aca="false">Transport!G66</f>
        <v>5732</v>
      </c>
      <c r="T66" s="1" t="n">
        <f aca="false">Transport!H66</f>
        <v>9342</v>
      </c>
      <c r="U66" s="1" t="n">
        <f aca="false">Transport!I66</f>
        <v>2563</v>
      </c>
      <c r="V66" s="1" t="n">
        <f aca="false">Transport!J66</f>
        <v>2862</v>
      </c>
      <c r="W66" s="1" t="n">
        <f aca="false">Transport!K66</f>
        <v>1685</v>
      </c>
      <c r="X66" s="1" t="n">
        <f aca="false">Transport!L66</f>
        <v>683</v>
      </c>
    </row>
    <row r="67" customFormat="false" ht="11.25" hidden="false" customHeight="false" outlineLevel="0" collapsed="false">
      <c r="A67" s="41" t="n">
        <f aca="false">+A66+365/12</f>
        <v>37634.8333333333</v>
      </c>
      <c r="B67" s="42" t="n">
        <f aca="false">C67-0.06</f>
        <v>2.2327</v>
      </c>
      <c r="C67" s="42" t="n">
        <f aca="false">C55*1.01</f>
        <v>2.2927</v>
      </c>
      <c r="D67" s="42" t="n">
        <f aca="false">C67-0.05</f>
        <v>2.2427</v>
      </c>
      <c r="E67" s="42" t="n">
        <f aca="false">C67</f>
        <v>2.2927</v>
      </c>
      <c r="F67" s="43" t="n">
        <f aca="false">+F66</f>
        <v>0.0275</v>
      </c>
      <c r="G67" s="44" t="n">
        <f aca="false">F67</f>
        <v>0.0275</v>
      </c>
      <c r="H67" s="45" t="n">
        <v>31</v>
      </c>
      <c r="I67" s="46" t="n">
        <v>-0.147690305961318</v>
      </c>
      <c r="J67" s="45"/>
      <c r="K67" s="47" t="n">
        <v>0.0245000000000002</v>
      </c>
      <c r="L67" s="48" t="n">
        <f aca="false">('[1]062'!$N$56*1000)/('[1]062'!$N$50*[1]Assumptions!$N$9)</f>
        <v>0.373044057756387</v>
      </c>
      <c r="M67" s="49" t="n">
        <f aca="false">M66</f>
        <v>0.7394</v>
      </c>
      <c r="N67" s="50" t="n">
        <f aca="false">L67</f>
        <v>0.373044057756387</v>
      </c>
      <c r="O67" s="45" t="n">
        <f aca="false">O66</f>
        <v>0.0477</v>
      </c>
      <c r="P67" s="45" t="n">
        <f aca="false">P66</f>
        <v>0.0307</v>
      </c>
      <c r="Q67" s="45"/>
      <c r="R67" s="45" t="n">
        <f aca="false">Transport!F67</f>
        <v>4926</v>
      </c>
      <c r="S67" s="45" t="n">
        <f aca="false">Transport!G67</f>
        <v>5732</v>
      </c>
      <c r="T67" s="45" t="n">
        <f aca="false">Transport!H67</f>
        <v>9342</v>
      </c>
      <c r="U67" s="45" t="n">
        <f aca="false">Transport!I67</f>
        <v>2563</v>
      </c>
      <c r="V67" s="45" t="n">
        <f aca="false">Transport!J67</f>
        <v>2862</v>
      </c>
      <c r="W67" s="45" t="n">
        <f aca="false">Transport!K67</f>
        <v>1685</v>
      </c>
      <c r="X67" s="45" t="n">
        <f aca="false">Transport!L67</f>
        <v>683</v>
      </c>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5"/>
      <c r="DD67" s="45"/>
      <c r="DE67" s="45"/>
      <c r="DF67" s="45"/>
      <c r="DG67" s="45"/>
      <c r="DH67" s="45"/>
      <c r="DI67" s="45"/>
      <c r="DJ67" s="45"/>
      <c r="DK67" s="45"/>
      <c r="DL67" s="45"/>
      <c r="DM67" s="45"/>
      <c r="DN67" s="45"/>
      <c r="DO67" s="45"/>
      <c r="DP67" s="45"/>
      <c r="DQ67" s="45"/>
      <c r="DR67" s="45"/>
      <c r="DS67" s="45"/>
      <c r="DT67" s="45"/>
      <c r="DU67" s="45"/>
      <c r="DV67" s="45"/>
      <c r="DW67" s="45"/>
      <c r="DX67" s="45"/>
      <c r="DY67" s="45"/>
      <c r="DZ67" s="45"/>
      <c r="EA67" s="45"/>
      <c r="EB67" s="45"/>
      <c r="EC67" s="45"/>
      <c r="ED67" s="45"/>
      <c r="EE67" s="45"/>
      <c r="EF67" s="45"/>
      <c r="EG67" s="45"/>
      <c r="EH67" s="45"/>
      <c r="EI67" s="45"/>
      <c r="EJ67" s="45"/>
      <c r="EK67" s="45"/>
      <c r="EL67" s="45"/>
      <c r="EM67" s="45"/>
      <c r="EN67" s="45"/>
      <c r="EO67" s="45"/>
      <c r="EP67" s="45"/>
      <c r="EQ67" s="45"/>
      <c r="ER67" s="45"/>
      <c r="ES67" s="45"/>
      <c r="ET67" s="45"/>
      <c r="EU67" s="45"/>
      <c r="EV67" s="45"/>
      <c r="EW67" s="45"/>
      <c r="EX67" s="45"/>
      <c r="EY67" s="45"/>
      <c r="EZ67" s="45"/>
      <c r="FA67" s="45"/>
      <c r="FB67" s="45"/>
      <c r="FC67" s="45"/>
      <c r="FD67" s="45"/>
      <c r="FE67" s="45"/>
      <c r="FF67" s="45"/>
      <c r="FG67" s="45"/>
      <c r="FH67" s="45"/>
      <c r="FI67" s="45"/>
      <c r="FJ67" s="45"/>
      <c r="FK67" s="45"/>
      <c r="FL67" s="45"/>
      <c r="FM67" s="45"/>
      <c r="FN67" s="45"/>
      <c r="FO67" s="45"/>
      <c r="FP67" s="45"/>
      <c r="FQ67" s="45"/>
      <c r="FR67" s="45"/>
      <c r="FS67" s="45"/>
      <c r="FT67" s="45"/>
      <c r="FU67" s="45"/>
      <c r="FV67" s="45"/>
      <c r="FW67" s="45"/>
      <c r="FX67" s="45"/>
      <c r="FY67" s="45"/>
      <c r="FZ67" s="45"/>
      <c r="GA67" s="45"/>
      <c r="GB67" s="45"/>
      <c r="GC67" s="45"/>
      <c r="GD67" s="45"/>
      <c r="GE67" s="45"/>
      <c r="GF67" s="45"/>
      <c r="GG67" s="45"/>
      <c r="GH67" s="45"/>
      <c r="GI67" s="45"/>
      <c r="GJ67" s="45"/>
      <c r="GK67" s="45"/>
      <c r="GL67" s="45"/>
      <c r="GM67" s="45"/>
      <c r="GN67" s="45"/>
      <c r="GO67" s="45"/>
      <c r="GP67" s="45"/>
      <c r="GQ67" s="45"/>
      <c r="GR67" s="45"/>
      <c r="GS67" s="45"/>
      <c r="GT67" s="45"/>
      <c r="GU67" s="45"/>
      <c r="GV67" s="45"/>
      <c r="GW67" s="45"/>
      <c r="GX67" s="45"/>
      <c r="GY67" s="45"/>
      <c r="GZ67" s="45"/>
      <c r="HA67" s="45"/>
      <c r="HB67" s="45"/>
      <c r="HC67" s="45"/>
      <c r="HD67" s="45"/>
      <c r="HE67" s="45"/>
      <c r="HF67" s="45"/>
      <c r="HG67" s="45"/>
      <c r="HH67" s="45"/>
      <c r="HI67" s="45"/>
      <c r="HJ67" s="45"/>
      <c r="HK67" s="45"/>
      <c r="HL67" s="45"/>
      <c r="HM67" s="45"/>
      <c r="HN67" s="45"/>
      <c r="HO67" s="45"/>
      <c r="HP67" s="45"/>
      <c r="HQ67" s="45"/>
      <c r="HR67" s="45"/>
      <c r="HS67" s="45"/>
      <c r="HT67" s="45"/>
      <c r="HU67" s="45"/>
      <c r="HV67" s="45"/>
      <c r="HW67" s="45"/>
      <c r="HX67" s="45"/>
      <c r="HY67" s="45"/>
      <c r="HZ67" s="45"/>
      <c r="IA67" s="45"/>
      <c r="IB67" s="45"/>
      <c r="IC67" s="45"/>
      <c r="ID67" s="45"/>
      <c r="IE67" s="45"/>
      <c r="IF67" s="45"/>
      <c r="IG67" s="45"/>
      <c r="IH67" s="45"/>
      <c r="II67" s="45"/>
      <c r="IJ67" s="45"/>
      <c r="IK67" s="45"/>
      <c r="IL67" s="45"/>
      <c r="IM67" s="45"/>
      <c r="IN67" s="45"/>
      <c r="IO67" s="45"/>
      <c r="IP67" s="45"/>
      <c r="IQ67" s="45"/>
      <c r="IR67" s="45"/>
      <c r="IS67" s="45"/>
      <c r="IT67" s="45"/>
      <c r="IU67" s="45"/>
      <c r="IV67" s="45"/>
      <c r="IW67" s="45"/>
    </row>
    <row r="68" customFormat="false" ht="11.25" hidden="false" customHeight="false" outlineLevel="0" collapsed="false">
      <c r="A68" s="6" t="n">
        <f aca="false">+A67+365/12</f>
        <v>37665.25</v>
      </c>
      <c r="B68" s="29" t="n">
        <f aca="false">C68-0.06</f>
        <v>2.5054</v>
      </c>
      <c r="C68" s="29" t="n">
        <f aca="false">C56*1.01</f>
        <v>2.5654</v>
      </c>
      <c r="D68" s="29" t="n">
        <f aca="false">C68-0.05</f>
        <v>2.5154</v>
      </c>
      <c r="E68" s="29" t="n">
        <f aca="false">C68</f>
        <v>2.5654</v>
      </c>
      <c r="F68" s="31" t="n">
        <f aca="false">+F67</f>
        <v>0.0275</v>
      </c>
      <c r="G68" s="38" t="n">
        <f aca="false">F68</f>
        <v>0.0275</v>
      </c>
      <c r="H68" s="1" t="n">
        <v>28</v>
      </c>
      <c r="I68" s="27" t="n">
        <v>-0.147718082772251</v>
      </c>
      <c r="K68" s="28" t="n">
        <v>0.0245000000000002</v>
      </c>
      <c r="L68" s="32" t="n">
        <f aca="false">L67</f>
        <v>0.373044057756387</v>
      </c>
      <c r="M68" s="4" t="n">
        <f aca="false">M67</f>
        <v>0.7394</v>
      </c>
      <c r="N68" s="8" t="n">
        <f aca="false">L68</f>
        <v>0.373044057756387</v>
      </c>
      <c r="O68" s="1" t="n">
        <f aca="false">O67</f>
        <v>0.0477</v>
      </c>
      <c r="P68" s="1" t="n">
        <f aca="false">P67</f>
        <v>0.0307</v>
      </c>
      <c r="R68" s="1" t="n">
        <f aca="false">Transport!F68</f>
        <v>4926</v>
      </c>
      <c r="S68" s="1" t="n">
        <f aca="false">Transport!G68</f>
        <v>5732</v>
      </c>
      <c r="T68" s="1" t="n">
        <f aca="false">Transport!H68</f>
        <v>9342</v>
      </c>
      <c r="U68" s="1" t="n">
        <f aca="false">Transport!I68</f>
        <v>2563</v>
      </c>
      <c r="V68" s="1" t="n">
        <f aca="false">Transport!J68</f>
        <v>2862</v>
      </c>
      <c r="W68" s="1" t="n">
        <f aca="false">Transport!K68</f>
        <v>1685</v>
      </c>
      <c r="X68" s="1" t="n">
        <f aca="false">Transport!L68</f>
        <v>683</v>
      </c>
    </row>
    <row r="69" customFormat="false" ht="11.25" hidden="false" customHeight="false" outlineLevel="0" collapsed="false">
      <c r="A69" s="6" t="n">
        <f aca="false">+A68+365/12</f>
        <v>37695.6666666667</v>
      </c>
      <c r="B69" s="29" t="n">
        <f aca="false">C69-0.06</f>
        <v>2.5054</v>
      </c>
      <c r="C69" s="29" t="n">
        <f aca="false">C57*1.01</f>
        <v>2.5654</v>
      </c>
      <c r="D69" s="29" t="n">
        <f aca="false">C69-0.05</f>
        <v>2.5154</v>
      </c>
      <c r="E69" s="29" t="n">
        <f aca="false">C69</f>
        <v>2.5654</v>
      </c>
      <c r="F69" s="31" t="n">
        <f aca="false">+F68</f>
        <v>0.0275</v>
      </c>
      <c r="G69" s="38" t="n">
        <f aca="false">F69</f>
        <v>0.0275</v>
      </c>
      <c r="H69" s="1" t="n">
        <v>31</v>
      </c>
      <c r="I69" s="27" t="n">
        <v>-0.122753845416326</v>
      </c>
      <c r="K69" s="28" t="n">
        <v>0.0195000000000003</v>
      </c>
      <c r="L69" s="32" t="n">
        <f aca="false">L68</f>
        <v>0.373044057756387</v>
      </c>
      <c r="M69" s="4" t="n">
        <f aca="false">M68</f>
        <v>0.7394</v>
      </c>
      <c r="N69" s="8" t="n">
        <f aca="false">L69</f>
        <v>0.373044057756387</v>
      </c>
      <c r="O69" s="1" t="n">
        <f aca="false">O68</f>
        <v>0.0477</v>
      </c>
      <c r="P69" s="1" t="n">
        <f aca="false">P68</f>
        <v>0.0307</v>
      </c>
      <c r="R69" s="1" t="n">
        <f aca="false">Transport!F69</f>
        <v>4926</v>
      </c>
      <c r="S69" s="1" t="n">
        <f aca="false">Transport!G69</f>
        <v>5732</v>
      </c>
      <c r="T69" s="1" t="n">
        <f aca="false">Transport!H69</f>
        <v>9342</v>
      </c>
      <c r="U69" s="1" t="n">
        <f aca="false">Transport!I69</f>
        <v>2563</v>
      </c>
      <c r="V69" s="1" t="n">
        <f aca="false">Transport!J69</f>
        <v>2862</v>
      </c>
      <c r="W69" s="1" t="n">
        <f aca="false">Transport!K69</f>
        <v>1685</v>
      </c>
      <c r="X69" s="1" t="n">
        <f aca="false">Transport!L69</f>
        <v>683</v>
      </c>
    </row>
    <row r="70" customFormat="false" ht="11.25" hidden="false" customHeight="false" outlineLevel="0" collapsed="false">
      <c r="A70" s="6" t="n">
        <f aca="false">+A69+365/12</f>
        <v>37726.0833333333</v>
      </c>
      <c r="B70" s="29" t="n">
        <f aca="false">C70-0.06</f>
        <v>2.7781</v>
      </c>
      <c r="C70" s="29" t="n">
        <f aca="false">C58*1.01</f>
        <v>2.8381</v>
      </c>
      <c r="D70" s="29" t="n">
        <f aca="false">C70-0.05</f>
        <v>2.7881</v>
      </c>
      <c r="E70" s="29" t="n">
        <f aca="false">C70</f>
        <v>2.8381</v>
      </c>
      <c r="F70" s="31" t="n">
        <f aca="false">+F69</f>
        <v>0.0275</v>
      </c>
      <c r="G70" s="38" t="n">
        <f aca="false">F70</f>
        <v>0.0275</v>
      </c>
      <c r="H70" s="1" t="n">
        <v>30</v>
      </c>
      <c r="I70" s="27" t="n">
        <v>-0.073270858713022</v>
      </c>
      <c r="K70" s="28" t="n">
        <v>0.00599999999999978</v>
      </c>
      <c r="L70" s="32" t="n">
        <f aca="false">L69</f>
        <v>0.373044057756387</v>
      </c>
      <c r="M70" s="4" t="n">
        <f aca="false">M69</f>
        <v>0.7394</v>
      </c>
      <c r="N70" s="8" t="n">
        <f aca="false">L70</f>
        <v>0.373044057756387</v>
      </c>
      <c r="O70" s="1" t="n">
        <f aca="false">O69</f>
        <v>0.0477</v>
      </c>
      <c r="P70" s="1" t="n">
        <f aca="false">P69</f>
        <v>0.0307</v>
      </c>
      <c r="R70" s="1" t="n">
        <f aca="false">Transport!F70</f>
        <v>6933</v>
      </c>
      <c r="S70" s="1" t="n">
        <f aca="false">Transport!G70</f>
        <v>8798</v>
      </c>
      <c r="T70" s="1" t="n">
        <f aca="false">Transport!H70</f>
        <v>14269</v>
      </c>
      <c r="U70" s="1" t="n">
        <f aca="false">Transport!I70</f>
        <v>1880</v>
      </c>
      <c r="V70" s="1" t="n">
        <f aca="false">Transport!J70</f>
        <v>2073</v>
      </c>
      <c r="W70" s="1" t="n">
        <f aca="false">Transport!K70</f>
        <v>1258</v>
      </c>
      <c r="X70" s="1" t="n">
        <f aca="false">Transport!L70</f>
        <v>683</v>
      </c>
    </row>
    <row r="71" customFormat="false" ht="11.25" hidden="false" customHeight="false" outlineLevel="0" collapsed="false">
      <c r="A71" s="6" t="n">
        <f aca="false">+A70+365/12</f>
        <v>37756.5</v>
      </c>
      <c r="B71" s="29" t="n">
        <f aca="false">C71-0.06</f>
        <v>2.97</v>
      </c>
      <c r="C71" s="29" t="n">
        <f aca="false">C59*1.01</f>
        <v>3.03</v>
      </c>
      <c r="D71" s="29" t="n">
        <f aca="false">C71-0.05</f>
        <v>2.98</v>
      </c>
      <c r="E71" s="29" t="n">
        <f aca="false">C71</f>
        <v>3.03</v>
      </c>
      <c r="F71" s="31" t="n">
        <f aca="false">+F70</f>
        <v>0.0275</v>
      </c>
      <c r="G71" s="38" t="n">
        <f aca="false">F71</f>
        <v>0.0275</v>
      </c>
      <c r="H71" s="1" t="n">
        <v>31</v>
      </c>
      <c r="I71" s="27" t="n">
        <v>-0.073725469003604</v>
      </c>
      <c r="K71" s="28" t="n">
        <v>0.00599999999999978</v>
      </c>
      <c r="L71" s="32" t="n">
        <f aca="false">L70</f>
        <v>0.373044057756387</v>
      </c>
      <c r="M71" s="4" t="n">
        <f aca="false">M70</f>
        <v>0.7394</v>
      </c>
      <c r="N71" s="8" t="n">
        <f aca="false">L71</f>
        <v>0.373044057756387</v>
      </c>
      <c r="O71" s="1" t="n">
        <f aca="false">O70</f>
        <v>0.0477</v>
      </c>
      <c r="P71" s="1" t="n">
        <f aca="false">P70</f>
        <v>0.0307</v>
      </c>
      <c r="R71" s="1" t="n">
        <f aca="false">Transport!F71</f>
        <v>8730</v>
      </c>
      <c r="S71" s="1" t="n">
        <f aca="false">Transport!G71</f>
        <v>10761</v>
      </c>
      <c r="T71" s="1" t="n">
        <f aca="false">Transport!H71</f>
        <v>15509</v>
      </c>
      <c r="U71" s="1" t="n">
        <f aca="false">Transport!I71</f>
        <v>1880</v>
      </c>
      <c r="V71" s="1" t="n">
        <f aca="false">Transport!J71</f>
        <v>2295</v>
      </c>
      <c r="W71" s="1" t="n">
        <f aca="false">Transport!K71</f>
        <v>1036</v>
      </c>
      <c r="X71" s="1" t="n">
        <f aca="false">Transport!L71</f>
        <v>683</v>
      </c>
    </row>
    <row r="72" customFormat="false" ht="11.25" hidden="false" customHeight="false" outlineLevel="0" collapsed="false">
      <c r="A72" s="6" t="n">
        <f aca="false">+A71+365/12</f>
        <v>37786.9166666667</v>
      </c>
      <c r="B72" s="29" t="n">
        <f aca="false">C72-0.06</f>
        <v>4.2931</v>
      </c>
      <c r="C72" s="29" t="n">
        <f aca="false">C60*1.01</f>
        <v>4.3531</v>
      </c>
      <c r="D72" s="29" t="n">
        <f aca="false">C72-0.05</f>
        <v>4.3031</v>
      </c>
      <c r="E72" s="29" t="n">
        <f aca="false">C72</f>
        <v>4.3531</v>
      </c>
      <c r="F72" s="31" t="n">
        <f aca="false">+F71</f>
        <v>0.0275</v>
      </c>
      <c r="G72" s="38" t="n">
        <f aca="false">F72</f>
        <v>0.0275</v>
      </c>
      <c r="H72" s="1" t="n">
        <v>30</v>
      </c>
      <c r="I72" s="27" t="n">
        <v>-0.0737248097072634</v>
      </c>
      <c r="K72" s="28" t="n">
        <v>0.00599999999999978</v>
      </c>
      <c r="L72" s="32" t="n">
        <f aca="false">L71</f>
        <v>0.373044057756387</v>
      </c>
      <c r="M72" s="4" t="n">
        <f aca="false">M71</f>
        <v>0.7394</v>
      </c>
      <c r="N72" s="8" t="n">
        <f aca="false">L72</f>
        <v>0.373044057756387</v>
      </c>
      <c r="O72" s="1" t="n">
        <f aca="false">O71</f>
        <v>0.0477</v>
      </c>
      <c r="P72" s="1" t="n">
        <f aca="false">P71</f>
        <v>0.0307</v>
      </c>
      <c r="R72" s="1" t="n">
        <f aca="false">Transport!F72</f>
        <v>8730</v>
      </c>
      <c r="S72" s="1" t="n">
        <f aca="false">Transport!G72</f>
        <v>10761</v>
      </c>
      <c r="T72" s="1" t="n">
        <f aca="false">Transport!H72</f>
        <v>15509</v>
      </c>
      <c r="U72" s="1" t="n">
        <f aca="false">Transport!I72</f>
        <v>1880</v>
      </c>
      <c r="V72" s="1" t="n">
        <f aca="false">Transport!J72</f>
        <v>2295</v>
      </c>
      <c r="W72" s="1" t="n">
        <f aca="false">Transport!K72</f>
        <v>1036</v>
      </c>
      <c r="X72" s="1" t="n">
        <f aca="false">Transport!L72</f>
        <v>683</v>
      </c>
    </row>
    <row r="73" customFormat="false" ht="11.25" hidden="false" customHeight="false" outlineLevel="0" collapsed="false">
      <c r="A73" s="6" t="n">
        <f aca="false">+A72+365/12</f>
        <v>37817.3333333333</v>
      </c>
      <c r="B73" s="29" t="n">
        <f aca="false">C73-0.06</f>
        <v>4.283</v>
      </c>
      <c r="C73" s="29" t="n">
        <f aca="false">C61*1.01</f>
        <v>4.343</v>
      </c>
      <c r="D73" s="29" t="n">
        <f aca="false">C73-0.05</f>
        <v>4.293</v>
      </c>
      <c r="E73" s="29" t="n">
        <f aca="false">C73</f>
        <v>4.343</v>
      </c>
      <c r="F73" s="31" t="n">
        <f aca="false">+F72</f>
        <v>0.0275</v>
      </c>
      <c r="G73" s="38" t="n">
        <f aca="false">F73</f>
        <v>0.0275</v>
      </c>
      <c r="H73" s="1" t="n">
        <v>31</v>
      </c>
      <c r="I73" s="27" t="n">
        <v>-0.0782244141294588</v>
      </c>
      <c r="K73" s="28" t="n">
        <v>0.00949999999999984</v>
      </c>
      <c r="L73" s="32" t="n">
        <f aca="false">L72</f>
        <v>0.373044057756387</v>
      </c>
      <c r="M73" s="4" t="n">
        <f aca="false">M72</f>
        <v>0.7394</v>
      </c>
      <c r="N73" s="8" t="n">
        <f aca="false">L73</f>
        <v>0.373044057756387</v>
      </c>
      <c r="O73" s="1" t="n">
        <f aca="false">O72</f>
        <v>0.0477</v>
      </c>
      <c r="P73" s="1" t="n">
        <f aca="false">P72</f>
        <v>0.0307</v>
      </c>
      <c r="R73" s="1" t="n">
        <f aca="false">Transport!F73</f>
        <v>8730</v>
      </c>
      <c r="S73" s="1" t="n">
        <f aca="false">Transport!G73</f>
        <v>10761</v>
      </c>
      <c r="T73" s="1" t="n">
        <f aca="false">Transport!H73</f>
        <v>15509</v>
      </c>
      <c r="U73" s="1" t="n">
        <f aca="false">Transport!I73</f>
        <v>1880</v>
      </c>
      <c r="V73" s="1" t="n">
        <f aca="false">Transport!J73</f>
        <v>2295</v>
      </c>
      <c r="W73" s="1" t="n">
        <f aca="false">Transport!K73</f>
        <v>1036</v>
      </c>
      <c r="X73" s="1" t="n">
        <f aca="false">Transport!L73</f>
        <v>683</v>
      </c>
    </row>
    <row r="74" customFormat="false" ht="11.25" hidden="false" customHeight="false" outlineLevel="0" collapsed="false">
      <c r="A74" s="6" t="n">
        <f aca="false">+A73+365/12</f>
        <v>37847.75</v>
      </c>
      <c r="B74" s="29" t="n">
        <f aca="false">C74-0.06</f>
        <v>3.7376</v>
      </c>
      <c r="C74" s="29" t="n">
        <f aca="false">C62*1.01</f>
        <v>3.7976</v>
      </c>
      <c r="D74" s="29" t="n">
        <f aca="false">C74-0.05</f>
        <v>3.7476</v>
      </c>
      <c r="E74" s="29" t="n">
        <f aca="false">C74</f>
        <v>3.7976</v>
      </c>
      <c r="F74" s="31" t="n">
        <f aca="false">+F73</f>
        <v>0.0275</v>
      </c>
      <c r="G74" s="38" t="n">
        <f aca="false">F74</f>
        <v>0.0275</v>
      </c>
      <c r="H74" s="1" t="n">
        <v>31</v>
      </c>
      <c r="I74" s="27" t="n">
        <v>-0.0782236229738493</v>
      </c>
      <c r="K74" s="28" t="n">
        <v>0.00949999999999962</v>
      </c>
      <c r="L74" s="32" t="n">
        <f aca="false">L73</f>
        <v>0.373044057756387</v>
      </c>
      <c r="M74" s="4" t="n">
        <f aca="false">M73</f>
        <v>0.7394</v>
      </c>
      <c r="N74" s="8" t="n">
        <f aca="false">L74</f>
        <v>0.373044057756387</v>
      </c>
      <c r="O74" s="1" t="n">
        <f aca="false">O73</f>
        <v>0.0477</v>
      </c>
      <c r="P74" s="1" t="n">
        <f aca="false">P73</f>
        <v>0.0307</v>
      </c>
      <c r="R74" s="1" t="n">
        <f aca="false">Transport!F74</f>
        <v>8730</v>
      </c>
      <c r="S74" s="1" t="n">
        <f aca="false">Transport!G74</f>
        <v>10761</v>
      </c>
      <c r="T74" s="1" t="n">
        <f aca="false">Transport!H74</f>
        <v>15509</v>
      </c>
      <c r="U74" s="1" t="n">
        <f aca="false">Transport!I74</f>
        <v>1880</v>
      </c>
      <c r="V74" s="1" t="n">
        <f aca="false">Transport!J74</f>
        <v>2295</v>
      </c>
      <c r="W74" s="1" t="n">
        <f aca="false">Transport!K74</f>
        <v>1036</v>
      </c>
      <c r="X74" s="1" t="n">
        <f aca="false">Transport!L74</f>
        <v>683</v>
      </c>
    </row>
    <row r="75" customFormat="false" ht="11.25" hidden="false" customHeight="false" outlineLevel="0" collapsed="false">
      <c r="A75" s="6" t="n">
        <f aca="false">+A74+365/12</f>
        <v>37878.1666666667</v>
      </c>
      <c r="B75" s="29" t="n">
        <f aca="false">C75-0.06</f>
        <v>4.5153</v>
      </c>
      <c r="C75" s="29" t="n">
        <f aca="false">C63*1.01</f>
        <v>4.5753</v>
      </c>
      <c r="D75" s="29" t="n">
        <f aca="false">C75-0.05</f>
        <v>4.5253</v>
      </c>
      <c r="E75" s="29" t="n">
        <f aca="false">C75</f>
        <v>4.5753</v>
      </c>
      <c r="F75" s="31" t="n">
        <f aca="false">+F74</f>
        <v>0.0275</v>
      </c>
      <c r="G75" s="38" t="n">
        <f aca="false">F75</f>
        <v>0.0275</v>
      </c>
      <c r="H75" s="1" t="n">
        <v>30</v>
      </c>
      <c r="I75" s="27" t="n">
        <v>-0.0782223043811672</v>
      </c>
      <c r="K75" s="28" t="n">
        <v>0.00949999999999962</v>
      </c>
      <c r="L75" s="32" t="n">
        <f aca="false">L74</f>
        <v>0.373044057756387</v>
      </c>
      <c r="M75" s="4" t="n">
        <f aca="false">M74</f>
        <v>0.7394</v>
      </c>
      <c r="N75" s="8" t="n">
        <f aca="false">L75</f>
        <v>0.373044057756387</v>
      </c>
      <c r="O75" s="1" t="n">
        <f aca="false">O74</f>
        <v>0.0477</v>
      </c>
      <c r="P75" s="1" t="n">
        <f aca="false">P74</f>
        <v>0.0307</v>
      </c>
      <c r="R75" s="1" t="n">
        <f aca="false">Transport!F75</f>
        <v>8730</v>
      </c>
      <c r="S75" s="1" t="n">
        <f aca="false">Transport!G75</f>
        <v>10761</v>
      </c>
      <c r="T75" s="1" t="n">
        <f aca="false">Transport!H75</f>
        <v>15509</v>
      </c>
      <c r="U75" s="1" t="n">
        <f aca="false">Transport!I75</f>
        <v>1880</v>
      </c>
      <c r="V75" s="1" t="n">
        <f aca="false">Transport!J75</f>
        <v>2295</v>
      </c>
      <c r="W75" s="1" t="n">
        <f aca="false">Transport!K75</f>
        <v>1036</v>
      </c>
      <c r="X75" s="1" t="n">
        <f aca="false">Transport!L75</f>
        <v>683</v>
      </c>
    </row>
    <row r="76" customFormat="false" ht="11.25" hidden="false" customHeight="false" outlineLevel="0" collapsed="false">
      <c r="A76" s="6" t="n">
        <f aca="false">+A75+365/12</f>
        <v>37908.5833333333</v>
      </c>
      <c r="B76" s="29" t="n">
        <f aca="false">C76-0.06</f>
        <v>5.2021</v>
      </c>
      <c r="C76" s="29" t="n">
        <f aca="false">C64*1.01</f>
        <v>5.2621</v>
      </c>
      <c r="D76" s="29" t="n">
        <f aca="false">C76-0.05</f>
        <v>5.2121</v>
      </c>
      <c r="E76" s="29" t="n">
        <f aca="false">C76</f>
        <v>5.2621</v>
      </c>
      <c r="F76" s="31" t="n">
        <f aca="false">+F75</f>
        <v>0.0275</v>
      </c>
      <c r="G76" s="38" t="n">
        <f aca="false">F76</f>
        <v>0.0275</v>
      </c>
      <c r="H76" s="1" t="n">
        <v>31</v>
      </c>
      <c r="I76" s="27" t="n">
        <v>-0.0827611368291956</v>
      </c>
      <c r="K76" s="28" t="n">
        <v>0.0145</v>
      </c>
      <c r="L76" s="32" t="n">
        <f aca="false">L75</f>
        <v>0.373044057756387</v>
      </c>
      <c r="M76" s="4" t="n">
        <f aca="false">M75</f>
        <v>0.7394</v>
      </c>
      <c r="N76" s="8" t="n">
        <f aca="false">L76</f>
        <v>0.373044057756387</v>
      </c>
      <c r="O76" s="1" t="n">
        <f aca="false">O75</f>
        <v>0.0477</v>
      </c>
      <c r="P76" s="1" t="n">
        <f aca="false">P75</f>
        <v>0.0307</v>
      </c>
      <c r="R76" s="1" t="n">
        <f aca="false">Transport!F76</f>
        <v>8730</v>
      </c>
      <c r="S76" s="1" t="n">
        <f aca="false">Transport!G76</f>
        <v>10361</v>
      </c>
      <c r="T76" s="1" t="n">
        <f aca="false">Transport!H76</f>
        <v>15909</v>
      </c>
      <c r="U76" s="1" t="n">
        <f aca="false">Transport!I76</f>
        <v>2830</v>
      </c>
      <c r="V76" s="1" t="n">
        <f aca="false">Transport!J76</f>
        <v>3500</v>
      </c>
      <c r="W76" s="1" t="n">
        <f aca="false">Transport!K76</f>
        <v>1521</v>
      </c>
      <c r="X76" s="1" t="n">
        <f aca="false">Transport!L76</f>
        <v>1001</v>
      </c>
    </row>
    <row r="77" customFormat="false" ht="11.25" hidden="false" customHeight="false" outlineLevel="0" collapsed="false">
      <c r="A77" s="6" t="n">
        <f aca="false">+A76+365/12</f>
        <v>37939</v>
      </c>
      <c r="B77" s="29" t="n">
        <f aca="false">C77-0.06</f>
        <v>3.4548</v>
      </c>
      <c r="C77" s="29" t="n">
        <f aca="false">C65*1.01</f>
        <v>3.5148</v>
      </c>
      <c r="D77" s="29" t="n">
        <f aca="false">C77-0.05</f>
        <v>3.4648</v>
      </c>
      <c r="E77" s="29" t="n">
        <f aca="false">C77</f>
        <v>3.5148</v>
      </c>
      <c r="F77" s="31" t="n">
        <f aca="false">+F76</f>
        <v>0.0275</v>
      </c>
      <c r="G77" s="38" t="n">
        <f aca="false">F77</f>
        <v>0.0275</v>
      </c>
      <c r="H77" s="1" t="n">
        <v>30</v>
      </c>
      <c r="I77" s="27" t="n">
        <v>-0.127733360018263</v>
      </c>
      <c r="K77" s="28" t="n">
        <v>0.0194999999999999</v>
      </c>
      <c r="L77" s="32" t="n">
        <f aca="false">L76</f>
        <v>0.373044057756387</v>
      </c>
      <c r="M77" s="4" t="n">
        <f aca="false">M76</f>
        <v>0.7394</v>
      </c>
      <c r="N77" s="8" t="n">
        <f aca="false">L77</f>
        <v>0.373044057756387</v>
      </c>
      <c r="O77" s="1" t="n">
        <f aca="false">O76</f>
        <v>0.0477</v>
      </c>
      <c r="P77" s="1" t="n">
        <f aca="false">P76</f>
        <v>0.0307</v>
      </c>
      <c r="R77" s="1" t="n">
        <f aca="false">Transport!F77</f>
        <v>4926</v>
      </c>
      <c r="S77" s="1" t="n">
        <f aca="false">Transport!G77</f>
        <v>5732</v>
      </c>
      <c r="T77" s="1" t="n">
        <f aca="false">Transport!H77</f>
        <v>9342</v>
      </c>
      <c r="U77" s="1" t="n">
        <f aca="false">Transport!I77</f>
        <v>2563</v>
      </c>
      <c r="V77" s="1" t="n">
        <f aca="false">Transport!J77</f>
        <v>2862</v>
      </c>
      <c r="W77" s="1" t="n">
        <f aca="false">Transport!K77</f>
        <v>1685</v>
      </c>
      <c r="X77" s="1" t="n">
        <f aca="false">Transport!L77</f>
        <v>683</v>
      </c>
    </row>
    <row r="78" customFormat="false" ht="11.25" hidden="false" customHeight="false" outlineLevel="0" collapsed="false">
      <c r="A78" s="6" t="n">
        <f aca="false">+A77+365/12</f>
        <v>37969.4166666667</v>
      </c>
      <c r="B78" s="29" t="n">
        <f aca="false">C78-0.06</f>
        <v>2.566</v>
      </c>
      <c r="C78" s="29" t="n">
        <f aca="false">C66*1.01</f>
        <v>2.626</v>
      </c>
      <c r="D78" s="29" t="n">
        <f aca="false">C78-0.05</f>
        <v>2.576</v>
      </c>
      <c r="E78" s="29" t="n">
        <f aca="false">C78</f>
        <v>2.626</v>
      </c>
      <c r="F78" s="31" t="n">
        <f aca="false">+F77</f>
        <v>0.0275</v>
      </c>
      <c r="G78" s="38" t="n">
        <f aca="false">F78</f>
        <v>0.0275</v>
      </c>
      <c r="H78" s="1" t="n">
        <v>31</v>
      </c>
      <c r="I78" s="27" t="n">
        <v>-0.162695861323505</v>
      </c>
      <c r="K78" s="28" t="n">
        <v>0.0245000000000002</v>
      </c>
      <c r="L78" s="32" t="n">
        <f aca="false">L77</f>
        <v>0.373044057756387</v>
      </c>
      <c r="M78" s="4" t="n">
        <f aca="false">M77</f>
        <v>0.7394</v>
      </c>
      <c r="N78" s="8" t="n">
        <f aca="false">L78</f>
        <v>0.373044057756387</v>
      </c>
      <c r="O78" s="1" t="n">
        <f aca="false">O77</f>
        <v>0.0477</v>
      </c>
      <c r="P78" s="1" t="n">
        <f aca="false">P77</f>
        <v>0.0307</v>
      </c>
      <c r="R78" s="1" t="n">
        <f aca="false">Transport!F78</f>
        <v>4926</v>
      </c>
      <c r="S78" s="1" t="n">
        <f aca="false">Transport!G78</f>
        <v>5732</v>
      </c>
      <c r="T78" s="1" t="n">
        <f aca="false">Transport!H78</f>
        <v>9342</v>
      </c>
      <c r="U78" s="1" t="n">
        <f aca="false">Transport!I78</f>
        <v>2563</v>
      </c>
      <c r="V78" s="1" t="n">
        <f aca="false">Transport!J78</f>
        <v>2862</v>
      </c>
      <c r="W78" s="1" t="n">
        <f aca="false">Transport!K78</f>
        <v>1685</v>
      </c>
      <c r="X78" s="1" t="n">
        <f aca="false">Transport!L78</f>
        <v>683</v>
      </c>
    </row>
    <row r="79" customFormat="false" ht="11.25" hidden="false" customHeight="false" outlineLevel="0" collapsed="false">
      <c r="A79" s="41" t="n">
        <f aca="false">+A78+365/12</f>
        <v>37999.8333333333</v>
      </c>
      <c r="B79" s="42" t="n">
        <f aca="false">C79-0.06</f>
        <v>2.255627</v>
      </c>
      <c r="C79" s="42" t="n">
        <f aca="false">C67*1.01</f>
        <v>2.315627</v>
      </c>
      <c r="D79" s="42" t="n">
        <f aca="false">C79-0.05</f>
        <v>2.265627</v>
      </c>
      <c r="E79" s="42" t="n">
        <f aca="false">C79</f>
        <v>2.315627</v>
      </c>
      <c r="F79" s="43" t="n">
        <f aca="false">+F78</f>
        <v>0.0275</v>
      </c>
      <c r="G79" s="44" t="n">
        <f aca="false">F79</f>
        <v>0.0275</v>
      </c>
      <c r="H79" s="45" t="n">
        <v>31</v>
      </c>
      <c r="I79" s="46" t="n">
        <v>-0.147679195236945</v>
      </c>
      <c r="J79" s="45"/>
      <c r="K79" s="47" t="n">
        <v>0.0245000000000002</v>
      </c>
      <c r="L79" s="48" t="n">
        <f aca="false">L78</f>
        <v>0.373044057756387</v>
      </c>
      <c r="M79" s="4" t="n">
        <f aca="false">0.7414+0.0076-0.0142</f>
        <v>0.7348</v>
      </c>
      <c r="N79" s="50" t="n">
        <f aca="false">L79</f>
        <v>0.373044057756387</v>
      </c>
      <c r="O79" s="45" t="n">
        <f aca="false">O78</f>
        <v>0.0477</v>
      </c>
      <c r="P79" s="45" t="n">
        <f aca="false">P78</f>
        <v>0.0307</v>
      </c>
      <c r="Q79" s="45"/>
      <c r="R79" s="45" t="n">
        <f aca="false">Transport!F79</f>
        <v>4926</v>
      </c>
      <c r="S79" s="45" t="n">
        <f aca="false">Transport!G79</f>
        <v>5732</v>
      </c>
      <c r="T79" s="45" t="n">
        <f aca="false">Transport!H79</f>
        <v>9342</v>
      </c>
      <c r="U79" s="45" t="n">
        <f aca="false">Transport!I79</f>
        <v>2563</v>
      </c>
      <c r="V79" s="45" t="n">
        <f aca="false">Transport!J79</f>
        <v>2862</v>
      </c>
      <c r="W79" s="45" t="n">
        <f aca="false">Transport!K79</f>
        <v>1685</v>
      </c>
      <c r="X79" s="45" t="n">
        <f aca="false">Transport!L79</f>
        <v>683</v>
      </c>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c r="FH79" s="45"/>
      <c r="FI79" s="45"/>
      <c r="FJ79" s="45"/>
      <c r="FK79" s="45"/>
      <c r="FL79" s="45"/>
      <c r="FM79" s="45"/>
      <c r="FN79" s="45"/>
      <c r="FO79" s="45"/>
      <c r="FP79" s="45"/>
      <c r="FQ79" s="45"/>
      <c r="FR79" s="45"/>
      <c r="FS79" s="45"/>
      <c r="FT79" s="45"/>
      <c r="FU79" s="45"/>
      <c r="FV79" s="45"/>
      <c r="FW79" s="45"/>
      <c r="FX79" s="45"/>
      <c r="FY79" s="45"/>
      <c r="FZ79" s="45"/>
      <c r="GA79" s="45"/>
      <c r="GB79" s="45"/>
      <c r="GC79" s="45"/>
      <c r="GD79" s="45"/>
      <c r="GE79" s="45"/>
      <c r="GF79" s="45"/>
      <c r="GG79" s="45"/>
      <c r="GH79" s="45"/>
      <c r="GI79" s="45"/>
      <c r="GJ79" s="45"/>
      <c r="GK79" s="45"/>
      <c r="GL79" s="45"/>
      <c r="GM79" s="45"/>
      <c r="GN79" s="45"/>
      <c r="GO79" s="45"/>
      <c r="GP79" s="45"/>
      <c r="GQ79" s="45"/>
      <c r="GR79" s="45"/>
      <c r="GS79" s="45"/>
      <c r="GT79" s="45"/>
      <c r="GU79" s="45"/>
      <c r="GV79" s="45"/>
      <c r="GW79" s="45"/>
      <c r="GX79" s="45"/>
      <c r="GY79" s="45"/>
      <c r="GZ79" s="45"/>
      <c r="HA79" s="45"/>
      <c r="HB79" s="45"/>
      <c r="HC79" s="45"/>
      <c r="HD79" s="45"/>
      <c r="HE79" s="45"/>
      <c r="HF79" s="45"/>
      <c r="HG79" s="45"/>
      <c r="HH79" s="45"/>
      <c r="HI79" s="45"/>
      <c r="HJ79" s="45"/>
      <c r="HK79" s="45"/>
      <c r="HL79" s="45"/>
      <c r="HM79" s="45"/>
      <c r="HN79" s="45"/>
      <c r="HO79" s="45"/>
      <c r="HP79" s="45"/>
      <c r="HQ79" s="45"/>
      <c r="HR79" s="45"/>
      <c r="HS79" s="45"/>
      <c r="HT79" s="45"/>
      <c r="HU79" s="45"/>
      <c r="HV79" s="45"/>
      <c r="HW79" s="45"/>
      <c r="HX79" s="45"/>
      <c r="HY79" s="45"/>
      <c r="HZ79" s="45"/>
      <c r="IA79" s="45"/>
      <c r="IB79" s="45"/>
      <c r="IC79" s="45"/>
      <c r="ID79" s="45"/>
      <c r="IE79" s="45"/>
      <c r="IF79" s="45"/>
      <c r="IG79" s="45"/>
      <c r="IH79" s="45"/>
      <c r="II79" s="45"/>
      <c r="IJ79" s="45"/>
      <c r="IK79" s="45"/>
      <c r="IL79" s="45"/>
      <c r="IM79" s="45"/>
      <c r="IN79" s="45"/>
      <c r="IO79" s="45"/>
      <c r="IP79" s="45"/>
      <c r="IQ79" s="45"/>
      <c r="IR79" s="45"/>
      <c r="IS79" s="45"/>
      <c r="IT79" s="45"/>
      <c r="IU79" s="45"/>
      <c r="IV79" s="45"/>
      <c r="IW79" s="45"/>
    </row>
    <row r="80" customFormat="false" ht="11.25" hidden="false" customHeight="false" outlineLevel="0" collapsed="false">
      <c r="A80" s="6" t="n">
        <f aca="false">+A79+365/12</f>
        <v>38030.25</v>
      </c>
      <c r="B80" s="29" t="n">
        <f aca="false">C80-0.06</f>
        <v>2.531054</v>
      </c>
      <c r="C80" s="29" t="n">
        <f aca="false">C68*1.01</f>
        <v>2.591054</v>
      </c>
      <c r="D80" s="29" t="n">
        <f aca="false">C80-0.05</f>
        <v>2.541054</v>
      </c>
      <c r="E80" s="29" t="n">
        <f aca="false">C80</f>
        <v>2.591054</v>
      </c>
      <c r="F80" s="31" t="n">
        <f aca="false">+F79</f>
        <v>0.0275</v>
      </c>
      <c r="G80" s="38" t="n">
        <f aca="false">F80</f>
        <v>0.0275</v>
      </c>
      <c r="H80" s="1" t="n">
        <v>29</v>
      </c>
      <c r="I80" s="27" t="n">
        <v>-0.147706972047878</v>
      </c>
      <c r="K80" s="28" t="n">
        <v>0.0245000000000002</v>
      </c>
      <c r="L80" s="32" t="n">
        <f aca="false">L79</f>
        <v>0.373044057756387</v>
      </c>
      <c r="M80" s="4" t="n">
        <f aca="false">M79</f>
        <v>0.7348</v>
      </c>
      <c r="N80" s="8" t="n">
        <f aca="false">L80</f>
        <v>0.373044057756387</v>
      </c>
      <c r="O80" s="1" t="n">
        <f aca="false">O79</f>
        <v>0.0477</v>
      </c>
      <c r="P80" s="1" t="n">
        <f aca="false">P79</f>
        <v>0.0307</v>
      </c>
      <c r="R80" s="1" t="n">
        <f aca="false">Transport!F80</f>
        <v>4926</v>
      </c>
      <c r="S80" s="1" t="n">
        <f aca="false">Transport!G80</f>
        <v>5732</v>
      </c>
      <c r="T80" s="1" t="n">
        <f aca="false">Transport!H80</f>
        <v>9342</v>
      </c>
      <c r="U80" s="1" t="n">
        <f aca="false">Transport!I80</f>
        <v>2563</v>
      </c>
      <c r="V80" s="1" t="n">
        <f aca="false">Transport!J80</f>
        <v>2862</v>
      </c>
      <c r="W80" s="1" t="n">
        <f aca="false">Transport!K80</f>
        <v>1685</v>
      </c>
      <c r="X80" s="1" t="n">
        <f aca="false">Transport!L80</f>
        <v>683</v>
      </c>
    </row>
    <row r="81" customFormat="false" ht="11.25" hidden="false" customHeight="false" outlineLevel="0" collapsed="false">
      <c r="A81" s="6" t="n">
        <f aca="false">+A80+365/12</f>
        <v>38060.6666666667</v>
      </c>
      <c r="B81" s="29" t="n">
        <f aca="false">C81-0.06</f>
        <v>2.531054</v>
      </c>
      <c r="C81" s="29" t="n">
        <f aca="false">C69*1.01</f>
        <v>2.591054</v>
      </c>
      <c r="D81" s="29" t="n">
        <f aca="false">C81-0.05</f>
        <v>2.541054</v>
      </c>
      <c r="E81" s="29" t="n">
        <f aca="false">C81</f>
        <v>2.591054</v>
      </c>
      <c r="F81" s="31" t="n">
        <f aca="false">+F80</f>
        <v>0.0275</v>
      </c>
      <c r="G81" s="38" t="n">
        <f aca="false">F81</f>
        <v>0.0275</v>
      </c>
      <c r="H81" s="1" t="n">
        <v>31</v>
      </c>
      <c r="I81" s="27" t="n">
        <v>-0.122742734691953</v>
      </c>
      <c r="K81" s="28" t="n">
        <v>0.0195000000000003</v>
      </c>
      <c r="L81" s="32" t="n">
        <f aca="false">L80</f>
        <v>0.373044057756387</v>
      </c>
      <c r="M81" s="4" t="n">
        <f aca="false">M80</f>
        <v>0.7348</v>
      </c>
      <c r="N81" s="8" t="n">
        <f aca="false">L81</f>
        <v>0.373044057756387</v>
      </c>
      <c r="O81" s="1" t="n">
        <f aca="false">O80</f>
        <v>0.0477</v>
      </c>
      <c r="P81" s="1" t="n">
        <f aca="false">P80</f>
        <v>0.0307</v>
      </c>
      <c r="R81" s="1" t="n">
        <f aca="false">Transport!F81</f>
        <v>4926</v>
      </c>
      <c r="S81" s="1" t="n">
        <f aca="false">Transport!G81</f>
        <v>5732</v>
      </c>
      <c r="T81" s="1" t="n">
        <f aca="false">Transport!H81</f>
        <v>9342</v>
      </c>
      <c r="U81" s="1" t="n">
        <f aca="false">Transport!I81</f>
        <v>2563</v>
      </c>
      <c r="V81" s="1" t="n">
        <f aca="false">Transport!J81</f>
        <v>2862</v>
      </c>
      <c r="W81" s="1" t="n">
        <f aca="false">Transport!K81</f>
        <v>1685</v>
      </c>
      <c r="X81" s="1" t="n">
        <f aca="false">Transport!L81</f>
        <v>683</v>
      </c>
    </row>
    <row r="82" customFormat="false" ht="11.25" hidden="false" customHeight="false" outlineLevel="0" collapsed="false">
      <c r="A82" s="6" t="n">
        <f aca="false">+A81+365/12</f>
        <v>38091.0833333333</v>
      </c>
      <c r="B82" s="29" t="n">
        <f aca="false">C82-0.06</f>
        <v>2.806481</v>
      </c>
      <c r="C82" s="29" t="n">
        <f aca="false">C70*1.01</f>
        <v>2.866481</v>
      </c>
      <c r="D82" s="29" t="n">
        <f aca="false">C82-0.05</f>
        <v>2.816481</v>
      </c>
      <c r="E82" s="29" t="n">
        <f aca="false">C82</f>
        <v>2.866481</v>
      </c>
      <c r="F82" s="31" t="n">
        <f aca="false">+F81</f>
        <v>0.0275</v>
      </c>
      <c r="G82" s="38" t="n">
        <f aca="false">F82</f>
        <v>0.0275</v>
      </c>
      <c r="H82" s="1" t="n">
        <v>30</v>
      </c>
      <c r="I82" s="27" t="n">
        <v>-0.0732597479886494</v>
      </c>
      <c r="K82" s="28" t="n">
        <v>0.00599999999999978</v>
      </c>
      <c r="L82" s="32" t="n">
        <f aca="false">L81</f>
        <v>0.373044057756387</v>
      </c>
      <c r="M82" s="4" t="n">
        <f aca="false">M81</f>
        <v>0.7348</v>
      </c>
      <c r="N82" s="8" t="n">
        <f aca="false">L82</f>
        <v>0.373044057756387</v>
      </c>
      <c r="O82" s="1" t="n">
        <f aca="false">O81</f>
        <v>0.0477</v>
      </c>
      <c r="P82" s="1" t="n">
        <f aca="false">P81</f>
        <v>0.0307</v>
      </c>
      <c r="R82" s="1" t="n">
        <f aca="false">Transport!F82</f>
        <v>6933</v>
      </c>
      <c r="S82" s="1" t="n">
        <f aca="false">Transport!G82</f>
        <v>8798</v>
      </c>
      <c r="T82" s="1" t="n">
        <f aca="false">Transport!H82</f>
        <v>14269</v>
      </c>
      <c r="U82" s="1" t="n">
        <f aca="false">Transport!I82</f>
        <v>1880</v>
      </c>
      <c r="V82" s="1" t="n">
        <f aca="false">Transport!J82</f>
        <v>2073</v>
      </c>
      <c r="W82" s="1" t="n">
        <f aca="false">Transport!K82</f>
        <v>1258</v>
      </c>
      <c r="X82" s="1" t="n">
        <f aca="false">Transport!L82</f>
        <v>683</v>
      </c>
    </row>
    <row r="83" customFormat="false" ht="11.25" hidden="false" customHeight="false" outlineLevel="0" collapsed="false">
      <c r="A83" s="6" t="n">
        <f aca="false">+A82+365/12</f>
        <v>38121.5</v>
      </c>
      <c r="B83" s="29" t="n">
        <f aca="false">C83-0.06</f>
        <v>3.0003</v>
      </c>
      <c r="C83" s="29" t="n">
        <f aca="false">C71*1.01</f>
        <v>3.0603</v>
      </c>
      <c r="D83" s="29" t="n">
        <f aca="false">C83-0.05</f>
        <v>3.0103</v>
      </c>
      <c r="E83" s="29" t="n">
        <f aca="false">C83</f>
        <v>3.0603</v>
      </c>
      <c r="F83" s="31" t="n">
        <f aca="false">+F82</f>
        <v>0.0275</v>
      </c>
      <c r="G83" s="38" t="n">
        <f aca="false">F83</f>
        <v>0.0275</v>
      </c>
      <c r="H83" s="1" t="n">
        <v>31</v>
      </c>
      <c r="I83" s="27" t="n">
        <v>-0.0737212495070221</v>
      </c>
      <c r="K83" s="28" t="n">
        <v>0.00599999999999978</v>
      </c>
      <c r="L83" s="32" t="n">
        <f aca="false">L82</f>
        <v>0.373044057756387</v>
      </c>
      <c r="M83" s="4" t="n">
        <f aca="false">M82</f>
        <v>0.7348</v>
      </c>
      <c r="N83" s="8" t="n">
        <f aca="false">L83</f>
        <v>0.373044057756387</v>
      </c>
      <c r="O83" s="1" t="n">
        <f aca="false">O82</f>
        <v>0.0477</v>
      </c>
      <c r="P83" s="1" t="n">
        <f aca="false">P82</f>
        <v>0.0307</v>
      </c>
      <c r="R83" s="1" t="n">
        <f aca="false">Transport!F83</f>
        <v>8730</v>
      </c>
      <c r="S83" s="1" t="n">
        <f aca="false">Transport!G83</f>
        <v>10761</v>
      </c>
      <c r="T83" s="1" t="n">
        <f aca="false">Transport!H83</f>
        <v>15509</v>
      </c>
      <c r="U83" s="1" t="n">
        <f aca="false">Transport!I83</f>
        <v>1880</v>
      </c>
      <c r="V83" s="1" t="n">
        <f aca="false">Transport!J83</f>
        <v>2295</v>
      </c>
      <c r="W83" s="1" t="n">
        <f aca="false">Transport!K83</f>
        <v>1036</v>
      </c>
      <c r="X83" s="1" t="n">
        <f aca="false">Transport!L83</f>
        <v>683</v>
      </c>
    </row>
    <row r="84" customFormat="false" ht="11.25" hidden="false" customHeight="false" outlineLevel="0" collapsed="false">
      <c r="A84" s="6" t="n">
        <f aca="false">+A83+365/12</f>
        <v>38151.9166666667</v>
      </c>
      <c r="B84" s="29" t="n">
        <f aca="false">C84-0.06</f>
        <v>4.336631</v>
      </c>
      <c r="C84" s="29" t="n">
        <f aca="false">C72*1.01</f>
        <v>4.396631</v>
      </c>
      <c r="D84" s="29" t="n">
        <f aca="false">C84-0.05</f>
        <v>4.346631</v>
      </c>
      <c r="E84" s="29" t="n">
        <f aca="false">C84</f>
        <v>4.396631</v>
      </c>
      <c r="F84" s="31" t="n">
        <f aca="false">+F83</f>
        <v>0.0275</v>
      </c>
      <c r="G84" s="38" t="n">
        <f aca="false">F84</f>
        <v>0.0275</v>
      </c>
      <c r="H84" s="1" t="n">
        <v>30</v>
      </c>
      <c r="I84" s="27" t="n">
        <v>-0.0737205902106815</v>
      </c>
      <c r="K84" s="28" t="n">
        <v>0.00599999999999978</v>
      </c>
      <c r="L84" s="32" t="n">
        <f aca="false">L83</f>
        <v>0.373044057756387</v>
      </c>
      <c r="M84" s="4" t="n">
        <f aca="false">M83</f>
        <v>0.7348</v>
      </c>
      <c r="N84" s="8" t="n">
        <f aca="false">L84</f>
        <v>0.373044057756387</v>
      </c>
      <c r="O84" s="1" t="n">
        <f aca="false">O83</f>
        <v>0.0477</v>
      </c>
      <c r="P84" s="1" t="n">
        <f aca="false">P83</f>
        <v>0.0307</v>
      </c>
      <c r="R84" s="1" t="n">
        <f aca="false">Transport!F84</f>
        <v>8730</v>
      </c>
      <c r="S84" s="1" t="n">
        <f aca="false">Transport!G84</f>
        <v>10761</v>
      </c>
      <c r="T84" s="1" t="n">
        <f aca="false">Transport!H84</f>
        <v>15509</v>
      </c>
      <c r="U84" s="1" t="n">
        <f aca="false">Transport!I84</f>
        <v>1880</v>
      </c>
      <c r="V84" s="1" t="n">
        <f aca="false">Transport!J84</f>
        <v>2295</v>
      </c>
      <c r="W84" s="1" t="n">
        <f aca="false">Transport!K84</f>
        <v>1036</v>
      </c>
      <c r="X84" s="1" t="n">
        <f aca="false">Transport!L84</f>
        <v>683</v>
      </c>
    </row>
    <row r="85" customFormat="false" ht="11.25" hidden="false" customHeight="false" outlineLevel="0" collapsed="false">
      <c r="A85" s="6" t="n">
        <f aca="false">+A84+365/12</f>
        <v>38182.3333333333</v>
      </c>
      <c r="B85" s="29" t="n">
        <f aca="false">C85-0.06</f>
        <v>4.32643</v>
      </c>
      <c r="C85" s="29" t="n">
        <f aca="false">C73*1.01</f>
        <v>4.38643</v>
      </c>
      <c r="D85" s="29" t="n">
        <f aca="false">C85-0.05</f>
        <v>4.33643</v>
      </c>
      <c r="E85" s="29" t="n">
        <f aca="false">C85</f>
        <v>4.38643</v>
      </c>
      <c r="F85" s="31" t="n">
        <f aca="false">+F84</f>
        <v>0.0275</v>
      </c>
      <c r="G85" s="38" t="n">
        <f aca="false">F85</f>
        <v>0.0275</v>
      </c>
      <c r="H85" s="1" t="n">
        <v>31</v>
      </c>
      <c r="I85" s="27" t="n">
        <v>-0.078220194632876</v>
      </c>
      <c r="K85" s="28" t="n">
        <v>0.00949999999999984</v>
      </c>
      <c r="L85" s="32" t="n">
        <f aca="false">L84</f>
        <v>0.373044057756387</v>
      </c>
      <c r="M85" s="4" t="n">
        <f aca="false">M84</f>
        <v>0.7348</v>
      </c>
      <c r="N85" s="8" t="n">
        <f aca="false">L85</f>
        <v>0.373044057756387</v>
      </c>
      <c r="O85" s="1" t="n">
        <f aca="false">O84</f>
        <v>0.0477</v>
      </c>
      <c r="P85" s="1" t="n">
        <f aca="false">P84</f>
        <v>0.0307</v>
      </c>
      <c r="R85" s="1" t="n">
        <f aca="false">Transport!F85</f>
        <v>8730</v>
      </c>
      <c r="S85" s="1" t="n">
        <f aca="false">Transport!G85</f>
        <v>10761</v>
      </c>
      <c r="T85" s="1" t="n">
        <f aca="false">Transport!H85</f>
        <v>15509</v>
      </c>
      <c r="U85" s="1" t="n">
        <f aca="false">Transport!I85</f>
        <v>1880</v>
      </c>
      <c r="V85" s="1" t="n">
        <f aca="false">Transport!J85</f>
        <v>2295</v>
      </c>
      <c r="W85" s="1" t="n">
        <f aca="false">Transport!K85</f>
        <v>1036</v>
      </c>
      <c r="X85" s="1" t="n">
        <f aca="false">Transport!L85</f>
        <v>683</v>
      </c>
    </row>
    <row r="86" customFormat="false" ht="11.25" hidden="false" customHeight="false" outlineLevel="0" collapsed="false">
      <c r="A86" s="6" t="n">
        <f aca="false">+A85+365/12</f>
        <v>38212.75</v>
      </c>
      <c r="B86" s="29" t="n">
        <f aca="false">C86-0.06</f>
        <v>3.775576</v>
      </c>
      <c r="C86" s="29" t="n">
        <f aca="false">C74*1.01</f>
        <v>3.835576</v>
      </c>
      <c r="D86" s="29" t="n">
        <f aca="false">C86-0.05</f>
        <v>3.785576</v>
      </c>
      <c r="E86" s="29" t="n">
        <f aca="false">C86</f>
        <v>3.835576</v>
      </c>
      <c r="F86" s="31" t="n">
        <f aca="false">+F85</f>
        <v>0.0275</v>
      </c>
      <c r="G86" s="38" t="n">
        <f aca="false">F86</f>
        <v>0.0275</v>
      </c>
      <c r="H86" s="1" t="n">
        <v>31</v>
      </c>
      <c r="I86" s="27" t="n">
        <v>-0.078219403477267</v>
      </c>
      <c r="K86" s="28" t="n">
        <v>0.00949999999999962</v>
      </c>
      <c r="L86" s="32" t="n">
        <f aca="false">L85</f>
        <v>0.373044057756387</v>
      </c>
      <c r="M86" s="4" t="n">
        <f aca="false">M85</f>
        <v>0.7348</v>
      </c>
      <c r="N86" s="8" t="n">
        <f aca="false">L86</f>
        <v>0.373044057756387</v>
      </c>
      <c r="O86" s="1" t="n">
        <f aca="false">O85</f>
        <v>0.0477</v>
      </c>
      <c r="P86" s="1" t="n">
        <f aca="false">P85</f>
        <v>0.0307</v>
      </c>
      <c r="R86" s="1" t="n">
        <f aca="false">Transport!F86</f>
        <v>8730</v>
      </c>
      <c r="S86" s="1" t="n">
        <f aca="false">Transport!G86</f>
        <v>10761</v>
      </c>
      <c r="T86" s="1" t="n">
        <f aca="false">Transport!H86</f>
        <v>15509</v>
      </c>
      <c r="U86" s="1" t="n">
        <f aca="false">Transport!I86</f>
        <v>1880</v>
      </c>
      <c r="V86" s="1" t="n">
        <f aca="false">Transport!J86</f>
        <v>2295</v>
      </c>
      <c r="W86" s="1" t="n">
        <f aca="false">Transport!K86</f>
        <v>1036</v>
      </c>
      <c r="X86" s="1" t="n">
        <f aca="false">Transport!L86</f>
        <v>683</v>
      </c>
    </row>
    <row r="87" customFormat="false" ht="11.25" hidden="false" customHeight="false" outlineLevel="0" collapsed="false">
      <c r="A87" s="6" t="n">
        <f aca="false">+A86+365/12</f>
        <v>38243.1666666667</v>
      </c>
      <c r="B87" s="29" t="n">
        <f aca="false">C87-0.06</f>
        <v>4.561053</v>
      </c>
      <c r="C87" s="29" t="n">
        <f aca="false">C75*1.01</f>
        <v>4.621053</v>
      </c>
      <c r="D87" s="29" t="n">
        <f aca="false">C87-0.05</f>
        <v>4.571053</v>
      </c>
      <c r="E87" s="29" t="n">
        <f aca="false">C87</f>
        <v>4.621053</v>
      </c>
      <c r="F87" s="31" t="n">
        <f aca="false">+F86</f>
        <v>0.0275</v>
      </c>
      <c r="G87" s="38" t="n">
        <f aca="false">F87</f>
        <v>0.0275</v>
      </c>
      <c r="H87" s="1" t="n">
        <v>30</v>
      </c>
      <c r="I87" s="27" t="n">
        <v>-0.0782180848845853</v>
      </c>
      <c r="K87" s="28" t="n">
        <v>0.00949999999999962</v>
      </c>
      <c r="L87" s="32" t="n">
        <f aca="false">L86</f>
        <v>0.373044057756387</v>
      </c>
      <c r="M87" s="4" t="n">
        <f aca="false">M86</f>
        <v>0.7348</v>
      </c>
      <c r="N87" s="8" t="n">
        <f aca="false">L87</f>
        <v>0.373044057756387</v>
      </c>
      <c r="O87" s="1" t="n">
        <f aca="false">O86</f>
        <v>0.0477</v>
      </c>
      <c r="P87" s="1" t="n">
        <f aca="false">P86</f>
        <v>0.0307</v>
      </c>
      <c r="R87" s="1" t="n">
        <f aca="false">Transport!F87</f>
        <v>8730</v>
      </c>
      <c r="S87" s="1" t="n">
        <f aca="false">Transport!G87</f>
        <v>10761</v>
      </c>
      <c r="T87" s="1" t="n">
        <f aca="false">Transport!H87</f>
        <v>15509</v>
      </c>
      <c r="U87" s="1" t="n">
        <f aca="false">Transport!I87</f>
        <v>1880</v>
      </c>
      <c r="V87" s="1" t="n">
        <f aca="false">Transport!J87</f>
        <v>2295</v>
      </c>
      <c r="W87" s="1" t="n">
        <f aca="false">Transport!K87</f>
        <v>1036</v>
      </c>
      <c r="X87" s="1" t="n">
        <f aca="false">Transport!L87</f>
        <v>683</v>
      </c>
    </row>
    <row r="88" customFormat="false" ht="11.25" hidden="false" customHeight="false" outlineLevel="0" collapsed="false">
      <c r="A88" s="6" t="n">
        <f aca="false">+A87+365/12</f>
        <v>38273.5833333333</v>
      </c>
      <c r="B88" s="29" t="n">
        <f aca="false">C88-0.06</f>
        <v>5.254721</v>
      </c>
      <c r="C88" s="29" t="n">
        <f aca="false">C76*1.01</f>
        <v>5.314721</v>
      </c>
      <c r="D88" s="29" t="n">
        <f aca="false">C88-0.05</f>
        <v>5.264721</v>
      </c>
      <c r="E88" s="29" t="n">
        <f aca="false">C88</f>
        <v>5.314721</v>
      </c>
      <c r="F88" s="31" t="n">
        <f aca="false">+F87</f>
        <v>0.0275</v>
      </c>
      <c r="G88" s="38" t="n">
        <f aca="false">F88</f>
        <v>0.0275</v>
      </c>
      <c r="H88" s="1" t="n">
        <v>31</v>
      </c>
      <c r="I88" s="27" t="n">
        <v>-0.0827500261048235</v>
      </c>
      <c r="K88" s="28" t="n">
        <v>0.0145</v>
      </c>
      <c r="L88" s="32" t="n">
        <f aca="false">L87</f>
        <v>0.373044057756387</v>
      </c>
      <c r="M88" s="4" t="n">
        <f aca="false">M87</f>
        <v>0.7348</v>
      </c>
      <c r="N88" s="8" t="n">
        <f aca="false">L88</f>
        <v>0.373044057756387</v>
      </c>
      <c r="O88" s="1" t="n">
        <f aca="false">O87</f>
        <v>0.0477</v>
      </c>
      <c r="P88" s="1" t="n">
        <f aca="false">P87</f>
        <v>0.0307</v>
      </c>
      <c r="R88" s="1" t="n">
        <f aca="false">Transport!F88</f>
        <v>8730</v>
      </c>
      <c r="S88" s="1" t="n">
        <f aca="false">Transport!G88</f>
        <v>10361</v>
      </c>
      <c r="T88" s="1" t="n">
        <f aca="false">Transport!H88</f>
        <v>15909</v>
      </c>
      <c r="U88" s="1" t="n">
        <f aca="false">Transport!I88</f>
        <v>2830</v>
      </c>
      <c r="V88" s="1" t="n">
        <f aca="false">Transport!J88</f>
        <v>3500</v>
      </c>
      <c r="W88" s="1" t="n">
        <f aca="false">Transport!K88</f>
        <v>1521</v>
      </c>
      <c r="X88" s="1" t="n">
        <f aca="false">Transport!L88</f>
        <v>1001</v>
      </c>
    </row>
    <row r="89" customFormat="false" ht="11.25" hidden="false" customHeight="false" outlineLevel="0" collapsed="false">
      <c r="A89" s="6" t="n">
        <f aca="false">+A88+365/12</f>
        <v>38304</v>
      </c>
      <c r="B89" s="29" t="n">
        <f aca="false">C89-0.06</f>
        <v>3.489948</v>
      </c>
      <c r="C89" s="29" t="n">
        <f aca="false">C77*1.01</f>
        <v>3.549948</v>
      </c>
      <c r="D89" s="29" t="n">
        <f aca="false">C89-0.05</f>
        <v>3.499948</v>
      </c>
      <c r="E89" s="29" t="n">
        <f aca="false">C89</f>
        <v>3.549948</v>
      </c>
      <c r="F89" s="31" t="n">
        <f aca="false">+F88</f>
        <v>0.0275</v>
      </c>
      <c r="G89" s="38" t="n">
        <f aca="false">F89</f>
        <v>0.0275</v>
      </c>
      <c r="H89" s="1" t="n">
        <v>30</v>
      </c>
      <c r="I89" s="27" t="n">
        <v>-0.12772224929389</v>
      </c>
      <c r="K89" s="28" t="n">
        <v>0.0194999999999999</v>
      </c>
      <c r="L89" s="32" t="n">
        <f aca="false">L88</f>
        <v>0.373044057756387</v>
      </c>
      <c r="M89" s="4" t="n">
        <f aca="false">M88</f>
        <v>0.7348</v>
      </c>
      <c r="N89" s="8" t="n">
        <f aca="false">L89</f>
        <v>0.373044057756387</v>
      </c>
      <c r="O89" s="1" t="n">
        <f aca="false">O88</f>
        <v>0.0477</v>
      </c>
      <c r="P89" s="1" t="n">
        <f aca="false">P88</f>
        <v>0.0307</v>
      </c>
      <c r="R89" s="1" t="n">
        <f aca="false">Transport!F89</f>
        <v>4926</v>
      </c>
      <c r="S89" s="1" t="n">
        <f aca="false">Transport!G89</f>
        <v>5732</v>
      </c>
      <c r="T89" s="1" t="n">
        <f aca="false">Transport!H89</f>
        <v>9342</v>
      </c>
      <c r="U89" s="1" t="n">
        <f aca="false">Transport!I89</f>
        <v>2563</v>
      </c>
      <c r="V89" s="1" t="n">
        <f aca="false">Transport!J89</f>
        <v>2862</v>
      </c>
      <c r="W89" s="1" t="n">
        <f aca="false">Transport!K89</f>
        <v>1685</v>
      </c>
      <c r="X89" s="1" t="n">
        <f aca="false">Transport!L89</f>
        <v>683</v>
      </c>
    </row>
    <row r="90" customFormat="false" ht="11.25" hidden="false" customHeight="false" outlineLevel="0" collapsed="false">
      <c r="A90" s="6" t="n">
        <f aca="false">+A89+365/12</f>
        <v>38334.4166666667</v>
      </c>
      <c r="B90" s="29" t="n">
        <f aca="false">C90-0.06</f>
        <v>2.59226</v>
      </c>
      <c r="C90" s="29" t="n">
        <f aca="false">C78*1.01</f>
        <v>2.65226</v>
      </c>
      <c r="D90" s="29" t="n">
        <f aca="false">C90-0.05</f>
        <v>2.60226</v>
      </c>
      <c r="E90" s="29" t="n">
        <f aca="false">C90</f>
        <v>2.65226</v>
      </c>
      <c r="F90" s="31" t="n">
        <f aca="false">+F89</f>
        <v>0.0275</v>
      </c>
      <c r="G90" s="38" t="n">
        <f aca="false">F90</f>
        <v>0.0275</v>
      </c>
      <c r="H90" s="1" t="n">
        <v>31</v>
      </c>
      <c r="I90" s="27" t="n">
        <v>-0.162684750599131</v>
      </c>
      <c r="K90" s="28" t="n">
        <v>0.0245000000000002</v>
      </c>
      <c r="L90" s="32" t="n">
        <f aca="false">L89</f>
        <v>0.373044057756387</v>
      </c>
      <c r="M90" s="4" t="n">
        <f aca="false">M89</f>
        <v>0.7348</v>
      </c>
      <c r="N90" s="8" t="n">
        <f aca="false">L90</f>
        <v>0.373044057756387</v>
      </c>
      <c r="O90" s="1" t="n">
        <f aca="false">O89</f>
        <v>0.0477</v>
      </c>
      <c r="P90" s="1" t="n">
        <f aca="false">P89</f>
        <v>0.0307</v>
      </c>
      <c r="R90" s="1" t="n">
        <f aca="false">Transport!F90</f>
        <v>4926</v>
      </c>
      <c r="S90" s="1" t="n">
        <f aca="false">Transport!G90</f>
        <v>5732</v>
      </c>
      <c r="T90" s="1" t="n">
        <f aca="false">Transport!H90</f>
        <v>9342</v>
      </c>
      <c r="U90" s="1" t="n">
        <f aca="false">Transport!I90</f>
        <v>2563</v>
      </c>
      <c r="V90" s="1" t="n">
        <f aca="false">Transport!J90</f>
        <v>2862</v>
      </c>
      <c r="W90" s="1" t="n">
        <f aca="false">Transport!K90</f>
        <v>1685</v>
      </c>
      <c r="X90" s="1" t="n">
        <f aca="false">Transport!L90</f>
        <v>683</v>
      </c>
    </row>
    <row r="91" customFormat="false" ht="11.25" hidden="false" customHeight="false" outlineLevel="0" collapsed="false">
      <c r="A91" s="41" t="n">
        <f aca="false">+A90+365/12</f>
        <v>38364.8333333333</v>
      </c>
      <c r="B91" s="42" t="n">
        <f aca="false">C91-0.06</f>
        <v>2.27878327</v>
      </c>
      <c r="C91" s="42" t="n">
        <f aca="false">C79*1.01</f>
        <v>2.33878327</v>
      </c>
      <c r="D91" s="42" t="n">
        <f aca="false">C91-0.05</f>
        <v>2.28878327</v>
      </c>
      <c r="E91" s="42" t="n">
        <f aca="false">C91</f>
        <v>2.33878327</v>
      </c>
      <c r="F91" s="43" t="n">
        <f aca="false">+F90</f>
        <v>0.0275</v>
      </c>
      <c r="G91" s="44" t="n">
        <f aca="false">F91</f>
        <v>0.0275</v>
      </c>
      <c r="H91" s="45" t="n">
        <v>31</v>
      </c>
      <c r="I91" s="46" t="n">
        <v>-0.147661140309838</v>
      </c>
      <c r="J91" s="45"/>
      <c r="K91" s="47" t="n">
        <v>0.0245000000000002</v>
      </c>
      <c r="L91" s="48" t="n">
        <f aca="false">('[1]062'!$P$56*1000)/('[1]062'!$P$50*[1]Assumptions!$P$9)</f>
        <v>0.398086634579785</v>
      </c>
      <c r="M91" s="49" t="n">
        <f aca="false">M90</f>
        <v>0.7348</v>
      </c>
      <c r="N91" s="50" t="n">
        <f aca="false">L91</f>
        <v>0.398086634579785</v>
      </c>
      <c r="O91" s="45" t="n">
        <f aca="false">O90</f>
        <v>0.0477</v>
      </c>
      <c r="P91" s="45" t="n">
        <f aca="false">P90</f>
        <v>0.0307</v>
      </c>
      <c r="Q91" s="45"/>
      <c r="R91" s="45" t="n">
        <f aca="false">Transport!F91</f>
        <v>4926</v>
      </c>
      <c r="S91" s="45" t="n">
        <f aca="false">Transport!G91</f>
        <v>5732</v>
      </c>
      <c r="T91" s="45" t="n">
        <f aca="false">Transport!H91</f>
        <v>9342</v>
      </c>
      <c r="U91" s="45" t="n">
        <f aca="false">Transport!I91</f>
        <v>2563</v>
      </c>
      <c r="V91" s="45" t="n">
        <f aca="false">Transport!J91</f>
        <v>2862</v>
      </c>
      <c r="W91" s="45" t="n">
        <f aca="false">Transport!K91</f>
        <v>1685</v>
      </c>
      <c r="X91" s="45" t="n">
        <f aca="false">Transport!L91</f>
        <v>683</v>
      </c>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c r="CY91" s="45"/>
      <c r="CZ91" s="45"/>
      <c r="DA91" s="45"/>
      <c r="DB91" s="45"/>
      <c r="DC91" s="45"/>
      <c r="DD91" s="45"/>
      <c r="DE91" s="45"/>
      <c r="DF91" s="45"/>
      <c r="DG91" s="45"/>
      <c r="DH91" s="45"/>
      <c r="DI91" s="45"/>
      <c r="DJ91" s="45"/>
      <c r="DK91" s="45"/>
      <c r="DL91" s="45"/>
      <c r="DM91" s="45"/>
      <c r="DN91" s="45"/>
      <c r="DO91" s="45"/>
      <c r="DP91" s="45"/>
      <c r="DQ91" s="45"/>
      <c r="DR91" s="45"/>
      <c r="DS91" s="45"/>
      <c r="DT91" s="45"/>
      <c r="DU91" s="45"/>
      <c r="DV91" s="45"/>
      <c r="DW91" s="45"/>
      <c r="DX91" s="45"/>
      <c r="DY91" s="45"/>
      <c r="DZ91" s="45"/>
      <c r="EA91" s="45"/>
      <c r="EB91" s="45"/>
      <c r="EC91" s="45"/>
      <c r="ED91" s="45"/>
      <c r="EE91" s="45"/>
      <c r="EF91" s="45"/>
      <c r="EG91" s="45"/>
      <c r="EH91" s="45"/>
      <c r="EI91" s="45"/>
      <c r="EJ91" s="45"/>
      <c r="EK91" s="45"/>
      <c r="EL91" s="45"/>
      <c r="EM91" s="45"/>
      <c r="EN91" s="45"/>
      <c r="EO91" s="45"/>
      <c r="EP91" s="45"/>
      <c r="EQ91" s="45"/>
      <c r="ER91" s="45"/>
      <c r="ES91" s="45"/>
      <c r="ET91" s="45"/>
      <c r="EU91" s="45"/>
      <c r="EV91" s="45"/>
      <c r="EW91" s="45"/>
      <c r="EX91" s="45"/>
      <c r="EY91" s="45"/>
      <c r="EZ91" s="45"/>
      <c r="FA91" s="45"/>
      <c r="FB91" s="45"/>
      <c r="FC91" s="45"/>
      <c r="FD91" s="45"/>
      <c r="FE91" s="45"/>
      <c r="FF91" s="45"/>
      <c r="FG91" s="45"/>
      <c r="FH91" s="45"/>
      <c r="FI91" s="45"/>
      <c r="FJ91" s="45"/>
      <c r="FK91" s="45"/>
      <c r="FL91" s="45"/>
      <c r="FM91" s="45"/>
      <c r="FN91" s="45"/>
      <c r="FO91" s="45"/>
      <c r="FP91" s="45"/>
      <c r="FQ91" s="45"/>
      <c r="FR91" s="45"/>
      <c r="FS91" s="45"/>
      <c r="FT91" s="45"/>
      <c r="FU91" s="45"/>
      <c r="FV91" s="45"/>
      <c r="FW91" s="45"/>
      <c r="FX91" s="45"/>
      <c r="FY91" s="45"/>
      <c r="FZ91" s="45"/>
      <c r="GA91" s="45"/>
      <c r="GB91" s="45"/>
      <c r="GC91" s="45"/>
      <c r="GD91" s="45"/>
      <c r="GE91" s="45"/>
      <c r="GF91" s="45"/>
      <c r="GG91" s="45"/>
      <c r="GH91" s="45"/>
      <c r="GI91" s="45"/>
      <c r="GJ91" s="45"/>
      <c r="GK91" s="45"/>
      <c r="GL91" s="45"/>
      <c r="GM91" s="45"/>
      <c r="GN91" s="45"/>
      <c r="GO91" s="45"/>
      <c r="GP91" s="45"/>
      <c r="GQ91" s="45"/>
      <c r="GR91" s="45"/>
      <c r="GS91" s="45"/>
      <c r="GT91" s="45"/>
      <c r="GU91" s="45"/>
      <c r="GV91" s="45"/>
      <c r="GW91" s="45"/>
      <c r="GX91" s="45"/>
      <c r="GY91" s="45"/>
      <c r="GZ91" s="45"/>
      <c r="HA91" s="45"/>
      <c r="HB91" s="45"/>
      <c r="HC91" s="45"/>
      <c r="HD91" s="45"/>
      <c r="HE91" s="45"/>
      <c r="HF91" s="45"/>
      <c r="HG91" s="45"/>
      <c r="HH91" s="45"/>
      <c r="HI91" s="45"/>
      <c r="HJ91" s="45"/>
      <c r="HK91" s="45"/>
      <c r="HL91" s="45"/>
      <c r="HM91" s="45"/>
      <c r="HN91" s="45"/>
      <c r="HO91" s="45"/>
      <c r="HP91" s="45"/>
      <c r="HQ91" s="45"/>
      <c r="HR91" s="45"/>
      <c r="HS91" s="45"/>
      <c r="HT91" s="45"/>
      <c r="HU91" s="45"/>
      <c r="HV91" s="45"/>
      <c r="HW91" s="45"/>
      <c r="HX91" s="45"/>
      <c r="HY91" s="45"/>
      <c r="HZ91" s="45"/>
      <c r="IA91" s="45"/>
      <c r="IB91" s="45"/>
      <c r="IC91" s="45"/>
      <c r="ID91" s="45"/>
      <c r="IE91" s="45"/>
      <c r="IF91" s="45"/>
      <c r="IG91" s="45"/>
      <c r="IH91" s="45"/>
      <c r="II91" s="45"/>
      <c r="IJ91" s="45"/>
      <c r="IK91" s="45"/>
      <c r="IL91" s="45"/>
      <c r="IM91" s="45"/>
      <c r="IN91" s="45"/>
      <c r="IO91" s="45"/>
      <c r="IP91" s="45"/>
      <c r="IQ91" s="45"/>
      <c r="IR91" s="45"/>
      <c r="IS91" s="45"/>
      <c r="IT91" s="45"/>
      <c r="IU91" s="45"/>
      <c r="IV91" s="45"/>
      <c r="IW91" s="45"/>
    </row>
    <row r="92" customFormat="false" ht="11.25" hidden="false" customHeight="false" outlineLevel="0" collapsed="false">
      <c r="A92" s="6" t="n">
        <f aca="false">+A91+365/12</f>
        <v>38395.25</v>
      </c>
      <c r="B92" s="29" t="n">
        <f aca="false">C92-0.06</f>
        <v>2.55696454</v>
      </c>
      <c r="C92" s="29" t="n">
        <f aca="false">C80*1.01</f>
        <v>2.61696454</v>
      </c>
      <c r="D92" s="29" t="n">
        <f aca="false">C92-0.05</f>
        <v>2.56696454</v>
      </c>
      <c r="E92" s="29" t="n">
        <f aca="false">C92</f>
        <v>2.61696454</v>
      </c>
      <c r="F92" s="31" t="n">
        <f aca="false">+F91</f>
        <v>0.0275</v>
      </c>
      <c r="G92" s="38" t="n">
        <f aca="false">F92</f>
        <v>0.0275</v>
      </c>
      <c r="H92" s="1" t="n">
        <v>28</v>
      </c>
      <c r="I92" s="27" t="n">
        <v>-0.147688917120771</v>
      </c>
      <c r="K92" s="28" t="n">
        <v>0.0245000000000002</v>
      </c>
      <c r="L92" s="32" t="n">
        <f aca="false">L91</f>
        <v>0.398086634579785</v>
      </c>
      <c r="M92" s="4" t="n">
        <f aca="false">M91</f>
        <v>0.7348</v>
      </c>
      <c r="N92" s="8" t="n">
        <f aca="false">L92</f>
        <v>0.398086634579785</v>
      </c>
      <c r="O92" s="1" t="n">
        <f aca="false">O91</f>
        <v>0.0477</v>
      </c>
      <c r="P92" s="1" t="n">
        <f aca="false">P91</f>
        <v>0.0307</v>
      </c>
      <c r="R92" s="1" t="n">
        <f aca="false">Transport!F92</f>
        <v>4926</v>
      </c>
      <c r="S92" s="1" t="n">
        <f aca="false">Transport!G92</f>
        <v>5732</v>
      </c>
      <c r="T92" s="1" t="n">
        <f aca="false">Transport!H92</f>
        <v>9342</v>
      </c>
      <c r="U92" s="1" t="n">
        <f aca="false">Transport!I92</f>
        <v>2563</v>
      </c>
      <c r="V92" s="1" t="n">
        <f aca="false">Transport!J92</f>
        <v>2862</v>
      </c>
      <c r="W92" s="1" t="n">
        <f aca="false">Transport!K92</f>
        <v>1685</v>
      </c>
      <c r="X92" s="1" t="n">
        <f aca="false">Transport!L92</f>
        <v>683</v>
      </c>
    </row>
    <row r="93" customFormat="false" ht="11.25" hidden="false" customHeight="false" outlineLevel="0" collapsed="false">
      <c r="A93" s="6" t="n">
        <f aca="false">+A92+365/12</f>
        <v>38425.6666666667</v>
      </c>
      <c r="B93" s="29" t="n">
        <f aca="false">C93-0.06</f>
        <v>2.55696454</v>
      </c>
      <c r="C93" s="29" t="n">
        <f aca="false">C81*1.01</f>
        <v>2.61696454</v>
      </c>
      <c r="D93" s="29" t="n">
        <f aca="false">C93-0.05</f>
        <v>2.56696454</v>
      </c>
      <c r="E93" s="29" t="n">
        <f aca="false">C93</f>
        <v>2.61696454</v>
      </c>
      <c r="F93" s="31" t="n">
        <f aca="false">+F92</f>
        <v>0.0275</v>
      </c>
      <c r="G93" s="38" t="n">
        <f aca="false">F93</f>
        <v>0.0275</v>
      </c>
      <c r="H93" s="1" t="n">
        <v>31</v>
      </c>
      <c r="I93" s="27" t="n">
        <v>-0.122724679764847</v>
      </c>
      <c r="K93" s="28" t="n">
        <v>0.0195000000000003</v>
      </c>
      <c r="L93" s="32" t="n">
        <f aca="false">L92</f>
        <v>0.398086634579785</v>
      </c>
      <c r="M93" s="4" t="n">
        <f aca="false">M92</f>
        <v>0.7348</v>
      </c>
      <c r="N93" s="8" t="n">
        <f aca="false">L93</f>
        <v>0.398086634579785</v>
      </c>
      <c r="O93" s="1" t="n">
        <f aca="false">O92</f>
        <v>0.0477</v>
      </c>
      <c r="P93" s="1" t="n">
        <f aca="false">P92</f>
        <v>0.0307</v>
      </c>
      <c r="R93" s="1" t="n">
        <f aca="false">Transport!F93</f>
        <v>4926</v>
      </c>
      <c r="S93" s="1" t="n">
        <f aca="false">Transport!G93</f>
        <v>5732</v>
      </c>
      <c r="T93" s="1" t="n">
        <f aca="false">Transport!H93</f>
        <v>9342</v>
      </c>
      <c r="U93" s="1" t="n">
        <f aca="false">Transport!I93</f>
        <v>2563</v>
      </c>
      <c r="V93" s="1" t="n">
        <f aca="false">Transport!J93</f>
        <v>2862</v>
      </c>
      <c r="W93" s="1" t="n">
        <f aca="false">Transport!K93</f>
        <v>1685</v>
      </c>
      <c r="X93" s="1" t="n">
        <f aca="false">Transport!L93</f>
        <v>683</v>
      </c>
    </row>
    <row r="94" customFormat="false" ht="11.25" hidden="false" customHeight="false" outlineLevel="0" collapsed="false">
      <c r="A94" s="6" t="n">
        <f aca="false">+A93+365/12</f>
        <v>38456.0833333333</v>
      </c>
      <c r="B94" s="29" t="n">
        <f aca="false">C94-0.06</f>
        <v>2.83514581</v>
      </c>
      <c r="C94" s="29" t="n">
        <f aca="false">C82*1.01</f>
        <v>2.89514581</v>
      </c>
      <c r="D94" s="29" t="n">
        <f aca="false">C94-0.05</f>
        <v>2.84514581</v>
      </c>
      <c r="E94" s="29" t="n">
        <f aca="false">C94</f>
        <v>2.89514581</v>
      </c>
      <c r="F94" s="31" t="n">
        <f aca="false">+F93</f>
        <v>0.0275</v>
      </c>
      <c r="G94" s="38" t="n">
        <f aca="false">F94</f>
        <v>0.0275</v>
      </c>
      <c r="H94" s="1" t="n">
        <v>30</v>
      </c>
      <c r="I94" s="27" t="n">
        <v>-0.0732416930615427</v>
      </c>
      <c r="K94" s="28" t="n">
        <v>0.00599999999999978</v>
      </c>
      <c r="L94" s="32" t="n">
        <f aca="false">L93</f>
        <v>0.398086634579785</v>
      </c>
      <c r="M94" s="4" t="n">
        <f aca="false">M93</f>
        <v>0.7348</v>
      </c>
      <c r="N94" s="8" t="n">
        <f aca="false">L94</f>
        <v>0.398086634579785</v>
      </c>
      <c r="O94" s="1" t="n">
        <f aca="false">O93</f>
        <v>0.0477</v>
      </c>
      <c r="P94" s="1" t="n">
        <f aca="false">P93</f>
        <v>0.0307</v>
      </c>
      <c r="R94" s="1" t="n">
        <f aca="false">Transport!F94</f>
        <v>6933</v>
      </c>
      <c r="S94" s="1" t="n">
        <f aca="false">Transport!G94</f>
        <v>8798</v>
      </c>
      <c r="T94" s="1" t="n">
        <f aca="false">Transport!H94</f>
        <v>14269</v>
      </c>
      <c r="U94" s="1" t="n">
        <f aca="false">Transport!I94</f>
        <v>1880</v>
      </c>
      <c r="V94" s="1" t="n">
        <f aca="false">Transport!J94</f>
        <v>2073</v>
      </c>
      <c r="W94" s="1" t="n">
        <f aca="false">Transport!K94</f>
        <v>1258</v>
      </c>
      <c r="X94" s="1" t="n">
        <f aca="false">Transport!L94</f>
        <v>683</v>
      </c>
    </row>
    <row r="95" customFormat="false" ht="11.25" hidden="false" customHeight="false" outlineLevel="0" collapsed="false">
      <c r="A95" s="6" t="n">
        <f aca="false">+A94+365/12</f>
        <v>38486.5</v>
      </c>
      <c r="B95" s="29" t="n">
        <f aca="false">C95-0.06</f>
        <v>3.030903</v>
      </c>
      <c r="C95" s="29" t="n">
        <f aca="false">C83*1.01</f>
        <v>3.090903</v>
      </c>
      <c r="D95" s="29" t="n">
        <f aca="false">C95-0.05</f>
        <v>3.040903</v>
      </c>
      <c r="E95" s="29" t="n">
        <f aca="false">C95</f>
        <v>3.090903</v>
      </c>
      <c r="F95" s="31" t="n">
        <f aca="false">+F94</f>
        <v>0.0275</v>
      </c>
      <c r="G95" s="38" t="n">
        <f aca="false">F95</f>
        <v>0.0275</v>
      </c>
      <c r="H95" s="1" t="n">
        <v>31</v>
      </c>
      <c r="I95" s="27" t="n">
        <v>-0.0737143928250754</v>
      </c>
      <c r="K95" s="28" t="n">
        <v>0.00599999999999978</v>
      </c>
      <c r="L95" s="32" t="n">
        <f aca="false">L94</f>
        <v>0.398086634579785</v>
      </c>
      <c r="M95" s="4" t="n">
        <f aca="false">M94</f>
        <v>0.7348</v>
      </c>
      <c r="N95" s="8" t="n">
        <f aca="false">L95</f>
        <v>0.398086634579785</v>
      </c>
      <c r="O95" s="1" t="n">
        <f aca="false">O94</f>
        <v>0.0477</v>
      </c>
      <c r="P95" s="1" t="n">
        <f aca="false">P94</f>
        <v>0.0307</v>
      </c>
      <c r="R95" s="1" t="n">
        <f aca="false">Transport!F95</f>
        <v>8730</v>
      </c>
      <c r="S95" s="1" t="n">
        <f aca="false">Transport!G95</f>
        <v>10761</v>
      </c>
      <c r="T95" s="1" t="n">
        <f aca="false">Transport!H95</f>
        <v>15509</v>
      </c>
      <c r="U95" s="1" t="n">
        <f aca="false">Transport!I95</f>
        <v>1880</v>
      </c>
      <c r="V95" s="1" t="n">
        <f aca="false">Transport!J95</f>
        <v>2295</v>
      </c>
      <c r="W95" s="1" t="n">
        <f aca="false">Transport!K95</f>
        <v>1036</v>
      </c>
      <c r="X95" s="1" t="n">
        <f aca="false">Transport!L95</f>
        <v>683</v>
      </c>
    </row>
    <row r="96" customFormat="false" ht="11.25" hidden="false" customHeight="false" outlineLevel="0" collapsed="false">
      <c r="A96" s="6" t="n">
        <f aca="false">+A95+365/12</f>
        <v>38516.9166666667</v>
      </c>
      <c r="B96" s="29" t="n">
        <f aca="false">C96-0.06</f>
        <v>4.38059731</v>
      </c>
      <c r="C96" s="29" t="n">
        <f aca="false">C84*1.01</f>
        <v>4.44059731</v>
      </c>
      <c r="D96" s="29" t="n">
        <f aca="false">C96-0.05</f>
        <v>4.39059731</v>
      </c>
      <c r="E96" s="29" t="n">
        <f aca="false">C96</f>
        <v>4.44059731</v>
      </c>
      <c r="F96" s="31" t="n">
        <f aca="false">+F95</f>
        <v>0.0275</v>
      </c>
      <c r="G96" s="38" t="n">
        <f aca="false">F96</f>
        <v>0.0275</v>
      </c>
      <c r="H96" s="1" t="n">
        <v>30</v>
      </c>
      <c r="I96" s="27" t="n">
        <v>-0.0737137335287343</v>
      </c>
      <c r="K96" s="28" t="n">
        <v>0.00599999999999978</v>
      </c>
      <c r="L96" s="32" t="n">
        <f aca="false">L95</f>
        <v>0.398086634579785</v>
      </c>
      <c r="M96" s="4" t="n">
        <f aca="false">M95</f>
        <v>0.7348</v>
      </c>
      <c r="N96" s="8" t="n">
        <f aca="false">L96</f>
        <v>0.398086634579785</v>
      </c>
      <c r="O96" s="1" t="n">
        <f aca="false">O95</f>
        <v>0.0477</v>
      </c>
      <c r="P96" s="1" t="n">
        <f aca="false">P95</f>
        <v>0.0307</v>
      </c>
      <c r="R96" s="1" t="n">
        <f aca="false">Transport!F96</f>
        <v>8730</v>
      </c>
      <c r="S96" s="1" t="n">
        <f aca="false">Transport!G96</f>
        <v>10761</v>
      </c>
      <c r="T96" s="1" t="n">
        <f aca="false">Transport!H96</f>
        <v>15509</v>
      </c>
      <c r="U96" s="1" t="n">
        <f aca="false">Transport!I96</f>
        <v>1880</v>
      </c>
      <c r="V96" s="1" t="n">
        <f aca="false">Transport!J96</f>
        <v>2295</v>
      </c>
      <c r="W96" s="1" t="n">
        <f aca="false">Transport!K96</f>
        <v>1036</v>
      </c>
      <c r="X96" s="1" t="n">
        <f aca="false">Transport!L96</f>
        <v>683</v>
      </c>
    </row>
    <row r="97" customFormat="false" ht="11.25" hidden="false" customHeight="false" outlineLevel="0" collapsed="false">
      <c r="A97" s="6" t="n">
        <f aca="false">+A96+365/12</f>
        <v>38547.3333333333</v>
      </c>
      <c r="B97" s="29" t="n">
        <f aca="false">C97-0.06</f>
        <v>4.3702943</v>
      </c>
      <c r="C97" s="29" t="n">
        <f aca="false">C85*1.01</f>
        <v>4.4302943</v>
      </c>
      <c r="D97" s="29" t="n">
        <f aca="false">C97-0.05</f>
        <v>4.3802943</v>
      </c>
      <c r="E97" s="29" t="n">
        <f aca="false">C97</f>
        <v>4.4302943</v>
      </c>
      <c r="F97" s="31" t="n">
        <f aca="false">+F96</f>
        <v>0.0275</v>
      </c>
      <c r="G97" s="38" t="n">
        <f aca="false">F97</f>
        <v>0.0275</v>
      </c>
      <c r="H97" s="1" t="n">
        <v>31</v>
      </c>
      <c r="I97" s="27" t="n">
        <v>-0.0782133379509298</v>
      </c>
      <c r="K97" s="28" t="n">
        <v>0.00949999999999984</v>
      </c>
      <c r="L97" s="32" t="n">
        <f aca="false">L96</f>
        <v>0.398086634579785</v>
      </c>
      <c r="M97" s="4" t="n">
        <f aca="false">M96</f>
        <v>0.7348</v>
      </c>
      <c r="N97" s="8" t="n">
        <f aca="false">L97</f>
        <v>0.398086634579785</v>
      </c>
      <c r="O97" s="1" t="n">
        <f aca="false">O96</f>
        <v>0.0477</v>
      </c>
      <c r="P97" s="1" t="n">
        <f aca="false">P96</f>
        <v>0.0307</v>
      </c>
      <c r="R97" s="1" t="n">
        <f aca="false">Transport!F97</f>
        <v>8730</v>
      </c>
      <c r="S97" s="1" t="n">
        <f aca="false">Transport!G97</f>
        <v>10761</v>
      </c>
      <c r="T97" s="1" t="n">
        <f aca="false">Transport!H97</f>
        <v>15509</v>
      </c>
      <c r="U97" s="1" t="n">
        <f aca="false">Transport!I97</f>
        <v>1880</v>
      </c>
      <c r="V97" s="1" t="n">
        <f aca="false">Transport!J97</f>
        <v>2295</v>
      </c>
      <c r="W97" s="1" t="n">
        <f aca="false">Transport!K97</f>
        <v>1036</v>
      </c>
      <c r="X97" s="1" t="n">
        <f aca="false">Transport!L97</f>
        <v>683</v>
      </c>
    </row>
    <row r="98" customFormat="false" ht="11.25" hidden="false" customHeight="false" outlineLevel="0" collapsed="false">
      <c r="A98" s="6" t="n">
        <f aca="false">+A97+365/12</f>
        <v>38577.75</v>
      </c>
      <c r="B98" s="29" t="n">
        <f aca="false">C98-0.06</f>
        <v>3.81393176</v>
      </c>
      <c r="C98" s="29" t="n">
        <f aca="false">C86*1.01</f>
        <v>3.87393176</v>
      </c>
      <c r="D98" s="29" t="n">
        <f aca="false">C98-0.05</f>
        <v>3.82393176</v>
      </c>
      <c r="E98" s="29" t="n">
        <f aca="false">C98</f>
        <v>3.87393176</v>
      </c>
      <c r="F98" s="31" t="n">
        <f aca="false">+F97</f>
        <v>0.0275</v>
      </c>
      <c r="G98" s="38" t="n">
        <f aca="false">F98</f>
        <v>0.0275</v>
      </c>
      <c r="H98" s="1" t="n">
        <v>31</v>
      </c>
      <c r="I98" s="27" t="n">
        <v>-0.0782125467953203</v>
      </c>
      <c r="K98" s="28" t="n">
        <v>0.00949999999999962</v>
      </c>
      <c r="L98" s="32" t="n">
        <f aca="false">L97</f>
        <v>0.398086634579785</v>
      </c>
      <c r="M98" s="4" t="n">
        <f aca="false">M97</f>
        <v>0.7348</v>
      </c>
      <c r="N98" s="8" t="n">
        <f aca="false">L98</f>
        <v>0.398086634579785</v>
      </c>
      <c r="O98" s="1" t="n">
        <f aca="false">O97</f>
        <v>0.0477</v>
      </c>
      <c r="P98" s="1" t="n">
        <f aca="false">P97</f>
        <v>0.0307</v>
      </c>
      <c r="R98" s="1" t="n">
        <f aca="false">Transport!F98</f>
        <v>8730</v>
      </c>
      <c r="S98" s="1" t="n">
        <f aca="false">Transport!G98</f>
        <v>10761</v>
      </c>
      <c r="T98" s="1" t="n">
        <f aca="false">Transport!H98</f>
        <v>15509</v>
      </c>
      <c r="U98" s="1" t="n">
        <f aca="false">Transport!I98</f>
        <v>1880</v>
      </c>
      <c r="V98" s="1" t="n">
        <f aca="false">Transport!J98</f>
        <v>2295</v>
      </c>
      <c r="W98" s="1" t="n">
        <f aca="false">Transport!K98</f>
        <v>1036</v>
      </c>
      <c r="X98" s="1" t="n">
        <f aca="false">Transport!L98</f>
        <v>683</v>
      </c>
    </row>
    <row r="99" customFormat="false" ht="11.25" hidden="false" customHeight="false" outlineLevel="0" collapsed="false">
      <c r="A99" s="6" t="n">
        <f aca="false">+A98+365/12</f>
        <v>38608.1666666667</v>
      </c>
      <c r="B99" s="29" t="n">
        <f aca="false">C99-0.06</f>
        <v>4.60726353</v>
      </c>
      <c r="C99" s="29" t="n">
        <f aca="false">C87*1.01</f>
        <v>4.66726353</v>
      </c>
      <c r="D99" s="29" t="n">
        <f aca="false">C99-0.05</f>
        <v>4.61726353</v>
      </c>
      <c r="E99" s="29" t="n">
        <f aca="false">C99</f>
        <v>4.66726353</v>
      </c>
      <c r="F99" s="31" t="n">
        <f aca="false">+F98</f>
        <v>0.0275</v>
      </c>
      <c r="G99" s="38" t="n">
        <f aca="false">F99</f>
        <v>0.0275</v>
      </c>
      <c r="H99" s="1" t="n">
        <v>30</v>
      </c>
      <c r="I99" s="27" t="n">
        <v>-0.0782112282026382</v>
      </c>
      <c r="K99" s="28" t="n">
        <v>0.00949999999999962</v>
      </c>
      <c r="L99" s="32" t="n">
        <f aca="false">L98</f>
        <v>0.398086634579785</v>
      </c>
      <c r="M99" s="4" t="n">
        <f aca="false">M98</f>
        <v>0.7348</v>
      </c>
      <c r="N99" s="8" t="n">
        <f aca="false">L99</f>
        <v>0.398086634579785</v>
      </c>
      <c r="O99" s="1" t="n">
        <f aca="false">O98</f>
        <v>0.0477</v>
      </c>
      <c r="P99" s="1" t="n">
        <f aca="false">P98</f>
        <v>0.0307</v>
      </c>
      <c r="R99" s="1" t="n">
        <f aca="false">Transport!F99</f>
        <v>8730</v>
      </c>
      <c r="S99" s="1" t="n">
        <f aca="false">Transport!G99</f>
        <v>10761</v>
      </c>
      <c r="T99" s="1" t="n">
        <f aca="false">Transport!H99</f>
        <v>15509</v>
      </c>
      <c r="U99" s="1" t="n">
        <f aca="false">Transport!I99</f>
        <v>1880</v>
      </c>
      <c r="V99" s="1" t="n">
        <f aca="false">Transport!J99</f>
        <v>2295</v>
      </c>
      <c r="W99" s="1" t="n">
        <f aca="false">Transport!K99</f>
        <v>1036</v>
      </c>
      <c r="X99" s="1" t="n">
        <f aca="false">Transport!L99</f>
        <v>683</v>
      </c>
    </row>
    <row r="100" customFormat="false" ht="11.25" hidden="false" customHeight="false" outlineLevel="0" collapsed="false">
      <c r="A100" s="6" t="n">
        <f aca="false">+A99+365/12</f>
        <v>38638.5833333333</v>
      </c>
      <c r="B100" s="29" t="n">
        <f aca="false">C100-0.06</f>
        <v>5.30786821</v>
      </c>
      <c r="C100" s="29" t="n">
        <f aca="false">C88*1.01</f>
        <v>5.36786821</v>
      </c>
      <c r="D100" s="29" t="n">
        <f aca="false">C100-0.05</f>
        <v>5.31786821</v>
      </c>
      <c r="E100" s="29" t="n">
        <f aca="false">C100</f>
        <v>5.36786821</v>
      </c>
      <c r="F100" s="31" t="n">
        <f aca="false">+F99</f>
        <v>0.0275</v>
      </c>
      <c r="G100" s="38" t="n">
        <f aca="false">F100</f>
        <v>0.0275</v>
      </c>
      <c r="H100" s="1" t="n">
        <v>31</v>
      </c>
      <c r="I100" s="27" t="n">
        <v>-0.0827319711777164</v>
      </c>
      <c r="K100" s="28" t="n">
        <v>0.0145</v>
      </c>
      <c r="L100" s="32" t="n">
        <f aca="false">L99</f>
        <v>0.398086634579785</v>
      </c>
      <c r="M100" s="4" t="n">
        <f aca="false">M99</f>
        <v>0.7348</v>
      </c>
      <c r="N100" s="8" t="n">
        <f aca="false">L100</f>
        <v>0.398086634579785</v>
      </c>
      <c r="O100" s="1" t="n">
        <f aca="false">O99</f>
        <v>0.0477</v>
      </c>
      <c r="P100" s="1" t="n">
        <f aca="false">P99</f>
        <v>0.0307</v>
      </c>
      <c r="R100" s="1" t="n">
        <f aca="false">Transport!F100</f>
        <v>8730</v>
      </c>
      <c r="S100" s="1" t="n">
        <f aca="false">Transport!G100</f>
        <v>10361</v>
      </c>
      <c r="T100" s="1" t="n">
        <f aca="false">Transport!H100</f>
        <v>15909</v>
      </c>
      <c r="U100" s="1" t="n">
        <f aca="false">Transport!I100</f>
        <v>2830</v>
      </c>
      <c r="V100" s="1" t="n">
        <f aca="false">Transport!J100</f>
        <v>3500</v>
      </c>
      <c r="W100" s="1" t="n">
        <f aca="false">Transport!K100</f>
        <v>1521</v>
      </c>
      <c r="X100" s="1" t="n">
        <f aca="false">Transport!L100</f>
        <v>1001</v>
      </c>
    </row>
    <row r="101" customFormat="false" ht="11.25" hidden="false" customHeight="false" outlineLevel="0" collapsed="false">
      <c r="A101" s="6" t="n">
        <f aca="false">+A100+365/12</f>
        <v>38669</v>
      </c>
      <c r="B101" s="29" t="n">
        <f aca="false">C101-0.06</f>
        <v>3.52544748</v>
      </c>
      <c r="C101" s="29" t="n">
        <f aca="false">C89*1.01</f>
        <v>3.58544748</v>
      </c>
      <c r="D101" s="29" t="n">
        <f aca="false">C101-0.05</f>
        <v>3.53544748</v>
      </c>
      <c r="E101" s="29" t="n">
        <f aca="false">C101</f>
        <v>3.58544748</v>
      </c>
      <c r="F101" s="31" t="n">
        <f aca="false">+F100</f>
        <v>0.0275</v>
      </c>
      <c r="G101" s="38" t="n">
        <f aca="false">F101</f>
        <v>0.0275</v>
      </c>
      <c r="H101" s="1" t="n">
        <v>30</v>
      </c>
      <c r="I101" s="27" t="n">
        <v>-0.127704194366784</v>
      </c>
      <c r="K101" s="28" t="n">
        <v>0.0194999999999999</v>
      </c>
      <c r="L101" s="32" t="n">
        <f aca="false">L100</f>
        <v>0.398086634579785</v>
      </c>
      <c r="M101" s="4" t="n">
        <f aca="false">M100</f>
        <v>0.7348</v>
      </c>
      <c r="N101" s="8" t="n">
        <f aca="false">L101</f>
        <v>0.398086634579785</v>
      </c>
      <c r="O101" s="1" t="n">
        <f aca="false">O100</f>
        <v>0.0477</v>
      </c>
      <c r="P101" s="1" t="n">
        <f aca="false">P100</f>
        <v>0.0307</v>
      </c>
      <c r="R101" s="1" t="n">
        <f aca="false">Transport!F101</f>
        <v>4926</v>
      </c>
      <c r="S101" s="1" t="n">
        <f aca="false">Transport!G101</f>
        <v>5732</v>
      </c>
      <c r="T101" s="1" t="n">
        <f aca="false">Transport!H101</f>
        <v>9342</v>
      </c>
      <c r="U101" s="1" t="n">
        <f aca="false">Transport!I101</f>
        <v>2563</v>
      </c>
      <c r="V101" s="1" t="n">
        <f aca="false">Transport!J101</f>
        <v>2862</v>
      </c>
      <c r="W101" s="1" t="n">
        <f aca="false">Transport!K101</f>
        <v>1685</v>
      </c>
      <c r="X101" s="1" t="n">
        <f aca="false">Transport!L101</f>
        <v>683</v>
      </c>
    </row>
    <row r="102" customFormat="false" ht="11.25" hidden="false" customHeight="false" outlineLevel="0" collapsed="false">
      <c r="A102" s="6" t="n">
        <f aca="false">+A101+365/12</f>
        <v>38699.4166666667</v>
      </c>
      <c r="B102" s="29" t="n">
        <f aca="false">C102-0.06</f>
        <v>2.6187826</v>
      </c>
      <c r="C102" s="29" t="n">
        <f aca="false">C90*1.01</f>
        <v>2.6787826</v>
      </c>
      <c r="D102" s="29" t="n">
        <f aca="false">C102-0.05</f>
        <v>2.6287826</v>
      </c>
      <c r="E102" s="29" t="n">
        <f aca="false">C102</f>
        <v>2.6787826</v>
      </c>
      <c r="F102" s="31" t="n">
        <f aca="false">+F101</f>
        <v>0.0275</v>
      </c>
      <c r="G102" s="38" t="n">
        <f aca="false">F102</f>
        <v>0.0275</v>
      </c>
      <c r="H102" s="1" t="n">
        <v>31</v>
      </c>
      <c r="I102" s="27" t="n">
        <v>-0.162666695672025</v>
      </c>
      <c r="K102" s="28" t="n">
        <v>0.0245000000000002</v>
      </c>
      <c r="L102" s="32" t="n">
        <f aca="false">L101</f>
        <v>0.398086634579785</v>
      </c>
      <c r="M102" s="4" t="n">
        <f aca="false">M101</f>
        <v>0.7348</v>
      </c>
      <c r="N102" s="8" t="n">
        <f aca="false">L102</f>
        <v>0.398086634579785</v>
      </c>
      <c r="O102" s="1" t="n">
        <f aca="false">O101</f>
        <v>0.0477</v>
      </c>
      <c r="P102" s="1" t="n">
        <f aca="false">P101</f>
        <v>0.0307</v>
      </c>
      <c r="R102" s="1" t="n">
        <f aca="false">Transport!F102</f>
        <v>4926</v>
      </c>
      <c r="S102" s="1" t="n">
        <f aca="false">Transport!G102</f>
        <v>5732</v>
      </c>
      <c r="T102" s="1" t="n">
        <f aca="false">Transport!H102</f>
        <v>9342</v>
      </c>
      <c r="U102" s="1" t="n">
        <f aca="false">Transport!I102</f>
        <v>2563</v>
      </c>
      <c r="V102" s="1" t="n">
        <f aca="false">Transport!J102</f>
        <v>2862</v>
      </c>
      <c r="W102" s="1" t="n">
        <f aca="false">Transport!K102</f>
        <v>1685</v>
      </c>
      <c r="X102" s="1" t="n">
        <f aca="false">Transport!L102</f>
        <v>683</v>
      </c>
    </row>
    <row r="103" customFormat="false" ht="11.25" hidden="false" customHeight="false" outlineLevel="0" collapsed="false">
      <c r="A103" s="41" t="n">
        <f aca="false">+A102+365/12</f>
        <v>38729.8333333333</v>
      </c>
      <c r="B103" s="42" t="n">
        <f aca="false">C103-0.06</f>
        <v>2.3021711027</v>
      </c>
      <c r="C103" s="42" t="n">
        <f aca="false">C91*1.01</f>
        <v>2.3621711027</v>
      </c>
      <c r="D103" s="42" t="n">
        <f aca="false">C103-0.05</f>
        <v>2.3121711027</v>
      </c>
      <c r="E103" s="42" t="n">
        <f aca="false">C103</f>
        <v>2.3621711027</v>
      </c>
      <c r="F103" s="43" t="n">
        <f aca="false">+F102</f>
        <v>0.0275</v>
      </c>
      <c r="G103" s="44" t="n">
        <f aca="false">F103</f>
        <v>0.0275</v>
      </c>
      <c r="H103" s="45" t="n">
        <v>31</v>
      </c>
      <c r="I103" s="46" t="n">
        <v>-0.147634405129316</v>
      </c>
      <c r="J103" s="45"/>
      <c r="K103" s="47" t="n">
        <v>0.0245000000000002</v>
      </c>
      <c r="L103" s="48" t="n">
        <f aca="false">('[1]062'!$Q$56*1000)/('[1]062'!$Q$50*[1]Assumptions!$Q$9)</f>
        <v>0.398086634579785</v>
      </c>
      <c r="M103" s="49" t="n">
        <f aca="false">M102</f>
        <v>0.7348</v>
      </c>
      <c r="N103" s="50" t="n">
        <f aca="false">L103</f>
        <v>0.398086634579785</v>
      </c>
      <c r="O103" s="45" t="n">
        <f aca="false">O102</f>
        <v>0.0477</v>
      </c>
      <c r="P103" s="45" t="n">
        <f aca="false">P102</f>
        <v>0.0307</v>
      </c>
      <c r="Q103" s="45"/>
      <c r="R103" s="45" t="n">
        <f aca="false">Transport!F103</f>
        <v>4926</v>
      </c>
      <c r="S103" s="45" t="n">
        <f aca="false">Transport!G103</f>
        <v>5732</v>
      </c>
      <c r="T103" s="45" t="n">
        <f aca="false">Transport!H103</f>
        <v>9342</v>
      </c>
      <c r="U103" s="45" t="n">
        <f aca="false">Transport!I103</f>
        <v>2563</v>
      </c>
      <c r="V103" s="45" t="n">
        <f aca="false">Transport!J103</f>
        <v>2862</v>
      </c>
      <c r="W103" s="45" t="n">
        <f aca="false">Transport!K103</f>
        <v>1685</v>
      </c>
      <c r="X103" s="45" t="n">
        <f aca="false">Transport!L103</f>
        <v>683</v>
      </c>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c r="FH103" s="45"/>
      <c r="FI103" s="45"/>
      <c r="FJ103" s="45"/>
      <c r="FK103" s="45"/>
      <c r="FL103" s="45"/>
      <c r="FM103" s="45"/>
      <c r="FN103" s="45"/>
      <c r="FO103" s="45"/>
      <c r="FP103" s="45"/>
      <c r="FQ103" s="45"/>
      <c r="FR103" s="45"/>
      <c r="FS103" s="45"/>
      <c r="FT103" s="45"/>
      <c r="FU103" s="45"/>
      <c r="FV103" s="45"/>
      <c r="FW103" s="45"/>
      <c r="FX103" s="45"/>
      <c r="FY103" s="45"/>
      <c r="FZ103" s="45"/>
      <c r="GA103" s="45"/>
      <c r="GB103" s="45"/>
      <c r="GC103" s="45"/>
      <c r="GD103" s="45"/>
      <c r="GE103" s="45"/>
      <c r="GF103" s="45"/>
      <c r="GG103" s="45"/>
      <c r="GH103" s="45"/>
      <c r="GI103" s="45"/>
      <c r="GJ103" s="45"/>
      <c r="GK103" s="45"/>
      <c r="GL103" s="45"/>
      <c r="GM103" s="45"/>
      <c r="GN103" s="45"/>
      <c r="GO103" s="45"/>
      <c r="GP103" s="45"/>
      <c r="GQ103" s="45"/>
      <c r="GR103" s="45"/>
      <c r="GS103" s="45"/>
      <c r="GT103" s="45"/>
      <c r="GU103" s="45"/>
      <c r="GV103" s="45"/>
      <c r="GW103" s="45"/>
      <c r="GX103" s="45"/>
      <c r="GY103" s="45"/>
      <c r="GZ103" s="45"/>
      <c r="HA103" s="45"/>
      <c r="HB103" s="45"/>
      <c r="HC103" s="45"/>
      <c r="HD103" s="45"/>
      <c r="HE103" s="45"/>
      <c r="HF103" s="45"/>
      <c r="HG103" s="45"/>
      <c r="HH103" s="45"/>
      <c r="HI103" s="45"/>
      <c r="HJ103" s="45"/>
      <c r="HK103" s="45"/>
      <c r="HL103" s="45"/>
      <c r="HM103" s="45"/>
      <c r="HN103" s="45"/>
      <c r="HO103" s="45"/>
      <c r="HP103" s="45"/>
      <c r="HQ103" s="45"/>
      <c r="HR103" s="45"/>
      <c r="HS103" s="45"/>
      <c r="HT103" s="45"/>
      <c r="HU103" s="45"/>
      <c r="HV103" s="45"/>
      <c r="HW103" s="45"/>
      <c r="HX103" s="45"/>
      <c r="HY103" s="45"/>
      <c r="HZ103" s="45"/>
      <c r="IA103" s="45"/>
      <c r="IB103" s="45"/>
      <c r="IC103" s="45"/>
      <c r="ID103" s="45"/>
      <c r="IE103" s="45"/>
      <c r="IF103" s="45"/>
      <c r="IG103" s="45"/>
      <c r="IH103" s="45"/>
      <c r="II103" s="45"/>
      <c r="IJ103" s="45"/>
      <c r="IK103" s="45"/>
      <c r="IL103" s="45"/>
      <c r="IM103" s="45"/>
      <c r="IN103" s="45"/>
      <c r="IO103" s="45"/>
      <c r="IP103" s="45"/>
      <c r="IQ103" s="45"/>
      <c r="IR103" s="45"/>
      <c r="IS103" s="45"/>
      <c r="IT103" s="45"/>
      <c r="IU103" s="45"/>
      <c r="IV103" s="45"/>
      <c r="IW103" s="45"/>
    </row>
    <row r="104" customFormat="false" ht="11.25" hidden="false" customHeight="false" outlineLevel="0" collapsed="false">
      <c r="A104" s="6" t="n">
        <f aca="false">+A103+365/12</f>
        <v>38760.25</v>
      </c>
      <c r="B104" s="29" t="n">
        <f aca="false">C104-0.06</f>
        <v>2.5831341854</v>
      </c>
      <c r="C104" s="29" t="n">
        <f aca="false">C92*1.01</f>
        <v>2.6431341854</v>
      </c>
      <c r="D104" s="29" t="n">
        <f aca="false">C104-0.05</f>
        <v>2.5931341854</v>
      </c>
      <c r="E104" s="29" t="n">
        <f aca="false">C104</f>
        <v>2.6431341854</v>
      </c>
      <c r="F104" s="31" t="n">
        <f aca="false">+F103</f>
        <v>0.0275</v>
      </c>
      <c r="G104" s="38" t="n">
        <f aca="false">F104</f>
        <v>0.0275</v>
      </c>
      <c r="H104" s="1" t="n">
        <v>28</v>
      </c>
      <c r="I104" s="27" t="n">
        <v>-0.147662181940249</v>
      </c>
      <c r="K104" s="28" t="n">
        <v>0.0245000000000002</v>
      </c>
      <c r="L104" s="32" t="n">
        <f aca="false">L103</f>
        <v>0.398086634579785</v>
      </c>
      <c r="M104" s="4" t="n">
        <f aca="false">M103</f>
        <v>0.7348</v>
      </c>
      <c r="N104" s="8" t="n">
        <f aca="false">L104</f>
        <v>0.398086634579785</v>
      </c>
      <c r="O104" s="1" t="n">
        <f aca="false">O103</f>
        <v>0.0477</v>
      </c>
      <c r="P104" s="1" t="n">
        <f aca="false">P103</f>
        <v>0.0307</v>
      </c>
      <c r="R104" s="1" t="n">
        <f aca="false">Transport!F104</f>
        <v>4926</v>
      </c>
      <c r="S104" s="1" t="n">
        <f aca="false">Transport!G104</f>
        <v>5732</v>
      </c>
      <c r="T104" s="1" t="n">
        <f aca="false">Transport!H104</f>
        <v>9342</v>
      </c>
      <c r="U104" s="1" t="n">
        <f aca="false">Transport!I104</f>
        <v>2563</v>
      </c>
      <c r="V104" s="1" t="n">
        <f aca="false">Transport!J104</f>
        <v>2862</v>
      </c>
      <c r="W104" s="1" t="n">
        <f aca="false">Transport!K104</f>
        <v>1685</v>
      </c>
      <c r="X104" s="1" t="n">
        <f aca="false">Transport!L104</f>
        <v>683</v>
      </c>
    </row>
    <row r="105" customFormat="false" ht="11.25" hidden="false" customHeight="false" outlineLevel="0" collapsed="false">
      <c r="A105" s="6" t="n">
        <f aca="false">+A104+365/12</f>
        <v>38790.6666666667</v>
      </c>
      <c r="B105" s="29" t="n">
        <f aca="false">C105-0.06</f>
        <v>2.5831341854</v>
      </c>
      <c r="C105" s="29" t="n">
        <f aca="false">C93*1.01</f>
        <v>2.6431341854</v>
      </c>
      <c r="D105" s="29" t="n">
        <f aca="false">C105-0.05</f>
        <v>2.5931341854</v>
      </c>
      <c r="E105" s="29" t="n">
        <f aca="false">C105</f>
        <v>2.6431341854</v>
      </c>
      <c r="F105" s="31" t="n">
        <f aca="false">+F104</f>
        <v>0.0275</v>
      </c>
      <c r="G105" s="38" t="n">
        <f aca="false">F105</f>
        <v>0.0275</v>
      </c>
      <c r="H105" s="1" t="n">
        <v>31</v>
      </c>
      <c r="I105" s="27" t="n">
        <v>-0.122697944584324</v>
      </c>
      <c r="K105" s="28" t="n">
        <v>0.0195000000000003</v>
      </c>
      <c r="L105" s="32" t="n">
        <f aca="false">L104</f>
        <v>0.398086634579785</v>
      </c>
      <c r="M105" s="4" t="n">
        <f aca="false">M104</f>
        <v>0.7348</v>
      </c>
      <c r="N105" s="8" t="n">
        <f aca="false">L105</f>
        <v>0.398086634579785</v>
      </c>
      <c r="O105" s="1" t="n">
        <f aca="false">O104</f>
        <v>0.0477</v>
      </c>
      <c r="P105" s="1" t="n">
        <f aca="false">P104</f>
        <v>0.0307</v>
      </c>
      <c r="R105" s="1" t="n">
        <f aca="false">Transport!F105</f>
        <v>4926</v>
      </c>
      <c r="S105" s="1" t="n">
        <f aca="false">Transport!G105</f>
        <v>5732</v>
      </c>
      <c r="T105" s="1" t="n">
        <f aca="false">Transport!H105</f>
        <v>9342</v>
      </c>
      <c r="U105" s="1" t="n">
        <f aca="false">Transport!I105</f>
        <v>2563</v>
      </c>
      <c r="V105" s="1" t="n">
        <f aca="false">Transport!J105</f>
        <v>2862</v>
      </c>
      <c r="W105" s="1" t="n">
        <f aca="false">Transport!K105</f>
        <v>1685</v>
      </c>
      <c r="X105" s="1" t="n">
        <f aca="false">Transport!L105</f>
        <v>683</v>
      </c>
    </row>
    <row r="106" customFormat="false" ht="11.25" hidden="false" customHeight="false" outlineLevel="0" collapsed="false">
      <c r="A106" s="6" t="n">
        <f aca="false">+A105+365/12</f>
        <v>38821.0833333333</v>
      </c>
      <c r="B106" s="29" t="n">
        <f aca="false">C106-0.06</f>
        <v>2.8640972681</v>
      </c>
      <c r="C106" s="29" t="n">
        <f aca="false">C94*1.01</f>
        <v>2.9240972681</v>
      </c>
      <c r="D106" s="29" t="n">
        <f aca="false">C106-0.05</f>
        <v>2.8740972681</v>
      </c>
      <c r="E106" s="29" t="n">
        <f aca="false">C106</f>
        <v>2.9240972681</v>
      </c>
      <c r="F106" s="31" t="n">
        <f aca="false">+F105</f>
        <v>0.0275</v>
      </c>
      <c r="G106" s="38" t="n">
        <f aca="false">F106</f>
        <v>0.0275</v>
      </c>
      <c r="H106" s="1" t="n">
        <v>30</v>
      </c>
      <c r="I106" s="27" t="n">
        <v>-0.07321495788102</v>
      </c>
      <c r="K106" s="28" t="n">
        <v>0.00599999999999978</v>
      </c>
      <c r="L106" s="32" t="n">
        <f aca="false">L105</f>
        <v>0.398086634579785</v>
      </c>
      <c r="M106" s="4" t="n">
        <f aca="false">M105</f>
        <v>0.7348</v>
      </c>
      <c r="N106" s="8" t="n">
        <f aca="false">L106</f>
        <v>0.398086634579785</v>
      </c>
      <c r="O106" s="1" t="n">
        <f aca="false">O105</f>
        <v>0.0477</v>
      </c>
      <c r="P106" s="1" t="n">
        <f aca="false">P105</f>
        <v>0.0307</v>
      </c>
      <c r="R106" s="1" t="n">
        <f aca="false">Transport!F106</f>
        <v>6933</v>
      </c>
      <c r="S106" s="1" t="n">
        <f aca="false">Transport!G106</f>
        <v>8798</v>
      </c>
      <c r="T106" s="1" t="n">
        <f aca="false">Transport!H106</f>
        <v>14269</v>
      </c>
      <c r="U106" s="1" t="n">
        <f aca="false">Transport!I106</f>
        <v>1880</v>
      </c>
      <c r="V106" s="1" t="n">
        <f aca="false">Transport!J106</f>
        <v>2073</v>
      </c>
      <c r="W106" s="1" t="n">
        <f aca="false">Transport!K106</f>
        <v>1258</v>
      </c>
      <c r="X106" s="1" t="n">
        <f aca="false">Transport!L106</f>
        <v>683</v>
      </c>
    </row>
    <row r="107" customFormat="false" ht="11.25" hidden="false" customHeight="false" outlineLevel="0" collapsed="false">
      <c r="A107" s="6" t="n">
        <f aca="false">+A106+365/12</f>
        <v>38851.5</v>
      </c>
      <c r="B107" s="29" t="n">
        <f aca="false">C107-0.06</f>
        <v>3.06181203</v>
      </c>
      <c r="C107" s="29" t="n">
        <f aca="false">C95*1.01</f>
        <v>3.12181203</v>
      </c>
      <c r="D107" s="29" t="n">
        <f aca="false">C107-0.05</f>
        <v>3.07181203</v>
      </c>
      <c r="E107" s="29" t="n">
        <f aca="false">C107</f>
        <v>3.12181203</v>
      </c>
      <c r="F107" s="31" t="n">
        <f aca="false">+F106</f>
        <v>0.0275</v>
      </c>
      <c r="G107" s="38" t="n">
        <f aca="false">F107</f>
        <v>0.0275</v>
      </c>
      <c r="H107" s="1" t="n">
        <v>31</v>
      </c>
      <c r="I107" s="27" t="n">
        <v>-0.0754152494560763</v>
      </c>
      <c r="K107" s="28" t="n">
        <v>0.00599999999999978</v>
      </c>
      <c r="L107" s="32" t="n">
        <f aca="false">L106</f>
        <v>0.398086634579785</v>
      </c>
      <c r="M107" s="4" t="n">
        <f aca="false">M106</f>
        <v>0.7348</v>
      </c>
      <c r="N107" s="8" t="n">
        <f aca="false">L107</f>
        <v>0.398086634579785</v>
      </c>
      <c r="O107" s="1" t="n">
        <f aca="false">O106</f>
        <v>0.0477</v>
      </c>
      <c r="P107" s="1" t="n">
        <f aca="false">P106</f>
        <v>0.0307</v>
      </c>
      <c r="R107" s="1" t="n">
        <f aca="false">Transport!F107</f>
        <v>8730</v>
      </c>
      <c r="S107" s="1" t="n">
        <f aca="false">Transport!G107</f>
        <v>10761</v>
      </c>
      <c r="T107" s="1" t="n">
        <f aca="false">Transport!H107</f>
        <v>15509</v>
      </c>
      <c r="U107" s="1" t="n">
        <f aca="false">Transport!I107</f>
        <v>1880</v>
      </c>
      <c r="V107" s="1" t="n">
        <f aca="false">Transport!J107</f>
        <v>2295</v>
      </c>
      <c r="W107" s="1" t="n">
        <f aca="false">Transport!K107</f>
        <v>1036</v>
      </c>
      <c r="X107" s="1" t="n">
        <f aca="false">Transport!L107</f>
        <v>683</v>
      </c>
    </row>
    <row r="108" customFormat="false" ht="11.25" hidden="false" customHeight="false" outlineLevel="0" collapsed="false">
      <c r="A108" s="6" t="n">
        <f aca="false">+A107+365/12</f>
        <v>38881.9166666667</v>
      </c>
      <c r="B108" s="29" t="n">
        <f aca="false">C108-0.06</f>
        <v>4.4250032831</v>
      </c>
      <c r="C108" s="29" t="n">
        <f aca="false">C96*1.01</f>
        <v>4.4850032831</v>
      </c>
      <c r="D108" s="29" t="n">
        <f aca="false">C108-0.05</f>
        <v>4.4350032831</v>
      </c>
      <c r="E108" s="29" t="n">
        <f aca="false">C108</f>
        <v>4.4850032831</v>
      </c>
      <c r="F108" s="31" t="n">
        <f aca="false">+F107</f>
        <v>0.0275</v>
      </c>
      <c r="G108" s="38" t="n">
        <f aca="false">F108</f>
        <v>0.0275</v>
      </c>
      <c r="H108" s="1" t="n">
        <v>30</v>
      </c>
      <c r="I108" s="27" t="n">
        <v>-0.0754184042698438</v>
      </c>
      <c r="K108" s="28" t="n">
        <v>0.00599999999999978</v>
      </c>
      <c r="L108" s="32" t="n">
        <f aca="false">L107</f>
        <v>0.398086634579785</v>
      </c>
      <c r="M108" s="4" t="n">
        <f aca="false">M107</f>
        <v>0.7348</v>
      </c>
      <c r="N108" s="8" t="n">
        <f aca="false">L108</f>
        <v>0.398086634579785</v>
      </c>
      <c r="O108" s="1" t="n">
        <f aca="false">O107</f>
        <v>0.0477</v>
      </c>
      <c r="P108" s="1" t="n">
        <f aca="false">P107</f>
        <v>0.0307</v>
      </c>
      <c r="R108" s="1" t="n">
        <f aca="false">Transport!F108</f>
        <v>8730</v>
      </c>
      <c r="S108" s="1" t="n">
        <f aca="false">Transport!G108</f>
        <v>10761</v>
      </c>
      <c r="T108" s="1" t="n">
        <f aca="false">Transport!H108</f>
        <v>15509</v>
      </c>
      <c r="U108" s="1" t="n">
        <f aca="false">Transport!I108</f>
        <v>1880</v>
      </c>
      <c r="V108" s="1" t="n">
        <f aca="false">Transport!J108</f>
        <v>2295</v>
      </c>
      <c r="W108" s="1" t="n">
        <f aca="false">Transport!K108</f>
        <v>1036</v>
      </c>
      <c r="X108" s="1" t="n">
        <f aca="false">Transport!L108</f>
        <v>683</v>
      </c>
    </row>
    <row r="109" customFormat="false" ht="11.25" hidden="false" customHeight="false" outlineLevel="0" collapsed="false">
      <c r="A109" s="6" t="n">
        <f aca="false">+A108+365/12</f>
        <v>38912.3333333333</v>
      </c>
      <c r="B109" s="29" t="n">
        <f aca="false">C109-0.06</f>
        <v>4.414597243</v>
      </c>
      <c r="C109" s="29" t="n">
        <f aca="false">C97*1.01</f>
        <v>4.474597243</v>
      </c>
      <c r="D109" s="29" t="n">
        <f aca="false">C109-0.05</f>
        <v>4.424597243</v>
      </c>
      <c r="E109" s="29" t="n">
        <f aca="false">C109</f>
        <v>4.474597243</v>
      </c>
      <c r="F109" s="31" t="n">
        <f aca="false">+F108</f>
        <v>0.0275</v>
      </c>
      <c r="G109" s="38" t="n">
        <f aca="false">F109</f>
        <v>0.0275</v>
      </c>
      <c r="H109" s="1" t="n">
        <v>31</v>
      </c>
      <c r="I109" s="27" t="n">
        <v>-0.0799202971581043</v>
      </c>
      <c r="K109" s="28" t="n">
        <v>0.00949999999999984</v>
      </c>
      <c r="L109" s="32" t="n">
        <f aca="false">L108</f>
        <v>0.398086634579785</v>
      </c>
      <c r="M109" s="4" t="n">
        <f aca="false">M108</f>
        <v>0.7348</v>
      </c>
      <c r="N109" s="8" t="n">
        <f aca="false">L109</f>
        <v>0.398086634579785</v>
      </c>
      <c r="O109" s="1" t="n">
        <f aca="false">O108</f>
        <v>0.0477</v>
      </c>
      <c r="P109" s="1" t="n">
        <f aca="false">P108</f>
        <v>0.0307</v>
      </c>
      <c r="R109" s="1" t="n">
        <f aca="false">Transport!F109</f>
        <v>8730</v>
      </c>
      <c r="S109" s="1" t="n">
        <f aca="false">Transport!G109</f>
        <v>10761</v>
      </c>
      <c r="T109" s="1" t="n">
        <f aca="false">Transport!H109</f>
        <v>15509</v>
      </c>
      <c r="U109" s="1" t="n">
        <f aca="false">Transport!I109</f>
        <v>1880</v>
      </c>
      <c r="V109" s="1" t="n">
        <f aca="false">Transport!J109</f>
        <v>2295</v>
      </c>
      <c r="W109" s="1" t="n">
        <f aca="false">Transport!K109</f>
        <v>1036</v>
      </c>
      <c r="X109" s="1" t="n">
        <f aca="false">Transport!L109</f>
        <v>683</v>
      </c>
    </row>
    <row r="110" customFormat="false" ht="11.25" hidden="false" customHeight="false" outlineLevel="0" collapsed="false">
      <c r="A110" s="6" t="n">
        <f aca="false">+A109+365/12</f>
        <v>38942.75</v>
      </c>
      <c r="B110" s="29" t="n">
        <f aca="false">C110-0.06</f>
        <v>3.8526710776</v>
      </c>
      <c r="C110" s="29" t="n">
        <f aca="false">C98*1.01</f>
        <v>3.9126710776</v>
      </c>
      <c r="D110" s="29" t="n">
        <f aca="false">C110-0.05</f>
        <v>3.8626710776</v>
      </c>
      <c r="E110" s="29" t="n">
        <f aca="false">C110</f>
        <v>3.9126710776</v>
      </c>
      <c r="F110" s="31" t="n">
        <f aca="false">+F109</f>
        <v>0.0275</v>
      </c>
      <c r="G110" s="38" t="n">
        <f aca="false">F110</f>
        <v>0.0275</v>
      </c>
      <c r="H110" s="1" t="n">
        <v>31</v>
      </c>
      <c r="I110" s="27" t="n">
        <v>-0.0799240829346251</v>
      </c>
      <c r="K110" s="28" t="n">
        <v>0.00949999999999962</v>
      </c>
      <c r="L110" s="32" t="n">
        <f aca="false">L109</f>
        <v>0.398086634579785</v>
      </c>
      <c r="M110" s="4" t="n">
        <f aca="false">M109</f>
        <v>0.7348</v>
      </c>
      <c r="N110" s="8" t="n">
        <f aca="false">L110</f>
        <v>0.398086634579785</v>
      </c>
      <c r="O110" s="1" t="n">
        <f aca="false">O109</f>
        <v>0.0477</v>
      </c>
      <c r="P110" s="1" t="n">
        <f aca="false">P109</f>
        <v>0.0307</v>
      </c>
      <c r="R110" s="1" t="n">
        <f aca="false">Transport!F110</f>
        <v>8730</v>
      </c>
      <c r="S110" s="1" t="n">
        <f aca="false">Transport!G110</f>
        <v>10761</v>
      </c>
      <c r="T110" s="1" t="n">
        <f aca="false">Transport!H110</f>
        <v>15509</v>
      </c>
      <c r="U110" s="1" t="n">
        <f aca="false">Transport!I110</f>
        <v>1880</v>
      </c>
      <c r="V110" s="1" t="n">
        <f aca="false">Transport!J110</f>
        <v>2295</v>
      </c>
      <c r="W110" s="1" t="n">
        <f aca="false">Transport!K110</f>
        <v>1036</v>
      </c>
      <c r="X110" s="1" t="n">
        <f aca="false">Transport!L110</f>
        <v>683</v>
      </c>
    </row>
    <row r="111" customFormat="false" ht="11.25" hidden="false" customHeight="false" outlineLevel="0" collapsed="false">
      <c r="A111" s="6" t="n">
        <f aca="false">+A110+365/12</f>
        <v>38973.1666666667</v>
      </c>
      <c r="B111" s="29" t="n">
        <f aca="false">C111-0.06</f>
        <v>4.6539361653</v>
      </c>
      <c r="C111" s="29" t="n">
        <f aca="false">C99*1.01</f>
        <v>4.7139361653</v>
      </c>
      <c r="D111" s="29" t="n">
        <f aca="false">C111-0.05</f>
        <v>4.6639361653</v>
      </c>
      <c r="E111" s="29" t="n">
        <f aca="false">C111</f>
        <v>4.7139361653</v>
      </c>
      <c r="F111" s="31" t="n">
        <f aca="false">+F110</f>
        <v>0.0275</v>
      </c>
      <c r="G111" s="38" t="n">
        <f aca="false">F111</f>
        <v>0.0275</v>
      </c>
      <c r="H111" s="1" t="n">
        <v>30</v>
      </c>
      <c r="I111" s="27" t="n">
        <v>-0.0799303925621602</v>
      </c>
      <c r="K111" s="28" t="n">
        <v>0.00949999999999962</v>
      </c>
      <c r="L111" s="32" t="n">
        <f aca="false">L110</f>
        <v>0.398086634579785</v>
      </c>
      <c r="M111" s="4" t="n">
        <f aca="false">M110</f>
        <v>0.7348</v>
      </c>
      <c r="N111" s="8" t="n">
        <f aca="false">L111</f>
        <v>0.398086634579785</v>
      </c>
      <c r="O111" s="1" t="n">
        <f aca="false">O110</f>
        <v>0.0477</v>
      </c>
      <c r="P111" s="1" t="n">
        <f aca="false">P110</f>
        <v>0.0307</v>
      </c>
      <c r="R111" s="1" t="n">
        <f aca="false">Transport!F111</f>
        <v>8730</v>
      </c>
      <c r="S111" s="1" t="n">
        <f aca="false">Transport!G111</f>
        <v>10761</v>
      </c>
      <c r="T111" s="1" t="n">
        <f aca="false">Transport!H111</f>
        <v>15509</v>
      </c>
      <c r="U111" s="1" t="n">
        <f aca="false">Transport!I111</f>
        <v>1880</v>
      </c>
      <c r="V111" s="1" t="n">
        <f aca="false">Transport!J111</f>
        <v>2295</v>
      </c>
      <c r="W111" s="1" t="n">
        <f aca="false">Transport!K111</f>
        <v>1036</v>
      </c>
      <c r="X111" s="1" t="n">
        <f aca="false">Transport!L111</f>
        <v>683</v>
      </c>
    </row>
    <row r="112" customFormat="false" ht="11.25" hidden="false" customHeight="false" outlineLevel="0" collapsed="false">
      <c r="A112" s="6" t="n">
        <f aca="false">+A111+365/12</f>
        <v>39003.5833333333</v>
      </c>
      <c r="B112" s="29" t="n">
        <f aca="false">C112-0.06</f>
        <v>5.3615468921</v>
      </c>
      <c r="C112" s="29" t="n">
        <f aca="false">C100*1.01</f>
        <v>5.4215468921</v>
      </c>
      <c r="D112" s="29" t="n">
        <f aca="false">C112-0.05</f>
        <v>5.3715468921</v>
      </c>
      <c r="E112" s="29" t="n">
        <f aca="false">C112</f>
        <v>5.4215468921</v>
      </c>
      <c r="F112" s="31" t="n">
        <f aca="false">+F111</f>
        <v>0.0275</v>
      </c>
      <c r="G112" s="38" t="n">
        <f aca="false">F112</f>
        <v>0.0275</v>
      </c>
      <c r="H112" s="1" t="n">
        <v>31</v>
      </c>
      <c r="I112" s="27" t="n">
        <v>-0.0827052359971949</v>
      </c>
      <c r="K112" s="28" t="n">
        <v>0.0145</v>
      </c>
      <c r="L112" s="32" t="n">
        <f aca="false">L111</f>
        <v>0.398086634579785</v>
      </c>
      <c r="M112" s="4" t="n">
        <f aca="false">M111</f>
        <v>0.7348</v>
      </c>
      <c r="N112" s="8" t="n">
        <f aca="false">L112</f>
        <v>0.398086634579785</v>
      </c>
      <c r="O112" s="1" t="n">
        <f aca="false">O111</f>
        <v>0.0477</v>
      </c>
      <c r="P112" s="1" t="n">
        <f aca="false">P111</f>
        <v>0.0307</v>
      </c>
      <c r="R112" s="1" t="n">
        <f aca="false">Transport!F112</f>
        <v>8730</v>
      </c>
      <c r="S112" s="1" t="n">
        <f aca="false">Transport!G112</f>
        <v>10361</v>
      </c>
      <c r="T112" s="1" t="n">
        <f aca="false">Transport!H112</f>
        <v>15909</v>
      </c>
      <c r="U112" s="1" t="n">
        <f aca="false">Transport!I112</f>
        <v>2830</v>
      </c>
      <c r="V112" s="1" t="n">
        <f aca="false">Transport!J112</f>
        <v>3500</v>
      </c>
      <c r="W112" s="1" t="n">
        <f aca="false">Transport!K112</f>
        <v>1521</v>
      </c>
      <c r="X112" s="1" t="n">
        <f aca="false">Transport!L112</f>
        <v>1001</v>
      </c>
    </row>
    <row r="113" customFormat="false" ht="11.25" hidden="false" customHeight="false" outlineLevel="0" collapsed="false">
      <c r="A113" s="6" t="n">
        <f aca="false">+A112+365/12</f>
        <v>39034</v>
      </c>
      <c r="B113" s="29" t="n">
        <f aca="false">C113-0.06</f>
        <v>3.5613019548</v>
      </c>
      <c r="C113" s="29" t="n">
        <f aca="false">C101*1.01</f>
        <v>3.6213019548</v>
      </c>
      <c r="D113" s="29" t="n">
        <f aca="false">C113-0.05</f>
        <v>3.5713019548</v>
      </c>
      <c r="E113" s="29" t="n">
        <f aca="false">C113</f>
        <v>3.6213019548</v>
      </c>
      <c r="F113" s="31" t="n">
        <f aca="false">+F112</f>
        <v>0.0275</v>
      </c>
      <c r="G113" s="38" t="n">
        <f aca="false">F113</f>
        <v>0.0275</v>
      </c>
      <c r="H113" s="1" t="n">
        <v>30</v>
      </c>
      <c r="I113" s="27" t="n">
        <v>-0.127677459186262</v>
      </c>
      <c r="K113" s="28" t="n">
        <v>0.0194999999999999</v>
      </c>
      <c r="L113" s="32" t="n">
        <f aca="false">L112</f>
        <v>0.398086634579785</v>
      </c>
      <c r="M113" s="4" t="n">
        <f aca="false">M112</f>
        <v>0.7348</v>
      </c>
      <c r="N113" s="8" t="n">
        <f aca="false">L113</f>
        <v>0.398086634579785</v>
      </c>
      <c r="O113" s="1" t="n">
        <f aca="false">O112</f>
        <v>0.0477</v>
      </c>
      <c r="P113" s="1" t="n">
        <f aca="false">P112</f>
        <v>0.0307</v>
      </c>
      <c r="R113" s="1" t="n">
        <f aca="false">Transport!F113</f>
        <v>4926</v>
      </c>
      <c r="S113" s="1" t="n">
        <f aca="false">Transport!G113</f>
        <v>5732</v>
      </c>
      <c r="T113" s="1" t="n">
        <f aca="false">Transport!H113</f>
        <v>9342</v>
      </c>
      <c r="U113" s="1" t="n">
        <f aca="false">Transport!I113</f>
        <v>2563</v>
      </c>
      <c r="V113" s="1" t="n">
        <f aca="false">Transport!J113</f>
        <v>2862</v>
      </c>
      <c r="W113" s="1" t="n">
        <f aca="false">Transport!K113</f>
        <v>1685</v>
      </c>
      <c r="X113" s="1" t="n">
        <f aca="false">Transport!L113</f>
        <v>683</v>
      </c>
    </row>
    <row r="114" customFormat="false" ht="11.25" hidden="false" customHeight="false" outlineLevel="0" collapsed="false">
      <c r="A114" s="6" t="n">
        <f aca="false">+A113+365/12</f>
        <v>39064.4166666667</v>
      </c>
      <c r="B114" s="29" t="n">
        <f aca="false">C114-0.06</f>
        <v>2.645570426</v>
      </c>
      <c r="C114" s="29" t="n">
        <f aca="false">C102*1.01</f>
        <v>2.705570426</v>
      </c>
      <c r="D114" s="29" t="n">
        <f aca="false">C114-0.05</f>
        <v>2.655570426</v>
      </c>
      <c r="E114" s="29" t="n">
        <f aca="false">C114</f>
        <v>2.705570426</v>
      </c>
      <c r="F114" s="31" t="n">
        <f aca="false">+F113</f>
        <v>0.0275</v>
      </c>
      <c r="G114" s="38" t="n">
        <f aca="false">F114</f>
        <v>0.0275</v>
      </c>
      <c r="H114" s="1" t="n">
        <v>31</v>
      </c>
      <c r="I114" s="27" t="n">
        <v>-0.162639960491503</v>
      </c>
      <c r="K114" s="28" t="n">
        <v>0.0245000000000002</v>
      </c>
      <c r="L114" s="32" t="n">
        <f aca="false">L113</f>
        <v>0.398086634579785</v>
      </c>
      <c r="M114" s="4" t="n">
        <f aca="false">M113</f>
        <v>0.7348</v>
      </c>
      <c r="N114" s="8" t="n">
        <f aca="false">L114</f>
        <v>0.398086634579785</v>
      </c>
      <c r="O114" s="1" t="n">
        <f aca="false">O113</f>
        <v>0.0477</v>
      </c>
      <c r="P114" s="1" t="n">
        <f aca="false">P113</f>
        <v>0.0307</v>
      </c>
      <c r="R114" s="1" t="n">
        <f aca="false">Transport!F114</f>
        <v>4926</v>
      </c>
      <c r="S114" s="1" t="n">
        <f aca="false">Transport!G114</f>
        <v>5732</v>
      </c>
      <c r="T114" s="1" t="n">
        <f aca="false">Transport!H114</f>
        <v>9342</v>
      </c>
      <c r="U114" s="1" t="n">
        <f aca="false">Transport!I114</f>
        <v>2563</v>
      </c>
      <c r="V114" s="1" t="n">
        <f aca="false">Transport!J114</f>
        <v>2862</v>
      </c>
      <c r="W114" s="1" t="n">
        <f aca="false">Transport!K114</f>
        <v>1685</v>
      </c>
      <c r="X114" s="1" t="n">
        <f aca="false">Transport!L114</f>
        <v>683</v>
      </c>
    </row>
    <row r="115" customFormat="false" ht="11.25" hidden="false" customHeight="false" outlineLevel="0" collapsed="false">
      <c r="A115" s="41" t="n">
        <f aca="false">+A114+365/12</f>
        <v>39094.8333333333</v>
      </c>
      <c r="B115" s="42" t="n">
        <f aca="false">C115-0.06</f>
        <v>2.325792813727</v>
      </c>
      <c r="C115" s="42" t="n">
        <f aca="false">C103*1.01</f>
        <v>2.385792813727</v>
      </c>
      <c r="D115" s="42" t="n">
        <f aca="false">C115-0.05</f>
        <v>2.335792813727</v>
      </c>
      <c r="E115" s="42" t="n">
        <f aca="false">C115</f>
        <v>2.385792813727</v>
      </c>
      <c r="F115" s="43" t="n">
        <f aca="false">+F114</f>
        <v>0.0275</v>
      </c>
      <c r="G115" s="44" t="n">
        <f aca="false">F115</f>
        <v>0.0275</v>
      </c>
      <c r="H115" s="45" t="n">
        <v>31</v>
      </c>
      <c r="I115" s="46" t="n">
        <v>-0.147598989695378</v>
      </c>
      <c r="J115" s="45"/>
      <c r="K115" s="47" t="n">
        <v>0.0245000000000002</v>
      </c>
      <c r="L115" s="48" t="n">
        <f aca="false">('[1]062'!$R$56*1000)/('[1]062'!$R$50*[1]Assumptions!$R$9)</f>
        <v>0.398086634579785</v>
      </c>
      <c r="M115" s="49" t="n">
        <f aca="false">M114</f>
        <v>0.7348</v>
      </c>
      <c r="N115" s="50" t="n">
        <f aca="false">L115</f>
        <v>0.398086634579785</v>
      </c>
      <c r="O115" s="45" t="n">
        <f aca="false">O114</f>
        <v>0.0477</v>
      </c>
      <c r="P115" s="45" t="n">
        <f aca="false">P114</f>
        <v>0.0307</v>
      </c>
      <c r="Q115" s="45"/>
      <c r="R115" s="45" t="n">
        <f aca="false">Transport!F115</f>
        <v>4926</v>
      </c>
      <c r="S115" s="45" t="n">
        <f aca="false">Transport!G115</f>
        <v>5732</v>
      </c>
      <c r="T115" s="45" t="n">
        <f aca="false">Transport!H115</f>
        <v>9342</v>
      </c>
      <c r="U115" s="45" t="n">
        <f aca="false">Transport!I115</f>
        <v>2563</v>
      </c>
      <c r="V115" s="45" t="n">
        <f aca="false">Transport!J115</f>
        <v>2862</v>
      </c>
      <c r="W115" s="45" t="n">
        <f aca="false">Transport!K115</f>
        <v>1685</v>
      </c>
      <c r="X115" s="45" t="n">
        <f aca="false">Transport!L115</f>
        <v>683</v>
      </c>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c r="EK115" s="45"/>
      <c r="EL115" s="45"/>
      <c r="EM115" s="45"/>
      <c r="EN115" s="45"/>
      <c r="EO115" s="45"/>
      <c r="EP115" s="45"/>
      <c r="EQ115" s="45"/>
      <c r="ER115" s="45"/>
      <c r="ES115" s="45"/>
      <c r="ET115" s="45"/>
      <c r="EU115" s="45"/>
      <c r="EV115" s="45"/>
      <c r="EW115" s="45"/>
      <c r="EX115" s="45"/>
      <c r="EY115" s="45"/>
      <c r="EZ115" s="45"/>
      <c r="FA115" s="45"/>
      <c r="FB115" s="45"/>
      <c r="FC115" s="45"/>
      <c r="FD115" s="45"/>
      <c r="FE115" s="45"/>
      <c r="FF115" s="45"/>
      <c r="FG115" s="45"/>
      <c r="FH115" s="45"/>
      <c r="FI115" s="45"/>
      <c r="FJ115" s="45"/>
      <c r="FK115" s="45"/>
      <c r="FL115" s="45"/>
      <c r="FM115" s="45"/>
      <c r="FN115" s="45"/>
      <c r="FO115" s="45"/>
      <c r="FP115" s="45"/>
      <c r="FQ115" s="45"/>
      <c r="FR115" s="45"/>
      <c r="FS115" s="45"/>
      <c r="FT115" s="45"/>
      <c r="FU115" s="45"/>
      <c r="FV115" s="45"/>
      <c r="FW115" s="45"/>
      <c r="FX115" s="45"/>
      <c r="FY115" s="45"/>
      <c r="FZ115" s="45"/>
      <c r="GA115" s="45"/>
      <c r="GB115" s="45"/>
      <c r="GC115" s="45"/>
      <c r="GD115" s="45"/>
      <c r="GE115" s="45"/>
      <c r="GF115" s="45"/>
      <c r="GG115" s="45"/>
      <c r="GH115" s="45"/>
      <c r="GI115" s="45"/>
      <c r="GJ115" s="45"/>
      <c r="GK115" s="45"/>
      <c r="GL115" s="45"/>
      <c r="GM115" s="45"/>
      <c r="GN115" s="45"/>
      <c r="GO115" s="45"/>
      <c r="GP115" s="45"/>
      <c r="GQ115" s="45"/>
      <c r="GR115" s="45"/>
      <c r="GS115" s="45"/>
      <c r="GT115" s="45"/>
      <c r="GU115" s="45"/>
      <c r="GV115" s="45"/>
      <c r="GW115" s="45"/>
      <c r="GX115" s="45"/>
      <c r="GY115" s="45"/>
      <c r="GZ115" s="45"/>
      <c r="HA115" s="45"/>
      <c r="HB115" s="45"/>
      <c r="HC115" s="45"/>
      <c r="HD115" s="45"/>
      <c r="HE115" s="45"/>
      <c r="HF115" s="45"/>
      <c r="HG115" s="45"/>
      <c r="HH115" s="45"/>
      <c r="HI115" s="45"/>
      <c r="HJ115" s="45"/>
      <c r="HK115" s="45"/>
      <c r="HL115" s="45"/>
      <c r="HM115" s="45"/>
      <c r="HN115" s="45"/>
      <c r="HO115" s="45"/>
      <c r="HP115" s="45"/>
      <c r="HQ115" s="45"/>
      <c r="HR115" s="45"/>
      <c r="HS115" s="45"/>
      <c r="HT115" s="45"/>
      <c r="HU115" s="45"/>
      <c r="HV115" s="45"/>
      <c r="HW115" s="45"/>
      <c r="HX115" s="45"/>
      <c r="HY115" s="45"/>
      <c r="HZ115" s="45"/>
      <c r="IA115" s="45"/>
      <c r="IB115" s="45"/>
      <c r="IC115" s="45"/>
      <c r="ID115" s="45"/>
      <c r="IE115" s="45"/>
      <c r="IF115" s="45"/>
      <c r="IG115" s="45"/>
      <c r="IH115" s="45"/>
      <c r="II115" s="45"/>
      <c r="IJ115" s="45"/>
      <c r="IK115" s="45"/>
      <c r="IL115" s="45"/>
      <c r="IM115" s="45"/>
      <c r="IN115" s="45"/>
      <c r="IO115" s="45"/>
      <c r="IP115" s="45"/>
      <c r="IQ115" s="45"/>
      <c r="IR115" s="45"/>
      <c r="IS115" s="45"/>
      <c r="IT115" s="45"/>
      <c r="IU115" s="45"/>
      <c r="IV115" s="45"/>
      <c r="IW115" s="45"/>
    </row>
    <row r="116" customFormat="false" ht="11.25" hidden="false" customHeight="false" outlineLevel="0" collapsed="false">
      <c r="A116" s="6" t="n">
        <f aca="false">+A115+365/12</f>
        <v>39125.25</v>
      </c>
      <c r="B116" s="29" t="n">
        <f aca="false">C116-0.06</f>
        <v>2.609565527254</v>
      </c>
      <c r="C116" s="29" t="n">
        <f aca="false">C104*1.01</f>
        <v>2.669565527254</v>
      </c>
      <c r="D116" s="29" t="n">
        <f aca="false">C116-0.05</f>
        <v>2.619565527254</v>
      </c>
      <c r="E116" s="29" t="n">
        <f aca="false">C116</f>
        <v>2.669565527254</v>
      </c>
      <c r="F116" s="31" t="n">
        <f aca="false">+F115</f>
        <v>0.0275</v>
      </c>
      <c r="G116" s="38" t="n">
        <f aca="false">F116</f>
        <v>0.0275</v>
      </c>
      <c r="H116" s="1" t="n">
        <v>28</v>
      </c>
      <c r="I116" s="27" t="n">
        <v>-0.14762676650631</v>
      </c>
      <c r="K116" s="28" t="n">
        <v>0.0245000000000002</v>
      </c>
      <c r="L116" s="32" t="n">
        <f aca="false">L115</f>
        <v>0.398086634579785</v>
      </c>
      <c r="M116" s="4" t="n">
        <f aca="false">M115</f>
        <v>0.7348</v>
      </c>
      <c r="N116" s="8" t="n">
        <f aca="false">L116</f>
        <v>0.398086634579785</v>
      </c>
      <c r="O116" s="1" t="n">
        <f aca="false">O115</f>
        <v>0.0477</v>
      </c>
      <c r="P116" s="1" t="n">
        <f aca="false">P115</f>
        <v>0.0307</v>
      </c>
      <c r="R116" s="1" t="n">
        <f aca="false">Transport!F116</f>
        <v>4926</v>
      </c>
      <c r="S116" s="1" t="n">
        <f aca="false">Transport!G116</f>
        <v>5732</v>
      </c>
      <c r="T116" s="1" t="n">
        <f aca="false">Transport!H116</f>
        <v>9342</v>
      </c>
      <c r="U116" s="1" t="n">
        <f aca="false">Transport!I116</f>
        <v>2563</v>
      </c>
      <c r="V116" s="1" t="n">
        <f aca="false">Transport!J116</f>
        <v>2862</v>
      </c>
      <c r="W116" s="1" t="n">
        <f aca="false">Transport!K116</f>
        <v>1685</v>
      </c>
      <c r="X116" s="1" t="n">
        <f aca="false">Transport!L116</f>
        <v>683</v>
      </c>
    </row>
    <row r="117" customFormat="false" ht="11.25" hidden="false" customHeight="false" outlineLevel="0" collapsed="false">
      <c r="A117" s="6" t="n">
        <f aca="false">+A116+365/12</f>
        <v>39155.6666666667</v>
      </c>
      <c r="B117" s="29" t="n">
        <f aca="false">C117-0.06</f>
        <v>2.609565527254</v>
      </c>
      <c r="C117" s="29" t="n">
        <f aca="false">C105*1.01</f>
        <v>2.669565527254</v>
      </c>
      <c r="D117" s="29" t="n">
        <f aca="false">C117-0.05</f>
        <v>2.619565527254</v>
      </c>
      <c r="E117" s="29" t="n">
        <f aca="false">C117</f>
        <v>2.669565527254</v>
      </c>
      <c r="F117" s="31" t="n">
        <f aca="false">+F116</f>
        <v>0.0275</v>
      </c>
      <c r="G117" s="38" t="n">
        <f aca="false">F117</f>
        <v>0.0275</v>
      </c>
      <c r="H117" s="1" t="n">
        <v>31</v>
      </c>
      <c r="I117" s="27" t="n">
        <v>-0.122662529150386</v>
      </c>
      <c r="K117" s="28" t="n">
        <v>0.0195000000000003</v>
      </c>
      <c r="L117" s="32" t="n">
        <f aca="false">L116</f>
        <v>0.398086634579785</v>
      </c>
      <c r="M117" s="4" t="n">
        <f aca="false">M116</f>
        <v>0.7348</v>
      </c>
      <c r="N117" s="8" t="n">
        <f aca="false">L117</f>
        <v>0.398086634579785</v>
      </c>
      <c r="O117" s="1" t="n">
        <f aca="false">O116</f>
        <v>0.0477</v>
      </c>
      <c r="P117" s="1" t="n">
        <f aca="false">P116</f>
        <v>0.0307</v>
      </c>
      <c r="R117" s="1" t="n">
        <f aca="false">Transport!F117</f>
        <v>4926</v>
      </c>
      <c r="S117" s="1" t="n">
        <f aca="false">Transport!G117</f>
        <v>5732</v>
      </c>
      <c r="T117" s="1" t="n">
        <f aca="false">Transport!H117</f>
        <v>9342</v>
      </c>
      <c r="U117" s="1" t="n">
        <f aca="false">Transport!I117</f>
        <v>2563</v>
      </c>
      <c r="V117" s="1" t="n">
        <f aca="false">Transport!J117</f>
        <v>2862</v>
      </c>
      <c r="W117" s="1" t="n">
        <f aca="false">Transport!K117</f>
        <v>1685</v>
      </c>
      <c r="X117" s="1" t="n">
        <f aca="false">Transport!L117</f>
        <v>683</v>
      </c>
    </row>
    <row r="118" customFormat="false" ht="11.25" hidden="false" customHeight="false" outlineLevel="0" collapsed="false">
      <c r="A118" s="6" t="n">
        <f aca="false">+A117+365/12</f>
        <v>39186.0833333333</v>
      </c>
      <c r="B118" s="29" t="n">
        <f aca="false">C118-0.06</f>
        <v>2.893338240781</v>
      </c>
      <c r="C118" s="29" t="n">
        <f aca="false">C106*1.01</f>
        <v>2.953338240781</v>
      </c>
      <c r="D118" s="29" t="n">
        <f aca="false">C118-0.05</f>
        <v>2.903338240781</v>
      </c>
      <c r="E118" s="29" t="n">
        <f aca="false">C118</f>
        <v>2.953338240781</v>
      </c>
      <c r="F118" s="31" t="n">
        <f aca="false">+F117</f>
        <v>0.0275</v>
      </c>
      <c r="G118" s="38" t="n">
        <f aca="false">F118</f>
        <v>0.0275</v>
      </c>
      <c r="H118" s="1" t="n">
        <v>30</v>
      </c>
      <c r="I118" s="27" t="n">
        <v>-0.0731795424470816</v>
      </c>
      <c r="K118" s="28" t="n">
        <v>0.00599999999999978</v>
      </c>
      <c r="L118" s="32" t="n">
        <f aca="false">L117</f>
        <v>0.398086634579785</v>
      </c>
      <c r="M118" s="4" t="n">
        <f aca="false">M117</f>
        <v>0.7348</v>
      </c>
      <c r="N118" s="8" t="n">
        <f aca="false">L118</f>
        <v>0.398086634579785</v>
      </c>
      <c r="O118" s="1" t="n">
        <f aca="false">O117</f>
        <v>0.0477</v>
      </c>
      <c r="P118" s="1" t="n">
        <f aca="false">P117</f>
        <v>0.0307</v>
      </c>
      <c r="R118" s="1" t="n">
        <f aca="false">Transport!F118</f>
        <v>6933</v>
      </c>
      <c r="S118" s="1" t="n">
        <f aca="false">Transport!G118</f>
        <v>8798</v>
      </c>
      <c r="T118" s="1" t="n">
        <f aca="false">Transport!H118</f>
        <v>14269</v>
      </c>
      <c r="U118" s="1" t="n">
        <f aca="false">Transport!I118</f>
        <v>1880</v>
      </c>
      <c r="V118" s="1" t="n">
        <f aca="false">Transport!J118</f>
        <v>2073</v>
      </c>
      <c r="W118" s="1" t="n">
        <f aca="false">Transport!K118</f>
        <v>1258</v>
      </c>
      <c r="X118" s="1" t="n">
        <f aca="false">Transport!L118</f>
        <v>683</v>
      </c>
    </row>
    <row r="119" customFormat="false" ht="11.25" hidden="false" customHeight="false" outlineLevel="0" collapsed="false">
      <c r="A119" s="6" t="n">
        <f aca="false">+A118+365/12</f>
        <v>39216.5</v>
      </c>
      <c r="B119" s="29" t="n">
        <f aca="false">C119-0.06</f>
        <v>3.0930301503</v>
      </c>
      <c r="C119" s="29" t="n">
        <f aca="false">C107*1.01</f>
        <v>3.1530301503</v>
      </c>
      <c r="D119" s="29" t="n">
        <f aca="false">C119-0.05</f>
        <v>3.1030301503</v>
      </c>
      <c r="E119" s="29" t="n">
        <f aca="false">C119</f>
        <v>3.1530301503</v>
      </c>
      <c r="F119" s="31" t="n">
        <f aca="false">+F118</f>
        <v>0.0275</v>
      </c>
      <c r="G119" s="38" t="n">
        <f aca="false">F119</f>
        <v>0.0275</v>
      </c>
      <c r="H119" s="1" t="n">
        <v>31</v>
      </c>
      <c r="I119" s="27" t="n">
        <v>-0.075479607656932</v>
      </c>
      <c r="K119" s="28" t="n">
        <v>0.00599999999999978</v>
      </c>
      <c r="L119" s="32" t="n">
        <f aca="false">L118</f>
        <v>0.398086634579785</v>
      </c>
      <c r="M119" s="4" t="n">
        <f aca="false">M118</f>
        <v>0.7348</v>
      </c>
      <c r="N119" s="8" t="n">
        <f aca="false">L119</f>
        <v>0.398086634579785</v>
      </c>
      <c r="O119" s="1" t="n">
        <f aca="false">O118</f>
        <v>0.0477</v>
      </c>
      <c r="P119" s="1" t="n">
        <f aca="false">P118</f>
        <v>0.0307</v>
      </c>
      <c r="R119" s="1" t="n">
        <f aca="false">Transport!F119</f>
        <v>8730</v>
      </c>
      <c r="S119" s="1" t="n">
        <f aca="false">Transport!G119</f>
        <v>10761</v>
      </c>
      <c r="T119" s="1" t="n">
        <f aca="false">Transport!H119</f>
        <v>15509</v>
      </c>
      <c r="U119" s="1" t="n">
        <f aca="false">Transport!I119</f>
        <v>1880</v>
      </c>
      <c r="V119" s="1" t="n">
        <f aca="false">Transport!J119</f>
        <v>2295</v>
      </c>
      <c r="W119" s="1" t="n">
        <f aca="false">Transport!K119</f>
        <v>1036</v>
      </c>
      <c r="X119" s="1" t="n">
        <f aca="false">Transport!L119</f>
        <v>683</v>
      </c>
    </row>
    <row r="120" customFormat="false" ht="11.25" hidden="false" customHeight="false" outlineLevel="0" collapsed="false">
      <c r="A120" s="6" t="n">
        <f aca="false">+A119+365/12</f>
        <v>39246.9166666667</v>
      </c>
      <c r="B120" s="29" t="n">
        <f aca="false">C120-0.06</f>
        <v>4.469853315931</v>
      </c>
      <c r="C120" s="29" t="n">
        <f aca="false">C108*1.01</f>
        <v>4.529853315931</v>
      </c>
      <c r="D120" s="29" t="n">
        <f aca="false">C120-0.05</f>
        <v>4.479853315931</v>
      </c>
      <c r="E120" s="29" t="n">
        <f aca="false">C120</f>
        <v>4.529853315931</v>
      </c>
      <c r="F120" s="31" t="n">
        <f aca="false">+F119</f>
        <v>0.0275</v>
      </c>
      <c r="G120" s="38" t="n">
        <f aca="false">F120</f>
        <v>0.0275</v>
      </c>
      <c r="H120" s="1" t="n">
        <v>30</v>
      </c>
      <c r="I120" s="27" t="n">
        <v>-0.0754827624706995</v>
      </c>
      <c r="K120" s="28" t="n">
        <v>0.00599999999999978</v>
      </c>
      <c r="L120" s="32" t="n">
        <f aca="false">L119</f>
        <v>0.398086634579785</v>
      </c>
      <c r="M120" s="4" t="n">
        <f aca="false">M119</f>
        <v>0.7348</v>
      </c>
      <c r="N120" s="8" t="n">
        <f aca="false">L120</f>
        <v>0.398086634579785</v>
      </c>
      <c r="O120" s="1" t="n">
        <f aca="false">O119</f>
        <v>0.0477</v>
      </c>
      <c r="P120" s="1" t="n">
        <f aca="false">P119</f>
        <v>0.0307</v>
      </c>
      <c r="R120" s="1" t="n">
        <f aca="false">Transport!F120</f>
        <v>8730</v>
      </c>
      <c r="S120" s="1" t="n">
        <f aca="false">Transport!G120</f>
        <v>10761</v>
      </c>
      <c r="T120" s="1" t="n">
        <f aca="false">Transport!H120</f>
        <v>15509</v>
      </c>
      <c r="U120" s="1" t="n">
        <f aca="false">Transport!I120</f>
        <v>1880</v>
      </c>
      <c r="V120" s="1" t="n">
        <f aca="false">Transport!J120</f>
        <v>2295</v>
      </c>
      <c r="W120" s="1" t="n">
        <f aca="false">Transport!K120</f>
        <v>1036</v>
      </c>
      <c r="X120" s="1" t="n">
        <f aca="false">Transport!L120</f>
        <v>683</v>
      </c>
    </row>
    <row r="121" customFormat="false" ht="11.25" hidden="false" customHeight="false" outlineLevel="0" collapsed="false">
      <c r="A121" s="6" t="n">
        <f aca="false">+A120+365/12</f>
        <v>39277.3333333333</v>
      </c>
      <c r="B121" s="29" t="n">
        <f aca="false">C121-0.06</f>
        <v>4.45934321543</v>
      </c>
      <c r="C121" s="29" t="n">
        <f aca="false">C109*1.01</f>
        <v>4.51934321543</v>
      </c>
      <c r="D121" s="29" t="n">
        <f aca="false">C121-0.05</f>
        <v>4.46934321543</v>
      </c>
      <c r="E121" s="29" t="n">
        <f aca="false">C121</f>
        <v>4.51934321543</v>
      </c>
      <c r="F121" s="31" t="n">
        <f aca="false">+F120</f>
        <v>0.0275</v>
      </c>
      <c r="G121" s="38" t="n">
        <f aca="false">F121</f>
        <v>0.0275</v>
      </c>
      <c r="H121" s="1" t="n">
        <v>31</v>
      </c>
      <c r="I121" s="27" t="n">
        <v>-0.07998465535896</v>
      </c>
      <c r="K121" s="28" t="n">
        <v>0.00949999999999984</v>
      </c>
      <c r="L121" s="32" t="n">
        <f aca="false">L120</f>
        <v>0.398086634579785</v>
      </c>
      <c r="M121" s="4" t="n">
        <f aca="false">M120</f>
        <v>0.7348</v>
      </c>
      <c r="N121" s="8" t="n">
        <f aca="false">L121</f>
        <v>0.398086634579785</v>
      </c>
      <c r="O121" s="1" t="n">
        <f aca="false">O120</f>
        <v>0.0477</v>
      </c>
      <c r="P121" s="1" t="n">
        <f aca="false">P120</f>
        <v>0.0307</v>
      </c>
      <c r="R121" s="1" t="n">
        <f aca="false">Transport!F121</f>
        <v>8730</v>
      </c>
      <c r="S121" s="1" t="n">
        <f aca="false">Transport!G121</f>
        <v>10761</v>
      </c>
      <c r="T121" s="1" t="n">
        <f aca="false">Transport!H121</f>
        <v>15509</v>
      </c>
      <c r="U121" s="1" t="n">
        <f aca="false">Transport!I121</f>
        <v>1880</v>
      </c>
      <c r="V121" s="1" t="n">
        <f aca="false">Transport!J121</f>
        <v>2295</v>
      </c>
      <c r="W121" s="1" t="n">
        <f aca="false">Transport!K121</f>
        <v>1036</v>
      </c>
      <c r="X121" s="1" t="n">
        <f aca="false">Transport!L121</f>
        <v>683</v>
      </c>
    </row>
    <row r="122" customFormat="false" ht="11.25" hidden="false" customHeight="false" outlineLevel="0" collapsed="false">
      <c r="A122" s="6" t="n">
        <f aca="false">+A121+365/12</f>
        <v>39307.75</v>
      </c>
      <c r="B122" s="29" t="n">
        <f aca="false">C122-0.06</f>
        <v>3.891797788376</v>
      </c>
      <c r="C122" s="29" t="n">
        <f aca="false">C110*1.01</f>
        <v>3.951797788376</v>
      </c>
      <c r="D122" s="29" t="n">
        <f aca="false">C122-0.05</f>
        <v>3.901797788376</v>
      </c>
      <c r="E122" s="29" t="n">
        <f aca="false">C122</f>
        <v>3.951797788376</v>
      </c>
      <c r="F122" s="31" t="n">
        <f aca="false">+F121</f>
        <v>0.0275</v>
      </c>
      <c r="G122" s="38" t="n">
        <f aca="false">F122</f>
        <v>0.0275</v>
      </c>
      <c r="H122" s="1" t="n">
        <v>31</v>
      </c>
      <c r="I122" s="27" t="n">
        <v>-0.0799884411354812</v>
      </c>
      <c r="K122" s="28" t="n">
        <v>0.00949999999999962</v>
      </c>
      <c r="L122" s="32" t="n">
        <f aca="false">L121</f>
        <v>0.398086634579785</v>
      </c>
      <c r="M122" s="4" t="n">
        <f aca="false">M121</f>
        <v>0.7348</v>
      </c>
      <c r="N122" s="8" t="n">
        <f aca="false">L122</f>
        <v>0.398086634579785</v>
      </c>
      <c r="O122" s="1" t="n">
        <f aca="false">O121</f>
        <v>0.0477</v>
      </c>
      <c r="P122" s="1" t="n">
        <f aca="false">P121</f>
        <v>0.0307</v>
      </c>
      <c r="R122" s="1" t="n">
        <f aca="false">Transport!F122</f>
        <v>8730</v>
      </c>
      <c r="S122" s="1" t="n">
        <f aca="false">Transport!G122</f>
        <v>10761</v>
      </c>
      <c r="T122" s="1" t="n">
        <f aca="false">Transport!H122</f>
        <v>15509</v>
      </c>
      <c r="U122" s="1" t="n">
        <f aca="false">Transport!I122</f>
        <v>1880</v>
      </c>
      <c r="V122" s="1" t="n">
        <f aca="false">Transport!J122</f>
        <v>2295</v>
      </c>
      <c r="W122" s="1" t="n">
        <f aca="false">Transport!K122</f>
        <v>1036</v>
      </c>
      <c r="X122" s="1" t="n">
        <f aca="false">Transport!L122</f>
        <v>683</v>
      </c>
    </row>
    <row r="123" customFormat="false" ht="11.25" hidden="false" customHeight="false" outlineLevel="0" collapsed="false">
      <c r="A123" s="6" t="n">
        <f aca="false">+A122+365/12</f>
        <v>39338.1666666667</v>
      </c>
      <c r="B123" s="29" t="n">
        <f aca="false">C123-0.06</f>
        <v>4.701075526953</v>
      </c>
      <c r="C123" s="29" t="n">
        <f aca="false">C111*1.01</f>
        <v>4.761075526953</v>
      </c>
      <c r="D123" s="29" t="n">
        <f aca="false">C123-0.05</f>
        <v>4.711075526953</v>
      </c>
      <c r="E123" s="29" t="n">
        <f aca="false">C123</f>
        <v>4.761075526953</v>
      </c>
      <c r="F123" s="31" t="n">
        <f aca="false">+F122</f>
        <v>0.0275</v>
      </c>
      <c r="G123" s="38" t="n">
        <f aca="false">F123</f>
        <v>0.0275</v>
      </c>
      <c r="H123" s="1" t="n">
        <v>30</v>
      </c>
      <c r="I123" s="27" t="n">
        <v>-0.0799947507630154</v>
      </c>
      <c r="K123" s="28" t="n">
        <v>0.00949999999999962</v>
      </c>
      <c r="L123" s="32" t="n">
        <f aca="false">L122</f>
        <v>0.398086634579785</v>
      </c>
      <c r="M123" s="4" t="n">
        <f aca="false">M122</f>
        <v>0.7348</v>
      </c>
      <c r="N123" s="8" t="n">
        <f aca="false">L123</f>
        <v>0.398086634579785</v>
      </c>
      <c r="O123" s="1" t="n">
        <f aca="false">O122</f>
        <v>0.0477</v>
      </c>
      <c r="P123" s="1" t="n">
        <f aca="false">P122</f>
        <v>0.0307</v>
      </c>
      <c r="R123" s="1" t="n">
        <f aca="false">Transport!F123</f>
        <v>8730</v>
      </c>
      <c r="S123" s="1" t="n">
        <f aca="false">Transport!G123</f>
        <v>10761</v>
      </c>
      <c r="T123" s="1" t="n">
        <f aca="false">Transport!H123</f>
        <v>15509</v>
      </c>
      <c r="U123" s="1" t="n">
        <f aca="false">Transport!I123</f>
        <v>1880</v>
      </c>
      <c r="V123" s="1" t="n">
        <f aca="false">Transport!J123</f>
        <v>2295</v>
      </c>
      <c r="W123" s="1" t="n">
        <f aca="false">Transport!K123</f>
        <v>1036</v>
      </c>
      <c r="X123" s="1" t="n">
        <f aca="false">Transport!L123</f>
        <v>683</v>
      </c>
    </row>
    <row r="124" customFormat="false" ht="11.25" hidden="false" customHeight="false" outlineLevel="0" collapsed="false">
      <c r="A124" s="6" t="n">
        <f aca="false">+A123+365/12</f>
        <v>39368.5833333333</v>
      </c>
      <c r="B124" s="29" t="n">
        <f aca="false">C124-0.06</f>
        <v>5.415762361021</v>
      </c>
      <c r="C124" s="29" t="n">
        <f aca="false">C112*1.01</f>
        <v>5.475762361021</v>
      </c>
      <c r="D124" s="29" t="n">
        <f aca="false">C124-0.05</f>
        <v>5.425762361021</v>
      </c>
      <c r="E124" s="29" t="n">
        <f aca="false">C124</f>
        <v>5.475762361021</v>
      </c>
      <c r="F124" s="31" t="n">
        <f aca="false">+F123</f>
        <v>0.0275</v>
      </c>
      <c r="G124" s="38" t="n">
        <f aca="false">F124</f>
        <v>0.0275</v>
      </c>
      <c r="H124" s="1" t="n">
        <v>31</v>
      </c>
      <c r="I124" s="27" t="n">
        <v>-0.0826698205632552</v>
      </c>
      <c r="K124" s="28" t="n">
        <v>0.0145</v>
      </c>
      <c r="L124" s="32" t="n">
        <f aca="false">L123</f>
        <v>0.398086634579785</v>
      </c>
      <c r="M124" s="4" t="n">
        <f aca="false">M123</f>
        <v>0.7348</v>
      </c>
      <c r="N124" s="8" t="n">
        <f aca="false">L124</f>
        <v>0.398086634579785</v>
      </c>
      <c r="O124" s="1" t="n">
        <f aca="false">O123</f>
        <v>0.0477</v>
      </c>
      <c r="P124" s="1" t="n">
        <f aca="false">P123</f>
        <v>0.0307</v>
      </c>
      <c r="R124" s="1" t="n">
        <f aca="false">Transport!F124</f>
        <v>8730</v>
      </c>
      <c r="S124" s="1" t="n">
        <f aca="false">Transport!G124</f>
        <v>10361</v>
      </c>
      <c r="T124" s="1" t="n">
        <f aca="false">Transport!H124</f>
        <v>15909</v>
      </c>
      <c r="U124" s="1" t="n">
        <f aca="false">Transport!I124</f>
        <v>2830</v>
      </c>
      <c r="V124" s="1" t="n">
        <f aca="false">Transport!J124</f>
        <v>3500</v>
      </c>
      <c r="W124" s="1" t="n">
        <f aca="false">Transport!K124</f>
        <v>1521</v>
      </c>
      <c r="X124" s="1" t="n">
        <f aca="false">Transport!L124</f>
        <v>1001</v>
      </c>
    </row>
    <row r="125" customFormat="false" ht="11.25" hidden="false" customHeight="false" outlineLevel="0" collapsed="false">
      <c r="A125" s="6" t="n">
        <f aca="false">+A124+365/12</f>
        <v>39399</v>
      </c>
      <c r="B125" s="29" t="n">
        <f aca="false">C125-0.06</f>
        <v>3.597514974348</v>
      </c>
      <c r="C125" s="29" t="n">
        <f aca="false">C113*1.01</f>
        <v>3.657514974348</v>
      </c>
      <c r="D125" s="29" t="n">
        <f aca="false">C125-0.05</f>
        <v>3.607514974348</v>
      </c>
      <c r="E125" s="29" t="n">
        <f aca="false">C125</f>
        <v>3.657514974348</v>
      </c>
      <c r="F125" s="31" t="n">
        <f aca="false">+F124</f>
        <v>0.0275</v>
      </c>
      <c r="G125" s="38" t="n">
        <f aca="false">F125</f>
        <v>0.0275</v>
      </c>
      <c r="H125" s="1" t="n">
        <v>30</v>
      </c>
      <c r="I125" s="27" t="n">
        <v>-0.127642043752322</v>
      </c>
      <c r="K125" s="28" t="n">
        <v>0.0194999999999999</v>
      </c>
      <c r="L125" s="32" t="n">
        <f aca="false">L124</f>
        <v>0.398086634579785</v>
      </c>
      <c r="M125" s="4" t="n">
        <f aca="false">M124</f>
        <v>0.7348</v>
      </c>
      <c r="N125" s="8" t="n">
        <f aca="false">L125</f>
        <v>0.398086634579785</v>
      </c>
      <c r="O125" s="1" t="n">
        <f aca="false">O124</f>
        <v>0.0477</v>
      </c>
      <c r="P125" s="1" t="n">
        <f aca="false">P124</f>
        <v>0.0307</v>
      </c>
      <c r="R125" s="1" t="n">
        <f aca="false">Transport!F125</f>
        <v>4926</v>
      </c>
      <c r="S125" s="1" t="n">
        <f aca="false">Transport!G125</f>
        <v>5732</v>
      </c>
      <c r="T125" s="1" t="n">
        <f aca="false">Transport!H125</f>
        <v>9342</v>
      </c>
      <c r="U125" s="1" t="n">
        <f aca="false">Transport!I125</f>
        <v>2563</v>
      </c>
      <c r="V125" s="1" t="n">
        <f aca="false">Transport!J125</f>
        <v>2862</v>
      </c>
      <c r="W125" s="1" t="n">
        <f aca="false">Transport!K125</f>
        <v>1685</v>
      </c>
      <c r="X125" s="1" t="n">
        <f aca="false">Transport!L125</f>
        <v>683</v>
      </c>
    </row>
    <row r="126" customFormat="false" ht="11.25" hidden="false" customHeight="false" outlineLevel="0" collapsed="false">
      <c r="A126" s="6" t="n">
        <f aca="false">+A125+365/12</f>
        <v>39429.4166666667</v>
      </c>
      <c r="B126" s="29" t="n">
        <f aca="false">C126-0.06</f>
        <v>2.67262613026</v>
      </c>
      <c r="C126" s="29" t="n">
        <f aca="false">C114*1.01</f>
        <v>2.73262613026</v>
      </c>
      <c r="D126" s="29" t="n">
        <f aca="false">C126-0.05</f>
        <v>2.68262613026</v>
      </c>
      <c r="E126" s="29" t="n">
        <f aca="false">C126</f>
        <v>2.73262613026</v>
      </c>
      <c r="F126" s="31" t="n">
        <f aca="false">+F125</f>
        <v>0.0275</v>
      </c>
      <c r="G126" s="38" t="n">
        <f aca="false">F126</f>
        <v>0.0275</v>
      </c>
      <c r="H126" s="1" t="n">
        <v>31</v>
      </c>
      <c r="I126" s="27" t="n">
        <v>-0.162604545057564</v>
      </c>
      <c r="K126" s="28" t="n">
        <v>0.0245000000000002</v>
      </c>
      <c r="L126" s="32" t="n">
        <f aca="false">L125</f>
        <v>0.398086634579785</v>
      </c>
      <c r="M126" s="4" t="n">
        <f aca="false">M125</f>
        <v>0.7348</v>
      </c>
      <c r="N126" s="8" t="n">
        <f aca="false">L126</f>
        <v>0.398086634579785</v>
      </c>
      <c r="O126" s="1" t="n">
        <f aca="false">O125</f>
        <v>0.0477</v>
      </c>
      <c r="P126" s="1" t="n">
        <f aca="false">P125</f>
        <v>0.0307</v>
      </c>
      <c r="R126" s="1" t="n">
        <f aca="false">Transport!F126</f>
        <v>4926</v>
      </c>
      <c r="S126" s="1" t="n">
        <f aca="false">Transport!G126</f>
        <v>5732</v>
      </c>
      <c r="T126" s="1" t="n">
        <f aca="false">Transport!H126</f>
        <v>9342</v>
      </c>
      <c r="U126" s="1" t="n">
        <f aca="false">Transport!I126</f>
        <v>2563</v>
      </c>
      <c r="V126" s="1" t="n">
        <f aca="false">Transport!J126</f>
        <v>2862</v>
      </c>
      <c r="W126" s="1" t="n">
        <f aca="false">Transport!K126</f>
        <v>1685</v>
      </c>
      <c r="X126" s="1" t="n">
        <f aca="false">Transport!L126</f>
        <v>683</v>
      </c>
    </row>
    <row r="127" customFormat="false" ht="11.25" hidden="false" customHeight="false" outlineLevel="0" collapsed="false">
      <c r="A127" s="41" t="n">
        <f aca="false">+A126+365/12</f>
        <v>39459.8333333333</v>
      </c>
      <c r="B127" s="42" t="n">
        <f aca="false">C127-0.06</f>
        <v>2.34965074186427</v>
      </c>
      <c r="C127" s="42" t="n">
        <f aca="false">C115*1.01</f>
        <v>2.40965074186427</v>
      </c>
      <c r="D127" s="42" t="n">
        <f aca="false">C127-0.05</f>
        <v>2.35965074186427</v>
      </c>
      <c r="E127" s="42" t="n">
        <f aca="false">C127</f>
        <v>2.40965074186427</v>
      </c>
      <c r="F127" s="43" t="n">
        <f aca="false">+F126</f>
        <v>0.0275</v>
      </c>
      <c r="G127" s="44" t="n">
        <f aca="false">F127</f>
        <v>0.0275</v>
      </c>
      <c r="H127" s="45" t="n">
        <v>31</v>
      </c>
      <c r="I127" s="46" t="n">
        <v>-0.147556630058705</v>
      </c>
      <c r="J127" s="45"/>
      <c r="K127" s="47" t="n">
        <v>0.0245000000000002</v>
      </c>
      <c r="L127" s="48" t="n">
        <f aca="false">('[1]062'!$S$56*1000)/('[1]062'!$S$50*[1]Assumptions!$S$9)</f>
        <v>0.396998966179294</v>
      </c>
      <c r="M127" s="49" t="n">
        <f aca="false">M126</f>
        <v>0.7348</v>
      </c>
      <c r="N127" s="50" t="n">
        <f aca="false">L127</f>
        <v>0.396998966179294</v>
      </c>
      <c r="O127" s="45" t="n">
        <f aca="false">O126</f>
        <v>0.0477</v>
      </c>
      <c r="P127" s="45" t="n">
        <f aca="false">P126</f>
        <v>0.0307</v>
      </c>
      <c r="Q127" s="45"/>
      <c r="R127" s="45" t="n">
        <f aca="false">Transport!F127</f>
        <v>4926</v>
      </c>
      <c r="S127" s="45" t="n">
        <f aca="false">Transport!G127</f>
        <v>5732</v>
      </c>
      <c r="T127" s="45" t="n">
        <f aca="false">Transport!H127</f>
        <v>9342</v>
      </c>
      <c r="U127" s="45" t="n">
        <f aca="false">Transport!I127</f>
        <v>2563</v>
      </c>
      <c r="V127" s="45" t="n">
        <f aca="false">Transport!J127</f>
        <v>2862</v>
      </c>
      <c r="W127" s="45" t="n">
        <f aca="false">Transport!K127</f>
        <v>1685</v>
      </c>
      <c r="X127" s="45" t="n">
        <f aca="false">Transport!L127</f>
        <v>683</v>
      </c>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c r="FH127" s="45"/>
      <c r="FI127" s="45"/>
      <c r="FJ127" s="45"/>
      <c r="FK127" s="45"/>
      <c r="FL127" s="45"/>
      <c r="FM127" s="45"/>
      <c r="FN127" s="45"/>
      <c r="FO127" s="45"/>
      <c r="FP127" s="45"/>
      <c r="FQ127" s="45"/>
      <c r="FR127" s="45"/>
      <c r="FS127" s="45"/>
      <c r="FT127" s="45"/>
      <c r="FU127" s="45"/>
      <c r="FV127" s="45"/>
      <c r="FW127" s="45"/>
      <c r="FX127" s="45"/>
      <c r="FY127" s="45"/>
      <c r="FZ127" s="45"/>
      <c r="GA127" s="45"/>
      <c r="GB127" s="45"/>
      <c r="GC127" s="45"/>
      <c r="GD127" s="45"/>
      <c r="GE127" s="45"/>
      <c r="GF127" s="45"/>
      <c r="GG127" s="45"/>
      <c r="GH127" s="45"/>
      <c r="GI127" s="45"/>
      <c r="GJ127" s="45"/>
      <c r="GK127" s="45"/>
      <c r="GL127" s="45"/>
      <c r="GM127" s="45"/>
      <c r="GN127" s="45"/>
      <c r="GO127" s="45"/>
      <c r="GP127" s="45"/>
      <c r="GQ127" s="45"/>
      <c r="GR127" s="45"/>
      <c r="GS127" s="45"/>
      <c r="GT127" s="45"/>
      <c r="GU127" s="45"/>
      <c r="GV127" s="45"/>
      <c r="GW127" s="45"/>
      <c r="GX127" s="45"/>
      <c r="GY127" s="45"/>
      <c r="GZ127" s="45"/>
      <c r="HA127" s="45"/>
      <c r="HB127" s="45"/>
      <c r="HC127" s="45"/>
      <c r="HD127" s="45"/>
      <c r="HE127" s="45"/>
      <c r="HF127" s="45"/>
      <c r="HG127" s="45"/>
      <c r="HH127" s="45"/>
      <c r="HI127" s="45"/>
      <c r="HJ127" s="45"/>
      <c r="HK127" s="45"/>
      <c r="HL127" s="45"/>
      <c r="HM127" s="45"/>
      <c r="HN127" s="45"/>
      <c r="HO127" s="45"/>
      <c r="HP127" s="45"/>
      <c r="HQ127" s="45"/>
      <c r="HR127" s="45"/>
      <c r="HS127" s="45"/>
      <c r="HT127" s="45"/>
      <c r="HU127" s="45"/>
      <c r="HV127" s="45"/>
      <c r="HW127" s="45"/>
      <c r="HX127" s="45"/>
      <c r="HY127" s="45"/>
      <c r="HZ127" s="45"/>
      <c r="IA127" s="45"/>
      <c r="IB127" s="45"/>
      <c r="IC127" s="45"/>
      <c r="ID127" s="45"/>
      <c r="IE127" s="45"/>
      <c r="IF127" s="45"/>
      <c r="IG127" s="45"/>
      <c r="IH127" s="45"/>
      <c r="II127" s="45"/>
      <c r="IJ127" s="45"/>
      <c r="IK127" s="45"/>
      <c r="IL127" s="45"/>
      <c r="IM127" s="45"/>
      <c r="IN127" s="45"/>
      <c r="IO127" s="45"/>
      <c r="IP127" s="45"/>
      <c r="IQ127" s="45"/>
      <c r="IR127" s="45"/>
      <c r="IS127" s="45"/>
      <c r="IT127" s="45"/>
      <c r="IU127" s="45"/>
      <c r="IV127" s="45"/>
      <c r="IW127" s="45"/>
    </row>
    <row r="128" customFormat="false" ht="11.25" hidden="false" customHeight="false" outlineLevel="0" collapsed="false">
      <c r="A128" s="6" t="n">
        <f aca="false">+A127+365/12</f>
        <v>39490.25</v>
      </c>
      <c r="B128" s="29" t="n">
        <f aca="false">C128-0.06</f>
        <v>2.63626118252654</v>
      </c>
      <c r="C128" s="29" t="n">
        <f aca="false">C116*1.01</f>
        <v>2.69626118252654</v>
      </c>
      <c r="D128" s="29" t="n">
        <f aca="false">C128-0.05</f>
        <v>2.64626118252654</v>
      </c>
      <c r="E128" s="29" t="n">
        <f aca="false">C128</f>
        <v>2.69626118252654</v>
      </c>
      <c r="F128" s="31" t="n">
        <f aca="false">+F127</f>
        <v>0.0275</v>
      </c>
      <c r="G128" s="38" t="n">
        <f aca="false">F128</f>
        <v>0.0275</v>
      </c>
      <c r="H128" s="1" t="n">
        <v>29</v>
      </c>
      <c r="I128" s="27" t="n">
        <v>-0.147584406869637</v>
      </c>
      <c r="K128" s="28" t="n">
        <v>0.0245000000000002</v>
      </c>
      <c r="L128" s="32" t="n">
        <f aca="false">L127</f>
        <v>0.396998966179294</v>
      </c>
      <c r="M128" s="4" t="n">
        <f aca="false">M127</f>
        <v>0.7348</v>
      </c>
      <c r="N128" s="8" t="n">
        <f aca="false">L128</f>
        <v>0.396998966179294</v>
      </c>
      <c r="O128" s="1" t="n">
        <f aca="false">O127</f>
        <v>0.0477</v>
      </c>
      <c r="P128" s="1" t="n">
        <f aca="false">P127</f>
        <v>0.0307</v>
      </c>
      <c r="R128" s="1" t="n">
        <f aca="false">Transport!F128</f>
        <v>4926</v>
      </c>
      <c r="S128" s="1" t="n">
        <f aca="false">Transport!G128</f>
        <v>5732</v>
      </c>
      <c r="T128" s="1" t="n">
        <f aca="false">Transport!H128</f>
        <v>9342</v>
      </c>
      <c r="U128" s="1" t="n">
        <f aca="false">Transport!I128</f>
        <v>2563</v>
      </c>
      <c r="V128" s="1" t="n">
        <f aca="false">Transport!J128</f>
        <v>2862</v>
      </c>
      <c r="W128" s="1" t="n">
        <f aca="false">Transport!K128</f>
        <v>1685</v>
      </c>
      <c r="X128" s="1" t="n">
        <f aca="false">Transport!L128</f>
        <v>683</v>
      </c>
    </row>
    <row r="129" customFormat="false" ht="11.25" hidden="false" customHeight="false" outlineLevel="0" collapsed="false">
      <c r="A129" s="6" t="n">
        <f aca="false">+A128+365/12</f>
        <v>39520.6666666667</v>
      </c>
      <c r="B129" s="29" t="n">
        <f aca="false">C129-0.06</f>
        <v>2.63626118252654</v>
      </c>
      <c r="C129" s="29" t="n">
        <f aca="false">C117*1.01</f>
        <v>2.69626118252654</v>
      </c>
      <c r="D129" s="29" t="n">
        <f aca="false">C129-0.05</f>
        <v>2.64626118252654</v>
      </c>
      <c r="E129" s="29" t="n">
        <f aca="false">C129</f>
        <v>2.69626118252654</v>
      </c>
      <c r="F129" s="31" t="n">
        <f aca="false">+F128</f>
        <v>0.0275</v>
      </c>
      <c r="G129" s="38" t="n">
        <f aca="false">F129</f>
        <v>0.0275</v>
      </c>
      <c r="H129" s="1" t="n">
        <v>31</v>
      </c>
      <c r="I129" s="27" t="n">
        <v>-0.122620169513713</v>
      </c>
      <c r="K129" s="28" t="n">
        <v>0.0195000000000003</v>
      </c>
      <c r="L129" s="32" t="n">
        <f aca="false">L128</f>
        <v>0.396998966179294</v>
      </c>
      <c r="M129" s="4" t="n">
        <f aca="false">M128</f>
        <v>0.7348</v>
      </c>
      <c r="N129" s="8" t="n">
        <f aca="false">L129</f>
        <v>0.396998966179294</v>
      </c>
      <c r="O129" s="1" t="n">
        <f aca="false">O128</f>
        <v>0.0477</v>
      </c>
      <c r="P129" s="1" t="n">
        <f aca="false">P128</f>
        <v>0.0307</v>
      </c>
      <c r="R129" s="1" t="n">
        <f aca="false">Transport!F129</f>
        <v>4926</v>
      </c>
      <c r="S129" s="1" t="n">
        <f aca="false">Transport!G129</f>
        <v>5732</v>
      </c>
      <c r="T129" s="1" t="n">
        <f aca="false">Transport!H129</f>
        <v>9342</v>
      </c>
      <c r="U129" s="1" t="n">
        <f aca="false">Transport!I129</f>
        <v>2563</v>
      </c>
      <c r="V129" s="1" t="n">
        <f aca="false">Transport!J129</f>
        <v>2862</v>
      </c>
      <c r="W129" s="1" t="n">
        <f aca="false">Transport!K129</f>
        <v>1685</v>
      </c>
      <c r="X129" s="1" t="n">
        <f aca="false">Transport!L129</f>
        <v>683</v>
      </c>
    </row>
    <row r="130" customFormat="false" ht="11.25" hidden="false" customHeight="false" outlineLevel="0" collapsed="false">
      <c r="A130" s="6" t="n">
        <f aca="false">+A129+365/12</f>
        <v>39551.0833333333</v>
      </c>
      <c r="B130" s="29" t="n">
        <f aca="false">C130-0.06</f>
        <v>2.92287162318881</v>
      </c>
      <c r="C130" s="29" t="n">
        <f aca="false">C118*1.01</f>
        <v>2.98287162318881</v>
      </c>
      <c r="D130" s="29" t="n">
        <f aca="false">C130-0.05</f>
        <v>2.93287162318881</v>
      </c>
      <c r="E130" s="29" t="n">
        <f aca="false">C130</f>
        <v>2.98287162318881</v>
      </c>
      <c r="F130" s="31" t="n">
        <f aca="false">+F129</f>
        <v>0.0275</v>
      </c>
      <c r="G130" s="38" t="n">
        <f aca="false">F130</f>
        <v>0.0275</v>
      </c>
      <c r="H130" s="1" t="n">
        <v>30</v>
      </c>
      <c r="I130" s="27" t="n">
        <v>-0.0731371828104095</v>
      </c>
      <c r="K130" s="28" t="n">
        <v>0.00599999999999978</v>
      </c>
      <c r="L130" s="32" t="n">
        <f aca="false">L129</f>
        <v>0.396998966179294</v>
      </c>
      <c r="M130" s="4" t="n">
        <f aca="false">M129</f>
        <v>0.7348</v>
      </c>
      <c r="N130" s="8" t="n">
        <f aca="false">L130</f>
        <v>0.396998966179294</v>
      </c>
      <c r="O130" s="1" t="n">
        <f aca="false">O129</f>
        <v>0.0477</v>
      </c>
      <c r="P130" s="1" t="n">
        <f aca="false">P129</f>
        <v>0.0307</v>
      </c>
      <c r="R130" s="1" t="n">
        <f aca="false">Transport!F130</f>
        <v>6933</v>
      </c>
      <c r="S130" s="1" t="n">
        <f aca="false">Transport!G130</f>
        <v>8798</v>
      </c>
      <c r="T130" s="1" t="n">
        <f aca="false">Transport!H130</f>
        <v>14269</v>
      </c>
      <c r="U130" s="1" t="n">
        <f aca="false">Transport!I130</f>
        <v>1880</v>
      </c>
      <c r="V130" s="1" t="n">
        <f aca="false">Transport!J130</f>
        <v>2073</v>
      </c>
      <c r="W130" s="1" t="n">
        <f aca="false">Transport!K130</f>
        <v>1258</v>
      </c>
      <c r="X130" s="1" t="n">
        <f aca="false">Transport!L130</f>
        <v>683</v>
      </c>
    </row>
    <row r="131" customFormat="false" ht="11.25" hidden="false" customHeight="false" outlineLevel="0" collapsed="false">
      <c r="A131" s="6" t="n">
        <f aca="false">+A130+365/12</f>
        <v>39581.5</v>
      </c>
      <c r="B131" s="29" t="n">
        <f aca="false">C131-0.06</f>
        <v>3.124560451803</v>
      </c>
      <c r="C131" s="29" t="n">
        <f aca="false">C119*1.01</f>
        <v>3.184560451803</v>
      </c>
      <c r="D131" s="29" t="n">
        <f aca="false">C131-0.05</f>
        <v>3.134560451803</v>
      </c>
      <c r="E131" s="29" t="n">
        <f aca="false">C131</f>
        <v>3.184560451803</v>
      </c>
      <c r="F131" s="31" t="n">
        <f aca="false">+F130</f>
        <v>0.0275</v>
      </c>
      <c r="G131" s="38" t="n">
        <f aca="false">F131</f>
        <v>0.0275</v>
      </c>
      <c r="H131" s="1" t="n">
        <v>31</v>
      </c>
      <c r="I131" s="27" t="n">
        <v>-0.0755565851128583</v>
      </c>
      <c r="K131" s="28" t="n">
        <v>0.00599999999999978</v>
      </c>
      <c r="L131" s="32" t="n">
        <f aca="false">L130</f>
        <v>0.396998966179294</v>
      </c>
      <c r="M131" s="4" t="n">
        <f aca="false">M130</f>
        <v>0.7348</v>
      </c>
      <c r="N131" s="8" t="n">
        <f aca="false">L131</f>
        <v>0.396998966179294</v>
      </c>
      <c r="O131" s="1" t="n">
        <f aca="false">O130</f>
        <v>0.0477</v>
      </c>
      <c r="P131" s="1" t="n">
        <f aca="false">P130</f>
        <v>0.0307</v>
      </c>
      <c r="R131" s="1" t="n">
        <f aca="false">Transport!F131</f>
        <v>8730</v>
      </c>
      <c r="S131" s="1" t="n">
        <f aca="false">Transport!G131</f>
        <v>10761</v>
      </c>
      <c r="T131" s="1" t="n">
        <f aca="false">Transport!H131</f>
        <v>15509</v>
      </c>
      <c r="U131" s="1" t="n">
        <f aca="false">Transport!I131</f>
        <v>1880</v>
      </c>
      <c r="V131" s="1" t="n">
        <f aca="false">Transport!J131</f>
        <v>2295</v>
      </c>
      <c r="W131" s="1" t="n">
        <f aca="false">Transport!K131</f>
        <v>1036</v>
      </c>
      <c r="X131" s="1" t="n">
        <f aca="false">Transport!L131</f>
        <v>683</v>
      </c>
    </row>
    <row r="132" customFormat="false" ht="11.25" hidden="false" customHeight="false" outlineLevel="0" collapsed="false">
      <c r="A132" s="6" t="n">
        <f aca="false">+A131+365/12</f>
        <v>39611.9166666667</v>
      </c>
      <c r="B132" s="29" t="n">
        <f aca="false">C132-0.06</f>
        <v>4.51515184909031</v>
      </c>
      <c r="C132" s="29" t="n">
        <f aca="false">C120*1.01</f>
        <v>4.57515184909031</v>
      </c>
      <c r="D132" s="29" t="n">
        <f aca="false">C132-0.05</f>
        <v>4.52515184909031</v>
      </c>
      <c r="E132" s="29" t="n">
        <f aca="false">C132</f>
        <v>4.57515184909031</v>
      </c>
      <c r="F132" s="31" t="n">
        <f aca="false">+F131</f>
        <v>0.0275</v>
      </c>
      <c r="G132" s="38" t="n">
        <f aca="false">F132</f>
        <v>0.0275</v>
      </c>
      <c r="H132" s="1" t="n">
        <v>30</v>
      </c>
      <c r="I132" s="27" t="n">
        <v>-0.0755597399266255</v>
      </c>
      <c r="K132" s="28" t="n">
        <v>0.00599999999999978</v>
      </c>
      <c r="L132" s="32" t="n">
        <f aca="false">L131</f>
        <v>0.396998966179294</v>
      </c>
      <c r="M132" s="4" t="n">
        <f aca="false">M131</f>
        <v>0.7348</v>
      </c>
      <c r="N132" s="8" t="n">
        <f aca="false">L132</f>
        <v>0.396998966179294</v>
      </c>
      <c r="O132" s="1" t="n">
        <f aca="false">O131</f>
        <v>0.0477</v>
      </c>
      <c r="P132" s="1" t="n">
        <f aca="false">P131</f>
        <v>0.0307</v>
      </c>
      <c r="R132" s="1" t="n">
        <f aca="false">Transport!F132</f>
        <v>8730</v>
      </c>
      <c r="S132" s="1" t="n">
        <f aca="false">Transport!G132</f>
        <v>10761</v>
      </c>
      <c r="T132" s="1" t="n">
        <f aca="false">Transport!H132</f>
        <v>15509</v>
      </c>
      <c r="U132" s="1" t="n">
        <f aca="false">Transport!I132</f>
        <v>1880</v>
      </c>
      <c r="V132" s="1" t="n">
        <f aca="false">Transport!J132</f>
        <v>2295</v>
      </c>
      <c r="W132" s="1" t="n">
        <f aca="false">Transport!K132</f>
        <v>1036</v>
      </c>
      <c r="X132" s="1" t="n">
        <f aca="false">Transport!L132</f>
        <v>683</v>
      </c>
    </row>
    <row r="133" customFormat="false" ht="11.25" hidden="false" customHeight="false" outlineLevel="0" collapsed="false">
      <c r="A133" s="6" t="n">
        <f aca="false">+A132+365/12</f>
        <v>39642.3333333333</v>
      </c>
      <c r="B133" s="29" t="n">
        <f aca="false">C133-0.06</f>
        <v>4.5045366475843</v>
      </c>
      <c r="C133" s="29" t="n">
        <f aca="false">C121*1.01</f>
        <v>4.5645366475843</v>
      </c>
      <c r="D133" s="29" t="n">
        <f aca="false">C133-0.05</f>
        <v>4.5145366475843</v>
      </c>
      <c r="E133" s="29" t="n">
        <f aca="false">C133</f>
        <v>4.5645366475843</v>
      </c>
      <c r="F133" s="31" t="n">
        <f aca="false">+F132</f>
        <v>0.0275</v>
      </c>
      <c r="G133" s="38" t="n">
        <f aca="false">F133</f>
        <v>0.0275</v>
      </c>
      <c r="H133" s="1" t="n">
        <v>31</v>
      </c>
      <c r="I133" s="27" t="n">
        <v>-0.0800616328148855</v>
      </c>
      <c r="K133" s="28" t="n">
        <v>0.00949999999999984</v>
      </c>
      <c r="L133" s="32" t="n">
        <f aca="false">L132</f>
        <v>0.396998966179294</v>
      </c>
      <c r="M133" s="4" t="n">
        <f aca="false">M132</f>
        <v>0.7348</v>
      </c>
      <c r="N133" s="8" t="n">
        <f aca="false">L133</f>
        <v>0.396998966179294</v>
      </c>
      <c r="O133" s="1" t="n">
        <f aca="false">O132</f>
        <v>0.0477</v>
      </c>
      <c r="P133" s="1" t="n">
        <f aca="false">P132</f>
        <v>0.0307</v>
      </c>
      <c r="R133" s="1" t="n">
        <f aca="false">Transport!F133</f>
        <v>8730</v>
      </c>
      <c r="S133" s="1" t="n">
        <f aca="false">Transport!G133</f>
        <v>10761</v>
      </c>
      <c r="T133" s="1" t="n">
        <f aca="false">Transport!H133</f>
        <v>15509</v>
      </c>
      <c r="U133" s="1" t="n">
        <f aca="false">Transport!I133</f>
        <v>1880</v>
      </c>
      <c r="V133" s="1" t="n">
        <f aca="false">Transport!J133</f>
        <v>2295</v>
      </c>
      <c r="W133" s="1" t="n">
        <f aca="false">Transport!K133</f>
        <v>1036</v>
      </c>
      <c r="X133" s="1" t="n">
        <f aca="false">Transport!L133</f>
        <v>683</v>
      </c>
    </row>
    <row r="134" customFormat="false" ht="11.25" hidden="false" customHeight="false" outlineLevel="0" collapsed="false">
      <c r="A134" s="6" t="n">
        <f aca="false">+A133+365/12</f>
        <v>39672.75</v>
      </c>
      <c r="B134" s="29" t="n">
        <f aca="false">C134-0.06</f>
        <v>3.93131576625976</v>
      </c>
      <c r="C134" s="29" t="n">
        <f aca="false">C122*1.01</f>
        <v>3.99131576625976</v>
      </c>
      <c r="D134" s="29" t="n">
        <f aca="false">C134-0.05</f>
        <v>3.94131576625976</v>
      </c>
      <c r="E134" s="29" t="n">
        <f aca="false">C134</f>
        <v>3.99131576625976</v>
      </c>
      <c r="F134" s="31" t="n">
        <f aca="false">+F133</f>
        <v>0.0275</v>
      </c>
      <c r="G134" s="38" t="n">
        <f aca="false">F134</f>
        <v>0.0275</v>
      </c>
      <c r="H134" s="1" t="n">
        <v>31</v>
      </c>
      <c r="I134" s="27" t="n">
        <v>-0.0800654185914067</v>
      </c>
      <c r="K134" s="28" t="n">
        <v>0.00949999999999962</v>
      </c>
      <c r="L134" s="32" t="n">
        <f aca="false">L133</f>
        <v>0.396998966179294</v>
      </c>
      <c r="M134" s="4" t="n">
        <f aca="false">M133</f>
        <v>0.7348</v>
      </c>
      <c r="N134" s="8" t="n">
        <f aca="false">L134</f>
        <v>0.396998966179294</v>
      </c>
      <c r="O134" s="1" t="n">
        <f aca="false">O133</f>
        <v>0.0477</v>
      </c>
      <c r="P134" s="1" t="n">
        <f aca="false">P133</f>
        <v>0.0307</v>
      </c>
      <c r="R134" s="1" t="n">
        <f aca="false">Transport!F134</f>
        <v>8730</v>
      </c>
      <c r="S134" s="1" t="n">
        <f aca="false">Transport!G134</f>
        <v>10761</v>
      </c>
      <c r="T134" s="1" t="n">
        <f aca="false">Transport!H134</f>
        <v>15509</v>
      </c>
      <c r="U134" s="1" t="n">
        <f aca="false">Transport!I134</f>
        <v>1880</v>
      </c>
      <c r="V134" s="1" t="n">
        <f aca="false">Transport!J134</f>
        <v>2295</v>
      </c>
      <c r="W134" s="1" t="n">
        <f aca="false">Transport!K134</f>
        <v>1036</v>
      </c>
      <c r="X134" s="1" t="n">
        <f aca="false">Transport!L134</f>
        <v>683</v>
      </c>
    </row>
    <row r="135" customFormat="false" ht="11.25" hidden="false" customHeight="false" outlineLevel="0" collapsed="false">
      <c r="A135" s="6" t="n">
        <f aca="false">+A134+365/12</f>
        <v>39703.1666666667</v>
      </c>
      <c r="B135" s="29" t="n">
        <f aca="false">C135-0.06</f>
        <v>4.74868628222253</v>
      </c>
      <c r="C135" s="29" t="n">
        <f aca="false">C123*1.01</f>
        <v>4.80868628222253</v>
      </c>
      <c r="D135" s="29" t="n">
        <f aca="false">C135-0.05</f>
        <v>4.75868628222253</v>
      </c>
      <c r="E135" s="29" t="n">
        <f aca="false">C135</f>
        <v>4.80868628222253</v>
      </c>
      <c r="F135" s="31" t="n">
        <f aca="false">+F134</f>
        <v>0.0275</v>
      </c>
      <c r="G135" s="38" t="n">
        <f aca="false">F135</f>
        <v>0.0275</v>
      </c>
      <c r="H135" s="1" t="n">
        <v>30</v>
      </c>
      <c r="I135" s="27" t="n">
        <v>-0.0800717282189418</v>
      </c>
      <c r="K135" s="28" t="n">
        <v>0.00949999999999962</v>
      </c>
      <c r="L135" s="32" t="n">
        <f aca="false">L134</f>
        <v>0.396998966179294</v>
      </c>
      <c r="M135" s="4" t="n">
        <f aca="false">M134</f>
        <v>0.7348</v>
      </c>
      <c r="N135" s="8" t="n">
        <f aca="false">L135</f>
        <v>0.396998966179294</v>
      </c>
      <c r="O135" s="1" t="n">
        <f aca="false">O134</f>
        <v>0.0477</v>
      </c>
      <c r="P135" s="1" t="n">
        <f aca="false">P134</f>
        <v>0.0307</v>
      </c>
      <c r="R135" s="1" t="n">
        <f aca="false">Transport!F135</f>
        <v>8730</v>
      </c>
      <c r="S135" s="1" t="n">
        <f aca="false">Transport!G135</f>
        <v>10761</v>
      </c>
      <c r="T135" s="1" t="n">
        <f aca="false">Transport!H135</f>
        <v>15509</v>
      </c>
      <c r="U135" s="1" t="n">
        <f aca="false">Transport!I135</f>
        <v>1880</v>
      </c>
      <c r="V135" s="1" t="n">
        <f aca="false">Transport!J135</f>
        <v>2295</v>
      </c>
      <c r="W135" s="1" t="n">
        <f aca="false">Transport!K135</f>
        <v>1036</v>
      </c>
      <c r="X135" s="1" t="n">
        <f aca="false">Transport!L135</f>
        <v>683</v>
      </c>
    </row>
    <row r="136" customFormat="false" ht="11.25" hidden="false" customHeight="false" outlineLevel="0" collapsed="false">
      <c r="A136" s="6" t="n">
        <f aca="false">+A135+365/12</f>
        <v>39733.5833333333</v>
      </c>
      <c r="B136" s="29" t="n">
        <f aca="false">C136-0.06</f>
        <v>5.47051998463121</v>
      </c>
      <c r="C136" s="29" t="n">
        <f aca="false">C124*1.01</f>
        <v>5.53051998463121</v>
      </c>
      <c r="D136" s="29" t="n">
        <f aca="false">C136-0.05</f>
        <v>5.48051998463121</v>
      </c>
      <c r="E136" s="29" t="n">
        <f aca="false">C136</f>
        <v>5.53051998463121</v>
      </c>
      <c r="F136" s="31" t="n">
        <f aca="false">+F135</f>
        <v>0.0275</v>
      </c>
      <c r="G136" s="38" t="n">
        <f aca="false">F136</f>
        <v>0.0275</v>
      </c>
      <c r="H136" s="1" t="n">
        <v>31</v>
      </c>
      <c r="I136" s="27" t="n">
        <v>-0.0826274609265836</v>
      </c>
      <c r="K136" s="28" t="n">
        <v>0.0145</v>
      </c>
      <c r="L136" s="32" t="n">
        <f aca="false">L135</f>
        <v>0.396998966179294</v>
      </c>
      <c r="M136" s="4" t="n">
        <f aca="false">M135</f>
        <v>0.7348</v>
      </c>
      <c r="N136" s="8" t="n">
        <f aca="false">L136</f>
        <v>0.396998966179294</v>
      </c>
      <c r="O136" s="1" t="n">
        <f aca="false">O135</f>
        <v>0.0477</v>
      </c>
      <c r="P136" s="1" t="n">
        <f aca="false">P135</f>
        <v>0.0307</v>
      </c>
      <c r="R136" s="1" t="n">
        <f aca="false">Transport!F136</f>
        <v>8730</v>
      </c>
      <c r="S136" s="1" t="n">
        <f aca="false">Transport!G136</f>
        <v>10361</v>
      </c>
      <c r="T136" s="1" t="n">
        <f aca="false">Transport!H136</f>
        <v>15909</v>
      </c>
      <c r="U136" s="1" t="n">
        <f aca="false">Transport!I136</f>
        <v>2830</v>
      </c>
      <c r="V136" s="1" t="n">
        <f aca="false">Transport!J136</f>
        <v>3500</v>
      </c>
      <c r="W136" s="1" t="n">
        <f aca="false">Transport!K136</f>
        <v>1521</v>
      </c>
      <c r="X136" s="1" t="n">
        <f aca="false">Transport!L136</f>
        <v>1001</v>
      </c>
    </row>
    <row r="137" customFormat="false" ht="11.25" hidden="false" customHeight="false" outlineLevel="0" collapsed="false">
      <c r="A137" s="6" t="n">
        <f aca="false">+A136+365/12</f>
        <v>39764</v>
      </c>
      <c r="B137" s="29" t="n">
        <f aca="false">C137-0.06</f>
        <v>3.63409012409148</v>
      </c>
      <c r="C137" s="29" t="n">
        <f aca="false">C125*1.01</f>
        <v>3.69409012409148</v>
      </c>
      <c r="D137" s="29" t="n">
        <f aca="false">C137-0.05</f>
        <v>3.64409012409148</v>
      </c>
      <c r="E137" s="29" t="n">
        <f aca="false">C137</f>
        <v>3.69409012409148</v>
      </c>
      <c r="F137" s="31" t="n">
        <f aca="false">+F136</f>
        <v>0.0275</v>
      </c>
      <c r="G137" s="38" t="n">
        <f aca="false">F137</f>
        <v>0.0275</v>
      </c>
      <c r="H137" s="1" t="n">
        <v>30</v>
      </c>
      <c r="I137" s="27" t="n">
        <v>-0.127599684115651</v>
      </c>
      <c r="K137" s="28" t="n">
        <v>0.0194999999999999</v>
      </c>
      <c r="L137" s="32" t="n">
        <f aca="false">L136</f>
        <v>0.396998966179294</v>
      </c>
      <c r="M137" s="4" t="n">
        <f aca="false">M136</f>
        <v>0.7348</v>
      </c>
      <c r="N137" s="8" t="n">
        <f aca="false">L137</f>
        <v>0.396998966179294</v>
      </c>
      <c r="O137" s="1" t="n">
        <f aca="false">O136</f>
        <v>0.0477</v>
      </c>
      <c r="P137" s="1" t="n">
        <f aca="false">P136</f>
        <v>0.0307</v>
      </c>
      <c r="R137" s="1" t="n">
        <f aca="false">Transport!F137</f>
        <v>4926</v>
      </c>
      <c r="S137" s="1" t="n">
        <f aca="false">Transport!G137</f>
        <v>5732</v>
      </c>
      <c r="T137" s="1" t="n">
        <f aca="false">Transport!H137</f>
        <v>9342</v>
      </c>
      <c r="U137" s="1" t="n">
        <f aca="false">Transport!I137</f>
        <v>2563</v>
      </c>
      <c r="V137" s="1" t="n">
        <f aca="false">Transport!J137</f>
        <v>2862</v>
      </c>
      <c r="W137" s="1" t="n">
        <f aca="false">Transport!K137</f>
        <v>1685</v>
      </c>
      <c r="X137" s="1" t="n">
        <f aca="false">Transport!L137</f>
        <v>683</v>
      </c>
    </row>
    <row r="138" customFormat="false" ht="11.25" hidden="false" customHeight="false" outlineLevel="0" collapsed="false">
      <c r="A138" s="6" t="n">
        <f aca="false">+A137+365/12</f>
        <v>39794.4166666667</v>
      </c>
      <c r="B138" s="29" t="n">
        <f aca="false">C138-0.06</f>
        <v>2.6999523915626</v>
      </c>
      <c r="C138" s="29" t="n">
        <f aca="false">C126*1.01</f>
        <v>2.7599523915626</v>
      </c>
      <c r="D138" s="29" t="n">
        <f aca="false">C138-0.05</f>
        <v>2.7099523915626</v>
      </c>
      <c r="E138" s="29" t="n">
        <f aca="false">C138</f>
        <v>2.7599523915626</v>
      </c>
      <c r="F138" s="31" t="n">
        <f aca="false">+F137</f>
        <v>0.0275</v>
      </c>
      <c r="G138" s="38" t="n">
        <f aca="false">F138</f>
        <v>0.0275</v>
      </c>
      <c r="H138" s="1" t="n">
        <v>31</v>
      </c>
      <c r="I138" s="27" t="n">
        <v>-0.162562185420891</v>
      </c>
      <c r="K138" s="28" t="n">
        <v>0.0245000000000002</v>
      </c>
      <c r="L138" s="32" t="n">
        <f aca="false">L137</f>
        <v>0.396998966179294</v>
      </c>
      <c r="M138" s="4" t="n">
        <f aca="false">M137</f>
        <v>0.7348</v>
      </c>
      <c r="N138" s="8" t="n">
        <f aca="false">L138</f>
        <v>0.396998966179294</v>
      </c>
      <c r="O138" s="1" t="n">
        <f aca="false">O137</f>
        <v>0.0477</v>
      </c>
      <c r="P138" s="1" t="n">
        <f aca="false">P137</f>
        <v>0.0307</v>
      </c>
      <c r="R138" s="1" t="n">
        <f aca="false">Transport!F138</f>
        <v>4926</v>
      </c>
      <c r="S138" s="1" t="n">
        <f aca="false">Transport!G138</f>
        <v>5732</v>
      </c>
      <c r="T138" s="1" t="n">
        <f aca="false">Transport!H138</f>
        <v>9342</v>
      </c>
      <c r="U138" s="1" t="n">
        <f aca="false">Transport!I138</f>
        <v>2563</v>
      </c>
      <c r="V138" s="1" t="n">
        <f aca="false">Transport!J138</f>
        <v>2862</v>
      </c>
      <c r="W138" s="1" t="n">
        <f aca="false">Transport!K138</f>
        <v>1685</v>
      </c>
      <c r="X138" s="1" t="n">
        <f aca="false">Transport!L138</f>
        <v>683</v>
      </c>
    </row>
    <row r="139" customFormat="false" ht="11.25" hidden="false" customHeight="false" outlineLevel="0" collapsed="false">
      <c r="A139" s="41" t="n">
        <f aca="false">+A138+365/12</f>
        <v>39824.8333333333</v>
      </c>
      <c r="B139" s="42" t="n">
        <f aca="false">C139-0.06</f>
        <v>2.37374724928291</v>
      </c>
      <c r="C139" s="42" t="n">
        <f aca="false">C127*1.01</f>
        <v>2.43374724928291</v>
      </c>
      <c r="D139" s="42" t="n">
        <f aca="false">C139-0.05</f>
        <v>2.38374724928291</v>
      </c>
      <c r="E139" s="42" t="n">
        <f aca="false">C139</f>
        <v>2.43374724928291</v>
      </c>
      <c r="F139" s="43" t="n">
        <f aca="false">+F138</f>
        <v>0.0275</v>
      </c>
      <c r="G139" s="44" t="n">
        <f aca="false">F139</f>
        <v>0.0275</v>
      </c>
      <c r="H139" s="45" t="n">
        <v>31</v>
      </c>
      <c r="I139" s="46" t="n">
        <v>-0.147509062269983</v>
      </c>
      <c r="J139" s="45"/>
      <c r="K139" s="47" t="n">
        <v>0.0245000000000002</v>
      </c>
      <c r="L139" s="48" t="n">
        <f aca="false">('[1]062'!$T$56*1000)/('[1]062'!$T$50*[1]Assumptions!$T$9)</f>
        <v>0.398086634579785</v>
      </c>
      <c r="M139" s="49" t="n">
        <f aca="false">M138</f>
        <v>0.7348</v>
      </c>
      <c r="N139" s="50" t="n">
        <f aca="false">L139</f>
        <v>0.398086634579785</v>
      </c>
      <c r="O139" s="45" t="n">
        <f aca="false">O138</f>
        <v>0.0477</v>
      </c>
      <c r="P139" s="45" t="n">
        <f aca="false">P138</f>
        <v>0.0307</v>
      </c>
      <c r="Q139" s="45"/>
      <c r="R139" s="45" t="n">
        <f aca="false">Transport!F139</f>
        <v>4926</v>
      </c>
      <c r="S139" s="45" t="n">
        <f aca="false">Transport!G139</f>
        <v>5732</v>
      </c>
      <c r="T139" s="45" t="n">
        <f aca="false">Transport!H139</f>
        <v>9342</v>
      </c>
      <c r="U139" s="45" t="n">
        <f aca="false">Transport!I139</f>
        <v>2563</v>
      </c>
      <c r="V139" s="45" t="n">
        <f aca="false">Transport!J139</f>
        <v>2862</v>
      </c>
      <c r="W139" s="45" t="n">
        <f aca="false">Transport!K139</f>
        <v>1685</v>
      </c>
      <c r="X139" s="45" t="n">
        <f aca="false">Transport!L139</f>
        <v>683</v>
      </c>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c r="FB139" s="45"/>
      <c r="FC139" s="45"/>
      <c r="FD139" s="45"/>
      <c r="FE139" s="45"/>
      <c r="FF139" s="45"/>
      <c r="FG139" s="45"/>
      <c r="FH139" s="45"/>
      <c r="FI139" s="45"/>
      <c r="FJ139" s="45"/>
      <c r="FK139" s="45"/>
      <c r="FL139" s="45"/>
      <c r="FM139" s="45"/>
      <c r="FN139" s="45"/>
      <c r="FO139" s="45"/>
      <c r="FP139" s="45"/>
      <c r="FQ139" s="45"/>
      <c r="FR139" s="45"/>
      <c r="FS139" s="45"/>
      <c r="FT139" s="45"/>
      <c r="FU139" s="45"/>
      <c r="FV139" s="45"/>
      <c r="FW139" s="45"/>
      <c r="FX139" s="45"/>
      <c r="FY139" s="45"/>
      <c r="FZ139" s="45"/>
      <c r="GA139" s="45"/>
      <c r="GB139" s="45"/>
      <c r="GC139" s="45"/>
      <c r="GD139" s="45"/>
      <c r="GE139" s="45"/>
      <c r="GF139" s="45"/>
      <c r="GG139" s="45"/>
      <c r="GH139" s="45"/>
      <c r="GI139" s="45"/>
      <c r="GJ139" s="45"/>
      <c r="GK139" s="45"/>
      <c r="GL139" s="45"/>
      <c r="GM139" s="45"/>
      <c r="GN139" s="45"/>
      <c r="GO139" s="45"/>
      <c r="GP139" s="45"/>
      <c r="GQ139" s="45"/>
      <c r="GR139" s="45"/>
      <c r="GS139" s="45"/>
      <c r="GT139" s="45"/>
      <c r="GU139" s="45"/>
      <c r="GV139" s="45"/>
      <c r="GW139" s="45"/>
      <c r="GX139" s="45"/>
      <c r="GY139" s="45"/>
      <c r="GZ139" s="45"/>
      <c r="HA139" s="45"/>
      <c r="HB139" s="45"/>
      <c r="HC139" s="45"/>
      <c r="HD139" s="45"/>
      <c r="HE139" s="45"/>
      <c r="HF139" s="45"/>
      <c r="HG139" s="45"/>
      <c r="HH139" s="45"/>
      <c r="HI139" s="45"/>
      <c r="HJ139" s="45"/>
      <c r="HK139" s="45"/>
      <c r="HL139" s="45"/>
      <c r="HM139" s="45"/>
      <c r="HN139" s="45"/>
      <c r="HO139" s="45"/>
      <c r="HP139" s="45"/>
      <c r="HQ139" s="45"/>
      <c r="HR139" s="45"/>
      <c r="HS139" s="45"/>
      <c r="HT139" s="45"/>
      <c r="HU139" s="45"/>
      <c r="HV139" s="45"/>
      <c r="HW139" s="45"/>
      <c r="HX139" s="45"/>
      <c r="HY139" s="45"/>
      <c r="HZ139" s="45"/>
      <c r="IA139" s="45"/>
      <c r="IB139" s="45"/>
      <c r="IC139" s="45"/>
      <c r="ID139" s="45"/>
      <c r="IE139" s="45"/>
      <c r="IF139" s="45"/>
      <c r="IG139" s="45"/>
      <c r="IH139" s="45"/>
      <c r="II139" s="45"/>
      <c r="IJ139" s="45"/>
      <c r="IK139" s="45"/>
      <c r="IL139" s="45"/>
      <c r="IM139" s="45"/>
      <c r="IN139" s="45"/>
      <c r="IO139" s="45"/>
      <c r="IP139" s="45"/>
      <c r="IQ139" s="45"/>
      <c r="IR139" s="45"/>
      <c r="IS139" s="45"/>
      <c r="IT139" s="45"/>
      <c r="IU139" s="45"/>
      <c r="IV139" s="45"/>
      <c r="IW139" s="45"/>
    </row>
    <row r="140" customFormat="false" ht="11.25" hidden="false" customHeight="false" outlineLevel="0" collapsed="false">
      <c r="A140" s="6" t="n">
        <f aca="false">+A139+365/12</f>
        <v>39855.25</v>
      </c>
      <c r="B140" s="29" t="n">
        <f aca="false">C140-0.06</f>
        <v>2.66322379435181</v>
      </c>
      <c r="C140" s="29" t="n">
        <f aca="false">C128*1.01</f>
        <v>2.72322379435181</v>
      </c>
      <c r="D140" s="29" t="n">
        <f aca="false">C140-0.05</f>
        <v>2.67322379435181</v>
      </c>
      <c r="E140" s="29" t="n">
        <f aca="false">C140</f>
        <v>2.72322379435181</v>
      </c>
      <c r="F140" s="31" t="n">
        <f aca="false">+F139</f>
        <v>0.0275</v>
      </c>
      <c r="G140" s="38" t="n">
        <f aca="false">F140</f>
        <v>0.0275</v>
      </c>
      <c r="H140" s="1" t="n">
        <v>28</v>
      </c>
      <c r="I140" s="27" t="n">
        <v>-0.147536839080916</v>
      </c>
      <c r="K140" s="28" t="n">
        <v>0.0245000000000002</v>
      </c>
      <c r="L140" s="32" t="n">
        <f aca="false">L139</f>
        <v>0.398086634579785</v>
      </c>
      <c r="M140" s="4" t="n">
        <f aca="false">M139</f>
        <v>0.7348</v>
      </c>
      <c r="N140" s="8" t="n">
        <f aca="false">L140</f>
        <v>0.398086634579785</v>
      </c>
      <c r="O140" s="1" t="n">
        <f aca="false">O139</f>
        <v>0.0477</v>
      </c>
      <c r="P140" s="1" t="n">
        <f aca="false">P139</f>
        <v>0.0307</v>
      </c>
      <c r="R140" s="1" t="n">
        <f aca="false">Transport!F140</f>
        <v>4926</v>
      </c>
      <c r="S140" s="1" t="n">
        <f aca="false">Transport!G140</f>
        <v>5732</v>
      </c>
      <c r="T140" s="1" t="n">
        <f aca="false">Transport!H140</f>
        <v>9342</v>
      </c>
      <c r="U140" s="1" t="n">
        <f aca="false">Transport!I140</f>
        <v>2563</v>
      </c>
      <c r="V140" s="1" t="n">
        <f aca="false">Transport!J140</f>
        <v>2862</v>
      </c>
      <c r="W140" s="1" t="n">
        <f aca="false">Transport!K140</f>
        <v>1685</v>
      </c>
      <c r="X140" s="1" t="n">
        <f aca="false">Transport!L140</f>
        <v>683</v>
      </c>
    </row>
    <row r="141" customFormat="false" ht="11.25" hidden="false" customHeight="false" outlineLevel="0" collapsed="false">
      <c r="A141" s="6" t="n">
        <f aca="false">+A140+365/12</f>
        <v>39885.6666666667</v>
      </c>
      <c r="B141" s="29" t="n">
        <f aca="false">C141-0.06</f>
        <v>2.66322379435181</v>
      </c>
      <c r="C141" s="29" t="n">
        <f aca="false">C129*1.01</f>
        <v>2.72322379435181</v>
      </c>
      <c r="D141" s="29" t="n">
        <f aca="false">C141-0.05</f>
        <v>2.67322379435181</v>
      </c>
      <c r="E141" s="29" t="n">
        <f aca="false">C141</f>
        <v>2.72322379435181</v>
      </c>
      <c r="F141" s="31" t="n">
        <f aca="false">+F140</f>
        <v>0.0275</v>
      </c>
      <c r="G141" s="38" t="n">
        <f aca="false">F141</f>
        <v>0.0275</v>
      </c>
      <c r="H141" s="1" t="n">
        <v>31</v>
      </c>
      <c r="I141" s="27" t="n">
        <v>-0.122572601724992</v>
      </c>
      <c r="K141" s="28" t="n">
        <v>0.0195000000000003</v>
      </c>
      <c r="L141" s="32" t="n">
        <f aca="false">L140</f>
        <v>0.398086634579785</v>
      </c>
      <c r="M141" s="4" t="n">
        <f aca="false">M140</f>
        <v>0.7348</v>
      </c>
      <c r="N141" s="8" t="n">
        <f aca="false">L141</f>
        <v>0.398086634579785</v>
      </c>
      <c r="O141" s="1" t="n">
        <f aca="false">O140</f>
        <v>0.0477</v>
      </c>
      <c r="P141" s="1" t="n">
        <f aca="false">P140</f>
        <v>0.0307</v>
      </c>
      <c r="R141" s="1" t="n">
        <f aca="false">Transport!F141</f>
        <v>4926</v>
      </c>
      <c r="S141" s="1" t="n">
        <f aca="false">Transport!G141</f>
        <v>5732</v>
      </c>
      <c r="T141" s="1" t="n">
        <f aca="false">Transport!H141</f>
        <v>9342</v>
      </c>
      <c r="U141" s="1" t="n">
        <f aca="false">Transport!I141</f>
        <v>2563</v>
      </c>
      <c r="V141" s="1" t="n">
        <f aca="false">Transport!J141</f>
        <v>2862</v>
      </c>
      <c r="W141" s="1" t="n">
        <f aca="false">Transport!K141</f>
        <v>1685</v>
      </c>
      <c r="X141" s="1" t="n">
        <f aca="false">Transport!L141</f>
        <v>683</v>
      </c>
    </row>
    <row r="142" customFormat="false" ht="11.25" hidden="false" customHeight="false" outlineLevel="0" collapsed="false">
      <c r="A142" s="6" t="n">
        <f aca="false">+A141+365/12</f>
        <v>39916.0833333333</v>
      </c>
      <c r="B142" s="29" t="n">
        <f aca="false">C142-0.06</f>
        <v>2.9527003394207</v>
      </c>
      <c r="C142" s="29" t="n">
        <f aca="false">C130*1.01</f>
        <v>3.0127003394207</v>
      </c>
      <c r="D142" s="29" t="n">
        <f aca="false">C142-0.05</f>
        <v>2.9627003394207</v>
      </c>
      <c r="E142" s="29" t="n">
        <f aca="false">C142</f>
        <v>3.0127003394207</v>
      </c>
      <c r="F142" s="31" t="n">
        <f aca="false">+F141</f>
        <v>0.0275</v>
      </c>
      <c r="G142" s="38" t="n">
        <f aca="false">F142</f>
        <v>0.0275</v>
      </c>
      <c r="H142" s="1" t="n">
        <v>30</v>
      </c>
      <c r="I142" s="27" t="n">
        <v>-0.0730896150216878</v>
      </c>
      <c r="K142" s="28" t="n">
        <v>0.00599999999999978</v>
      </c>
      <c r="L142" s="32" t="n">
        <f aca="false">L141</f>
        <v>0.398086634579785</v>
      </c>
      <c r="M142" s="4" t="n">
        <f aca="false">M141</f>
        <v>0.7348</v>
      </c>
      <c r="N142" s="8" t="n">
        <f aca="false">L142</f>
        <v>0.398086634579785</v>
      </c>
      <c r="O142" s="1" t="n">
        <f aca="false">O141</f>
        <v>0.0477</v>
      </c>
      <c r="P142" s="1" t="n">
        <f aca="false">P141</f>
        <v>0.0307</v>
      </c>
      <c r="R142" s="1" t="n">
        <f aca="false">Transport!F142</f>
        <v>6933</v>
      </c>
      <c r="S142" s="1" t="n">
        <f aca="false">Transport!G142</f>
        <v>8798</v>
      </c>
      <c r="T142" s="1" t="n">
        <f aca="false">Transport!H142</f>
        <v>14269</v>
      </c>
      <c r="U142" s="1" t="n">
        <f aca="false">Transport!I142</f>
        <v>1880</v>
      </c>
      <c r="V142" s="1" t="n">
        <f aca="false">Transport!J142</f>
        <v>2073</v>
      </c>
      <c r="W142" s="1" t="n">
        <f aca="false">Transport!K142</f>
        <v>1258</v>
      </c>
      <c r="X142" s="1" t="n">
        <f aca="false">Transport!L142</f>
        <v>683</v>
      </c>
    </row>
    <row r="143" customFormat="false" ht="11.25" hidden="false" customHeight="false" outlineLevel="0" collapsed="false">
      <c r="A143" s="6" t="n">
        <f aca="false">+A142+365/12</f>
        <v>39946.5</v>
      </c>
      <c r="B143" s="29" t="n">
        <f aca="false">C143-0.06</f>
        <v>3.15640605632103</v>
      </c>
      <c r="C143" s="29" t="n">
        <f aca="false">C131*1.01</f>
        <v>3.21640605632103</v>
      </c>
      <c r="D143" s="29" t="n">
        <f aca="false">C143-0.05</f>
        <v>3.16640605632103</v>
      </c>
      <c r="E143" s="29" t="n">
        <f aca="false">C143</f>
        <v>3.21640605632103</v>
      </c>
      <c r="F143" s="31" t="n">
        <f aca="false">+F142</f>
        <v>0.0275</v>
      </c>
      <c r="G143" s="38" t="n">
        <f aca="false">F143</f>
        <v>0.0275</v>
      </c>
      <c r="H143" s="1" t="n">
        <v>31</v>
      </c>
      <c r="I143" s="27" t="n">
        <v>-0.0756430270100856</v>
      </c>
      <c r="K143" s="28" t="n">
        <v>0.00599999999999978</v>
      </c>
      <c r="L143" s="32" t="n">
        <f aca="false">L142</f>
        <v>0.398086634579785</v>
      </c>
      <c r="M143" s="4" t="n">
        <f aca="false">M142</f>
        <v>0.7348</v>
      </c>
      <c r="N143" s="8" t="n">
        <f aca="false">L143</f>
        <v>0.398086634579785</v>
      </c>
      <c r="O143" s="1" t="n">
        <f aca="false">O142</f>
        <v>0.0477</v>
      </c>
      <c r="P143" s="1" t="n">
        <f aca="false">P142</f>
        <v>0.0307</v>
      </c>
      <c r="R143" s="1" t="n">
        <f aca="false">Transport!F143</f>
        <v>8730</v>
      </c>
      <c r="S143" s="1" t="n">
        <f aca="false">Transport!G143</f>
        <v>10761</v>
      </c>
      <c r="T143" s="1" t="n">
        <f aca="false">Transport!H143</f>
        <v>15509</v>
      </c>
      <c r="U143" s="1" t="n">
        <f aca="false">Transport!I143</f>
        <v>1880</v>
      </c>
      <c r="V143" s="1" t="n">
        <f aca="false">Transport!J143</f>
        <v>2295</v>
      </c>
      <c r="W143" s="1" t="n">
        <f aca="false">Transport!K143</f>
        <v>1036</v>
      </c>
      <c r="X143" s="1" t="n">
        <f aca="false">Transport!L143</f>
        <v>683</v>
      </c>
    </row>
    <row r="144" customFormat="false" ht="11.25" hidden="false" customHeight="false" outlineLevel="0" collapsed="false">
      <c r="A144" s="6" t="n">
        <f aca="false">+A143+365/12</f>
        <v>39976.9166666667</v>
      </c>
      <c r="B144" s="29" t="n">
        <f aca="false">C144-0.06</f>
        <v>4.56090336758121</v>
      </c>
      <c r="C144" s="29" t="n">
        <f aca="false">C132*1.01</f>
        <v>4.62090336758121</v>
      </c>
      <c r="D144" s="29" t="n">
        <f aca="false">C144-0.05</f>
        <v>4.57090336758121</v>
      </c>
      <c r="E144" s="29" t="n">
        <f aca="false">C144</f>
        <v>4.62090336758121</v>
      </c>
      <c r="F144" s="31" t="n">
        <f aca="false">+F143</f>
        <v>0.0275</v>
      </c>
      <c r="G144" s="38" t="n">
        <f aca="false">F144</f>
        <v>0.0275</v>
      </c>
      <c r="H144" s="1" t="n">
        <v>30</v>
      </c>
      <c r="I144" s="27" t="n">
        <v>-0.0756461818238532</v>
      </c>
      <c r="K144" s="28" t="n">
        <v>0.00599999999999978</v>
      </c>
      <c r="L144" s="32" t="n">
        <f aca="false">L143</f>
        <v>0.398086634579785</v>
      </c>
      <c r="M144" s="4" t="n">
        <f aca="false">M143</f>
        <v>0.7348</v>
      </c>
      <c r="N144" s="8" t="n">
        <f aca="false">L144</f>
        <v>0.398086634579785</v>
      </c>
      <c r="O144" s="1" t="n">
        <f aca="false">O143</f>
        <v>0.0477</v>
      </c>
      <c r="P144" s="1" t="n">
        <f aca="false">P143</f>
        <v>0.0307</v>
      </c>
      <c r="R144" s="1" t="n">
        <f aca="false">Transport!F144</f>
        <v>8730</v>
      </c>
      <c r="S144" s="1" t="n">
        <f aca="false">Transport!G144</f>
        <v>10761</v>
      </c>
      <c r="T144" s="1" t="n">
        <f aca="false">Transport!H144</f>
        <v>15509</v>
      </c>
      <c r="U144" s="1" t="n">
        <f aca="false">Transport!I144</f>
        <v>1880</v>
      </c>
      <c r="V144" s="1" t="n">
        <f aca="false">Transport!J144</f>
        <v>2295</v>
      </c>
      <c r="W144" s="1" t="n">
        <f aca="false">Transport!K144</f>
        <v>1036</v>
      </c>
      <c r="X144" s="1" t="n">
        <f aca="false">Transport!L144</f>
        <v>683</v>
      </c>
    </row>
    <row r="145" customFormat="false" ht="11.25" hidden="false" customHeight="false" outlineLevel="0" collapsed="false">
      <c r="A145" s="6" t="n">
        <f aca="false">+A144+365/12</f>
        <v>40007.3333333333</v>
      </c>
      <c r="B145" s="29" t="n">
        <f aca="false">C145-0.06</f>
        <v>4.55018201406014</v>
      </c>
      <c r="C145" s="29" t="n">
        <f aca="false">C133*1.01</f>
        <v>4.61018201406014</v>
      </c>
      <c r="D145" s="29" t="n">
        <f aca="false">C145-0.05</f>
        <v>4.56018201406014</v>
      </c>
      <c r="E145" s="29" t="n">
        <f aca="false">C145</f>
        <v>4.61018201406014</v>
      </c>
      <c r="F145" s="31" t="n">
        <f aca="false">+F144</f>
        <v>0.0275</v>
      </c>
      <c r="G145" s="38" t="n">
        <f aca="false">F145</f>
        <v>0.0275</v>
      </c>
      <c r="H145" s="1" t="n">
        <v>31</v>
      </c>
      <c r="I145" s="27" t="n">
        <v>-0.0801480747121137</v>
      </c>
      <c r="K145" s="28" t="n">
        <v>0.00949999999999984</v>
      </c>
      <c r="L145" s="32" t="n">
        <f aca="false">L144</f>
        <v>0.398086634579785</v>
      </c>
      <c r="M145" s="4" t="n">
        <f aca="false">M144</f>
        <v>0.7348</v>
      </c>
      <c r="N145" s="8" t="n">
        <f aca="false">L145</f>
        <v>0.398086634579785</v>
      </c>
      <c r="O145" s="1" t="n">
        <f aca="false">O144</f>
        <v>0.0477</v>
      </c>
      <c r="P145" s="1" t="n">
        <f aca="false">P144</f>
        <v>0.0307</v>
      </c>
      <c r="R145" s="1" t="n">
        <f aca="false">Transport!F145</f>
        <v>8730</v>
      </c>
      <c r="S145" s="1" t="n">
        <f aca="false">Transport!G145</f>
        <v>10761</v>
      </c>
      <c r="T145" s="1" t="n">
        <f aca="false">Transport!H145</f>
        <v>15509</v>
      </c>
      <c r="U145" s="1" t="n">
        <f aca="false">Transport!I145</f>
        <v>1880</v>
      </c>
      <c r="V145" s="1" t="n">
        <f aca="false">Transport!J145</f>
        <v>2295</v>
      </c>
      <c r="W145" s="1" t="n">
        <f aca="false">Transport!K145</f>
        <v>1036</v>
      </c>
      <c r="X145" s="1" t="n">
        <f aca="false">Transport!L145</f>
        <v>683</v>
      </c>
    </row>
    <row r="146" customFormat="false" ht="11.25" hidden="false" customHeight="false" outlineLevel="0" collapsed="false">
      <c r="A146" s="6" t="n">
        <f aca="false">+A145+365/12</f>
        <v>40037.75</v>
      </c>
      <c r="B146" s="29" t="n">
        <f aca="false">C146-0.06</f>
        <v>3.97122892392236</v>
      </c>
      <c r="C146" s="29" t="n">
        <f aca="false">C134*1.01</f>
        <v>4.03122892392236</v>
      </c>
      <c r="D146" s="29" t="n">
        <f aca="false">C146-0.05</f>
        <v>3.98122892392236</v>
      </c>
      <c r="E146" s="29" t="n">
        <f aca="false">C146</f>
        <v>4.03122892392236</v>
      </c>
      <c r="F146" s="31" t="n">
        <f aca="false">+F145</f>
        <v>0.0275</v>
      </c>
      <c r="G146" s="38" t="n">
        <f aca="false">F146</f>
        <v>0.0275</v>
      </c>
      <c r="H146" s="1" t="n">
        <v>31</v>
      </c>
      <c r="I146" s="27" t="n">
        <v>-0.0801518604886344</v>
      </c>
      <c r="K146" s="28" t="n">
        <v>0.00949999999999962</v>
      </c>
      <c r="L146" s="32" t="n">
        <f aca="false">L145</f>
        <v>0.398086634579785</v>
      </c>
      <c r="M146" s="4" t="n">
        <f aca="false">M145</f>
        <v>0.7348</v>
      </c>
      <c r="N146" s="8" t="n">
        <f aca="false">L146</f>
        <v>0.398086634579785</v>
      </c>
      <c r="O146" s="1" t="n">
        <f aca="false">O145</f>
        <v>0.0477</v>
      </c>
      <c r="P146" s="1" t="n">
        <f aca="false">P145</f>
        <v>0.0307</v>
      </c>
      <c r="R146" s="1" t="n">
        <f aca="false">Transport!F146</f>
        <v>8730</v>
      </c>
      <c r="S146" s="1" t="n">
        <f aca="false">Transport!G146</f>
        <v>10761</v>
      </c>
      <c r="T146" s="1" t="n">
        <f aca="false">Transport!H146</f>
        <v>15509</v>
      </c>
      <c r="U146" s="1" t="n">
        <f aca="false">Transport!I146</f>
        <v>1880</v>
      </c>
      <c r="V146" s="1" t="n">
        <f aca="false">Transport!J146</f>
        <v>2295</v>
      </c>
      <c r="W146" s="1" t="n">
        <f aca="false">Transport!K146</f>
        <v>1036</v>
      </c>
      <c r="X146" s="1" t="n">
        <f aca="false">Transport!L146</f>
        <v>683</v>
      </c>
    </row>
    <row r="147" customFormat="false" ht="11.25" hidden="false" customHeight="false" outlineLevel="0" collapsed="false">
      <c r="A147" s="6" t="n">
        <f aca="false">+A146+365/12</f>
        <v>40068.1666666667</v>
      </c>
      <c r="B147" s="29" t="n">
        <f aca="false">C147-0.06</f>
        <v>4.79677314504476</v>
      </c>
      <c r="C147" s="29" t="n">
        <f aca="false">C135*1.01</f>
        <v>4.85677314504476</v>
      </c>
      <c r="D147" s="29" t="n">
        <f aca="false">C147-0.05</f>
        <v>4.80677314504476</v>
      </c>
      <c r="E147" s="29" t="n">
        <f aca="false">C147</f>
        <v>4.85677314504476</v>
      </c>
      <c r="F147" s="31" t="n">
        <f aca="false">+F146</f>
        <v>0.0275</v>
      </c>
      <c r="G147" s="38" t="n">
        <f aca="false">F147</f>
        <v>0.0275</v>
      </c>
      <c r="H147" s="1" t="n">
        <v>30</v>
      </c>
      <c r="I147" s="27" t="n">
        <v>-0.08015817011617</v>
      </c>
      <c r="K147" s="28" t="n">
        <v>0.00949999999999962</v>
      </c>
      <c r="L147" s="32" t="n">
        <f aca="false">L146</f>
        <v>0.398086634579785</v>
      </c>
      <c r="M147" s="4" t="n">
        <f aca="false">M146</f>
        <v>0.7348</v>
      </c>
      <c r="N147" s="8" t="n">
        <f aca="false">L147</f>
        <v>0.398086634579785</v>
      </c>
      <c r="O147" s="1" t="n">
        <f aca="false">O146</f>
        <v>0.0477</v>
      </c>
      <c r="P147" s="1" t="n">
        <f aca="false">P146</f>
        <v>0.0307</v>
      </c>
      <c r="R147" s="1" t="n">
        <f aca="false">Transport!F147</f>
        <v>8730</v>
      </c>
      <c r="S147" s="1" t="n">
        <f aca="false">Transport!G147</f>
        <v>10761</v>
      </c>
      <c r="T147" s="1" t="n">
        <f aca="false">Transport!H147</f>
        <v>15509</v>
      </c>
      <c r="U147" s="1" t="n">
        <f aca="false">Transport!I147</f>
        <v>1880</v>
      </c>
      <c r="V147" s="1" t="n">
        <f aca="false">Transport!J147</f>
        <v>2295</v>
      </c>
      <c r="W147" s="1" t="n">
        <f aca="false">Transport!K147</f>
        <v>1036</v>
      </c>
      <c r="X147" s="1" t="n">
        <f aca="false">Transport!L147</f>
        <v>683</v>
      </c>
    </row>
    <row r="148" customFormat="false" ht="11.25" hidden="false" customHeight="false" outlineLevel="0" collapsed="false">
      <c r="A148" s="6" t="n">
        <f aca="false">+A147+365/12</f>
        <v>40098.5833333333</v>
      </c>
      <c r="B148" s="29" t="n">
        <f aca="false">C148-0.06</f>
        <v>5.52582518447752</v>
      </c>
      <c r="C148" s="29" t="n">
        <f aca="false">C136*1.01</f>
        <v>5.58582518447752</v>
      </c>
      <c r="D148" s="29" t="n">
        <f aca="false">C148-0.05</f>
        <v>5.53582518447752</v>
      </c>
      <c r="E148" s="29" t="n">
        <f aca="false">C148</f>
        <v>5.58582518447752</v>
      </c>
      <c r="F148" s="31" t="n">
        <f aca="false">+F147</f>
        <v>0.0275</v>
      </c>
      <c r="G148" s="38" t="n">
        <f aca="false">F148</f>
        <v>0.0275</v>
      </c>
      <c r="H148" s="1" t="n">
        <v>31</v>
      </c>
      <c r="I148" s="27" t="n">
        <v>-0.0825798931378614</v>
      </c>
      <c r="K148" s="28" t="n">
        <v>0.0145</v>
      </c>
      <c r="L148" s="32" t="n">
        <f aca="false">L147</f>
        <v>0.398086634579785</v>
      </c>
      <c r="M148" s="4" t="n">
        <f aca="false">M147</f>
        <v>0.7348</v>
      </c>
      <c r="N148" s="8" t="n">
        <f aca="false">L148</f>
        <v>0.398086634579785</v>
      </c>
      <c r="O148" s="1" t="n">
        <f aca="false">O147</f>
        <v>0.0477</v>
      </c>
      <c r="P148" s="1" t="n">
        <f aca="false">P147</f>
        <v>0.0307</v>
      </c>
      <c r="R148" s="1" t="n">
        <f aca="false">Transport!F148</f>
        <v>8730</v>
      </c>
      <c r="S148" s="1" t="n">
        <f aca="false">Transport!G148</f>
        <v>10361</v>
      </c>
      <c r="T148" s="1" t="n">
        <f aca="false">Transport!H148</f>
        <v>15909</v>
      </c>
      <c r="U148" s="1" t="n">
        <f aca="false">Transport!I148</f>
        <v>2830</v>
      </c>
      <c r="V148" s="1" t="n">
        <f aca="false">Transport!J148</f>
        <v>3500</v>
      </c>
      <c r="W148" s="1" t="n">
        <f aca="false">Transport!K148</f>
        <v>1521</v>
      </c>
      <c r="X148" s="1" t="n">
        <f aca="false">Transport!L148</f>
        <v>1001</v>
      </c>
    </row>
    <row r="149" customFormat="false" ht="11.25" hidden="false" customHeight="false" outlineLevel="0" collapsed="false">
      <c r="A149" s="6" t="n">
        <f aca="false">+A148+365/12</f>
        <v>40129</v>
      </c>
      <c r="B149" s="29" t="n">
        <f aca="false">C149-0.06</f>
        <v>3.6710310253324</v>
      </c>
      <c r="C149" s="29" t="n">
        <f aca="false">C137*1.01</f>
        <v>3.7310310253324</v>
      </c>
      <c r="D149" s="29" t="n">
        <f aca="false">C149-0.05</f>
        <v>3.6810310253324</v>
      </c>
      <c r="E149" s="29" t="n">
        <f aca="false">C149</f>
        <v>3.7310310253324</v>
      </c>
      <c r="F149" s="31" t="n">
        <f aca="false">+F148</f>
        <v>0.0275</v>
      </c>
      <c r="G149" s="38" t="n">
        <f aca="false">F149</f>
        <v>0.0275</v>
      </c>
      <c r="H149" s="1" t="n">
        <v>30</v>
      </c>
      <c r="I149" s="27" t="n">
        <v>-0.127552116326928</v>
      </c>
      <c r="K149" s="28" t="n">
        <v>0.0194999999999999</v>
      </c>
      <c r="L149" s="32" t="n">
        <f aca="false">L148</f>
        <v>0.398086634579785</v>
      </c>
      <c r="M149" s="4" t="n">
        <f aca="false">M148</f>
        <v>0.7348</v>
      </c>
      <c r="N149" s="8" t="n">
        <f aca="false">L149</f>
        <v>0.398086634579785</v>
      </c>
      <c r="O149" s="1" t="n">
        <f aca="false">O148</f>
        <v>0.0477</v>
      </c>
      <c r="P149" s="1" t="n">
        <f aca="false">P148</f>
        <v>0.0307</v>
      </c>
      <c r="R149" s="1" t="n">
        <f aca="false">Transport!F149</f>
        <v>4926</v>
      </c>
      <c r="S149" s="1" t="n">
        <f aca="false">Transport!G149</f>
        <v>5732</v>
      </c>
      <c r="T149" s="1" t="n">
        <f aca="false">Transport!H149</f>
        <v>9342</v>
      </c>
      <c r="U149" s="1" t="n">
        <f aca="false">Transport!I149</f>
        <v>2563</v>
      </c>
      <c r="V149" s="1" t="n">
        <f aca="false">Transport!J149</f>
        <v>2862</v>
      </c>
      <c r="W149" s="1" t="n">
        <f aca="false">Transport!K149</f>
        <v>1685</v>
      </c>
      <c r="X149" s="1" t="n">
        <f aca="false">Transport!L149</f>
        <v>683</v>
      </c>
    </row>
    <row r="150" customFormat="false" ht="11.25" hidden="false" customHeight="false" outlineLevel="0" collapsed="false">
      <c r="A150" s="6" t="n">
        <f aca="false">+A149+365/12</f>
        <v>40159.4166666667</v>
      </c>
      <c r="B150" s="29" t="n">
        <f aca="false">C150-0.06</f>
        <v>2.72755191547823</v>
      </c>
      <c r="C150" s="29" t="n">
        <f aca="false">C138*1.01</f>
        <v>2.78755191547823</v>
      </c>
      <c r="D150" s="29" t="n">
        <f aca="false">C150-0.05</f>
        <v>2.73755191547823</v>
      </c>
      <c r="E150" s="29" t="n">
        <f aca="false">C150</f>
        <v>2.78755191547823</v>
      </c>
      <c r="F150" s="31" t="n">
        <f aca="false">+F149</f>
        <v>0.0275</v>
      </c>
      <c r="G150" s="38" t="n">
        <f aca="false">F150</f>
        <v>0.0275</v>
      </c>
      <c r="H150" s="1" t="n">
        <v>31</v>
      </c>
      <c r="I150" s="27" t="n">
        <v>-0.16251461763217</v>
      </c>
      <c r="K150" s="28" t="n">
        <v>0.0245000000000002</v>
      </c>
      <c r="L150" s="32" t="n">
        <f aca="false">L149</f>
        <v>0.398086634579785</v>
      </c>
      <c r="M150" s="4" t="n">
        <f aca="false">M149</f>
        <v>0.7348</v>
      </c>
      <c r="N150" s="8" t="n">
        <f aca="false">L150</f>
        <v>0.398086634579785</v>
      </c>
      <c r="O150" s="1" t="n">
        <f aca="false">O149</f>
        <v>0.0477</v>
      </c>
      <c r="P150" s="1" t="n">
        <f aca="false">P149</f>
        <v>0.0307</v>
      </c>
      <c r="R150" s="1" t="n">
        <f aca="false">Transport!F150</f>
        <v>4926</v>
      </c>
      <c r="S150" s="1" t="n">
        <f aca="false">Transport!G150</f>
        <v>5732</v>
      </c>
      <c r="T150" s="1" t="n">
        <f aca="false">Transport!H150</f>
        <v>9342</v>
      </c>
      <c r="U150" s="1" t="n">
        <f aca="false">Transport!I150</f>
        <v>2563</v>
      </c>
      <c r="V150" s="1" t="n">
        <f aca="false">Transport!J150</f>
        <v>2862</v>
      </c>
      <c r="W150" s="1" t="n">
        <f aca="false">Transport!K150</f>
        <v>1685</v>
      </c>
      <c r="X150" s="1" t="n">
        <f aca="false">Transport!L150</f>
        <v>683</v>
      </c>
    </row>
    <row r="151" customFormat="false" ht="11.25" hidden="false" customHeight="false" outlineLevel="0" collapsed="false">
      <c r="A151" s="41" t="n">
        <f aca="false">+A150+365/12</f>
        <v>40189.8333333333</v>
      </c>
      <c r="B151" s="42" t="n">
        <f aca="false">C151-0.06</f>
        <v>2.39808472177574</v>
      </c>
      <c r="C151" s="42" t="n">
        <f aca="false">C139*1.01</f>
        <v>2.45808472177574</v>
      </c>
      <c r="D151" s="42" t="n">
        <f aca="false">C151-0.05</f>
        <v>2.40808472177574</v>
      </c>
      <c r="E151" s="42" t="n">
        <f aca="false">C151</f>
        <v>2.45808472177574</v>
      </c>
      <c r="F151" s="43" t="n">
        <f aca="false">+F150</f>
        <v>0.0275</v>
      </c>
      <c r="G151" s="44" t="n">
        <f aca="false">F151</f>
        <v>0.0275</v>
      </c>
      <c r="H151" s="45" t="n">
        <v>31</v>
      </c>
      <c r="I151" s="46" t="n">
        <v>-0.147509062269983</v>
      </c>
      <c r="J151" s="45"/>
      <c r="K151" s="47" t="n">
        <v>0.0245000000000002</v>
      </c>
      <c r="L151" s="48" t="n">
        <f aca="false">('[1]062'!$U$56*1000)/('[1]062'!$U$50*[1]Assumptions!$U$9)</f>
        <v>0.398086634579785</v>
      </c>
      <c r="M151" s="49" t="n">
        <f aca="false">M150</f>
        <v>0.7348</v>
      </c>
      <c r="N151" s="50" t="n">
        <f aca="false">L151</f>
        <v>0.398086634579785</v>
      </c>
      <c r="O151" s="45" t="n">
        <f aca="false">O150</f>
        <v>0.0477</v>
      </c>
      <c r="P151" s="45" t="n">
        <f aca="false">P150</f>
        <v>0.0307</v>
      </c>
      <c r="Q151" s="45"/>
      <c r="R151" s="45" t="n">
        <f aca="false">Transport!F151</f>
        <v>4926</v>
      </c>
      <c r="S151" s="45" t="n">
        <f aca="false">Transport!G151</f>
        <v>5732</v>
      </c>
      <c r="T151" s="45" t="n">
        <f aca="false">Transport!H151</f>
        <v>9342</v>
      </c>
      <c r="U151" s="45" t="n">
        <f aca="false">Transport!I151</f>
        <v>2563</v>
      </c>
      <c r="V151" s="45" t="n">
        <f aca="false">Transport!J151</f>
        <v>2862</v>
      </c>
      <c r="W151" s="45" t="n">
        <f aca="false">Transport!K151</f>
        <v>1685</v>
      </c>
      <c r="X151" s="45" t="n">
        <f aca="false">Transport!L151</f>
        <v>683</v>
      </c>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c r="EU151" s="45"/>
      <c r="EV151" s="45"/>
      <c r="EW151" s="45"/>
      <c r="EX151" s="45"/>
      <c r="EY151" s="45"/>
      <c r="EZ151" s="45"/>
      <c r="FA151" s="45"/>
      <c r="FB151" s="45"/>
      <c r="FC151" s="45"/>
      <c r="FD151" s="45"/>
      <c r="FE151" s="45"/>
      <c r="FF151" s="45"/>
      <c r="FG151" s="45"/>
      <c r="FH151" s="45"/>
      <c r="FI151" s="45"/>
      <c r="FJ151" s="45"/>
      <c r="FK151" s="45"/>
      <c r="FL151" s="45"/>
      <c r="FM151" s="45"/>
      <c r="FN151" s="45"/>
      <c r="FO151" s="45"/>
      <c r="FP151" s="45"/>
      <c r="FQ151" s="45"/>
      <c r="FR151" s="45"/>
      <c r="FS151" s="45"/>
      <c r="FT151" s="45"/>
      <c r="FU151" s="45"/>
      <c r="FV151" s="45"/>
      <c r="FW151" s="45"/>
      <c r="FX151" s="45"/>
      <c r="FY151" s="45"/>
      <c r="FZ151" s="45"/>
      <c r="GA151" s="45"/>
      <c r="GB151" s="45"/>
      <c r="GC151" s="45"/>
      <c r="GD151" s="45"/>
      <c r="GE151" s="45"/>
      <c r="GF151" s="45"/>
      <c r="GG151" s="45"/>
      <c r="GH151" s="45"/>
      <c r="GI151" s="45"/>
      <c r="GJ151" s="45"/>
      <c r="GK151" s="45"/>
      <c r="GL151" s="45"/>
      <c r="GM151" s="45"/>
      <c r="GN151" s="45"/>
      <c r="GO151" s="45"/>
      <c r="GP151" s="45"/>
      <c r="GQ151" s="45"/>
      <c r="GR151" s="45"/>
      <c r="GS151" s="45"/>
      <c r="GT151" s="45"/>
      <c r="GU151" s="45"/>
      <c r="GV151" s="45"/>
      <c r="GW151" s="45"/>
      <c r="GX151" s="45"/>
      <c r="GY151" s="45"/>
      <c r="GZ151" s="45"/>
      <c r="HA151" s="45"/>
      <c r="HB151" s="45"/>
      <c r="HC151" s="45"/>
      <c r="HD151" s="45"/>
      <c r="HE151" s="45"/>
      <c r="HF151" s="45"/>
      <c r="HG151" s="45"/>
      <c r="HH151" s="45"/>
      <c r="HI151" s="45"/>
      <c r="HJ151" s="45"/>
      <c r="HK151" s="45"/>
      <c r="HL151" s="45"/>
      <c r="HM151" s="45"/>
      <c r="HN151" s="45"/>
      <c r="HO151" s="45"/>
      <c r="HP151" s="45"/>
      <c r="HQ151" s="45"/>
      <c r="HR151" s="45"/>
      <c r="HS151" s="45"/>
      <c r="HT151" s="45"/>
      <c r="HU151" s="45"/>
      <c r="HV151" s="45"/>
      <c r="HW151" s="45"/>
      <c r="HX151" s="45"/>
      <c r="HY151" s="45"/>
      <c r="HZ151" s="45"/>
      <c r="IA151" s="45"/>
      <c r="IB151" s="45"/>
      <c r="IC151" s="45"/>
      <c r="ID151" s="45"/>
      <c r="IE151" s="45"/>
      <c r="IF151" s="45"/>
      <c r="IG151" s="45"/>
      <c r="IH151" s="45"/>
      <c r="II151" s="45"/>
      <c r="IJ151" s="45"/>
      <c r="IK151" s="45"/>
      <c r="IL151" s="45"/>
      <c r="IM151" s="45"/>
      <c r="IN151" s="45"/>
      <c r="IO151" s="45"/>
      <c r="IP151" s="45"/>
      <c r="IQ151" s="45"/>
      <c r="IR151" s="45"/>
      <c r="IS151" s="45"/>
      <c r="IT151" s="45"/>
      <c r="IU151" s="45"/>
      <c r="IV151" s="45"/>
      <c r="IW151" s="45"/>
    </row>
    <row r="152" customFormat="false" ht="11.25" hidden="false" customHeight="false" outlineLevel="0" collapsed="false">
      <c r="A152" s="6" t="n">
        <f aca="false">+A151+365/12</f>
        <v>40220.25</v>
      </c>
      <c r="B152" s="29" t="n">
        <f aca="false">C152-0.06</f>
        <v>2.69045603229532</v>
      </c>
      <c r="C152" s="29" t="n">
        <f aca="false">C140*1.01</f>
        <v>2.75045603229532</v>
      </c>
      <c r="D152" s="29" t="n">
        <f aca="false">C152-0.05</f>
        <v>2.70045603229532</v>
      </c>
      <c r="E152" s="29" t="n">
        <f aca="false">C152</f>
        <v>2.75045603229532</v>
      </c>
      <c r="F152" s="31" t="n">
        <f aca="false">+F151</f>
        <v>0.0275</v>
      </c>
      <c r="G152" s="38" t="n">
        <f aca="false">F152</f>
        <v>0.0275</v>
      </c>
      <c r="H152" s="1" t="n">
        <v>28</v>
      </c>
      <c r="I152" s="27" t="n">
        <v>-0.147536839080916</v>
      </c>
      <c r="K152" s="28" t="n">
        <v>0.0245000000000002</v>
      </c>
      <c r="L152" s="32" t="n">
        <f aca="false">L151</f>
        <v>0.398086634579785</v>
      </c>
      <c r="M152" s="4" t="n">
        <f aca="false">M151</f>
        <v>0.7348</v>
      </c>
      <c r="N152" s="8" t="n">
        <f aca="false">L152</f>
        <v>0.398086634579785</v>
      </c>
      <c r="O152" s="1" t="n">
        <f aca="false">O151</f>
        <v>0.0477</v>
      </c>
      <c r="P152" s="1" t="n">
        <f aca="false">P151</f>
        <v>0.0307</v>
      </c>
      <c r="R152" s="1" t="n">
        <f aca="false">Transport!F152</f>
        <v>4926</v>
      </c>
      <c r="S152" s="1" t="n">
        <f aca="false">Transport!G152</f>
        <v>5732</v>
      </c>
      <c r="T152" s="1" t="n">
        <f aca="false">Transport!H152</f>
        <v>9342</v>
      </c>
      <c r="U152" s="1" t="n">
        <f aca="false">Transport!I152</f>
        <v>2563</v>
      </c>
      <c r="V152" s="1" t="n">
        <f aca="false">Transport!J152</f>
        <v>2862</v>
      </c>
      <c r="W152" s="1" t="n">
        <f aca="false">Transport!K152</f>
        <v>1685</v>
      </c>
      <c r="X152" s="1" t="n">
        <f aca="false">Transport!L152</f>
        <v>683</v>
      </c>
    </row>
    <row r="153" customFormat="false" ht="11.25" hidden="false" customHeight="false" outlineLevel="0" collapsed="false">
      <c r="A153" s="6" t="n">
        <f aca="false">+A152+365/12</f>
        <v>40250.6666666667</v>
      </c>
      <c r="B153" s="29" t="n">
        <f aca="false">C153-0.06</f>
        <v>2.69045603229532</v>
      </c>
      <c r="C153" s="29" t="n">
        <f aca="false">C141*1.01</f>
        <v>2.75045603229532</v>
      </c>
      <c r="D153" s="29" t="n">
        <f aca="false">C153-0.05</f>
        <v>2.70045603229532</v>
      </c>
      <c r="E153" s="29" t="n">
        <f aca="false">C153</f>
        <v>2.75045603229532</v>
      </c>
      <c r="F153" s="31" t="n">
        <f aca="false">+F152</f>
        <v>0.0275</v>
      </c>
      <c r="G153" s="38" t="n">
        <f aca="false">F153</f>
        <v>0.0275</v>
      </c>
      <c r="H153" s="1" t="n">
        <v>31</v>
      </c>
      <c r="I153" s="27" t="n">
        <v>-0.122572601724992</v>
      </c>
      <c r="K153" s="28" t="n">
        <v>0.0195000000000003</v>
      </c>
      <c r="L153" s="32" t="n">
        <f aca="false">L152</f>
        <v>0.398086634579785</v>
      </c>
      <c r="M153" s="4" t="n">
        <f aca="false">M152</f>
        <v>0.7348</v>
      </c>
      <c r="N153" s="8" t="n">
        <f aca="false">L153</f>
        <v>0.398086634579785</v>
      </c>
      <c r="O153" s="1" t="n">
        <f aca="false">O152</f>
        <v>0.0477</v>
      </c>
      <c r="P153" s="1" t="n">
        <f aca="false">P152</f>
        <v>0.0307</v>
      </c>
      <c r="R153" s="1" t="n">
        <f aca="false">Transport!F153</f>
        <v>4926</v>
      </c>
      <c r="S153" s="1" t="n">
        <f aca="false">Transport!G153</f>
        <v>5732</v>
      </c>
      <c r="T153" s="1" t="n">
        <f aca="false">Transport!H153</f>
        <v>9342</v>
      </c>
      <c r="U153" s="1" t="n">
        <f aca="false">Transport!I153</f>
        <v>2563</v>
      </c>
      <c r="V153" s="1" t="n">
        <f aca="false">Transport!J153</f>
        <v>2862</v>
      </c>
      <c r="W153" s="1" t="n">
        <f aca="false">Transport!K153</f>
        <v>1685</v>
      </c>
      <c r="X153" s="1" t="n">
        <f aca="false">Transport!L153</f>
        <v>683</v>
      </c>
    </row>
    <row r="154" customFormat="false" ht="11.25" hidden="false" customHeight="false" outlineLevel="0" collapsed="false">
      <c r="A154" s="6" t="n">
        <f aca="false">+A153+365/12</f>
        <v>40281.0833333333</v>
      </c>
      <c r="B154" s="29" t="n">
        <f aca="false">C154-0.06</f>
        <v>2.98282734281491</v>
      </c>
      <c r="C154" s="29" t="n">
        <f aca="false">C142*1.01</f>
        <v>3.04282734281491</v>
      </c>
      <c r="D154" s="29" t="n">
        <f aca="false">C154-0.05</f>
        <v>2.99282734281491</v>
      </c>
      <c r="E154" s="29" t="n">
        <f aca="false">C154</f>
        <v>3.04282734281491</v>
      </c>
      <c r="F154" s="31" t="n">
        <f aca="false">+F153</f>
        <v>0.0275</v>
      </c>
      <c r="G154" s="38" t="n">
        <f aca="false">F154</f>
        <v>0.0275</v>
      </c>
      <c r="H154" s="1" t="n">
        <v>30</v>
      </c>
      <c r="I154" s="27" t="n">
        <v>-0.0730896150216878</v>
      </c>
      <c r="K154" s="28" t="n">
        <v>0.00599999999999978</v>
      </c>
      <c r="L154" s="32" t="n">
        <f aca="false">L153</f>
        <v>0.398086634579785</v>
      </c>
      <c r="M154" s="4" t="n">
        <f aca="false">M153</f>
        <v>0.7348</v>
      </c>
      <c r="N154" s="8" t="n">
        <f aca="false">L154</f>
        <v>0.398086634579785</v>
      </c>
      <c r="O154" s="1" t="n">
        <f aca="false">O153</f>
        <v>0.0477</v>
      </c>
      <c r="P154" s="1" t="n">
        <f aca="false">P153</f>
        <v>0.0307</v>
      </c>
      <c r="R154" s="1" t="n">
        <f aca="false">Transport!F154</f>
        <v>6933</v>
      </c>
      <c r="S154" s="1" t="n">
        <f aca="false">Transport!G154</f>
        <v>8798</v>
      </c>
      <c r="T154" s="1" t="n">
        <f aca="false">Transport!H154</f>
        <v>14269</v>
      </c>
      <c r="U154" s="1" t="n">
        <f aca="false">Transport!I154</f>
        <v>1880</v>
      </c>
      <c r="V154" s="1" t="n">
        <f aca="false">Transport!J154</f>
        <v>2073</v>
      </c>
      <c r="W154" s="1" t="n">
        <f aca="false">Transport!K154</f>
        <v>1258</v>
      </c>
      <c r="X154" s="1" t="n">
        <f aca="false">Transport!L154</f>
        <v>683</v>
      </c>
    </row>
    <row r="155" customFormat="false" ht="11.25" hidden="false" customHeight="false" outlineLevel="0" collapsed="false">
      <c r="A155" s="6" t="n">
        <f aca="false">+A154+365/12</f>
        <v>40311.5</v>
      </c>
      <c r="B155" s="29" t="n">
        <f aca="false">C155-0.06</f>
        <v>3.18857011688424</v>
      </c>
      <c r="C155" s="29" t="n">
        <f aca="false">C143*1.01</f>
        <v>3.24857011688424</v>
      </c>
      <c r="D155" s="29" t="n">
        <f aca="false">C155-0.05</f>
        <v>3.19857011688424</v>
      </c>
      <c r="E155" s="29" t="n">
        <f aca="false">C155</f>
        <v>3.24857011688424</v>
      </c>
      <c r="F155" s="31" t="n">
        <f aca="false">+F154</f>
        <v>0.0275</v>
      </c>
      <c r="G155" s="38" t="n">
        <f aca="false">F155</f>
        <v>0.0275</v>
      </c>
      <c r="H155" s="1" t="n">
        <v>31</v>
      </c>
      <c r="I155" s="27" t="n">
        <v>-0.0756430270100856</v>
      </c>
      <c r="K155" s="28" t="n">
        <v>0.00599999999999978</v>
      </c>
      <c r="L155" s="32" t="n">
        <f aca="false">L154</f>
        <v>0.398086634579785</v>
      </c>
      <c r="M155" s="4" t="n">
        <f aca="false">M154</f>
        <v>0.7348</v>
      </c>
      <c r="N155" s="8" t="n">
        <f aca="false">L155</f>
        <v>0.398086634579785</v>
      </c>
      <c r="O155" s="1" t="n">
        <f aca="false">O154</f>
        <v>0.0477</v>
      </c>
      <c r="P155" s="1" t="n">
        <f aca="false">P154</f>
        <v>0.0307</v>
      </c>
      <c r="R155" s="1" t="n">
        <f aca="false">Transport!F155</f>
        <v>8730</v>
      </c>
      <c r="S155" s="1" t="n">
        <f aca="false">Transport!G155</f>
        <v>10761</v>
      </c>
      <c r="T155" s="1" t="n">
        <f aca="false">Transport!H155</f>
        <v>15509</v>
      </c>
      <c r="U155" s="1" t="n">
        <f aca="false">Transport!I155</f>
        <v>1880</v>
      </c>
      <c r="V155" s="1" t="n">
        <f aca="false">Transport!J155</f>
        <v>2295</v>
      </c>
      <c r="W155" s="1" t="n">
        <f aca="false">Transport!K155</f>
        <v>1036</v>
      </c>
      <c r="X155" s="1" t="n">
        <f aca="false">Transport!L155</f>
        <v>683</v>
      </c>
    </row>
    <row r="156" customFormat="false" ht="11.25" hidden="false" customHeight="false" outlineLevel="0" collapsed="false">
      <c r="A156" s="6" t="n">
        <f aca="false">+A155+365/12</f>
        <v>40341.9166666667</v>
      </c>
      <c r="B156" s="29" t="n">
        <f aca="false">C156-0.06</f>
        <v>4.60711240125703</v>
      </c>
      <c r="C156" s="29" t="n">
        <f aca="false">C144*1.01</f>
        <v>4.66711240125703</v>
      </c>
      <c r="D156" s="29" t="n">
        <f aca="false">C156-0.05</f>
        <v>4.61711240125703</v>
      </c>
      <c r="E156" s="29" t="n">
        <f aca="false">C156</f>
        <v>4.66711240125703</v>
      </c>
      <c r="F156" s="31" t="n">
        <f aca="false">+F155</f>
        <v>0.0275</v>
      </c>
      <c r="G156" s="38" t="n">
        <f aca="false">F156</f>
        <v>0.0275</v>
      </c>
      <c r="H156" s="1" t="n">
        <v>30</v>
      </c>
      <c r="I156" s="27" t="n">
        <v>-0.0756461818238532</v>
      </c>
      <c r="K156" s="28" t="n">
        <v>0.00599999999999978</v>
      </c>
      <c r="L156" s="32" t="n">
        <f aca="false">L155</f>
        <v>0.398086634579785</v>
      </c>
      <c r="M156" s="4" t="n">
        <f aca="false">M155</f>
        <v>0.7348</v>
      </c>
      <c r="N156" s="8" t="n">
        <f aca="false">L156</f>
        <v>0.398086634579785</v>
      </c>
      <c r="O156" s="1" t="n">
        <f aca="false">O155</f>
        <v>0.0477</v>
      </c>
      <c r="P156" s="1" t="n">
        <f aca="false">P155</f>
        <v>0.0307</v>
      </c>
      <c r="R156" s="1" t="n">
        <f aca="false">Transport!F156</f>
        <v>8730</v>
      </c>
      <c r="S156" s="1" t="n">
        <f aca="false">Transport!G156</f>
        <v>10761</v>
      </c>
      <c r="T156" s="1" t="n">
        <f aca="false">Transport!H156</f>
        <v>15509</v>
      </c>
      <c r="U156" s="1" t="n">
        <f aca="false">Transport!I156</f>
        <v>1880</v>
      </c>
      <c r="V156" s="1" t="n">
        <f aca="false">Transport!J156</f>
        <v>2295</v>
      </c>
      <c r="W156" s="1" t="n">
        <f aca="false">Transport!K156</f>
        <v>1036</v>
      </c>
      <c r="X156" s="1" t="n">
        <f aca="false">Transport!L156</f>
        <v>683</v>
      </c>
    </row>
    <row r="157" customFormat="false" ht="11.25" hidden="false" customHeight="false" outlineLevel="0" collapsed="false">
      <c r="A157" s="6" t="n">
        <f aca="false">+A156+365/12</f>
        <v>40372.3333333333</v>
      </c>
      <c r="B157" s="29" t="n">
        <f aca="false">C157-0.06</f>
        <v>4.59628383420075</v>
      </c>
      <c r="C157" s="29" t="n">
        <f aca="false">C145*1.01</f>
        <v>4.65628383420075</v>
      </c>
      <c r="D157" s="29" t="n">
        <f aca="false">C157-0.05</f>
        <v>4.60628383420075</v>
      </c>
      <c r="E157" s="29" t="n">
        <f aca="false">C157</f>
        <v>4.65628383420075</v>
      </c>
      <c r="F157" s="31" t="n">
        <f aca="false">+F156</f>
        <v>0.0275</v>
      </c>
      <c r="G157" s="38" t="n">
        <f aca="false">F157</f>
        <v>0.0275</v>
      </c>
      <c r="H157" s="1" t="n">
        <v>31</v>
      </c>
      <c r="I157" s="27" t="n">
        <v>-0.0801480747121137</v>
      </c>
      <c r="K157" s="28" t="n">
        <v>0.00949999999999984</v>
      </c>
      <c r="L157" s="32" t="n">
        <f aca="false">L156</f>
        <v>0.398086634579785</v>
      </c>
      <c r="M157" s="4" t="n">
        <f aca="false">M156</f>
        <v>0.7348</v>
      </c>
      <c r="N157" s="8" t="n">
        <f aca="false">L157</f>
        <v>0.398086634579785</v>
      </c>
      <c r="O157" s="1" t="n">
        <f aca="false">O156</f>
        <v>0.0477</v>
      </c>
      <c r="P157" s="1" t="n">
        <f aca="false">P156</f>
        <v>0.0307</v>
      </c>
      <c r="R157" s="1" t="n">
        <f aca="false">Transport!F157</f>
        <v>8730</v>
      </c>
      <c r="S157" s="1" t="n">
        <f aca="false">Transport!G157</f>
        <v>10761</v>
      </c>
      <c r="T157" s="1" t="n">
        <f aca="false">Transport!H157</f>
        <v>15509</v>
      </c>
      <c r="U157" s="1" t="n">
        <f aca="false">Transport!I157</f>
        <v>1880</v>
      </c>
      <c r="V157" s="1" t="n">
        <f aca="false">Transport!J157</f>
        <v>2295</v>
      </c>
      <c r="W157" s="1" t="n">
        <f aca="false">Transport!K157</f>
        <v>1036</v>
      </c>
      <c r="X157" s="1" t="n">
        <f aca="false">Transport!L157</f>
        <v>683</v>
      </c>
    </row>
    <row r="158" customFormat="false" ht="11.25" hidden="false" customHeight="false" outlineLevel="0" collapsed="false">
      <c r="A158" s="6" t="n">
        <f aca="false">+A157+365/12</f>
        <v>40402.75</v>
      </c>
      <c r="B158" s="29" t="n">
        <f aca="false">C158-0.06</f>
        <v>4.01154121316158</v>
      </c>
      <c r="C158" s="29" t="n">
        <f aca="false">C146*1.01</f>
        <v>4.07154121316158</v>
      </c>
      <c r="D158" s="29" t="n">
        <f aca="false">C158-0.05</f>
        <v>4.02154121316158</v>
      </c>
      <c r="E158" s="29" t="n">
        <f aca="false">C158</f>
        <v>4.07154121316158</v>
      </c>
      <c r="F158" s="31" t="n">
        <f aca="false">+F157</f>
        <v>0.0275</v>
      </c>
      <c r="G158" s="38" t="n">
        <f aca="false">F158</f>
        <v>0.0275</v>
      </c>
      <c r="H158" s="1" t="n">
        <v>31</v>
      </c>
      <c r="I158" s="27" t="n">
        <v>-0.0801518604886344</v>
      </c>
      <c r="K158" s="28" t="n">
        <v>0.00949999999999962</v>
      </c>
      <c r="L158" s="32" t="n">
        <f aca="false">L157</f>
        <v>0.398086634579785</v>
      </c>
      <c r="M158" s="4" t="n">
        <f aca="false">M157</f>
        <v>0.7348</v>
      </c>
      <c r="N158" s="8" t="n">
        <f aca="false">L158</f>
        <v>0.398086634579785</v>
      </c>
      <c r="O158" s="1" t="n">
        <f aca="false">O157</f>
        <v>0.0477</v>
      </c>
      <c r="P158" s="1" t="n">
        <f aca="false">P157</f>
        <v>0.0307</v>
      </c>
      <c r="R158" s="1" t="n">
        <f aca="false">Transport!F158</f>
        <v>8730</v>
      </c>
      <c r="S158" s="1" t="n">
        <f aca="false">Transport!G158</f>
        <v>10761</v>
      </c>
      <c r="T158" s="1" t="n">
        <f aca="false">Transport!H158</f>
        <v>15509</v>
      </c>
      <c r="U158" s="1" t="n">
        <f aca="false">Transport!I158</f>
        <v>1880</v>
      </c>
      <c r="V158" s="1" t="n">
        <f aca="false">Transport!J158</f>
        <v>2295</v>
      </c>
      <c r="W158" s="1" t="n">
        <f aca="false">Transport!K158</f>
        <v>1036</v>
      </c>
      <c r="X158" s="1" t="n">
        <f aca="false">Transport!L158</f>
        <v>683</v>
      </c>
    </row>
    <row r="159" customFormat="false" ht="11.25" hidden="false" customHeight="false" outlineLevel="0" collapsed="false">
      <c r="A159" s="6" t="n">
        <f aca="false">+A158+365/12</f>
        <v>40433.1666666667</v>
      </c>
      <c r="B159" s="29" t="n">
        <f aca="false">C159-0.06</f>
        <v>4.84534087649521</v>
      </c>
      <c r="C159" s="29" t="n">
        <f aca="false">C147*1.01</f>
        <v>4.90534087649521</v>
      </c>
      <c r="D159" s="29" t="n">
        <f aca="false">C159-0.05</f>
        <v>4.85534087649521</v>
      </c>
      <c r="E159" s="29" t="n">
        <f aca="false">C159</f>
        <v>4.90534087649521</v>
      </c>
      <c r="F159" s="31" t="n">
        <f aca="false">+F158</f>
        <v>0.0275</v>
      </c>
      <c r="G159" s="38" t="n">
        <f aca="false">F159</f>
        <v>0.0275</v>
      </c>
      <c r="H159" s="1" t="n">
        <v>30</v>
      </c>
      <c r="I159" s="27" t="n">
        <v>-0.08015817011617</v>
      </c>
      <c r="K159" s="28" t="n">
        <v>0.00949999999999962</v>
      </c>
      <c r="L159" s="32" t="n">
        <f aca="false">L158</f>
        <v>0.398086634579785</v>
      </c>
      <c r="M159" s="4" t="n">
        <f aca="false">M158</f>
        <v>0.7348</v>
      </c>
      <c r="N159" s="8" t="n">
        <f aca="false">L159</f>
        <v>0.398086634579785</v>
      </c>
      <c r="O159" s="1" t="n">
        <f aca="false">O158</f>
        <v>0.0477</v>
      </c>
      <c r="P159" s="1" t="n">
        <f aca="false">P158</f>
        <v>0.0307</v>
      </c>
      <c r="R159" s="1" t="n">
        <f aca="false">Transport!F159</f>
        <v>8730</v>
      </c>
      <c r="S159" s="1" t="n">
        <f aca="false">Transport!G159</f>
        <v>10761</v>
      </c>
      <c r="T159" s="1" t="n">
        <f aca="false">Transport!H159</f>
        <v>15509</v>
      </c>
      <c r="U159" s="1" t="n">
        <f aca="false">Transport!I159</f>
        <v>1880</v>
      </c>
      <c r="V159" s="1" t="n">
        <f aca="false">Transport!J159</f>
        <v>2295</v>
      </c>
      <c r="W159" s="1" t="n">
        <f aca="false">Transport!K159</f>
        <v>1036</v>
      </c>
      <c r="X159" s="1" t="n">
        <f aca="false">Transport!L159</f>
        <v>683</v>
      </c>
    </row>
    <row r="160" customFormat="false" ht="11.25" hidden="false" customHeight="false" outlineLevel="0" collapsed="false">
      <c r="A160" s="6" t="n">
        <f aca="false">+A159+365/12</f>
        <v>40463.5833333333</v>
      </c>
      <c r="B160" s="29" t="n">
        <f aca="false">C160-0.06</f>
        <v>5.5816834363223</v>
      </c>
      <c r="C160" s="29" t="n">
        <f aca="false">C148*1.01</f>
        <v>5.6416834363223</v>
      </c>
      <c r="D160" s="29" t="n">
        <f aca="false">C160-0.05</f>
        <v>5.5916834363223</v>
      </c>
      <c r="E160" s="29" t="n">
        <f aca="false">C160</f>
        <v>5.6416834363223</v>
      </c>
      <c r="F160" s="31" t="n">
        <f aca="false">+F159</f>
        <v>0.0275</v>
      </c>
      <c r="G160" s="38" t="n">
        <f aca="false">F160</f>
        <v>0.0275</v>
      </c>
      <c r="H160" s="1" t="n">
        <v>31</v>
      </c>
      <c r="I160" s="27" t="n">
        <v>-0.0825798931378614</v>
      </c>
      <c r="K160" s="28" t="n">
        <v>0.0145</v>
      </c>
      <c r="L160" s="32" t="n">
        <f aca="false">L159</f>
        <v>0.398086634579785</v>
      </c>
      <c r="M160" s="4" t="n">
        <f aca="false">M159</f>
        <v>0.7348</v>
      </c>
      <c r="N160" s="8" t="n">
        <f aca="false">L160</f>
        <v>0.398086634579785</v>
      </c>
      <c r="O160" s="1" t="n">
        <f aca="false">O159</f>
        <v>0.0477</v>
      </c>
      <c r="P160" s="1" t="n">
        <f aca="false">P159</f>
        <v>0.0307</v>
      </c>
      <c r="R160" s="1" t="n">
        <f aca="false">Transport!F160</f>
        <v>8730</v>
      </c>
      <c r="S160" s="1" t="n">
        <f aca="false">Transport!G160</f>
        <v>10361</v>
      </c>
      <c r="T160" s="1" t="n">
        <f aca="false">Transport!H160</f>
        <v>15909</v>
      </c>
      <c r="U160" s="1" t="n">
        <f aca="false">Transport!I160</f>
        <v>2830</v>
      </c>
      <c r="V160" s="1" t="n">
        <f aca="false">Transport!J160</f>
        <v>3500</v>
      </c>
      <c r="W160" s="1" t="n">
        <f aca="false">Transport!K160</f>
        <v>1521</v>
      </c>
      <c r="X160" s="1" t="n">
        <f aca="false">Transport!L160</f>
        <v>1001</v>
      </c>
    </row>
    <row r="161" customFormat="false" ht="11.25" hidden="false" customHeight="false" outlineLevel="0" collapsed="false">
      <c r="A161" s="6" t="n">
        <f aca="false">+A160+365/12</f>
        <v>40494</v>
      </c>
      <c r="B161" s="29" t="n">
        <f aca="false">C161-0.06</f>
        <v>3.70834133558572</v>
      </c>
      <c r="C161" s="29" t="n">
        <f aca="false">C149*1.01</f>
        <v>3.76834133558572</v>
      </c>
      <c r="D161" s="29" t="n">
        <f aca="false">C161-0.05</f>
        <v>3.71834133558572</v>
      </c>
      <c r="E161" s="29" t="n">
        <f aca="false">C161</f>
        <v>3.76834133558572</v>
      </c>
      <c r="F161" s="31" t="n">
        <f aca="false">+F160</f>
        <v>0.0275</v>
      </c>
      <c r="G161" s="38" t="n">
        <f aca="false">F161</f>
        <v>0.0275</v>
      </c>
      <c r="H161" s="1" t="n">
        <v>30</v>
      </c>
      <c r="I161" s="27" t="n">
        <v>-0.127552116326928</v>
      </c>
      <c r="K161" s="28" t="n">
        <v>0.0194999999999999</v>
      </c>
      <c r="L161" s="32" t="n">
        <f aca="false">L160</f>
        <v>0.398086634579785</v>
      </c>
      <c r="M161" s="4" t="n">
        <f aca="false">M160</f>
        <v>0.7348</v>
      </c>
      <c r="N161" s="8" t="n">
        <f aca="false">L161</f>
        <v>0.398086634579785</v>
      </c>
      <c r="O161" s="1" t="n">
        <f aca="false">O160</f>
        <v>0.0477</v>
      </c>
      <c r="P161" s="1" t="n">
        <f aca="false">P160</f>
        <v>0.0307</v>
      </c>
      <c r="R161" s="1" t="n">
        <f aca="false">Transport!F161</f>
        <v>4926</v>
      </c>
      <c r="S161" s="1" t="n">
        <f aca="false">Transport!G161</f>
        <v>5732</v>
      </c>
      <c r="T161" s="1" t="n">
        <f aca="false">Transport!H161</f>
        <v>9342</v>
      </c>
      <c r="U161" s="1" t="n">
        <f aca="false">Transport!I161</f>
        <v>2563</v>
      </c>
      <c r="V161" s="1" t="n">
        <f aca="false">Transport!J161</f>
        <v>2862</v>
      </c>
      <c r="W161" s="1" t="n">
        <f aca="false">Transport!K161</f>
        <v>1685</v>
      </c>
      <c r="X161" s="1" t="n">
        <f aca="false">Transport!L161</f>
        <v>683</v>
      </c>
    </row>
    <row r="162" customFormat="false" ht="11.25" hidden="false" customHeight="false" outlineLevel="0" collapsed="false">
      <c r="A162" s="6" t="n">
        <f aca="false">+A161+365/12</f>
        <v>40524.4166666667</v>
      </c>
      <c r="B162" s="29" t="n">
        <f aca="false">C162-0.06</f>
        <v>2.75542743463301</v>
      </c>
      <c r="C162" s="29" t="n">
        <f aca="false">C150*1.01</f>
        <v>2.81542743463301</v>
      </c>
      <c r="D162" s="29" t="n">
        <f aca="false">C162-0.05</f>
        <v>2.76542743463301</v>
      </c>
      <c r="E162" s="29" t="n">
        <f aca="false">C162</f>
        <v>2.81542743463301</v>
      </c>
      <c r="F162" s="31" t="n">
        <f aca="false">+F161</f>
        <v>0.0275</v>
      </c>
      <c r="G162" s="38" t="n">
        <f aca="false">F162</f>
        <v>0.0275</v>
      </c>
      <c r="H162" s="1" t="n">
        <v>31</v>
      </c>
      <c r="I162" s="27" t="n">
        <v>-0.16251461763217</v>
      </c>
      <c r="K162" s="28" t="n">
        <v>0.0245000000000002</v>
      </c>
      <c r="L162" s="32" t="n">
        <f aca="false">L161</f>
        <v>0.398086634579785</v>
      </c>
      <c r="M162" s="4" t="n">
        <f aca="false">M161</f>
        <v>0.7348</v>
      </c>
      <c r="N162" s="8" t="n">
        <f aca="false">L162</f>
        <v>0.398086634579785</v>
      </c>
      <c r="O162" s="1" t="n">
        <f aca="false">O161</f>
        <v>0.0477</v>
      </c>
      <c r="P162" s="1" t="n">
        <f aca="false">P161</f>
        <v>0.0307</v>
      </c>
      <c r="R162" s="1" t="n">
        <f aca="false">Transport!F162</f>
        <v>4926</v>
      </c>
      <c r="S162" s="1" t="n">
        <f aca="false">Transport!G162</f>
        <v>5732</v>
      </c>
      <c r="T162" s="1" t="n">
        <f aca="false">Transport!H162</f>
        <v>9342</v>
      </c>
      <c r="U162" s="1" t="n">
        <f aca="false">Transport!I162</f>
        <v>2563</v>
      </c>
      <c r="V162" s="1" t="n">
        <f aca="false">Transport!J162</f>
        <v>2862</v>
      </c>
      <c r="W162" s="1" t="n">
        <f aca="false">Transport!K162</f>
        <v>1685</v>
      </c>
      <c r="X162" s="1" t="n">
        <f aca="false">Transport!L162</f>
        <v>683</v>
      </c>
    </row>
    <row r="163" customFormat="false" ht="11.25" hidden="false" customHeight="false" outlineLevel="0" collapsed="false">
      <c r="A163" s="41" t="n">
        <f aca="false">+A162+365/12</f>
        <v>40554.8333333333</v>
      </c>
      <c r="B163" s="42" t="n">
        <f aca="false">C163-0.06</f>
        <v>2.4226655689935</v>
      </c>
      <c r="C163" s="42" t="n">
        <f aca="false">C151*1.01</f>
        <v>2.4826655689935</v>
      </c>
      <c r="D163" s="42" t="n">
        <f aca="false">C163-0.05</f>
        <v>2.4326655689935</v>
      </c>
      <c r="E163" s="42" t="n">
        <f aca="false">C163</f>
        <v>2.4826655689935</v>
      </c>
      <c r="F163" s="43" t="n">
        <f aca="false">+F162</f>
        <v>0.0275</v>
      </c>
      <c r="G163" s="44" t="n">
        <f aca="false">F163</f>
        <v>0.0275</v>
      </c>
      <c r="H163" s="45" t="n">
        <v>31</v>
      </c>
      <c r="I163" s="46" t="n">
        <v>-0.147509062269983</v>
      </c>
      <c r="J163" s="45"/>
      <c r="K163" s="47" t="n">
        <v>0.0245000000000002</v>
      </c>
      <c r="L163" s="48" t="n">
        <f aca="false">('[1]062'!$V$56*1000)/('[1]062'!$V$50*[1]Assumptions!$V$9)</f>
        <v>0.398086634579785</v>
      </c>
      <c r="M163" s="49" t="n">
        <f aca="false">M162</f>
        <v>0.7348</v>
      </c>
      <c r="N163" s="50" t="n">
        <f aca="false">L163</f>
        <v>0.398086634579785</v>
      </c>
      <c r="O163" s="45" t="n">
        <f aca="false">O162</f>
        <v>0.0477</v>
      </c>
      <c r="P163" s="45" t="n">
        <f aca="false">P162</f>
        <v>0.0307</v>
      </c>
      <c r="Q163" s="45"/>
      <c r="R163" s="45" t="n">
        <f aca="false">Transport!F163</f>
        <v>4926</v>
      </c>
      <c r="S163" s="45" t="n">
        <f aca="false">Transport!G163</f>
        <v>5732</v>
      </c>
      <c r="T163" s="45" t="n">
        <f aca="false">Transport!H163</f>
        <v>9342</v>
      </c>
      <c r="U163" s="45" t="n">
        <f aca="false">Transport!I163</f>
        <v>2563</v>
      </c>
      <c r="V163" s="45" t="n">
        <f aca="false">Transport!J163</f>
        <v>2862</v>
      </c>
      <c r="W163" s="45" t="n">
        <f aca="false">Transport!K163</f>
        <v>1685</v>
      </c>
      <c r="X163" s="45" t="n">
        <f aca="false">Transport!L163</f>
        <v>683</v>
      </c>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c r="EK163" s="45"/>
      <c r="EL163" s="45"/>
      <c r="EM163" s="45"/>
      <c r="EN163" s="45"/>
      <c r="EO163" s="45"/>
      <c r="EP163" s="45"/>
      <c r="EQ163" s="45"/>
      <c r="ER163" s="45"/>
      <c r="ES163" s="45"/>
      <c r="ET163" s="45"/>
      <c r="EU163" s="45"/>
      <c r="EV163" s="45"/>
      <c r="EW163" s="45"/>
      <c r="EX163" s="45"/>
      <c r="EY163" s="45"/>
      <c r="EZ163" s="45"/>
      <c r="FA163" s="45"/>
      <c r="FB163" s="45"/>
      <c r="FC163" s="45"/>
      <c r="FD163" s="45"/>
      <c r="FE163" s="45"/>
      <c r="FF163" s="45"/>
      <c r="FG163" s="45"/>
      <c r="FH163" s="45"/>
      <c r="FI163" s="45"/>
      <c r="FJ163" s="45"/>
      <c r="FK163" s="45"/>
      <c r="FL163" s="45"/>
      <c r="FM163" s="45"/>
      <c r="FN163" s="45"/>
      <c r="FO163" s="45"/>
      <c r="FP163" s="45"/>
      <c r="FQ163" s="45"/>
      <c r="FR163" s="45"/>
      <c r="FS163" s="45"/>
      <c r="FT163" s="45"/>
      <c r="FU163" s="45"/>
      <c r="FV163" s="45"/>
      <c r="FW163" s="45"/>
      <c r="FX163" s="45"/>
      <c r="FY163" s="45"/>
      <c r="FZ163" s="45"/>
      <c r="GA163" s="45"/>
      <c r="GB163" s="45"/>
      <c r="GC163" s="45"/>
      <c r="GD163" s="45"/>
      <c r="GE163" s="45"/>
      <c r="GF163" s="45"/>
      <c r="GG163" s="45"/>
      <c r="GH163" s="45"/>
      <c r="GI163" s="45"/>
      <c r="GJ163" s="45"/>
      <c r="GK163" s="45"/>
      <c r="GL163" s="45"/>
      <c r="GM163" s="45"/>
      <c r="GN163" s="45"/>
      <c r="GO163" s="45"/>
      <c r="GP163" s="45"/>
      <c r="GQ163" s="45"/>
      <c r="GR163" s="45"/>
      <c r="GS163" s="45"/>
      <c r="GT163" s="45"/>
      <c r="GU163" s="45"/>
      <c r="GV163" s="45"/>
      <c r="GW163" s="45"/>
      <c r="GX163" s="45"/>
      <c r="GY163" s="45"/>
      <c r="GZ163" s="45"/>
      <c r="HA163" s="45"/>
      <c r="HB163" s="45"/>
      <c r="HC163" s="45"/>
      <c r="HD163" s="45"/>
      <c r="HE163" s="45"/>
      <c r="HF163" s="45"/>
      <c r="HG163" s="45"/>
      <c r="HH163" s="45"/>
      <c r="HI163" s="45"/>
      <c r="HJ163" s="45"/>
      <c r="HK163" s="45"/>
      <c r="HL163" s="45"/>
      <c r="HM163" s="45"/>
      <c r="HN163" s="45"/>
      <c r="HO163" s="45"/>
      <c r="HP163" s="45"/>
      <c r="HQ163" s="45"/>
      <c r="HR163" s="45"/>
      <c r="HS163" s="45"/>
      <c r="HT163" s="45"/>
      <c r="HU163" s="45"/>
      <c r="HV163" s="45"/>
      <c r="HW163" s="45"/>
      <c r="HX163" s="45"/>
      <c r="HY163" s="45"/>
      <c r="HZ163" s="45"/>
      <c r="IA163" s="45"/>
      <c r="IB163" s="45"/>
      <c r="IC163" s="45"/>
      <c r="ID163" s="45"/>
      <c r="IE163" s="45"/>
      <c r="IF163" s="45"/>
      <c r="IG163" s="45"/>
      <c r="IH163" s="45"/>
      <c r="II163" s="45"/>
      <c r="IJ163" s="45"/>
      <c r="IK163" s="45"/>
      <c r="IL163" s="45"/>
      <c r="IM163" s="45"/>
      <c r="IN163" s="45"/>
      <c r="IO163" s="45"/>
      <c r="IP163" s="45"/>
      <c r="IQ163" s="45"/>
      <c r="IR163" s="45"/>
      <c r="IS163" s="45"/>
      <c r="IT163" s="45"/>
      <c r="IU163" s="45"/>
      <c r="IV163" s="45"/>
      <c r="IW163" s="45"/>
    </row>
    <row r="164" customFormat="false" ht="11.25" hidden="false" customHeight="false" outlineLevel="0" collapsed="false">
      <c r="A164" s="6" t="n">
        <f aca="false">+A163+365/12</f>
        <v>40585.25</v>
      </c>
      <c r="B164" s="29" t="n">
        <f aca="false">C164-0.06</f>
        <v>2.71796059261828</v>
      </c>
      <c r="C164" s="29" t="n">
        <f aca="false">C152*1.01</f>
        <v>2.77796059261828</v>
      </c>
      <c r="D164" s="29" t="n">
        <f aca="false">C164-0.05</f>
        <v>2.72796059261828</v>
      </c>
      <c r="E164" s="29" t="n">
        <f aca="false">C164</f>
        <v>2.77796059261828</v>
      </c>
      <c r="F164" s="31" t="n">
        <f aca="false">+F163</f>
        <v>0.0275</v>
      </c>
      <c r="G164" s="38" t="n">
        <f aca="false">F164</f>
        <v>0.0275</v>
      </c>
      <c r="H164" s="1" t="n">
        <v>28</v>
      </c>
      <c r="I164" s="27" t="n">
        <v>-0.147536839080916</v>
      </c>
      <c r="K164" s="28" t="n">
        <v>0.0245000000000002</v>
      </c>
      <c r="L164" s="32" t="n">
        <f aca="false">L163</f>
        <v>0.398086634579785</v>
      </c>
      <c r="M164" s="4" t="n">
        <f aca="false">M163</f>
        <v>0.7348</v>
      </c>
      <c r="N164" s="8" t="n">
        <f aca="false">L164</f>
        <v>0.398086634579785</v>
      </c>
      <c r="O164" s="1" t="n">
        <f aca="false">O163</f>
        <v>0.0477</v>
      </c>
      <c r="P164" s="1" t="n">
        <f aca="false">P163</f>
        <v>0.0307</v>
      </c>
      <c r="R164" s="1" t="n">
        <f aca="false">Transport!F164</f>
        <v>4926</v>
      </c>
      <c r="S164" s="1" t="n">
        <f aca="false">Transport!G164</f>
        <v>5732</v>
      </c>
      <c r="T164" s="1" t="n">
        <f aca="false">Transport!H164</f>
        <v>9342</v>
      </c>
      <c r="U164" s="1" t="n">
        <f aca="false">Transport!I164</f>
        <v>2563</v>
      </c>
      <c r="V164" s="1" t="n">
        <f aca="false">Transport!J164</f>
        <v>2862</v>
      </c>
      <c r="W164" s="1" t="n">
        <f aca="false">Transport!K164</f>
        <v>1685</v>
      </c>
      <c r="X164" s="1" t="n">
        <f aca="false">Transport!L164</f>
        <v>683</v>
      </c>
    </row>
    <row r="165" customFormat="false" ht="11.25" hidden="false" customHeight="false" outlineLevel="0" collapsed="false">
      <c r="A165" s="6" t="n">
        <f aca="false">+A164+365/12</f>
        <v>40615.6666666667</v>
      </c>
      <c r="B165" s="29" t="n">
        <f aca="false">C165-0.06</f>
        <v>2.71796059261828</v>
      </c>
      <c r="C165" s="29" t="n">
        <f aca="false">C153*1.01</f>
        <v>2.77796059261828</v>
      </c>
      <c r="D165" s="29" t="n">
        <f aca="false">C165-0.05</f>
        <v>2.72796059261828</v>
      </c>
      <c r="E165" s="29" t="n">
        <f aca="false">C165</f>
        <v>2.77796059261828</v>
      </c>
      <c r="F165" s="31" t="n">
        <f aca="false">+F164</f>
        <v>0.0275</v>
      </c>
      <c r="G165" s="38" t="n">
        <f aca="false">F165</f>
        <v>0.0275</v>
      </c>
      <c r="H165" s="1" t="n">
        <v>31</v>
      </c>
      <c r="I165" s="27" t="n">
        <v>-0.122572601724992</v>
      </c>
      <c r="K165" s="28" t="n">
        <v>0.0195000000000003</v>
      </c>
      <c r="L165" s="32" t="n">
        <f aca="false">L164</f>
        <v>0.398086634579785</v>
      </c>
      <c r="M165" s="4" t="n">
        <f aca="false">M164</f>
        <v>0.7348</v>
      </c>
      <c r="N165" s="8" t="n">
        <f aca="false">L165</f>
        <v>0.398086634579785</v>
      </c>
      <c r="O165" s="1" t="n">
        <f aca="false">O164</f>
        <v>0.0477</v>
      </c>
      <c r="P165" s="1" t="n">
        <f aca="false">P164</f>
        <v>0.0307</v>
      </c>
      <c r="R165" s="1" t="n">
        <f aca="false">Transport!F165</f>
        <v>4926</v>
      </c>
      <c r="S165" s="1" t="n">
        <f aca="false">Transport!G165</f>
        <v>5732</v>
      </c>
      <c r="T165" s="1" t="n">
        <f aca="false">Transport!H165</f>
        <v>9342</v>
      </c>
      <c r="U165" s="1" t="n">
        <f aca="false">Transport!I165</f>
        <v>2563</v>
      </c>
      <c r="V165" s="1" t="n">
        <f aca="false">Transport!J165</f>
        <v>2862</v>
      </c>
      <c r="W165" s="1" t="n">
        <f aca="false">Transport!K165</f>
        <v>1685</v>
      </c>
      <c r="X165" s="1" t="n">
        <f aca="false">Transport!L165</f>
        <v>683</v>
      </c>
    </row>
    <row r="166" customFormat="false" ht="11.25" hidden="false" customHeight="false" outlineLevel="0" collapsed="false">
      <c r="A166" s="6" t="n">
        <f aca="false">+A165+365/12</f>
        <v>40646.0833333333</v>
      </c>
      <c r="B166" s="29" t="n">
        <f aca="false">C166-0.06</f>
        <v>3.01325561624306</v>
      </c>
      <c r="C166" s="29" t="n">
        <f aca="false">C154*1.01</f>
        <v>3.07325561624306</v>
      </c>
      <c r="D166" s="29" t="n">
        <f aca="false">C166-0.05</f>
        <v>3.02325561624306</v>
      </c>
      <c r="E166" s="29" t="n">
        <f aca="false">C166</f>
        <v>3.07325561624306</v>
      </c>
      <c r="F166" s="31" t="n">
        <f aca="false">+F165</f>
        <v>0.0275</v>
      </c>
      <c r="G166" s="38" t="n">
        <f aca="false">F166</f>
        <v>0.0275</v>
      </c>
      <c r="H166" s="1" t="n">
        <v>30</v>
      </c>
      <c r="I166" s="27" t="n">
        <v>-0.0730896150216878</v>
      </c>
      <c r="K166" s="28" t="n">
        <v>0.00599999999999978</v>
      </c>
      <c r="L166" s="32" t="n">
        <f aca="false">L165</f>
        <v>0.398086634579785</v>
      </c>
      <c r="M166" s="4" t="n">
        <f aca="false">M165</f>
        <v>0.7348</v>
      </c>
      <c r="N166" s="8" t="n">
        <f aca="false">L166</f>
        <v>0.398086634579785</v>
      </c>
      <c r="O166" s="1" t="n">
        <f aca="false">O165</f>
        <v>0.0477</v>
      </c>
      <c r="P166" s="1" t="n">
        <f aca="false">P165</f>
        <v>0.0307</v>
      </c>
      <c r="R166" s="1" t="n">
        <f aca="false">Transport!F166</f>
        <v>6933</v>
      </c>
      <c r="S166" s="1" t="n">
        <f aca="false">Transport!G166</f>
        <v>8798</v>
      </c>
      <c r="T166" s="1" t="n">
        <f aca="false">Transport!H166</f>
        <v>14269</v>
      </c>
      <c r="U166" s="1" t="n">
        <f aca="false">Transport!I166</f>
        <v>1880</v>
      </c>
      <c r="V166" s="1" t="n">
        <f aca="false">Transport!J166</f>
        <v>2073</v>
      </c>
      <c r="W166" s="1" t="n">
        <f aca="false">Transport!K166</f>
        <v>1258</v>
      </c>
      <c r="X166" s="1" t="n">
        <f aca="false">Transport!L166</f>
        <v>683</v>
      </c>
    </row>
    <row r="167" customFormat="false" ht="11.25" hidden="false" customHeight="false" outlineLevel="0" collapsed="false">
      <c r="A167" s="6" t="n">
        <f aca="false">+A166+365/12</f>
        <v>40676.5</v>
      </c>
      <c r="B167" s="29" t="n">
        <f aca="false">C167-0.06</f>
        <v>3.22105581805308</v>
      </c>
      <c r="C167" s="29" t="n">
        <f aca="false">C155*1.01</f>
        <v>3.28105581805308</v>
      </c>
      <c r="D167" s="29" t="n">
        <f aca="false">C167-0.05</f>
        <v>3.23105581805308</v>
      </c>
      <c r="E167" s="29" t="n">
        <f aca="false">C167</f>
        <v>3.28105581805308</v>
      </c>
      <c r="F167" s="31" t="n">
        <f aca="false">+F166</f>
        <v>0.0275</v>
      </c>
      <c r="G167" s="38" t="n">
        <f aca="false">F167</f>
        <v>0.0275</v>
      </c>
      <c r="H167" s="1" t="n">
        <v>31</v>
      </c>
      <c r="I167" s="27" t="n">
        <v>-0.0756430270100856</v>
      </c>
      <c r="K167" s="28" t="n">
        <v>0.00599999999999978</v>
      </c>
      <c r="L167" s="32" t="n">
        <f aca="false">L166</f>
        <v>0.398086634579785</v>
      </c>
      <c r="M167" s="4" t="n">
        <f aca="false">M166</f>
        <v>0.7348</v>
      </c>
      <c r="N167" s="8" t="n">
        <f aca="false">L167</f>
        <v>0.398086634579785</v>
      </c>
      <c r="O167" s="1" t="n">
        <f aca="false">O166</f>
        <v>0.0477</v>
      </c>
      <c r="P167" s="1" t="n">
        <f aca="false">P166</f>
        <v>0.0307</v>
      </c>
      <c r="R167" s="1" t="n">
        <f aca="false">Transport!F167</f>
        <v>8730</v>
      </c>
      <c r="S167" s="1" t="n">
        <f aca="false">Transport!G167</f>
        <v>10761</v>
      </c>
      <c r="T167" s="1" t="n">
        <f aca="false">Transport!H167</f>
        <v>15509</v>
      </c>
      <c r="U167" s="1" t="n">
        <f aca="false">Transport!I167</f>
        <v>1880</v>
      </c>
      <c r="V167" s="1" t="n">
        <f aca="false">Transport!J167</f>
        <v>2295</v>
      </c>
      <c r="W167" s="1" t="n">
        <f aca="false">Transport!K167</f>
        <v>1036</v>
      </c>
      <c r="X167" s="1" t="n">
        <f aca="false">Transport!L167</f>
        <v>683</v>
      </c>
    </row>
    <row r="168" customFormat="false" ht="11.25" hidden="false" customHeight="false" outlineLevel="0" collapsed="false">
      <c r="A168" s="6" t="n">
        <f aca="false">+A167+365/12</f>
        <v>40706.9166666667</v>
      </c>
      <c r="B168" s="29" t="n">
        <f aca="false">C168-0.06</f>
        <v>4.6537835252696</v>
      </c>
      <c r="C168" s="29" t="n">
        <f aca="false">C156*1.01</f>
        <v>4.7137835252696</v>
      </c>
      <c r="D168" s="29" t="n">
        <f aca="false">C168-0.05</f>
        <v>4.6637835252696</v>
      </c>
      <c r="E168" s="29" t="n">
        <f aca="false">C168</f>
        <v>4.7137835252696</v>
      </c>
      <c r="F168" s="31" t="n">
        <f aca="false">+F167</f>
        <v>0.0275</v>
      </c>
      <c r="G168" s="38" t="n">
        <f aca="false">F168</f>
        <v>0.0275</v>
      </c>
      <c r="H168" s="1" t="n">
        <v>30</v>
      </c>
      <c r="I168" s="27" t="n">
        <v>-0.0756461818238532</v>
      </c>
      <c r="K168" s="28" t="n">
        <v>0.00599999999999978</v>
      </c>
      <c r="L168" s="32" t="n">
        <f aca="false">L167</f>
        <v>0.398086634579785</v>
      </c>
      <c r="M168" s="4" t="n">
        <f aca="false">M167</f>
        <v>0.7348</v>
      </c>
      <c r="N168" s="8" t="n">
        <f aca="false">L168</f>
        <v>0.398086634579785</v>
      </c>
      <c r="O168" s="1" t="n">
        <f aca="false">O167</f>
        <v>0.0477</v>
      </c>
      <c r="P168" s="1" t="n">
        <f aca="false">P167</f>
        <v>0.0307</v>
      </c>
      <c r="R168" s="1" t="n">
        <f aca="false">Transport!F168</f>
        <v>8730</v>
      </c>
      <c r="S168" s="1" t="n">
        <f aca="false">Transport!G168</f>
        <v>10761</v>
      </c>
      <c r="T168" s="1" t="n">
        <f aca="false">Transport!H168</f>
        <v>15509</v>
      </c>
      <c r="U168" s="1" t="n">
        <f aca="false">Transport!I168</f>
        <v>1880</v>
      </c>
      <c r="V168" s="1" t="n">
        <f aca="false">Transport!J168</f>
        <v>2295</v>
      </c>
      <c r="W168" s="1" t="n">
        <f aca="false">Transport!K168</f>
        <v>1036</v>
      </c>
      <c r="X168" s="1" t="n">
        <f aca="false">Transport!L168</f>
        <v>683</v>
      </c>
    </row>
    <row r="169" customFormat="false" ht="11.25" hidden="false" customHeight="false" outlineLevel="0" collapsed="false">
      <c r="A169" s="6" t="n">
        <f aca="false">+A168+365/12</f>
        <v>40737.3333333333</v>
      </c>
      <c r="B169" s="29" t="n">
        <f aca="false">C169-0.06</f>
        <v>4.64284667254275</v>
      </c>
      <c r="C169" s="29" t="n">
        <f aca="false">C157*1.01</f>
        <v>4.70284667254275</v>
      </c>
      <c r="D169" s="29" t="n">
        <f aca="false">C169-0.05</f>
        <v>4.65284667254275</v>
      </c>
      <c r="E169" s="29" t="n">
        <f aca="false">C169</f>
        <v>4.70284667254275</v>
      </c>
      <c r="F169" s="31" t="n">
        <f aca="false">+F168</f>
        <v>0.0275</v>
      </c>
      <c r="G169" s="38" t="n">
        <f aca="false">F169</f>
        <v>0.0275</v>
      </c>
      <c r="H169" s="1" t="n">
        <v>31</v>
      </c>
      <c r="I169" s="27" t="n">
        <v>-0.0801480747121137</v>
      </c>
      <c r="K169" s="28" t="n">
        <v>0.00949999999999984</v>
      </c>
      <c r="L169" s="32" t="n">
        <f aca="false">L168</f>
        <v>0.398086634579785</v>
      </c>
      <c r="M169" s="4" t="n">
        <f aca="false">M168</f>
        <v>0.7348</v>
      </c>
      <c r="N169" s="8" t="n">
        <f aca="false">L169</f>
        <v>0.398086634579785</v>
      </c>
      <c r="O169" s="1" t="n">
        <f aca="false">O168</f>
        <v>0.0477</v>
      </c>
      <c r="P169" s="1" t="n">
        <f aca="false">P168</f>
        <v>0.0307</v>
      </c>
      <c r="R169" s="1" t="n">
        <f aca="false">Transport!F169</f>
        <v>8730</v>
      </c>
      <c r="S169" s="1" t="n">
        <f aca="false">Transport!G169</f>
        <v>10761</v>
      </c>
      <c r="T169" s="1" t="n">
        <f aca="false">Transport!H169</f>
        <v>15509</v>
      </c>
      <c r="U169" s="1" t="n">
        <f aca="false">Transport!I169</f>
        <v>1880</v>
      </c>
      <c r="V169" s="1" t="n">
        <f aca="false">Transport!J169</f>
        <v>2295</v>
      </c>
      <c r="W169" s="1" t="n">
        <f aca="false">Transport!K169</f>
        <v>1036</v>
      </c>
      <c r="X169" s="1" t="n">
        <f aca="false">Transport!L169</f>
        <v>683</v>
      </c>
    </row>
    <row r="170" customFormat="false" ht="11.25" hidden="false" customHeight="false" outlineLevel="0" collapsed="false">
      <c r="A170" s="6" t="n">
        <f aca="false">+A169+365/12</f>
        <v>40767.75</v>
      </c>
      <c r="B170" s="29" t="n">
        <f aca="false">C170-0.06</f>
        <v>4.0522566252932</v>
      </c>
      <c r="C170" s="29" t="n">
        <f aca="false">C158*1.01</f>
        <v>4.1122566252932</v>
      </c>
      <c r="D170" s="29" t="n">
        <f aca="false">C170-0.05</f>
        <v>4.0622566252932</v>
      </c>
      <c r="E170" s="29" t="n">
        <f aca="false">C170</f>
        <v>4.1122566252932</v>
      </c>
      <c r="F170" s="31" t="n">
        <f aca="false">+F169</f>
        <v>0.0275</v>
      </c>
      <c r="G170" s="38" t="n">
        <f aca="false">F170</f>
        <v>0.0275</v>
      </c>
      <c r="H170" s="1" t="n">
        <v>31</v>
      </c>
      <c r="I170" s="27" t="n">
        <v>-0.0801518604886344</v>
      </c>
      <c r="K170" s="28" t="n">
        <v>0.00949999999999962</v>
      </c>
      <c r="L170" s="32" t="n">
        <f aca="false">L169</f>
        <v>0.398086634579785</v>
      </c>
      <c r="M170" s="4" t="n">
        <f aca="false">M169</f>
        <v>0.7348</v>
      </c>
      <c r="N170" s="8" t="n">
        <f aca="false">L170</f>
        <v>0.398086634579785</v>
      </c>
      <c r="O170" s="1" t="n">
        <f aca="false">O169</f>
        <v>0.0477</v>
      </c>
      <c r="P170" s="1" t="n">
        <f aca="false">P169</f>
        <v>0.0307</v>
      </c>
      <c r="R170" s="1" t="n">
        <f aca="false">Transport!F170</f>
        <v>8730</v>
      </c>
      <c r="S170" s="1" t="n">
        <f aca="false">Transport!G170</f>
        <v>10761</v>
      </c>
      <c r="T170" s="1" t="n">
        <f aca="false">Transport!H170</f>
        <v>15509</v>
      </c>
      <c r="U170" s="1" t="n">
        <f aca="false">Transport!I170</f>
        <v>1880</v>
      </c>
      <c r="V170" s="1" t="n">
        <f aca="false">Transport!J170</f>
        <v>2295</v>
      </c>
      <c r="W170" s="1" t="n">
        <f aca="false">Transport!K170</f>
        <v>1036</v>
      </c>
      <c r="X170" s="1" t="n">
        <f aca="false">Transport!L170</f>
        <v>683</v>
      </c>
    </row>
    <row r="171" customFormat="false" ht="11.25" hidden="false" customHeight="false" outlineLevel="0" collapsed="false">
      <c r="A171" s="6" t="n">
        <f aca="false">+A170+365/12</f>
        <v>40798.1666666667</v>
      </c>
      <c r="B171" s="29" t="n">
        <f aca="false">C171-0.06</f>
        <v>4.89439428526016</v>
      </c>
      <c r="C171" s="29" t="n">
        <f aca="false">C159*1.01</f>
        <v>4.95439428526016</v>
      </c>
      <c r="D171" s="29" t="n">
        <f aca="false">C171-0.05</f>
        <v>4.90439428526016</v>
      </c>
      <c r="E171" s="29" t="n">
        <f aca="false">C171</f>
        <v>4.95439428526016</v>
      </c>
      <c r="F171" s="31" t="n">
        <f aca="false">+F170</f>
        <v>0.0275</v>
      </c>
      <c r="G171" s="38" t="n">
        <f aca="false">F171</f>
        <v>0.0275</v>
      </c>
      <c r="H171" s="1" t="n">
        <v>30</v>
      </c>
      <c r="I171" s="27" t="n">
        <v>-0.08015817011617</v>
      </c>
      <c r="K171" s="28" t="n">
        <v>0.00949999999999962</v>
      </c>
      <c r="L171" s="32" t="n">
        <f aca="false">L170</f>
        <v>0.398086634579785</v>
      </c>
      <c r="M171" s="4" t="n">
        <f aca="false">M170</f>
        <v>0.7348</v>
      </c>
      <c r="N171" s="8" t="n">
        <f aca="false">L171</f>
        <v>0.398086634579785</v>
      </c>
      <c r="O171" s="1" t="n">
        <f aca="false">O170</f>
        <v>0.0477</v>
      </c>
      <c r="P171" s="1" t="n">
        <f aca="false">P170</f>
        <v>0.0307</v>
      </c>
      <c r="R171" s="1" t="n">
        <f aca="false">Transport!F171</f>
        <v>8730</v>
      </c>
      <c r="S171" s="1" t="n">
        <f aca="false">Transport!G171</f>
        <v>10761</v>
      </c>
      <c r="T171" s="1" t="n">
        <f aca="false">Transport!H171</f>
        <v>15509</v>
      </c>
      <c r="U171" s="1" t="n">
        <f aca="false">Transport!I171</f>
        <v>1880</v>
      </c>
      <c r="V171" s="1" t="n">
        <f aca="false">Transport!J171</f>
        <v>2295</v>
      </c>
      <c r="W171" s="1" t="n">
        <f aca="false">Transport!K171</f>
        <v>1036</v>
      </c>
      <c r="X171" s="1" t="n">
        <f aca="false">Transport!L171</f>
        <v>683</v>
      </c>
    </row>
    <row r="172" customFormat="false" ht="11.25" hidden="false" customHeight="false" outlineLevel="0" collapsed="false">
      <c r="A172" s="6" t="n">
        <f aca="false">+A171+365/12</f>
        <v>40828.5833333333</v>
      </c>
      <c r="B172" s="29" t="n">
        <f aca="false">C172-0.06</f>
        <v>5.63810027068552</v>
      </c>
      <c r="C172" s="29" t="n">
        <f aca="false">C160*1.01</f>
        <v>5.69810027068552</v>
      </c>
      <c r="D172" s="29" t="n">
        <f aca="false">C172-0.05</f>
        <v>5.64810027068552</v>
      </c>
      <c r="E172" s="29" t="n">
        <f aca="false">C172</f>
        <v>5.69810027068552</v>
      </c>
      <c r="F172" s="31" t="n">
        <f aca="false">+F171</f>
        <v>0.0275</v>
      </c>
      <c r="G172" s="38" t="n">
        <f aca="false">F172</f>
        <v>0.0275</v>
      </c>
      <c r="H172" s="1" t="n">
        <v>31</v>
      </c>
      <c r="I172" s="27" t="n">
        <v>-0.0825798931378614</v>
      </c>
      <c r="K172" s="28" t="n">
        <v>0.0145</v>
      </c>
      <c r="L172" s="32" t="n">
        <f aca="false">L171</f>
        <v>0.398086634579785</v>
      </c>
      <c r="M172" s="4" t="n">
        <f aca="false">M171</f>
        <v>0.7348</v>
      </c>
      <c r="N172" s="8" t="n">
        <f aca="false">L172</f>
        <v>0.398086634579785</v>
      </c>
      <c r="O172" s="1" t="n">
        <f aca="false">O171</f>
        <v>0.0477</v>
      </c>
      <c r="P172" s="1" t="n">
        <f aca="false">P171</f>
        <v>0.0307</v>
      </c>
      <c r="R172" s="1" t="n">
        <f aca="false">Transport!F172</f>
        <v>8730</v>
      </c>
      <c r="S172" s="1" t="n">
        <f aca="false">Transport!G172</f>
        <v>10361</v>
      </c>
      <c r="T172" s="1" t="n">
        <f aca="false">Transport!H172</f>
        <v>15909</v>
      </c>
      <c r="U172" s="1" t="n">
        <f aca="false">Transport!I172</f>
        <v>2830</v>
      </c>
      <c r="V172" s="1" t="n">
        <f aca="false">Transport!J172</f>
        <v>3500</v>
      </c>
      <c r="W172" s="1" t="n">
        <f aca="false">Transport!K172</f>
        <v>1521</v>
      </c>
      <c r="X172" s="1" t="n">
        <f aca="false">Transport!L172</f>
        <v>1001</v>
      </c>
    </row>
    <row r="173" customFormat="false" ht="11.25" hidden="false" customHeight="false" outlineLevel="0" collapsed="false">
      <c r="A173" s="6" t="n">
        <f aca="false">+A172+365/12</f>
        <v>40859</v>
      </c>
      <c r="B173" s="29" t="n">
        <f aca="false">C173-0.06</f>
        <v>3.74602474894158</v>
      </c>
      <c r="C173" s="29" t="n">
        <f aca="false">C161*1.01</f>
        <v>3.80602474894158</v>
      </c>
      <c r="D173" s="29" t="n">
        <f aca="false">C173-0.05</f>
        <v>3.75602474894158</v>
      </c>
      <c r="E173" s="29" t="n">
        <f aca="false">C173</f>
        <v>3.80602474894158</v>
      </c>
      <c r="F173" s="31" t="n">
        <f aca="false">+F172</f>
        <v>0.0275</v>
      </c>
      <c r="G173" s="38" t="n">
        <f aca="false">F173</f>
        <v>0.0275</v>
      </c>
      <c r="H173" s="1" t="n">
        <v>30</v>
      </c>
      <c r="I173" s="27" t="n">
        <v>-0.127552116326928</v>
      </c>
      <c r="K173" s="28" t="n">
        <v>0.0194999999999999</v>
      </c>
      <c r="L173" s="32" t="n">
        <f aca="false">L172</f>
        <v>0.398086634579785</v>
      </c>
      <c r="M173" s="4" t="n">
        <f aca="false">M172</f>
        <v>0.7348</v>
      </c>
      <c r="N173" s="8" t="n">
        <f aca="false">L173</f>
        <v>0.398086634579785</v>
      </c>
      <c r="O173" s="1" t="n">
        <f aca="false">O172</f>
        <v>0.0477</v>
      </c>
      <c r="P173" s="1" t="n">
        <f aca="false">P172</f>
        <v>0.0307</v>
      </c>
      <c r="R173" s="1" t="n">
        <f aca="false">Transport!F173</f>
        <v>4926</v>
      </c>
      <c r="S173" s="1" t="n">
        <f aca="false">Transport!G173</f>
        <v>5732</v>
      </c>
      <c r="T173" s="1" t="n">
        <f aca="false">Transport!H173</f>
        <v>9342</v>
      </c>
      <c r="U173" s="1" t="n">
        <f aca="false">Transport!I173</f>
        <v>2563</v>
      </c>
      <c r="V173" s="1" t="n">
        <f aca="false">Transport!J173</f>
        <v>2862</v>
      </c>
      <c r="W173" s="1" t="n">
        <f aca="false">Transport!K173</f>
        <v>1685</v>
      </c>
      <c r="X173" s="1" t="n">
        <f aca="false">Transport!L173</f>
        <v>683</v>
      </c>
    </row>
    <row r="174" customFormat="false" ht="11.25" hidden="false" customHeight="false" outlineLevel="0" collapsed="false">
      <c r="A174" s="6" t="n">
        <f aca="false">+A173+365/12</f>
        <v>40889.4166666667</v>
      </c>
      <c r="B174" s="29" t="n">
        <f aca="false">C174-0.06</f>
        <v>2.78358170897934</v>
      </c>
      <c r="C174" s="29" t="n">
        <f aca="false">C162*1.01</f>
        <v>2.84358170897934</v>
      </c>
      <c r="D174" s="29" t="n">
        <f aca="false">C174-0.05</f>
        <v>2.79358170897934</v>
      </c>
      <c r="E174" s="29" t="n">
        <f aca="false">C174</f>
        <v>2.84358170897934</v>
      </c>
      <c r="F174" s="31" t="n">
        <f aca="false">+F173</f>
        <v>0.0275</v>
      </c>
      <c r="G174" s="38" t="n">
        <f aca="false">F174</f>
        <v>0.0275</v>
      </c>
      <c r="H174" s="1" t="n">
        <v>31</v>
      </c>
      <c r="I174" s="27" t="n">
        <v>-0.16251461763217</v>
      </c>
      <c r="K174" s="28" t="n">
        <v>0.0245000000000002</v>
      </c>
      <c r="L174" s="32" t="n">
        <f aca="false">L173</f>
        <v>0.398086634579785</v>
      </c>
      <c r="M174" s="4" t="n">
        <f aca="false">M173</f>
        <v>0.7348</v>
      </c>
      <c r="N174" s="8" t="n">
        <f aca="false">L174</f>
        <v>0.398086634579785</v>
      </c>
      <c r="O174" s="1" t="n">
        <f aca="false">O173</f>
        <v>0.0477</v>
      </c>
      <c r="P174" s="1" t="n">
        <f aca="false">P173</f>
        <v>0.0307</v>
      </c>
      <c r="R174" s="1" t="n">
        <f aca="false">Transport!F174</f>
        <v>4926</v>
      </c>
      <c r="S174" s="1" t="n">
        <f aca="false">Transport!G174</f>
        <v>5732</v>
      </c>
      <c r="T174" s="1" t="n">
        <f aca="false">Transport!H174</f>
        <v>9342</v>
      </c>
      <c r="U174" s="1" t="n">
        <f aca="false">Transport!I174</f>
        <v>2563</v>
      </c>
      <c r="V174" s="1" t="n">
        <f aca="false">Transport!J174</f>
        <v>2862</v>
      </c>
      <c r="W174" s="1" t="n">
        <f aca="false">Transport!K174</f>
        <v>1685</v>
      </c>
      <c r="X174" s="1" t="n">
        <f aca="false">Transport!L174</f>
        <v>683</v>
      </c>
    </row>
    <row r="175" customFormat="false" ht="11.25" hidden="false" customHeight="false" outlineLevel="0" collapsed="false">
      <c r="A175" s="41" t="n">
        <f aca="false">+A174+365/12</f>
        <v>40919.8333333333</v>
      </c>
      <c r="B175" s="42" t="n">
        <f aca="false">C175-0.06</f>
        <v>2.44749222468344</v>
      </c>
      <c r="C175" s="42" t="n">
        <f aca="false">C163*1.01</f>
        <v>2.50749222468344</v>
      </c>
      <c r="D175" s="42" t="n">
        <f aca="false">C175-0.05</f>
        <v>2.45749222468344</v>
      </c>
      <c r="E175" s="42" t="n">
        <f aca="false">C175</f>
        <v>2.50749222468344</v>
      </c>
      <c r="F175" s="43" t="n">
        <f aca="false">+F174</f>
        <v>0.0275</v>
      </c>
      <c r="G175" s="44" t="n">
        <f aca="false">F175</f>
        <v>0.0275</v>
      </c>
      <c r="H175" s="45" t="n">
        <v>31</v>
      </c>
      <c r="I175" s="46" t="n">
        <v>-0.147509062269983</v>
      </c>
      <c r="J175" s="45"/>
      <c r="K175" s="47" t="n">
        <v>0.0245000000000002</v>
      </c>
      <c r="L175" s="48" t="n">
        <f aca="false">('[1]062'!$W$56*1000)/('[1]062'!$W$50*[1]Assumptions!$W$9)</f>
        <v>0.396998966179294</v>
      </c>
      <c r="M175" s="49" t="n">
        <f aca="false">M174</f>
        <v>0.7348</v>
      </c>
      <c r="N175" s="50" t="n">
        <f aca="false">L175</f>
        <v>0.396998966179294</v>
      </c>
      <c r="O175" s="45" t="n">
        <f aca="false">O174</f>
        <v>0.0477</v>
      </c>
      <c r="P175" s="45" t="n">
        <f aca="false">P174</f>
        <v>0.0307</v>
      </c>
      <c r="Q175" s="45"/>
      <c r="R175" s="45" t="n">
        <f aca="false">Transport!F175</f>
        <v>4926</v>
      </c>
      <c r="S175" s="45" t="n">
        <f aca="false">Transport!G175</f>
        <v>5732</v>
      </c>
      <c r="T175" s="45" t="n">
        <f aca="false">Transport!H175</f>
        <v>9342</v>
      </c>
      <c r="U175" s="45" t="n">
        <f aca="false">Transport!I175</f>
        <v>2563</v>
      </c>
      <c r="V175" s="45" t="n">
        <f aca="false">Transport!J175</f>
        <v>2862</v>
      </c>
      <c r="W175" s="45" t="n">
        <f aca="false">Transport!K175</f>
        <v>1685</v>
      </c>
      <c r="X175" s="45" t="n">
        <f aca="false">Transport!L175</f>
        <v>683</v>
      </c>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c r="BA175" s="45"/>
      <c r="BB175" s="45"/>
      <c r="BC175" s="45"/>
      <c r="BD175" s="45"/>
      <c r="BE175" s="45"/>
      <c r="BF175" s="45"/>
      <c r="BG175" s="45"/>
      <c r="BH175" s="45"/>
      <c r="BI175" s="45"/>
      <c r="BJ175" s="45"/>
      <c r="BK175" s="45"/>
      <c r="BL175" s="45"/>
      <c r="BM175" s="45"/>
      <c r="BN175" s="45"/>
      <c r="BO175" s="45"/>
      <c r="BP175" s="45"/>
      <c r="BQ175" s="45"/>
      <c r="BR175" s="45"/>
      <c r="BS175" s="45"/>
      <c r="BT175" s="45"/>
      <c r="BU175" s="45"/>
      <c r="BV175" s="45"/>
      <c r="BW175" s="45"/>
      <c r="BX175" s="45"/>
      <c r="BY175" s="45"/>
      <c r="BZ175" s="45"/>
      <c r="CA175" s="45"/>
      <c r="CB175" s="45"/>
      <c r="CC175" s="45"/>
      <c r="CD175" s="45"/>
      <c r="CE175" s="45"/>
      <c r="CF175" s="45"/>
      <c r="CG175" s="45"/>
      <c r="CH175" s="45"/>
      <c r="CI175" s="45"/>
      <c r="CJ175" s="45"/>
      <c r="CK175" s="45"/>
      <c r="CL175" s="45"/>
      <c r="CM175" s="45"/>
      <c r="CN175" s="45"/>
      <c r="CO175" s="45"/>
      <c r="CP175" s="45"/>
      <c r="CQ175" s="45"/>
      <c r="CR175" s="45"/>
      <c r="CS175" s="45"/>
      <c r="CT175" s="45"/>
      <c r="CU175" s="45"/>
      <c r="CV175" s="45"/>
      <c r="CW175" s="45"/>
      <c r="CX175" s="45"/>
      <c r="CY175" s="45"/>
      <c r="CZ175" s="45"/>
      <c r="DA175" s="45"/>
      <c r="DB175" s="45"/>
      <c r="DC175" s="45"/>
      <c r="DD175" s="45"/>
      <c r="DE175" s="45"/>
      <c r="DF175" s="45"/>
      <c r="DG175" s="45"/>
      <c r="DH175" s="45"/>
      <c r="DI175" s="45"/>
      <c r="DJ175" s="45"/>
      <c r="DK175" s="45"/>
      <c r="DL175" s="45"/>
      <c r="DM175" s="45"/>
      <c r="DN175" s="45"/>
      <c r="DO175" s="45"/>
      <c r="DP175" s="45"/>
      <c r="DQ175" s="45"/>
      <c r="DR175" s="45"/>
      <c r="DS175" s="45"/>
      <c r="DT175" s="45"/>
      <c r="DU175" s="45"/>
      <c r="DV175" s="45"/>
      <c r="DW175" s="45"/>
      <c r="DX175" s="45"/>
      <c r="DY175" s="45"/>
      <c r="DZ175" s="45"/>
      <c r="EA175" s="45"/>
      <c r="EB175" s="45"/>
      <c r="EC175" s="45"/>
      <c r="ED175" s="45"/>
      <c r="EE175" s="45"/>
      <c r="EF175" s="45"/>
      <c r="EG175" s="45"/>
      <c r="EH175" s="45"/>
      <c r="EI175" s="45"/>
      <c r="EJ175" s="45"/>
      <c r="EK175" s="45"/>
      <c r="EL175" s="45"/>
      <c r="EM175" s="45"/>
      <c r="EN175" s="45"/>
      <c r="EO175" s="45"/>
      <c r="EP175" s="45"/>
      <c r="EQ175" s="45"/>
      <c r="ER175" s="45"/>
      <c r="ES175" s="45"/>
      <c r="ET175" s="45"/>
      <c r="EU175" s="45"/>
      <c r="EV175" s="45"/>
      <c r="EW175" s="45"/>
      <c r="EX175" s="45"/>
      <c r="EY175" s="45"/>
      <c r="EZ175" s="45"/>
      <c r="FA175" s="45"/>
      <c r="FB175" s="45"/>
      <c r="FC175" s="45"/>
      <c r="FD175" s="45"/>
      <c r="FE175" s="45"/>
      <c r="FF175" s="45"/>
      <c r="FG175" s="45"/>
      <c r="FH175" s="45"/>
      <c r="FI175" s="45"/>
      <c r="FJ175" s="45"/>
      <c r="FK175" s="45"/>
      <c r="FL175" s="45"/>
      <c r="FM175" s="45"/>
      <c r="FN175" s="45"/>
      <c r="FO175" s="45"/>
      <c r="FP175" s="45"/>
      <c r="FQ175" s="45"/>
      <c r="FR175" s="45"/>
      <c r="FS175" s="45"/>
      <c r="FT175" s="45"/>
      <c r="FU175" s="45"/>
      <c r="FV175" s="45"/>
      <c r="FW175" s="45"/>
      <c r="FX175" s="45"/>
      <c r="FY175" s="45"/>
      <c r="FZ175" s="45"/>
      <c r="GA175" s="45"/>
      <c r="GB175" s="45"/>
      <c r="GC175" s="45"/>
      <c r="GD175" s="45"/>
      <c r="GE175" s="45"/>
      <c r="GF175" s="45"/>
      <c r="GG175" s="45"/>
      <c r="GH175" s="45"/>
      <c r="GI175" s="45"/>
      <c r="GJ175" s="45"/>
      <c r="GK175" s="45"/>
      <c r="GL175" s="45"/>
      <c r="GM175" s="45"/>
      <c r="GN175" s="45"/>
      <c r="GO175" s="45"/>
      <c r="GP175" s="45"/>
      <c r="GQ175" s="45"/>
      <c r="GR175" s="45"/>
      <c r="GS175" s="45"/>
      <c r="GT175" s="45"/>
      <c r="GU175" s="45"/>
      <c r="GV175" s="45"/>
      <c r="GW175" s="45"/>
      <c r="GX175" s="45"/>
      <c r="GY175" s="45"/>
      <c r="GZ175" s="45"/>
      <c r="HA175" s="45"/>
      <c r="HB175" s="45"/>
      <c r="HC175" s="45"/>
      <c r="HD175" s="45"/>
      <c r="HE175" s="45"/>
      <c r="HF175" s="45"/>
      <c r="HG175" s="45"/>
      <c r="HH175" s="45"/>
      <c r="HI175" s="45"/>
      <c r="HJ175" s="45"/>
      <c r="HK175" s="45"/>
      <c r="HL175" s="45"/>
      <c r="HM175" s="45"/>
      <c r="HN175" s="45"/>
      <c r="HO175" s="45"/>
      <c r="HP175" s="45"/>
      <c r="HQ175" s="45"/>
      <c r="HR175" s="45"/>
      <c r="HS175" s="45"/>
      <c r="HT175" s="45"/>
      <c r="HU175" s="45"/>
      <c r="HV175" s="45"/>
      <c r="HW175" s="45"/>
      <c r="HX175" s="45"/>
      <c r="HY175" s="45"/>
      <c r="HZ175" s="45"/>
      <c r="IA175" s="45"/>
      <c r="IB175" s="45"/>
      <c r="IC175" s="45"/>
      <c r="ID175" s="45"/>
      <c r="IE175" s="45"/>
      <c r="IF175" s="45"/>
      <c r="IG175" s="45"/>
      <c r="IH175" s="45"/>
      <c r="II175" s="45"/>
      <c r="IJ175" s="45"/>
      <c r="IK175" s="45"/>
      <c r="IL175" s="45"/>
      <c r="IM175" s="45"/>
      <c r="IN175" s="45"/>
      <c r="IO175" s="45"/>
      <c r="IP175" s="45"/>
      <c r="IQ175" s="45"/>
      <c r="IR175" s="45"/>
      <c r="IS175" s="45"/>
      <c r="IT175" s="45"/>
      <c r="IU175" s="45"/>
      <c r="IV175" s="45"/>
      <c r="IW175" s="45"/>
    </row>
    <row r="176" customFormat="false" ht="11.25" hidden="false" customHeight="false" outlineLevel="0" collapsed="false">
      <c r="A176" s="6" t="n">
        <f aca="false">+A175+365/12</f>
        <v>40950.25</v>
      </c>
      <c r="B176" s="29" t="n">
        <f aca="false">C176-0.06</f>
        <v>2.74574019854446</v>
      </c>
      <c r="C176" s="29" t="n">
        <f aca="false">C164*1.01</f>
        <v>2.80574019854446</v>
      </c>
      <c r="D176" s="29" t="n">
        <f aca="false">C176-0.05</f>
        <v>2.75574019854446</v>
      </c>
      <c r="E176" s="29" t="n">
        <f aca="false">C176</f>
        <v>2.80574019854446</v>
      </c>
      <c r="F176" s="31" t="n">
        <f aca="false">+F175</f>
        <v>0.0275</v>
      </c>
      <c r="G176" s="38" t="n">
        <f aca="false">F176</f>
        <v>0.0275</v>
      </c>
      <c r="H176" s="1" t="n">
        <v>29</v>
      </c>
      <c r="I176" s="27" t="n">
        <v>-0.147536839080916</v>
      </c>
      <c r="K176" s="28" t="n">
        <v>0.0245000000000002</v>
      </c>
      <c r="L176" s="32" t="n">
        <f aca="false">L175</f>
        <v>0.396998966179294</v>
      </c>
      <c r="M176" s="4" t="n">
        <f aca="false">M175</f>
        <v>0.7348</v>
      </c>
      <c r="N176" s="8" t="n">
        <f aca="false">L176</f>
        <v>0.396998966179294</v>
      </c>
      <c r="O176" s="1" t="n">
        <f aca="false">O175</f>
        <v>0.0477</v>
      </c>
      <c r="P176" s="1" t="n">
        <f aca="false">P175</f>
        <v>0.0307</v>
      </c>
      <c r="R176" s="1" t="n">
        <f aca="false">Transport!F176</f>
        <v>4926</v>
      </c>
      <c r="S176" s="1" t="n">
        <f aca="false">Transport!G176</f>
        <v>5732</v>
      </c>
      <c r="T176" s="1" t="n">
        <f aca="false">Transport!H176</f>
        <v>9342</v>
      </c>
      <c r="U176" s="1" t="n">
        <f aca="false">Transport!I176</f>
        <v>2563</v>
      </c>
      <c r="V176" s="1" t="n">
        <f aca="false">Transport!J176</f>
        <v>2862</v>
      </c>
      <c r="W176" s="1" t="n">
        <f aca="false">Transport!K176</f>
        <v>1685</v>
      </c>
      <c r="X176" s="1" t="n">
        <f aca="false">Transport!L176</f>
        <v>683</v>
      </c>
    </row>
    <row r="177" customFormat="false" ht="11.25" hidden="false" customHeight="false" outlineLevel="0" collapsed="false">
      <c r="A177" s="6" t="n">
        <f aca="false">+A176+365/12</f>
        <v>40980.6666666667</v>
      </c>
      <c r="B177" s="29" t="n">
        <f aca="false">C177-0.06</f>
        <v>2.74574019854446</v>
      </c>
      <c r="C177" s="29" t="n">
        <f aca="false">C165*1.01</f>
        <v>2.80574019854446</v>
      </c>
      <c r="D177" s="29" t="n">
        <f aca="false">C177-0.05</f>
        <v>2.75574019854446</v>
      </c>
      <c r="E177" s="29" t="n">
        <f aca="false">C177</f>
        <v>2.80574019854446</v>
      </c>
      <c r="F177" s="31" t="n">
        <f aca="false">+F176</f>
        <v>0.0275</v>
      </c>
      <c r="G177" s="38" t="n">
        <f aca="false">F177</f>
        <v>0.0275</v>
      </c>
      <c r="H177" s="1" t="n">
        <v>31</v>
      </c>
      <c r="I177" s="27" t="n">
        <v>-0.122572601724992</v>
      </c>
      <c r="K177" s="28" t="n">
        <v>0.0195000000000003</v>
      </c>
      <c r="L177" s="32" t="n">
        <f aca="false">L176</f>
        <v>0.396998966179294</v>
      </c>
      <c r="M177" s="4" t="n">
        <f aca="false">M176</f>
        <v>0.7348</v>
      </c>
      <c r="N177" s="8" t="n">
        <f aca="false">L177</f>
        <v>0.396998966179294</v>
      </c>
      <c r="O177" s="1" t="n">
        <f aca="false">O176</f>
        <v>0.0477</v>
      </c>
      <c r="P177" s="1" t="n">
        <f aca="false">P176</f>
        <v>0.0307</v>
      </c>
      <c r="R177" s="1" t="n">
        <f aca="false">Transport!F177</f>
        <v>4926</v>
      </c>
      <c r="S177" s="1" t="n">
        <f aca="false">Transport!G177</f>
        <v>5732</v>
      </c>
      <c r="T177" s="1" t="n">
        <f aca="false">Transport!H177</f>
        <v>9342</v>
      </c>
      <c r="U177" s="1" t="n">
        <f aca="false">Transport!I177</f>
        <v>2563</v>
      </c>
      <c r="V177" s="1" t="n">
        <f aca="false">Transport!J177</f>
        <v>2862</v>
      </c>
      <c r="W177" s="1" t="n">
        <f aca="false">Transport!K177</f>
        <v>1685</v>
      </c>
      <c r="X177" s="1" t="n">
        <f aca="false">Transport!L177</f>
        <v>683</v>
      </c>
    </row>
    <row r="178" customFormat="false" ht="11.25" hidden="false" customHeight="false" outlineLevel="0" collapsed="false">
      <c r="A178" s="6" t="n">
        <f aca="false">+A177+365/12</f>
        <v>41011.0833333333</v>
      </c>
      <c r="B178" s="29" t="n">
        <f aca="false">C178-0.06</f>
        <v>3.04398817240549</v>
      </c>
      <c r="C178" s="29" t="n">
        <f aca="false">C166*1.01</f>
        <v>3.10398817240549</v>
      </c>
      <c r="D178" s="29" t="n">
        <f aca="false">C178-0.05</f>
        <v>3.05398817240549</v>
      </c>
      <c r="E178" s="29" t="n">
        <f aca="false">C178</f>
        <v>3.10398817240549</v>
      </c>
      <c r="F178" s="31" t="n">
        <f aca="false">+F177</f>
        <v>0.0275</v>
      </c>
      <c r="G178" s="38" t="n">
        <f aca="false">F178</f>
        <v>0.0275</v>
      </c>
      <c r="H178" s="1" t="n">
        <v>30</v>
      </c>
      <c r="I178" s="27" t="n">
        <v>-0.0730896150216878</v>
      </c>
      <c r="K178" s="28" t="n">
        <v>0.00599999999999978</v>
      </c>
      <c r="L178" s="32" t="n">
        <f aca="false">L177</f>
        <v>0.396998966179294</v>
      </c>
      <c r="M178" s="4" t="n">
        <f aca="false">M177</f>
        <v>0.7348</v>
      </c>
      <c r="N178" s="8" t="n">
        <f aca="false">L178</f>
        <v>0.396998966179294</v>
      </c>
      <c r="O178" s="1" t="n">
        <f aca="false">O177</f>
        <v>0.0477</v>
      </c>
      <c r="P178" s="1" t="n">
        <f aca="false">P177</f>
        <v>0.0307</v>
      </c>
      <c r="R178" s="1" t="n">
        <f aca="false">Transport!F178</f>
        <v>6933</v>
      </c>
      <c r="S178" s="1" t="n">
        <f aca="false">Transport!G178</f>
        <v>8798</v>
      </c>
      <c r="T178" s="1" t="n">
        <f aca="false">Transport!H178</f>
        <v>14269</v>
      </c>
      <c r="U178" s="1" t="n">
        <f aca="false">Transport!I178</f>
        <v>1880</v>
      </c>
      <c r="V178" s="1" t="n">
        <f aca="false">Transport!J178</f>
        <v>2073</v>
      </c>
      <c r="W178" s="1" t="n">
        <f aca="false">Transport!K178</f>
        <v>1258</v>
      </c>
      <c r="X178" s="1" t="n">
        <f aca="false">Transport!L178</f>
        <v>683</v>
      </c>
    </row>
    <row r="179" customFormat="false" ht="11.25" hidden="false" customHeight="false" outlineLevel="0" collapsed="false">
      <c r="A179" s="6" t="n">
        <f aca="false">+A178+365/12</f>
        <v>41041.5</v>
      </c>
      <c r="B179" s="29" t="n">
        <f aca="false">C179-0.06</f>
        <v>3.25386637623361</v>
      </c>
      <c r="C179" s="29" t="n">
        <f aca="false">C167*1.01</f>
        <v>3.31386637623361</v>
      </c>
      <c r="D179" s="29" t="n">
        <f aca="false">C179-0.05</f>
        <v>3.26386637623361</v>
      </c>
      <c r="E179" s="29" t="n">
        <f aca="false">C179</f>
        <v>3.31386637623361</v>
      </c>
      <c r="F179" s="31" t="n">
        <f aca="false">+F178</f>
        <v>0.0275</v>
      </c>
      <c r="G179" s="38" t="n">
        <f aca="false">F179</f>
        <v>0.0275</v>
      </c>
      <c r="H179" s="1" t="n">
        <v>31</v>
      </c>
      <c r="I179" s="27" t="n">
        <v>-0.0756430270100856</v>
      </c>
      <c r="K179" s="28" t="n">
        <v>0.00599999999999978</v>
      </c>
      <c r="L179" s="32" t="n">
        <f aca="false">L178</f>
        <v>0.396998966179294</v>
      </c>
      <c r="M179" s="4" t="n">
        <f aca="false">M178</f>
        <v>0.7348</v>
      </c>
      <c r="N179" s="8" t="n">
        <f aca="false">L179</f>
        <v>0.396998966179294</v>
      </c>
      <c r="O179" s="1" t="n">
        <f aca="false">O178</f>
        <v>0.0477</v>
      </c>
      <c r="P179" s="1" t="n">
        <f aca="false">P178</f>
        <v>0.0307</v>
      </c>
      <c r="R179" s="1" t="n">
        <f aca="false">Transport!F179</f>
        <v>8730</v>
      </c>
      <c r="S179" s="1" t="n">
        <f aca="false">Transport!G179</f>
        <v>10761</v>
      </c>
      <c r="T179" s="1" t="n">
        <f aca="false">Transport!H179</f>
        <v>15509</v>
      </c>
      <c r="U179" s="1" t="n">
        <f aca="false">Transport!I179</f>
        <v>1880</v>
      </c>
      <c r="V179" s="1" t="n">
        <f aca="false">Transport!J179</f>
        <v>2295</v>
      </c>
      <c r="W179" s="1" t="n">
        <f aca="false">Transport!K179</f>
        <v>1036</v>
      </c>
      <c r="X179" s="1" t="n">
        <f aca="false">Transport!L179</f>
        <v>683</v>
      </c>
    </row>
    <row r="180" customFormat="false" ht="11.25" hidden="false" customHeight="false" outlineLevel="0" collapsed="false">
      <c r="A180" s="6" t="n">
        <f aca="false">+A179+365/12</f>
        <v>41071.9166666667</v>
      </c>
      <c r="B180" s="29" t="n">
        <f aca="false">C180-0.06</f>
        <v>4.70092136052229</v>
      </c>
      <c r="C180" s="29" t="n">
        <f aca="false">C168*1.01</f>
        <v>4.76092136052229</v>
      </c>
      <c r="D180" s="29" t="n">
        <f aca="false">C180-0.05</f>
        <v>4.71092136052229</v>
      </c>
      <c r="E180" s="29" t="n">
        <f aca="false">C180</f>
        <v>4.76092136052229</v>
      </c>
      <c r="F180" s="31" t="n">
        <f aca="false">+F179</f>
        <v>0.0275</v>
      </c>
      <c r="G180" s="38" t="n">
        <f aca="false">F180</f>
        <v>0.0275</v>
      </c>
      <c r="H180" s="1" t="n">
        <v>30</v>
      </c>
      <c r="I180" s="27" t="n">
        <v>-0.0756461818238532</v>
      </c>
      <c r="K180" s="28" t="n">
        <v>0.00599999999999978</v>
      </c>
      <c r="L180" s="32" t="n">
        <f aca="false">L179</f>
        <v>0.396998966179294</v>
      </c>
      <c r="M180" s="4" t="n">
        <f aca="false">M179</f>
        <v>0.7348</v>
      </c>
      <c r="N180" s="8" t="n">
        <f aca="false">L180</f>
        <v>0.396998966179294</v>
      </c>
      <c r="O180" s="1" t="n">
        <f aca="false">O179</f>
        <v>0.0477</v>
      </c>
      <c r="P180" s="1" t="n">
        <f aca="false">P179</f>
        <v>0.0307</v>
      </c>
      <c r="R180" s="1" t="n">
        <f aca="false">Transport!F180</f>
        <v>8730</v>
      </c>
      <c r="S180" s="1" t="n">
        <f aca="false">Transport!G180</f>
        <v>10761</v>
      </c>
      <c r="T180" s="1" t="n">
        <f aca="false">Transport!H180</f>
        <v>15509</v>
      </c>
      <c r="U180" s="1" t="n">
        <f aca="false">Transport!I180</f>
        <v>1880</v>
      </c>
      <c r="V180" s="1" t="n">
        <f aca="false">Transport!J180</f>
        <v>2295</v>
      </c>
      <c r="W180" s="1" t="n">
        <f aca="false">Transport!K180</f>
        <v>1036</v>
      </c>
      <c r="X180" s="1" t="n">
        <f aca="false">Transport!L180</f>
        <v>683</v>
      </c>
    </row>
    <row r="181" customFormat="false" ht="11.25" hidden="false" customHeight="false" outlineLevel="0" collapsed="false">
      <c r="A181" s="6" t="n">
        <f aca="false">+A180+365/12</f>
        <v>41102.3333333333</v>
      </c>
      <c r="B181" s="29" t="n">
        <f aca="false">C181-0.06</f>
        <v>4.68987513926818</v>
      </c>
      <c r="C181" s="29" t="n">
        <f aca="false">C169*1.01</f>
        <v>4.74987513926818</v>
      </c>
      <c r="D181" s="29" t="n">
        <f aca="false">C181-0.05</f>
        <v>4.69987513926818</v>
      </c>
      <c r="E181" s="29" t="n">
        <f aca="false">C181</f>
        <v>4.74987513926818</v>
      </c>
      <c r="F181" s="31" t="n">
        <f aca="false">+F180</f>
        <v>0.0275</v>
      </c>
      <c r="G181" s="38" t="n">
        <f aca="false">F181</f>
        <v>0.0275</v>
      </c>
      <c r="H181" s="1" t="n">
        <v>31</v>
      </c>
      <c r="I181" s="27" t="n">
        <v>-0.0801480747121137</v>
      </c>
      <c r="K181" s="28" t="n">
        <v>0.00949999999999984</v>
      </c>
      <c r="L181" s="32" t="n">
        <f aca="false">L180</f>
        <v>0.396998966179294</v>
      </c>
      <c r="M181" s="4" t="n">
        <f aca="false">M180</f>
        <v>0.7348</v>
      </c>
      <c r="N181" s="8" t="n">
        <f aca="false">L181</f>
        <v>0.396998966179294</v>
      </c>
      <c r="O181" s="1" t="n">
        <f aca="false">O180</f>
        <v>0.0477</v>
      </c>
      <c r="P181" s="1" t="n">
        <f aca="false">P180</f>
        <v>0.0307</v>
      </c>
      <c r="R181" s="1" t="n">
        <f aca="false">Transport!F181</f>
        <v>8730</v>
      </c>
      <c r="S181" s="1" t="n">
        <f aca="false">Transport!G181</f>
        <v>10761</v>
      </c>
      <c r="T181" s="1" t="n">
        <f aca="false">Transport!H181</f>
        <v>15509</v>
      </c>
      <c r="U181" s="1" t="n">
        <f aca="false">Transport!I181</f>
        <v>1880</v>
      </c>
      <c r="V181" s="1" t="n">
        <f aca="false">Transport!J181</f>
        <v>2295</v>
      </c>
      <c r="W181" s="1" t="n">
        <f aca="false">Transport!K181</f>
        <v>1036</v>
      </c>
      <c r="X181" s="1" t="n">
        <f aca="false">Transport!L181</f>
        <v>683</v>
      </c>
    </row>
    <row r="182" customFormat="false" ht="11.25" hidden="false" customHeight="false" outlineLevel="0" collapsed="false">
      <c r="A182" s="6" t="n">
        <f aca="false">+A181+365/12</f>
        <v>41132.75</v>
      </c>
      <c r="B182" s="29" t="n">
        <f aca="false">C182-0.06</f>
        <v>4.09337919154613</v>
      </c>
      <c r="C182" s="29" t="n">
        <f aca="false">C170*1.01</f>
        <v>4.15337919154613</v>
      </c>
      <c r="D182" s="29" t="n">
        <f aca="false">C182-0.05</f>
        <v>4.10337919154613</v>
      </c>
      <c r="E182" s="29" t="n">
        <f aca="false">C182</f>
        <v>4.15337919154613</v>
      </c>
      <c r="F182" s="31" t="n">
        <f aca="false">+F181</f>
        <v>0.0275</v>
      </c>
      <c r="G182" s="38" t="n">
        <f aca="false">F182</f>
        <v>0.0275</v>
      </c>
      <c r="H182" s="1" t="n">
        <v>31</v>
      </c>
      <c r="I182" s="27" t="n">
        <v>-0.0801518604886344</v>
      </c>
      <c r="K182" s="28" t="n">
        <v>0.00949999999999962</v>
      </c>
      <c r="L182" s="32" t="n">
        <f aca="false">L181</f>
        <v>0.396998966179294</v>
      </c>
      <c r="M182" s="4" t="n">
        <f aca="false">M181</f>
        <v>0.7348</v>
      </c>
      <c r="N182" s="8" t="n">
        <f aca="false">L182</f>
        <v>0.396998966179294</v>
      </c>
      <c r="O182" s="1" t="n">
        <f aca="false">O181</f>
        <v>0.0477</v>
      </c>
      <c r="P182" s="1" t="n">
        <f aca="false">P181</f>
        <v>0.0307</v>
      </c>
      <c r="R182" s="1" t="n">
        <f aca="false">Transport!F182</f>
        <v>8730</v>
      </c>
      <c r="S182" s="1" t="n">
        <f aca="false">Transport!G182</f>
        <v>10761</v>
      </c>
      <c r="T182" s="1" t="n">
        <f aca="false">Transport!H182</f>
        <v>15509</v>
      </c>
      <c r="U182" s="1" t="n">
        <f aca="false">Transport!I182</f>
        <v>1880</v>
      </c>
      <c r="V182" s="1" t="n">
        <f aca="false">Transport!J182</f>
        <v>2295</v>
      </c>
      <c r="W182" s="1" t="n">
        <f aca="false">Transport!K182</f>
        <v>1036</v>
      </c>
      <c r="X182" s="1" t="n">
        <f aca="false">Transport!L182</f>
        <v>683</v>
      </c>
    </row>
    <row r="183" customFormat="false" ht="11.25" hidden="false" customHeight="false" outlineLevel="0" collapsed="false">
      <c r="A183" s="6" t="n">
        <f aca="false">+A182+365/12</f>
        <v>41163.1666666667</v>
      </c>
      <c r="B183" s="29" t="n">
        <f aca="false">C183-0.06</f>
        <v>4.94393822811276</v>
      </c>
      <c r="C183" s="29" t="n">
        <f aca="false">C171*1.01</f>
        <v>5.00393822811276</v>
      </c>
      <c r="D183" s="29" t="n">
        <f aca="false">C183-0.05</f>
        <v>4.95393822811276</v>
      </c>
      <c r="E183" s="29" t="n">
        <f aca="false">C183</f>
        <v>5.00393822811276</v>
      </c>
      <c r="F183" s="31" t="n">
        <f aca="false">+F182</f>
        <v>0.0275</v>
      </c>
      <c r="G183" s="38" t="n">
        <f aca="false">F183</f>
        <v>0.0275</v>
      </c>
      <c r="H183" s="1" t="n">
        <v>30</v>
      </c>
      <c r="I183" s="27" t="n">
        <v>-0.08015817011617</v>
      </c>
      <c r="K183" s="28" t="n">
        <v>0.00949999999999962</v>
      </c>
      <c r="L183" s="32" t="n">
        <f aca="false">L182</f>
        <v>0.396998966179294</v>
      </c>
      <c r="M183" s="4" t="n">
        <f aca="false">M182</f>
        <v>0.7348</v>
      </c>
      <c r="N183" s="8" t="n">
        <f aca="false">L183</f>
        <v>0.396998966179294</v>
      </c>
      <c r="O183" s="1" t="n">
        <f aca="false">O182</f>
        <v>0.0477</v>
      </c>
      <c r="P183" s="1" t="n">
        <f aca="false">P182</f>
        <v>0.0307</v>
      </c>
      <c r="R183" s="1" t="n">
        <f aca="false">Transport!F183</f>
        <v>8730</v>
      </c>
      <c r="S183" s="1" t="n">
        <f aca="false">Transport!G183</f>
        <v>10761</v>
      </c>
      <c r="T183" s="1" t="n">
        <f aca="false">Transport!H183</f>
        <v>15509</v>
      </c>
      <c r="U183" s="1" t="n">
        <f aca="false">Transport!I183</f>
        <v>1880</v>
      </c>
      <c r="V183" s="1" t="n">
        <f aca="false">Transport!J183</f>
        <v>2295</v>
      </c>
      <c r="W183" s="1" t="n">
        <f aca="false">Transport!K183</f>
        <v>1036</v>
      </c>
      <c r="X183" s="1" t="n">
        <f aca="false">Transport!L183</f>
        <v>683</v>
      </c>
    </row>
    <row r="184" customFormat="false" ht="11.25" hidden="false" customHeight="false" outlineLevel="0" collapsed="false">
      <c r="A184" s="6" t="n">
        <f aca="false">+A183+365/12</f>
        <v>41193.5833333333</v>
      </c>
      <c r="B184" s="29" t="n">
        <f aca="false">C184-0.06</f>
        <v>5.69508127339238</v>
      </c>
      <c r="C184" s="29" t="n">
        <f aca="false">C172*1.01</f>
        <v>5.75508127339238</v>
      </c>
      <c r="D184" s="29" t="n">
        <f aca="false">C184-0.05</f>
        <v>5.70508127339238</v>
      </c>
      <c r="E184" s="29" t="n">
        <f aca="false">C184</f>
        <v>5.75508127339238</v>
      </c>
      <c r="F184" s="31" t="n">
        <f aca="false">+F183</f>
        <v>0.0275</v>
      </c>
      <c r="G184" s="38" t="n">
        <f aca="false">F184</f>
        <v>0.0275</v>
      </c>
      <c r="H184" s="1" t="n">
        <v>31</v>
      </c>
      <c r="I184" s="27" t="n">
        <v>-0.0825798931378614</v>
      </c>
      <c r="K184" s="28" t="n">
        <v>0.0145</v>
      </c>
      <c r="L184" s="32" t="n">
        <f aca="false">L183</f>
        <v>0.396998966179294</v>
      </c>
      <c r="M184" s="4" t="n">
        <f aca="false">M183</f>
        <v>0.7348</v>
      </c>
      <c r="N184" s="8" t="n">
        <f aca="false">L184</f>
        <v>0.396998966179294</v>
      </c>
      <c r="O184" s="1" t="n">
        <f aca="false">O183</f>
        <v>0.0477</v>
      </c>
      <c r="P184" s="1" t="n">
        <f aca="false">P183</f>
        <v>0.0307</v>
      </c>
      <c r="R184" s="1" t="n">
        <f aca="false">Transport!F184</f>
        <v>8730</v>
      </c>
      <c r="S184" s="1" t="n">
        <f aca="false">Transport!G184</f>
        <v>10361</v>
      </c>
      <c r="T184" s="1" t="n">
        <f aca="false">Transport!H184</f>
        <v>15909</v>
      </c>
      <c r="U184" s="1" t="n">
        <f aca="false">Transport!I184</f>
        <v>2830</v>
      </c>
      <c r="V184" s="1" t="n">
        <f aca="false">Transport!J184</f>
        <v>3500</v>
      </c>
      <c r="W184" s="1" t="n">
        <f aca="false">Transport!K184</f>
        <v>1521</v>
      </c>
      <c r="X184" s="1" t="n">
        <f aca="false">Transport!L184</f>
        <v>1001</v>
      </c>
    </row>
    <row r="185" customFormat="false" ht="11.25" hidden="false" customHeight="false" outlineLevel="0" collapsed="false">
      <c r="A185" s="6" t="n">
        <f aca="false">+A184+365/12</f>
        <v>41224</v>
      </c>
      <c r="B185" s="29" t="n">
        <f aca="false">C185-0.06</f>
        <v>3.78408499643099</v>
      </c>
      <c r="C185" s="29" t="n">
        <f aca="false">C173*1.01</f>
        <v>3.84408499643099</v>
      </c>
      <c r="D185" s="29" t="n">
        <f aca="false">C185-0.05</f>
        <v>3.79408499643099</v>
      </c>
      <c r="E185" s="29" t="n">
        <f aca="false">C185</f>
        <v>3.84408499643099</v>
      </c>
      <c r="F185" s="31" t="n">
        <f aca="false">+F184</f>
        <v>0.0275</v>
      </c>
      <c r="G185" s="38" t="n">
        <f aca="false">F185</f>
        <v>0.0275</v>
      </c>
      <c r="H185" s="1" t="n">
        <v>30</v>
      </c>
      <c r="I185" s="27" t="n">
        <v>-0.127552116326928</v>
      </c>
      <c r="K185" s="28" t="n">
        <v>0.0194999999999999</v>
      </c>
      <c r="L185" s="32" t="n">
        <f aca="false">L184</f>
        <v>0.396998966179294</v>
      </c>
      <c r="M185" s="4" t="n">
        <f aca="false">M184</f>
        <v>0.7348</v>
      </c>
      <c r="N185" s="8" t="n">
        <f aca="false">L185</f>
        <v>0.396998966179294</v>
      </c>
      <c r="O185" s="1" t="n">
        <f aca="false">O184</f>
        <v>0.0477</v>
      </c>
      <c r="P185" s="1" t="n">
        <f aca="false">P184</f>
        <v>0.0307</v>
      </c>
      <c r="R185" s="1" t="n">
        <f aca="false">Transport!F185</f>
        <v>4926</v>
      </c>
      <c r="S185" s="1" t="n">
        <f aca="false">Transport!G185</f>
        <v>5732</v>
      </c>
      <c r="T185" s="1" t="n">
        <f aca="false">Transport!H185</f>
        <v>9342</v>
      </c>
      <c r="U185" s="1" t="n">
        <f aca="false">Transport!I185</f>
        <v>2563</v>
      </c>
      <c r="V185" s="1" t="n">
        <f aca="false">Transport!J185</f>
        <v>2862</v>
      </c>
      <c r="W185" s="1" t="n">
        <f aca="false">Transport!K185</f>
        <v>1685</v>
      </c>
      <c r="X185" s="1" t="n">
        <f aca="false">Transport!L185</f>
        <v>683</v>
      </c>
    </row>
    <row r="186" customFormat="false" ht="11.25" hidden="false" customHeight="false" outlineLevel="0" collapsed="false">
      <c r="A186" s="6" t="n">
        <f aca="false">+A185+365/12</f>
        <v>41254.4166666667</v>
      </c>
      <c r="B186" s="29" t="n">
        <f aca="false">C186-0.06</f>
        <v>2.81201752606913</v>
      </c>
      <c r="C186" s="29" t="n">
        <f aca="false">C174*1.01</f>
        <v>2.87201752606913</v>
      </c>
      <c r="D186" s="29" t="n">
        <f aca="false">C186-0.05</f>
        <v>2.82201752606913</v>
      </c>
      <c r="E186" s="29" t="n">
        <f aca="false">C186</f>
        <v>2.87201752606913</v>
      </c>
      <c r="F186" s="31" t="n">
        <f aca="false">+F185</f>
        <v>0.0275</v>
      </c>
      <c r="G186" s="38" t="n">
        <f aca="false">F186</f>
        <v>0.0275</v>
      </c>
      <c r="H186" s="1" t="n">
        <v>31</v>
      </c>
      <c r="I186" s="27" t="n">
        <v>-0.16251461763217</v>
      </c>
      <c r="K186" s="28" t="n">
        <v>0.0245000000000002</v>
      </c>
      <c r="L186" s="32" t="n">
        <f aca="false">L185</f>
        <v>0.396998966179294</v>
      </c>
      <c r="M186" s="4" t="n">
        <f aca="false">M185</f>
        <v>0.7348</v>
      </c>
      <c r="N186" s="8" t="n">
        <f aca="false">L186</f>
        <v>0.396998966179294</v>
      </c>
      <c r="O186" s="1" t="n">
        <f aca="false">O185</f>
        <v>0.0477</v>
      </c>
      <c r="P186" s="1" t="n">
        <f aca="false">P185</f>
        <v>0.0307</v>
      </c>
      <c r="R186" s="1" t="n">
        <f aca="false">Transport!F186</f>
        <v>4926</v>
      </c>
      <c r="S186" s="1" t="n">
        <f aca="false">Transport!G186</f>
        <v>5732</v>
      </c>
      <c r="T186" s="1" t="n">
        <f aca="false">Transport!H186</f>
        <v>9342</v>
      </c>
      <c r="U186" s="1" t="n">
        <f aca="false">Transport!I186</f>
        <v>2563</v>
      </c>
      <c r="V186" s="1" t="n">
        <f aca="false">Transport!J186</f>
        <v>2862</v>
      </c>
      <c r="W186" s="1" t="n">
        <f aca="false">Transport!K186</f>
        <v>1685</v>
      </c>
      <c r="X186" s="1" t="n">
        <f aca="false">Transport!L186</f>
        <v>683</v>
      </c>
    </row>
    <row r="187" customFormat="false" ht="11.25" hidden="false" customHeight="false" outlineLevel="0" collapsed="false">
      <c r="A187" s="41" t="n">
        <f aca="false">+A186+365/12</f>
        <v>41284.8333333333</v>
      </c>
      <c r="B187" s="42" t="n">
        <f aca="false">C187-0.06</f>
        <v>2.47256714693027</v>
      </c>
      <c r="C187" s="42" t="n">
        <f aca="false">C175*1.01</f>
        <v>2.53256714693027</v>
      </c>
      <c r="D187" s="42" t="n">
        <f aca="false">C187-0.05</f>
        <v>2.48256714693027</v>
      </c>
      <c r="E187" s="42" t="n">
        <f aca="false">C187</f>
        <v>2.53256714693027</v>
      </c>
      <c r="F187" s="43" t="n">
        <f aca="false">+F186</f>
        <v>0.0275</v>
      </c>
      <c r="G187" s="44" t="n">
        <f aca="false">F187</f>
        <v>0.0275</v>
      </c>
      <c r="H187" s="45" t="n">
        <v>31</v>
      </c>
      <c r="I187" s="46" t="n">
        <v>-0.147509062269983</v>
      </c>
      <c r="J187" s="45"/>
      <c r="K187" s="47" t="n">
        <v>0.0245000000000002</v>
      </c>
      <c r="L187" s="48" t="n">
        <f aca="false">('[1]062'!$X$56*1000)/('[1]062'!$X$50*[1]Assumptions!$X$9)</f>
        <v>0.398086634579785</v>
      </c>
      <c r="M187" s="49" t="n">
        <f aca="false">M186</f>
        <v>0.7348</v>
      </c>
      <c r="N187" s="50" t="n">
        <f aca="false">L187</f>
        <v>0.398086634579785</v>
      </c>
      <c r="O187" s="45" t="n">
        <f aca="false">O186</f>
        <v>0.0477</v>
      </c>
      <c r="P187" s="45" t="n">
        <f aca="false">P186</f>
        <v>0.0307</v>
      </c>
      <c r="Q187" s="45"/>
      <c r="R187" s="45" t="n">
        <f aca="false">Transport!F187</f>
        <v>4926</v>
      </c>
      <c r="S187" s="45" t="n">
        <f aca="false">Transport!G187</f>
        <v>5732</v>
      </c>
      <c r="T187" s="45" t="n">
        <f aca="false">Transport!H187</f>
        <v>9342</v>
      </c>
      <c r="U187" s="45" t="n">
        <f aca="false">Transport!I187</f>
        <v>2563</v>
      </c>
      <c r="V187" s="45" t="n">
        <f aca="false">Transport!J187</f>
        <v>2862</v>
      </c>
      <c r="W187" s="45" t="n">
        <f aca="false">Transport!K187</f>
        <v>1685</v>
      </c>
      <c r="X187" s="45" t="n">
        <f aca="false">Transport!L187</f>
        <v>683</v>
      </c>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c r="BA187" s="45"/>
      <c r="BB187" s="45"/>
      <c r="BC187" s="45"/>
      <c r="BD187" s="45"/>
      <c r="BE187" s="45"/>
      <c r="BF187" s="45"/>
      <c r="BG187" s="45"/>
      <c r="BH187" s="45"/>
      <c r="BI187" s="45"/>
      <c r="BJ187" s="45"/>
      <c r="BK187" s="45"/>
      <c r="BL187" s="45"/>
      <c r="BM187" s="45"/>
      <c r="BN187" s="45"/>
      <c r="BO187" s="45"/>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45"/>
      <c r="CR187" s="45"/>
      <c r="CS187" s="45"/>
      <c r="CT187" s="45"/>
      <c r="CU187" s="45"/>
      <c r="CV187" s="45"/>
      <c r="CW187" s="45"/>
      <c r="CX187" s="45"/>
      <c r="CY187" s="45"/>
      <c r="CZ187" s="45"/>
      <c r="DA187" s="45"/>
      <c r="DB187" s="45"/>
      <c r="DC187" s="45"/>
      <c r="DD187" s="45"/>
      <c r="DE187" s="45"/>
      <c r="DF187" s="45"/>
      <c r="DG187" s="45"/>
      <c r="DH187" s="45"/>
      <c r="DI187" s="45"/>
      <c r="DJ187" s="45"/>
      <c r="DK187" s="45"/>
      <c r="DL187" s="45"/>
      <c r="DM187" s="45"/>
      <c r="DN187" s="45"/>
      <c r="DO187" s="45"/>
      <c r="DP187" s="45"/>
      <c r="DQ187" s="45"/>
      <c r="DR187" s="45"/>
      <c r="DS187" s="45"/>
      <c r="DT187" s="45"/>
      <c r="DU187" s="45"/>
      <c r="DV187" s="45"/>
      <c r="DW187" s="45"/>
      <c r="DX187" s="45"/>
      <c r="DY187" s="45"/>
      <c r="DZ187" s="45"/>
      <c r="EA187" s="45"/>
      <c r="EB187" s="45"/>
      <c r="EC187" s="45"/>
      <c r="ED187" s="45"/>
      <c r="EE187" s="45"/>
      <c r="EF187" s="45"/>
      <c r="EG187" s="45"/>
      <c r="EH187" s="45"/>
      <c r="EI187" s="45"/>
      <c r="EJ187" s="45"/>
      <c r="EK187" s="45"/>
      <c r="EL187" s="45"/>
      <c r="EM187" s="45"/>
      <c r="EN187" s="45"/>
      <c r="EO187" s="45"/>
      <c r="EP187" s="45"/>
      <c r="EQ187" s="45"/>
      <c r="ER187" s="45"/>
      <c r="ES187" s="45"/>
      <c r="ET187" s="45"/>
      <c r="EU187" s="45"/>
      <c r="EV187" s="45"/>
      <c r="EW187" s="45"/>
      <c r="EX187" s="45"/>
      <c r="EY187" s="45"/>
      <c r="EZ187" s="45"/>
      <c r="FA187" s="45"/>
      <c r="FB187" s="45"/>
      <c r="FC187" s="45"/>
      <c r="FD187" s="45"/>
      <c r="FE187" s="45"/>
      <c r="FF187" s="45"/>
      <c r="FG187" s="45"/>
      <c r="FH187" s="45"/>
      <c r="FI187" s="45"/>
      <c r="FJ187" s="45"/>
      <c r="FK187" s="45"/>
      <c r="FL187" s="45"/>
      <c r="FM187" s="45"/>
      <c r="FN187" s="45"/>
      <c r="FO187" s="45"/>
      <c r="FP187" s="45"/>
      <c r="FQ187" s="45"/>
      <c r="FR187" s="45"/>
      <c r="FS187" s="45"/>
      <c r="FT187" s="45"/>
      <c r="FU187" s="45"/>
      <c r="FV187" s="45"/>
      <c r="FW187" s="45"/>
      <c r="FX187" s="45"/>
      <c r="FY187" s="45"/>
      <c r="FZ187" s="45"/>
      <c r="GA187" s="45"/>
      <c r="GB187" s="45"/>
      <c r="GC187" s="45"/>
      <c r="GD187" s="45"/>
      <c r="GE187" s="45"/>
      <c r="GF187" s="45"/>
      <c r="GG187" s="45"/>
      <c r="GH187" s="45"/>
      <c r="GI187" s="45"/>
      <c r="GJ187" s="45"/>
      <c r="GK187" s="45"/>
      <c r="GL187" s="45"/>
      <c r="GM187" s="45"/>
      <c r="GN187" s="45"/>
      <c r="GO187" s="45"/>
      <c r="GP187" s="45"/>
      <c r="GQ187" s="45"/>
      <c r="GR187" s="45"/>
      <c r="GS187" s="45"/>
      <c r="GT187" s="45"/>
      <c r="GU187" s="45"/>
      <c r="GV187" s="45"/>
      <c r="GW187" s="45"/>
      <c r="GX187" s="45"/>
      <c r="GY187" s="45"/>
      <c r="GZ187" s="45"/>
      <c r="HA187" s="45"/>
      <c r="HB187" s="45"/>
      <c r="HC187" s="45"/>
      <c r="HD187" s="45"/>
      <c r="HE187" s="45"/>
      <c r="HF187" s="45"/>
      <c r="HG187" s="45"/>
      <c r="HH187" s="45"/>
      <c r="HI187" s="45"/>
      <c r="HJ187" s="45"/>
      <c r="HK187" s="45"/>
      <c r="HL187" s="45"/>
      <c r="HM187" s="45"/>
      <c r="HN187" s="45"/>
      <c r="HO187" s="45"/>
      <c r="HP187" s="45"/>
      <c r="HQ187" s="45"/>
      <c r="HR187" s="45"/>
      <c r="HS187" s="45"/>
      <c r="HT187" s="45"/>
      <c r="HU187" s="45"/>
      <c r="HV187" s="45"/>
      <c r="HW187" s="45"/>
      <c r="HX187" s="45"/>
      <c r="HY187" s="45"/>
      <c r="HZ187" s="45"/>
      <c r="IA187" s="45"/>
      <c r="IB187" s="45"/>
      <c r="IC187" s="45"/>
      <c r="ID187" s="45"/>
      <c r="IE187" s="45"/>
      <c r="IF187" s="45"/>
      <c r="IG187" s="45"/>
      <c r="IH187" s="45"/>
      <c r="II187" s="45"/>
      <c r="IJ187" s="45"/>
      <c r="IK187" s="45"/>
      <c r="IL187" s="45"/>
      <c r="IM187" s="45"/>
      <c r="IN187" s="45"/>
      <c r="IO187" s="45"/>
      <c r="IP187" s="45"/>
      <c r="IQ187" s="45"/>
      <c r="IR187" s="45"/>
      <c r="IS187" s="45"/>
      <c r="IT187" s="45"/>
      <c r="IU187" s="45"/>
      <c r="IV187" s="45"/>
      <c r="IW187" s="45"/>
    </row>
    <row r="188" customFormat="false" ht="11.25" hidden="false" customHeight="false" outlineLevel="0" collapsed="false">
      <c r="A188" s="6" t="n">
        <f aca="false">+A187+365/12</f>
        <v>41315.25</v>
      </c>
      <c r="B188" s="29" t="n">
        <f aca="false">C188-0.06</f>
        <v>2.7737976005299</v>
      </c>
      <c r="C188" s="29" t="n">
        <f aca="false">C176*1.01</f>
        <v>2.8337976005299</v>
      </c>
      <c r="D188" s="29" t="n">
        <f aca="false">C188-0.05</f>
        <v>2.7837976005299</v>
      </c>
      <c r="E188" s="29" t="n">
        <f aca="false">C188</f>
        <v>2.8337976005299</v>
      </c>
      <c r="F188" s="31" t="n">
        <f aca="false">+F187</f>
        <v>0.0275</v>
      </c>
      <c r="G188" s="38" t="n">
        <f aca="false">F188</f>
        <v>0.0275</v>
      </c>
      <c r="H188" s="1" t="n">
        <v>28</v>
      </c>
      <c r="I188" s="27" t="n">
        <v>-0.147536839080916</v>
      </c>
      <c r="K188" s="28" t="n">
        <v>0.0245000000000002</v>
      </c>
      <c r="L188" s="32" t="n">
        <f aca="false">L187</f>
        <v>0.398086634579785</v>
      </c>
      <c r="M188" s="4" t="n">
        <f aca="false">M187</f>
        <v>0.7348</v>
      </c>
      <c r="N188" s="8" t="n">
        <f aca="false">L188</f>
        <v>0.398086634579785</v>
      </c>
      <c r="O188" s="1" t="n">
        <f aca="false">O187</f>
        <v>0.0477</v>
      </c>
      <c r="P188" s="1" t="n">
        <f aca="false">P187</f>
        <v>0.0307</v>
      </c>
      <c r="R188" s="1" t="n">
        <f aca="false">Transport!F188</f>
        <v>4926</v>
      </c>
      <c r="S188" s="1" t="n">
        <f aca="false">Transport!G188</f>
        <v>5732</v>
      </c>
      <c r="T188" s="1" t="n">
        <f aca="false">Transport!H188</f>
        <v>9342</v>
      </c>
      <c r="U188" s="1" t="n">
        <f aca="false">Transport!I188</f>
        <v>2563</v>
      </c>
      <c r="V188" s="1" t="n">
        <f aca="false">Transport!J188</f>
        <v>2862</v>
      </c>
      <c r="W188" s="1" t="n">
        <f aca="false">Transport!K188</f>
        <v>1685</v>
      </c>
      <c r="X188" s="1" t="n">
        <f aca="false">Transport!L188</f>
        <v>683</v>
      </c>
    </row>
    <row r="189" customFormat="false" ht="11.25" hidden="false" customHeight="false" outlineLevel="0" collapsed="false">
      <c r="A189" s="6" t="n">
        <f aca="false">+A188+365/12</f>
        <v>41345.6666666667</v>
      </c>
      <c r="B189" s="29" t="n">
        <f aca="false">C189-0.06</f>
        <v>2.7737976005299</v>
      </c>
      <c r="C189" s="29" t="n">
        <f aca="false">C177*1.01</f>
        <v>2.8337976005299</v>
      </c>
      <c r="D189" s="29" t="n">
        <f aca="false">C189-0.05</f>
        <v>2.7837976005299</v>
      </c>
      <c r="E189" s="29" t="n">
        <f aca="false">C189</f>
        <v>2.8337976005299</v>
      </c>
      <c r="F189" s="31" t="n">
        <f aca="false">+F188</f>
        <v>0.0275</v>
      </c>
      <c r="G189" s="38" t="n">
        <f aca="false">F189</f>
        <v>0.0275</v>
      </c>
      <c r="H189" s="1" t="n">
        <v>31</v>
      </c>
      <c r="I189" s="27" t="n">
        <v>-0.122572601724992</v>
      </c>
      <c r="K189" s="28" t="n">
        <v>0.0195000000000003</v>
      </c>
      <c r="L189" s="32" t="n">
        <f aca="false">L188</f>
        <v>0.398086634579785</v>
      </c>
      <c r="M189" s="4" t="n">
        <f aca="false">M188</f>
        <v>0.7348</v>
      </c>
      <c r="N189" s="8" t="n">
        <f aca="false">L189</f>
        <v>0.398086634579785</v>
      </c>
      <c r="O189" s="1" t="n">
        <f aca="false">O188</f>
        <v>0.0477</v>
      </c>
      <c r="P189" s="1" t="n">
        <f aca="false">P188</f>
        <v>0.0307</v>
      </c>
      <c r="R189" s="1" t="n">
        <f aca="false">Transport!F189</f>
        <v>4926</v>
      </c>
      <c r="S189" s="1" t="n">
        <f aca="false">Transport!G189</f>
        <v>5732</v>
      </c>
      <c r="T189" s="1" t="n">
        <f aca="false">Transport!H189</f>
        <v>9342</v>
      </c>
      <c r="U189" s="1" t="n">
        <f aca="false">Transport!I189</f>
        <v>2563</v>
      </c>
      <c r="V189" s="1" t="n">
        <f aca="false">Transport!J189</f>
        <v>2862</v>
      </c>
      <c r="W189" s="1" t="n">
        <f aca="false">Transport!K189</f>
        <v>1685</v>
      </c>
      <c r="X189" s="1" t="n">
        <f aca="false">Transport!L189</f>
        <v>683</v>
      </c>
    </row>
    <row r="190" customFormat="false" ht="11.25" hidden="false" customHeight="false" outlineLevel="0" collapsed="false">
      <c r="A190" s="6" t="n">
        <f aca="false">+A189+365/12</f>
        <v>41376.0833333333</v>
      </c>
      <c r="B190" s="29" t="n">
        <f aca="false">C190-0.06</f>
        <v>3.07502805412954</v>
      </c>
      <c r="C190" s="29" t="n">
        <f aca="false">C178*1.01</f>
        <v>3.13502805412954</v>
      </c>
      <c r="D190" s="29" t="n">
        <f aca="false">C190-0.05</f>
        <v>3.08502805412954</v>
      </c>
      <c r="E190" s="29" t="n">
        <f aca="false">C190</f>
        <v>3.13502805412954</v>
      </c>
      <c r="F190" s="31" t="n">
        <f aca="false">+F189</f>
        <v>0.0275</v>
      </c>
      <c r="G190" s="38" t="n">
        <f aca="false">F190</f>
        <v>0.0275</v>
      </c>
      <c r="H190" s="1" t="n">
        <v>30</v>
      </c>
      <c r="I190" s="27" t="n">
        <v>-0.0730896150216878</v>
      </c>
      <c r="K190" s="28" t="n">
        <v>0.00599999999999978</v>
      </c>
      <c r="L190" s="32" t="n">
        <f aca="false">L189</f>
        <v>0.398086634579785</v>
      </c>
      <c r="M190" s="4" t="n">
        <f aca="false">M189</f>
        <v>0.7348</v>
      </c>
      <c r="N190" s="8" t="n">
        <f aca="false">L190</f>
        <v>0.398086634579785</v>
      </c>
      <c r="O190" s="1" t="n">
        <f aca="false">O189</f>
        <v>0.0477</v>
      </c>
      <c r="P190" s="1" t="n">
        <f aca="false">P189</f>
        <v>0.0307</v>
      </c>
      <c r="R190" s="1" t="n">
        <f aca="false">Transport!F190</f>
        <v>6933</v>
      </c>
      <c r="S190" s="1" t="n">
        <f aca="false">Transport!G190</f>
        <v>8798</v>
      </c>
      <c r="T190" s="1" t="n">
        <f aca="false">Transport!H190</f>
        <v>14269</v>
      </c>
      <c r="U190" s="1" t="n">
        <f aca="false">Transport!I190</f>
        <v>1880</v>
      </c>
      <c r="V190" s="1" t="n">
        <f aca="false">Transport!J190</f>
        <v>2073</v>
      </c>
      <c r="W190" s="1" t="n">
        <f aca="false">Transport!K190</f>
        <v>1258</v>
      </c>
      <c r="X190" s="1" t="n">
        <f aca="false">Transport!L190</f>
        <v>683</v>
      </c>
    </row>
    <row r="191" customFormat="false" ht="11.25" hidden="false" customHeight="false" outlineLevel="0" collapsed="false">
      <c r="A191" s="6" t="n">
        <f aca="false">+A190+365/12</f>
        <v>41406.5</v>
      </c>
      <c r="B191" s="29" t="n">
        <f aca="false">C191-0.06</f>
        <v>3.28700503999595</v>
      </c>
      <c r="C191" s="29" t="n">
        <f aca="false">C179*1.01</f>
        <v>3.34700503999595</v>
      </c>
      <c r="D191" s="29" t="n">
        <f aca="false">C191-0.05</f>
        <v>3.29700503999595</v>
      </c>
      <c r="E191" s="29" t="n">
        <f aca="false">C191</f>
        <v>3.34700503999595</v>
      </c>
      <c r="F191" s="31" t="n">
        <f aca="false">+F190</f>
        <v>0.0275</v>
      </c>
      <c r="G191" s="38" t="n">
        <f aca="false">F191</f>
        <v>0.0275</v>
      </c>
      <c r="H191" s="1" t="n">
        <v>31</v>
      </c>
      <c r="I191" s="27" t="n">
        <v>-0.0756430270100856</v>
      </c>
      <c r="K191" s="28" t="n">
        <v>0.00599999999999978</v>
      </c>
      <c r="L191" s="32" t="n">
        <f aca="false">L190</f>
        <v>0.398086634579785</v>
      </c>
      <c r="M191" s="4" t="n">
        <f aca="false">M190</f>
        <v>0.7348</v>
      </c>
      <c r="N191" s="8" t="n">
        <f aca="false">L191</f>
        <v>0.398086634579785</v>
      </c>
      <c r="O191" s="1" t="n">
        <f aca="false">O190</f>
        <v>0.0477</v>
      </c>
      <c r="P191" s="1" t="n">
        <f aca="false">P190</f>
        <v>0.0307</v>
      </c>
      <c r="R191" s="1" t="n">
        <f aca="false">Transport!F191</f>
        <v>8730</v>
      </c>
      <c r="S191" s="1" t="n">
        <f aca="false">Transport!G191</f>
        <v>10761</v>
      </c>
      <c r="T191" s="1" t="n">
        <f aca="false">Transport!H191</f>
        <v>15509</v>
      </c>
      <c r="U191" s="1" t="n">
        <f aca="false">Transport!I191</f>
        <v>1880</v>
      </c>
      <c r="V191" s="1" t="n">
        <f aca="false">Transport!J191</f>
        <v>2295</v>
      </c>
      <c r="W191" s="1" t="n">
        <f aca="false">Transport!K191</f>
        <v>1036</v>
      </c>
      <c r="X191" s="1" t="n">
        <f aca="false">Transport!L191</f>
        <v>683</v>
      </c>
    </row>
    <row r="192" customFormat="false" ht="11.25" hidden="false" customHeight="false" outlineLevel="0" collapsed="false">
      <c r="A192" s="6" t="n">
        <f aca="false">+A191+365/12</f>
        <v>41436.9166666667</v>
      </c>
      <c r="B192" s="29" t="n">
        <f aca="false">C192-0.06</f>
        <v>4.74853057412751</v>
      </c>
      <c r="C192" s="29" t="n">
        <f aca="false">C180*1.01</f>
        <v>4.80853057412751</v>
      </c>
      <c r="D192" s="29" t="n">
        <f aca="false">C192-0.05</f>
        <v>4.75853057412751</v>
      </c>
      <c r="E192" s="29" t="n">
        <f aca="false">C192</f>
        <v>4.80853057412751</v>
      </c>
      <c r="F192" s="31" t="n">
        <f aca="false">+F191</f>
        <v>0.0275</v>
      </c>
      <c r="G192" s="38" t="n">
        <f aca="false">F192</f>
        <v>0.0275</v>
      </c>
      <c r="H192" s="1" t="n">
        <v>30</v>
      </c>
      <c r="I192" s="27" t="n">
        <v>-0.0756461818238532</v>
      </c>
      <c r="K192" s="28" t="n">
        <v>0.00599999999999978</v>
      </c>
      <c r="L192" s="32" t="n">
        <f aca="false">L191</f>
        <v>0.398086634579785</v>
      </c>
      <c r="M192" s="4" t="n">
        <f aca="false">M191</f>
        <v>0.7348</v>
      </c>
      <c r="N192" s="8" t="n">
        <f aca="false">L192</f>
        <v>0.398086634579785</v>
      </c>
      <c r="O192" s="1" t="n">
        <f aca="false">O191</f>
        <v>0.0477</v>
      </c>
      <c r="P192" s="1" t="n">
        <f aca="false">P191</f>
        <v>0.0307</v>
      </c>
      <c r="R192" s="1" t="n">
        <f aca="false">Transport!F192</f>
        <v>8730</v>
      </c>
      <c r="S192" s="1" t="n">
        <f aca="false">Transport!G192</f>
        <v>10761</v>
      </c>
      <c r="T192" s="1" t="n">
        <f aca="false">Transport!H192</f>
        <v>15509</v>
      </c>
      <c r="U192" s="1" t="n">
        <f aca="false">Transport!I192</f>
        <v>1880</v>
      </c>
      <c r="V192" s="1" t="n">
        <f aca="false">Transport!J192</f>
        <v>2295</v>
      </c>
      <c r="W192" s="1" t="n">
        <f aca="false">Transport!K192</f>
        <v>1036</v>
      </c>
      <c r="X192" s="1" t="n">
        <f aca="false">Transport!L192</f>
        <v>683</v>
      </c>
    </row>
    <row r="193" customFormat="false" ht="11.25" hidden="false" customHeight="false" outlineLevel="0" collapsed="false">
      <c r="A193" s="6" t="n">
        <f aca="false">+A192+365/12</f>
        <v>41467.3333333333</v>
      </c>
      <c r="B193" s="29" t="n">
        <f aca="false">C193-0.06</f>
        <v>4.73737389066086</v>
      </c>
      <c r="C193" s="29" t="n">
        <f aca="false">C181*1.01</f>
        <v>4.79737389066086</v>
      </c>
      <c r="D193" s="29" t="n">
        <f aca="false">C193-0.05</f>
        <v>4.74737389066086</v>
      </c>
      <c r="E193" s="29" t="n">
        <f aca="false">C193</f>
        <v>4.79737389066086</v>
      </c>
      <c r="F193" s="31" t="n">
        <f aca="false">+F192</f>
        <v>0.0275</v>
      </c>
      <c r="G193" s="38" t="n">
        <f aca="false">F193</f>
        <v>0.0275</v>
      </c>
      <c r="H193" s="1" t="n">
        <v>31</v>
      </c>
      <c r="I193" s="27" t="n">
        <v>-0.0801480747121137</v>
      </c>
      <c r="K193" s="28" t="n">
        <v>0.00949999999999984</v>
      </c>
      <c r="L193" s="32" t="n">
        <f aca="false">L192</f>
        <v>0.398086634579785</v>
      </c>
      <c r="M193" s="4" t="n">
        <f aca="false">M192</f>
        <v>0.7348</v>
      </c>
      <c r="N193" s="8" t="n">
        <f aca="false">L193</f>
        <v>0.398086634579785</v>
      </c>
      <c r="O193" s="1" t="n">
        <f aca="false">O192</f>
        <v>0.0477</v>
      </c>
      <c r="P193" s="1" t="n">
        <f aca="false">P192</f>
        <v>0.0307</v>
      </c>
      <c r="R193" s="1" t="n">
        <f aca="false">Transport!F193</f>
        <v>8730</v>
      </c>
      <c r="S193" s="1" t="n">
        <f aca="false">Transport!G193</f>
        <v>10761</v>
      </c>
      <c r="T193" s="1" t="n">
        <f aca="false">Transport!H193</f>
        <v>15509</v>
      </c>
      <c r="U193" s="1" t="n">
        <f aca="false">Transport!I193</f>
        <v>1880</v>
      </c>
      <c r="V193" s="1" t="n">
        <f aca="false">Transport!J193</f>
        <v>2295</v>
      </c>
      <c r="W193" s="1" t="n">
        <f aca="false">Transport!K193</f>
        <v>1036</v>
      </c>
      <c r="X193" s="1" t="n">
        <f aca="false">Transport!L193</f>
        <v>683</v>
      </c>
    </row>
    <row r="194" customFormat="false" ht="11.25" hidden="false" customHeight="false" outlineLevel="0" collapsed="false">
      <c r="A194" s="6" t="n">
        <f aca="false">+A193+365/12</f>
        <v>41497.75</v>
      </c>
      <c r="B194" s="29" t="n">
        <f aca="false">C194-0.06</f>
        <v>4.13491298346159</v>
      </c>
      <c r="C194" s="29" t="n">
        <f aca="false">C182*1.01</f>
        <v>4.19491298346159</v>
      </c>
      <c r="D194" s="29" t="n">
        <f aca="false">C194-0.05</f>
        <v>4.14491298346159</v>
      </c>
      <c r="E194" s="29" t="n">
        <f aca="false">C194</f>
        <v>4.19491298346159</v>
      </c>
      <c r="F194" s="31" t="n">
        <f aca="false">+F193</f>
        <v>0.0275</v>
      </c>
      <c r="G194" s="38" t="n">
        <f aca="false">F194</f>
        <v>0.0275</v>
      </c>
      <c r="H194" s="1" t="n">
        <v>31</v>
      </c>
      <c r="I194" s="27" t="n">
        <v>-0.0801518604886344</v>
      </c>
      <c r="K194" s="28" t="n">
        <v>0.00949999999999962</v>
      </c>
      <c r="L194" s="32" t="n">
        <f aca="false">L193</f>
        <v>0.398086634579785</v>
      </c>
      <c r="M194" s="4" t="n">
        <f aca="false">M193</f>
        <v>0.7348</v>
      </c>
      <c r="N194" s="8" t="n">
        <f aca="false">L194</f>
        <v>0.398086634579785</v>
      </c>
      <c r="O194" s="1" t="n">
        <f aca="false">O193</f>
        <v>0.0477</v>
      </c>
      <c r="P194" s="1" t="n">
        <f aca="false">P193</f>
        <v>0.0307</v>
      </c>
      <c r="R194" s="1" t="n">
        <f aca="false">Transport!F194</f>
        <v>8730</v>
      </c>
      <c r="S194" s="1" t="n">
        <f aca="false">Transport!G194</f>
        <v>10761</v>
      </c>
      <c r="T194" s="1" t="n">
        <f aca="false">Transport!H194</f>
        <v>15509</v>
      </c>
      <c r="U194" s="1" t="n">
        <f aca="false">Transport!I194</f>
        <v>1880</v>
      </c>
      <c r="V194" s="1" t="n">
        <f aca="false">Transport!J194</f>
        <v>2295</v>
      </c>
      <c r="W194" s="1" t="n">
        <f aca="false">Transport!K194</f>
        <v>1036</v>
      </c>
      <c r="X194" s="1" t="n">
        <f aca="false">Transport!L194</f>
        <v>683</v>
      </c>
    </row>
    <row r="195" customFormat="false" ht="11.25" hidden="false" customHeight="false" outlineLevel="0" collapsed="false">
      <c r="A195" s="6" t="n">
        <f aca="false">+A194+365/12</f>
        <v>41528.1666666667</v>
      </c>
      <c r="B195" s="29" t="n">
        <f aca="false">C195-0.06</f>
        <v>4.99397761039389</v>
      </c>
      <c r="C195" s="29" t="n">
        <f aca="false">C183*1.01</f>
        <v>5.05397761039389</v>
      </c>
      <c r="D195" s="29" t="n">
        <f aca="false">C195-0.05</f>
        <v>5.00397761039389</v>
      </c>
      <c r="E195" s="29" t="n">
        <f aca="false">C195</f>
        <v>5.05397761039389</v>
      </c>
      <c r="F195" s="31" t="n">
        <f aca="false">+F194</f>
        <v>0.0275</v>
      </c>
      <c r="G195" s="38" t="n">
        <f aca="false">F195</f>
        <v>0.0275</v>
      </c>
      <c r="H195" s="1" t="n">
        <v>30</v>
      </c>
      <c r="I195" s="27" t="n">
        <v>-0.08015817011617</v>
      </c>
      <c r="K195" s="28" t="n">
        <v>0.00949999999999962</v>
      </c>
      <c r="L195" s="32" t="n">
        <f aca="false">L194</f>
        <v>0.398086634579785</v>
      </c>
      <c r="M195" s="4" t="n">
        <f aca="false">M194</f>
        <v>0.7348</v>
      </c>
      <c r="N195" s="8" t="n">
        <f aca="false">L195</f>
        <v>0.398086634579785</v>
      </c>
      <c r="O195" s="1" t="n">
        <f aca="false">O194</f>
        <v>0.0477</v>
      </c>
      <c r="P195" s="1" t="n">
        <f aca="false">P194</f>
        <v>0.0307</v>
      </c>
      <c r="R195" s="1" t="n">
        <f aca="false">Transport!F195</f>
        <v>8730</v>
      </c>
      <c r="S195" s="1" t="n">
        <f aca="false">Transport!G195</f>
        <v>10761</v>
      </c>
      <c r="T195" s="1" t="n">
        <f aca="false">Transport!H195</f>
        <v>15509</v>
      </c>
      <c r="U195" s="1" t="n">
        <f aca="false">Transport!I195</f>
        <v>1880</v>
      </c>
      <c r="V195" s="1" t="n">
        <f aca="false">Transport!J195</f>
        <v>2295</v>
      </c>
      <c r="W195" s="1" t="n">
        <f aca="false">Transport!K195</f>
        <v>1036</v>
      </c>
      <c r="X195" s="1" t="n">
        <f aca="false">Transport!L195</f>
        <v>683</v>
      </c>
    </row>
    <row r="196" customFormat="false" ht="11.25" hidden="false" customHeight="false" outlineLevel="0" collapsed="false">
      <c r="A196" s="6" t="n">
        <f aca="false">+A195+365/12</f>
        <v>41558.5833333333</v>
      </c>
      <c r="B196" s="29" t="n">
        <f aca="false">C196-0.06</f>
        <v>5.7526320861263</v>
      </c>
      <c r="C196" s="29" t="n">
        <f aca="false">C184*1.01</f>
        <v>5.8126320861263</v>
      </c>
      <c r="D196" s="29" t="n">
        <f aca="false">C196-0.05</f>
        <v>5.7626320861263</v>
      </c>
      <c r="E196" s="29" t="n">
        <f aca="false">C196</f>
        <v>5.8126320861263</v>
      </c>
      <c r="F196" s="31" t="n">
        <f aca="false">+F195</f>
        <v>0.0275</v>
      </c>
      <c r="G196" s="38" t="n">
        <f aca="false">F196</f>
        <v>0.0275</v>
      </c>
      <c r="H196" s="1" t="n">
        <v>31</v>
      </c>
      <c r="I196" s="27" t="n">
        <v>-0.0825798931378614</v>
      </c>
      <c r="K196" s="28" t="n">
        <v>0.0145</v>
      </c>
      <c r="L196" s="32" t="n">
        <f aca="false">L195</f>
        <v>0.398086634579785</v>
      </c>
      <c r="M196" s="4" t="n">
        <f aca="false">M195</f>
        <v>0.7348</v>
      </c>
      <c r="N196" s="8" t="n">
        <f aca="false">L196</f>
        <v>0.398086634579785</v>
      </c>
      <c r="O196" s="1" t="n">
        <f aca="false">O195</f>
        <v>0.0477</v>
      </c>
      <c r="P196" s="1" t="n">
        <f aca="false">P195</f>
        <v>0.0307</v>
      </c>
      <c r="R196" s="1" t="n">
        <f aca="false">Transport!F196</f>
        <v>8730</v>
      </c>
      <c r="S196" s="1" t="n">
        <f aca="false">Transport!G196</f>
        <v>10361</v>
      </c>
      <c r="T196" s="1" t="n">
        <f aca="false">Transport!H196</f>
        <v>15909</v>
      </c>
      <c r="U196" s="1" t="n">
        <f aca="false">Transport!I196</f>
        <v>2830</v>
      </c>
      <c r="V196" s="1" t="n">
        <f aca="false">Transport!J196</f>
        <v>3500</v>
      </c>
      <c r="W196" s="1" t="n">
        <f aca="false">Transport!K196</f>
        <v>1521</v>
      </c>
      <c r="X196" s="1" t="n">
        <f aca="false">Transport!L196</f>
        <v>1001</v>
      </c>
    </row>
    <row r="197" customFormat="false" ht="11.25" hidden="false" customHeight="false" outlineLevel="0" collapsed="false">
      <c r="A197" s="6" t="n">
        <f aca="false">+A196+365/12</f>
        <v>41589</v>
      </c>
      <c r="B197" s="29" t="n">
        <f aca="false">C197-0.06</f>
        <v>3.8225258463953</v>
      </c>
      <c r="C197" s="29" t="n">
        <f aca="false">C185*1.01</f>
        <v>3.8825258463953</v>
      </c>
      <c r="D197" s="29" t="n">
        <f aca="false">C197-0.05</f>
        <v>3.8325258463953</v>
      </c>
      <c r="E197" s="29" t="n">
        <f aca="false">C197</f>
        <v>3.8825258463953</v>
      </c>
      <c r="F197" s="31" t="n">
        <f aca="false">+F196</f>
        <v>0.0275</v>
      </c>
      <c r="G197" s="38" t="n">
        <f aca="false">F197</f>
        <v>0.0275</v>
      </c>
      <c r="H197" s="1" t="n">
        <v>30</v>
      </c>
      <c r="I197" s="27"/>
      <c r="K197" s="28"/>
      <c r="L197" s="32" t="n">
        <f aca="false">L196</f>
        <v>0.398086634579785</v>
      </c>
      <c r="M197" s="4" t="n">
        <f aca="false">M196</f>
        <v>0.7348</v>
      </c>
      <c r="N197" s="8" t="n">
        <f aca="false">L197</f>
        <v>0.398086634579785</v>
      </c>
      <c r="O197" s="1" t="n">
        <f aca="false">O196</f>
        <v>0.0477</v>
      </c>
      <c r="P197" s="1" t="n">
        <f aca="false">P196</f>
        <v>0.0307</v>
      </c>
      <c r="R197" s="1" t="n">
        <f aca="false">Transport!F197</f>
        <v>4926</v>
      </c>
      <c r="S197" s="1" t="n">
        <f aca="false">Transport!G197</f>
        <v>5732</v>
      </c>
      <c r="T197" s="1" t="n">
        <f aca="false">Transport!H197</f>
        <v>9342</v>
      </c>
      <c r="U197" s="1" t="n">
        <f aca="false">Transport!I197</f>
        <v>0</v>
      </c>
      <c r="V197" s="1" t="n">
        <f aca="false">Transport!J197</f>
        <v>0</v>
      </c>
      <c r="W197" s="1" t="n">
        <f aca="false">Transport!K197</f>
        <v>0</v>
      </c>
      <c r="X197" s="1" t="n">
        <f aca="false">Transport!L197</f>
        <v>0</v>
      </c>
    </row>
    <row r="198" customFormat="false" ht="11.25" hidden="false" customHeight="false" outlineLevel="0" collapsed="false">
      <c r="A198" s="6" t="n">
        <f aca="false">+A197+365/12</f>
        <v>41619.4166666667</v>
      </c>
      <c r="B198" s="29" t="n">
        <f aca="false">C198-0.06</f>
        <v>2.84073770132982</v>
      </c>
      <c r="C198" s="29" t="n">
        <f aca="false">C186*1.01</f>
        <v>2.90073770132982</v>
      </c>
      <c r="D198" s="29" t="n">
        <f aca="false">C198-0.05</f>
        <v>2.85073770132982</v>
      </c>
      <c r="E198" s="29" t="n">
        <f aca="false">C198</f>
        <v>2.90073770132982</v>
      </c>
      <c r="F198" s="31" t="n">
        <f aca="false">+F197</f>
        <v>0.0275</v>
      </c>
      <c r="G198" s="38" t="n">
        <f aca="false">F198</f>
        <v>0.0275</v>
      </c>
      <c r="H198" s="1" t="n">
        <v>31</v>
      </c>
      <c r="I198" s="27"/>
      <c r="K198" s="28"/>
      <c r="L198" s="32" t="n">
        <f aca="false">L197</f>
        <v>0.398086634579785</v>
      </c>
      <c r="M198" s="4" t="n">
        <f aca="false">M197</f>
        <v>0.7348</v>
      </c>
      <c r="N198" s="8" t="n">
        <f aca="false">L198</f>
        <v>0.398086634579785</v>
      </c>
      <c r="O198" s="1" t="n">
        <f aca="false">O197</f>
        <v>0.0477</v>
      </c>
      <c r="P198" s="1" t="n">
        <f aca="false">P197</f>
        <v>0.0307</v>
      </c>
      <c r="R198" s="1" t="n">
        <f aca="false">Transport!F198</f>
        <v>4926</v>
      </c>
      <c r="S198" s="1" t="n">
        <f aca="false">Transport!G198</f>
        <v>5732</v>
      </c>
      <c r="T198" s="1" t="n">
        <f aca="false">Transport!H198</f>
        <v>9342</v>
      </c>
      <c r="U198" s="1" t="n">
        <f aca="false">Transport!I198</f>
        <v>0</v>
      </c>
      <c r="V198" s="1" t="n">
        <f aca="false">Transport!J198</f>
        <v>0</v>
      </c>
      <c r="W198" s="1" t="n">
        <f aca="false">Transport!K198</f>
        <v>0</v>
      </c>
      <c r="X198" s="1" t="n">
        <f aca="false">Transport!L198</f>
        <v>0</v>
      </c>
    </row>
    <row r="199" customFormat="false" ht="11.25" hidden="false" customHeight="false" outlineLevel="0" collapsed="false">
      <c r="A199" s="41" t="n">
        <f aca="false">+A198+365/12</f>
        <v>41649.8333333333</v>
      </c>
      <c r="B199" s="42" t="n">
        <f aca="false">C199-0.06</f>
        <v>2.49789281839957</v>
      </c>
      <c r="C199" s="42" t="n">
        <f aca="false">C187*1.01</f>
        <v>2.55789281839957</v>
      </c>
      <c r="D199" s="42" t="n">
        <f aca="false">C199-0.05</f>
        <v>2.50789281839957</v>
      </c>
      <c r="E199" s="42" t="n">
        <f aca="false">C199</f>
        <v>2.55789281839957</v>
      </c>
      <c r="F199" s="43" t="n">
        <f aca="false">+F198</f>
        <v>0.0275</v>
      </c>
      <c r="G199" s="44" t="n">
        <f aca="false">F199</f>
        <v>0.0275</v>
      </c>
      <c r="H199" s="45" t="n">
        <v>31</v>
      </c>
      <c r="I199" s="45"/>
      <c r="J199" s="45"/>
      <c r="K199" s="45"/>
      <c r="L199" s="48" t="n">
        <f aca="false">('[1]062'!$Y$56*1000)/('[1]062'!$Y$50*[1]Assumptions!$Y$9)</f>
        <v>0.398086634579785</v>
      </c>
      <c r="M199" s="49" t="n">
        <f aca="false">M198</f>
        <v>0.7348</v>
      </c>
      <c r="N199" s="50" t="n">
        <f aca="false">L199</f>
        <v>0.398086634579785</v>
      </c>
      <c r="O199" s="45" t="n">
        <f aca="false">O198</f>
        <v>0.0477</v>
      </c>
      <c r="P199" s="45" t="n">
        <f aca="false">P198</f>
        <v>0.0307</v>
      </c>
      <c r="Q199" s="45"/>
      <c r="R199" s="45" t="n">
        <f aca="false">Transport!F199</f>
        <v>4926</v>
      </c>
      <c r="S199" s="45" t="n">
        <f aca="false">Transport!G199</f>
        <v>5732</v>
      </c>
      <c r="T199" s="45" t="n">
        <f aca="false">Transport!H199</f>
        <v>9342</v>
      </c>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c r="BA199" s="45"/>
      <c r="BB199" s="45"/>
      <c r="BC199" s="45"/>
      <c r="BD199" s="45"/>
      <c r="BE199" s="45"/>
      <c r="BF199" s="45"/>
      <c r="BG199" s="45"/>
      <c r="BH199" s="45"/>
      <c r="BI199" s="45"/>
      <c r="BJ199" s="45"/>
      <c r="BK199" s="45"/>
      <c r="BL199" s="45"/>
      <c r="BM199" s="45"/>
      <c r="BN199" s="45"/>
      <c r="BO199" s="45"/>
      <c r="BP199" s="45"/>
      <c r="BQ199" s="45"/>
      <c r="BR199" s="45"/>
      <c r="BS199" s="45"/>
      <c r="BT199" s="45"/>
      <c r="BU199" s="45"/>
      <c r="BV199" s="45"/>
      <c r="BW199" s="45"/>
      <c r="BX199" s="45"/>
      <c r="BY199" s="45"/>
      <c r="BZ199" s="45"/>
      <c r="CA199" s="45"/>
      <c r="CB199" s="45"/>
      <c r="CC199" s="45"/>
      <c r="CD199" s="45"/>
      <c r="CE199" s="45"/>
      <c r="CF199" s="45"/>
      <c r="CG199" s="45"/>
      <c r="CH199" s="45"/>
      <c r="CI199" s="45"/>
      <c r="CJ199" s="45"/>
      <c r="CK199" s="45"/>
      <c r="CL199" s="45"/>
      <c r="CM199" s="45"/>
      <c r="CN199" s="45"/>
      <c r="CO199" s="45"/>
      <c r="CP199" s="45"/>
      <c r="CQ199" s="45"/>
      <c r="CR199" s="45"/>
      <c r="CS199" s="45"/>
      <c r="CT199" s="45"/>
      <c r="CU199" s="45"/>
      <c r="CV199" s="45"/>
      <c r="CW199" s="45"/>
      <c r="CX199" s="45"/>
      <c r="CY199" s="45"/>
      <c r="CZ199" s="45"/>
      <c r="DA199" s="45"/>
      <c r="DB199" s="45"/>
      <c r="DC199" s="45"/>
      <c r="DD199" s="45"/>
      <c r="DE199" s="45"/>
      <c r="DF199" s="45"/>
      <c r="DG199" s="45"/>
      <c r="DH199" s="45"/>
      <c r="DI199" s="45"/>
      <c r="DJ199" s="45"/>
      <c r="DK199" s="45"/>
      <c r="DL199" s="45"/>
      <c r="DM199" s="45"/>
      <c r="DN199" s="45"/>
      <c r="DO199" s="45"/>
      <c r="DP199" s="45"/>
      <c r="DQ199" s="45"/>
      <c r="DR199" s="45"/>
      <c r="DS199" s="45"/>
      <c r="DT199" s="45"/>
      <c r="DU199" s="45"/>
      <c r="DV199" s="45"/>
      <c r="DW199" s="45"/>
      <c r="DX199" s="45"/>
      <c r="DY199" s="45"/>
      <c r="DZ199" s="45"/>
      <c r="EA199" s="45"/>
      <c r="EB199" s="45"/>
      <c r="EC199" s="45"/>
      <c r="ED199" s="45"/>
      <c r="EE199" s="45"/>
      <c r="EF199" s="45"/>
      <c r="EG199" s="45"/>
      <c r="EH199" s="45"/>
      <c r="EI199" s="45"/>
      <c r="EJ199" s="45"/>
      <c r="EK199" s="45"/>
      <c r="EL199" s="45"/>
      <c r="EM199" s="45"/>
      <c r="EN199" s="45"/>
      <c r="EO199" s="45"/>
      <c r="EP199" s="45"/>
      <c r="EQ199" s="45"/>
      <c r="ER199" s="45"/>
      <c r="ES199" s="45"/>
      <c r="ET199" s="45"/>
      <c r="EU199" s="45"/>
      <c r="EV199" s="45"/>
      <c r="EW199" s="45"/>
      <c r="EX199" s="45"/>
      <c r="EY199" s="45"/>
      <c r="EZ199" s="45"/>
      <c r="FA199" s="45"/>
      <c r="FB199" s="45"/>
      <c r="FC199" s="45"/>
      <c r="FD199" s="45"/>
      <c r="FE199" s="45"/>
      <c r="FF199" s="45"/>
      <c r="FG199" s="45"/>
      <c r="FH199" s="45"/>
      <c r="FI199" s="45"/>
      <c r="FJ199" s="45"/>
      <c r="FK199" s="45"/>
      <c r="FL199" s="45"/>
      <c r="FM199" s="45"/>
      <c r="FN199" s="45"/>
      <c r="FO199" s="45"/>
      <c r="FP199" s="45"/>
      <c r="FQ199" s="45"/>
      <c r="FR199" s="45"/>
      <c r="FS199" s="45"/>
      <c r="FT199" s="45"/>
      <c r="FU199" s="45"/>
      <c r="FV199" s="45"/>
      <c r="FW199" s="45"/>
      <c r="FX199" s="45"/>
      <c r="FY199" s="45"/>
      <c r="FZ199" s="45"/>
      <c r="GA199" s="45"/>
      <c r="GB199" s="45"/>
      <c r="GC199" s="45"/>
      <c r="GD199" s="45"/>
      <c r="GE199" s="45"/>
      <c r="GF199" s="45"/>
      <c r="GG199" s="45"/>
      <c r="GH199" s="45"/>
      <c r="GI199" s="45"/>
      <c r="GJ199" s="45"/>
      <c r="GK199" s="45"/>
      <c r="GL199" s="45"/>
      <c r="GM199" s="45"/>
      <c r="GN199" s="45"/>
      <c r="GO199" s="45"/>
      <c r="GP199" s="45"/>
      <c r="GQ199" s="45"/>
      <c r="GR199" s="45"/>
      <c r="GS199" s="45"/>
      <c r="GT199" s="45"/>
      <c r="GU199" s="45"/>
      <c r="GV199" s="45"/>
      <c r="GW199" s="45"/>
      <c r="GX199" s="45"/>
      <c r="GY199" s="45"/>
      <c r="GZ199" s="45"/>
      <c r="HA199" s="45"/>
      <c r="HB199" s="45"/>
      <c r="HC199" s="45"/>
      <c r="HD199" s="45"/>
      <c r="HE199" s="45"/>
      <c r="HF199" s="45"/>
      <c r="HG199" s="45"/>
      <c r="HH199" s="45"/>
      <c r="HI199" s="45"/>
      <c r="HJ199" s="45"/>
      <c r="HK199" s="45"/>
      <c r="HL199" s="45"/>
      <c r="HM199" s="45"/>
      <c r="HN199" s="45"/>
      <c r="HO199" s="45"/>
      <c r="HP199" s="45"/>
      <c r="HQ199" s="45"/>
      <c r="HR199" s="45"/>
      <c r="HS199" s="45"/>
      <c r="HT199" s="45"/>
      <c r="HU199" s="45"/>
      <c r="HV199" s="45"/>
      <c r="HW199" s="45"/>
      <c r="HX199" s="45"/>
      <c r="HY199" s="45"/>
      <c r="HZ199" s="45"/>
      <c r="IA199" s="45"/>
      <c r="IB199" s="45"/>
      <c r="IC199" s="45"/>
      <c r="ID199" s="45"/>
      <c r="IE199" s="45"/>
      <c r="IF199" s="45"/>
      <c r="IG199" s="45"/>
      <c r="IH199" s="45"/>
      <c r="II199" s="45"/>
      <c r="IJ199" s="45"/>
      <c r="IK199" s="45"/>
      <c r="IL199" s="45"/>
      <c r="IM199" s="45"/>
      <c r="IN199" s="45"/>
      <c r="IO199" s="45"/>
      <c r="IP199" s="45"/>
      <c r="IQ199" s="45"/>
      <c r="IR199" s="45"/>
      <c r="IS199" s="45"/>
      <c r="IT199" s="45"/>
      <c r="IU199" s="45"/>
      <c r="IV199" s="45"/>
      <c r="IW199" s="45"/>
    </row>
    <row r="200" customFormat="false" ht="11.25" hidden="false" customHeight="false" outlineLevel="0" collapsed="false">
      <c r="A200" s="6" t="n">
        <f aca="false">+A199+365/12</f>
        <v>41680.25</v>
      </c>
      <c r="B200" s="29" t="n">
        <f aca="false">C200-0.06</f>
        <v>2.8021355765352</v>
      </c>
      <c r="C200" s="29" t="n">
        <f aca="false">C188*1.01</f>
        <v>2.8621355765352</v>
      </c>
      <c r="D200" s="29" t="n">
        <f aca="false">C200-0.05</f>
        <v>2.8121355765352</v>
      </c>
      <c r="E200" s="29" t="n">
        <f aca="false">C200</f>
        <v>2.8621355765352</v>
      </c>
      <c r="F200" s="31" t="n">
        <f aca="false">+F199</f>
        <v>0.0275</v>
      </c>
      <c r="G200" s="38" t="n">
        <f aca="false">F200</f>
        <v>0.0275</v>
      </c>
      <c r="H200" s="1" t="n">
        <v>28</v>
      </c>
      <c r="L200" s="32" t="n">
        <f aca="false">L199</f>
        <v>0.398086634579785</v>
      </c>
      <c r="M200" s="4" t="n">
        <f aca="false">M199</f>
        <v>0.7348</v>
      </c>
      <c r="N200" s="8" t="n">
        <f aca="false">L200</f>
        <v>0.398086634579785</v>
      </c>
      <c r="O200" s="1" t="n">
        <f aca="false">O199</f>
        <v>0.0477</v>
      </c>
      <c r="P200" s="1" t="n">
        <f aca="false">P199</f>
        <v>0.0307</v>
      </c>
      <c r="R200" s="1" t="n">
        <f aca="false">Transport!F200</f>
        <v>4926</v>
      </c>
      <c r="S200" s="1" t="n">
        <f aca="false">Transport!G200</f>
        <v>5732</v>
      </c>
      <c r="T200" s="1" t="n">
        <f aca="false">Transport!H200</f>
        <v>9342</v>
      </c>
    </row>
    <row r="201" customFormat="false" ht="11.25" hidden="false" customHeight="false" outlineLevel="0" collapsed="false">
      <c r="A201" s="6" t="n">
        <f aca="false">+A200+365/12</f>
        <v>41710.6666666667</v>
      </c>
      <c r="B201" s="29" t="n">
        <f aca="false">C201-0.06</f>
        <v>2.8021355765352</v>
      </c>
      <c r="C201" s="29" t="n">
        <f aca="false">C189*1.01</f>
        <v>2.8621355765352</v>
      </c>
      <c r="D201" s="29" t="n">
        <f aca="false">C201-0.05</f>
        <v>2.8121355765352</v>
      </c>
      <c r="E201" s="29" t="n">
        <f aca="false">C201</f>
        <v>2.8621355765352</v>
      </c>
      <c r="F201" s="31" t="n">
        <f aca="false">+F200</f>
        <v>0.0275</v>
      </c>
      <c r="G201" s="38" t="n">
        <f aca="false">F201</f>
        <v>0.0275</v>
      </c>
      <c r="H201" s="1" t="n">
        <v>31</v>
      </c>
      <c r="L201" s="32" t="n">
        <f aca="false">L200</f>
        <v>0.398086634579785</v>
      </c>
      <c r="M201" s="4" t="n">
        <f aca="false">M200</f>
        <v>0.7348</v>
      </c>
      <c r="N201" s="8" t="n">
        <f aca="false">L201</f>
        <v>0.398086634579785</v>
      </c>
      <c r="O201" s="1" t="n">
        <f aca="false">O200</f>
        <v>0.0477</v>
      </c>
      <c r="P201" s="1" t="n">
        <f aca="false">P200</f>
        <v>0.0307</v>
      </c>
      <c r="R201" s="1" t="n">
        <f aca="false">Transport!F201</f>
        <v>4926</v>
      </c>
      <c r="S201" s="1" t="n">
        <f aca="false">Transport!G201</f>
        <v>5732</v>
      </c>
      <c r="T201" s="1" t="n">
        <f aca="false">Transport!H201</f>
        <v>9342</v>
      </c>
    </row>
    <row r="202" customFormat="false" ht="11.25" hidden="false" customHeight="false" outlineLevel="0" collapsed="false">
      <c r="A202" s="6" t="n">
        <f aca="false">+A201+365/12</f>
        <v>41741.0833333333</v>
      </c>
      <c r="B202" s="29" t="n">
        <f aca="false">C202-0.06</f>
        <v>3.10637833467084</v>
      </c>
      <c r="C202" s="29" t="n">
        <f aca="false">C190*1.01</f>
        <v>3.16637833467084</v>
      </c>
      <c r="D202" s="29" t="n">
        <f aca="false">C202-0.05</f>
        <v>3.11637833467084</v>
      </c>
      <c r="E202" s="29" t="n">
        <f aca="false">C202</f>
        <v>3.16637833467084</v>
      </c>
      <c r="F202" s="31" t="n">
        <f aca="false">+F201</f>
        <v>0.0275</v>
      </c>
      <c r="G202" s="38" t="n">
        <f aca="false">F202</f>
        <v>0.0275</v>
      </c>
      <c r="H202" s="1" t="n">
        <v>30</v>
      </c>
      <c r="L202" s="32" t="n">
        <f aca="false">L201</f>
        <v>0.398086634579785</v>
      </c>
      <c r="M202" s="4" t="n">
        <f aca="false">M201</f>
        <v>0.7348</v>
      </c>
      <c r="N202" s="8" t="n">
        <f aca="false">L202</f>
        <v>0.398086634579785</v>
      </c>
      <c r="O202" s="1" t="n">
        <f aca="false">O201</f>
        <v>0.0477</v>
      </c>
      <c r="P202" s="1" t="n">
        <f aca="false">P201</f>
        <v>0.0307</v>
      </c>
      <c r="R202" s="1" t="n">
        <f aca="false">Transport!F202</f>
        <v>6933</v>
      </c>
      <c r="S202" s="1" t="n">
        <f aca="false">Transport!G202</f>
        <v>8798</v>
      </c>
      <c r="T202" s="1" t="n">
        <f aca="false">Transport!H202</f>
        <v>14269</v>
      </c>
    </row>
    <row r="203" customFormat="false" ht="11.25" hidden="false" customHeight="false" outlineLevel="0" collapsed="false">
      <c r="A203" s="6" t="n">
        <f aca="false">+A202+365/12</f>
        <v>41771.5</v>
      </c>
      <c r="B203" s="29" t="n">
        <f aca="false">C203-0.06</f>
        <v>3.32047509039591</v>
      </c>
      <c r="C203" s="29" t="n">
        <f aca="false">C191*1.01</f>
        <v>3.38047509039591</v>
      </c>
      <c r="D203" s="29" t="n">
        <f aca="false">C203-0.05</f>
        <v>3.33047509039591</v>
      </c>
      <c r="E203" s="29" t="n">
        <f aca="false">C203</f>
        <v>3.38047509039591</v>
      </c>
      <c r="F203" s="31" t="n">
        <f aca="false">+F202</f>
        <v>0.0275</v>
      </c>
      <c r="G203" s="38" t="n">
        <f aca="false">F203</f>
        <v>0.0275</v>
      </c>
      <c r="H203" s="1" t="n">
        <v>31</v>
      </c>
      <c r="L203" s="32" t="n">
        <f aca="false">L202</f>
        <v>0.398086634579785</v>
      </c>
      <c r="M203" s="4" t="n">
        <f aca="false">M202</f>
        <v>0.7348</v>
      </c>
      <c r="N203" s="8" t="n">
        <f aca="false">L203</f>
        <v>0.398086634579785</v>
      </c>
      <c r="O203" s="1" t="n">
        <f aca="false">O202</f>
        <v>0.0477</v>
      </c>
      <c r="P203" s="1" t="n">
        <f aca="false">P202</f>
        <v>0.0307</v>
      </c>
      <c r="R203" s="1" t="n">
        <f aca="false">Transport!F203</f>
        <v>8730</v>
      </c>
      <c r="S203" s="1" t="n">
        <f aca="false">Transport!G203</f>
        <v>10761</v>
      </c>
      <c r="T203" s="1" t="n">
        <f aca="false">Transport!H203</f>
        <v>15509</v>
      </c>
    </row>
    <row r="204" customFormat="false" ht="11.25" hidden="false" customHeight="false" outlineLevel="0" collapsed="false">
      <c r="A204" s="6" t="n">
        <f aca="false">+A203+365/12</f>
        <v>41801.9166666667</v>
      </c>
      <c r="B204" s="29" t="n">
        <f aca="false">C204-0.06</f>
        <v>4.79661587986879</v>
      </c>
      <c r="C204" s="29" t="n">
        <f aca="false">C192*1.01</f>
        <v>4.85661587986879</v>
      </c>
      <c r="D204" s="29" t="n">
        <f aca="false">C204-0.05</f>
        <v>4.80661587986879</v>
      </c>
      <c r="E204" s="29" t="n">
        <f aca="false">C204</f>
        <v>4.85661587986879</v>
      </c>
      <c r="F204" s="31" t="n">
        <f aca="false">+F203</f>
        <v>0.0275</v>
      </c>
      <c r="G204" s="38" t="n">
        <f aca="false">F204</f>
        <v>0.0275</v>
      </c>
      <c r="H204" s="1" t="n">
        <v>30</v>
      </c>
      <c r="L204" s="32" t="n">
        <f aca="false">L203</f>
        <v>0.398086634579785</v>
      </c>
      <c r="M204" s="4" t="n">
        <f aca="false">M203</f>
        <v>0.7348</v>
      </c>
      <c r="N204" s="8" t="n">
        <f aca="false">L204</f>
        <v>0.398086634579785</v>
      </c>
      <c r="O204" s="1" t="n">
        <f aca="false">O203</f>
        <v>0.0477</v>
      </c>
      <c r="P204" s="1" t="n">
        <f aca="false">P203</f>
        <v>0.0307</v>
      </c>
      <c r="R204" s="1" t="n">
        <f aca="false">Transport!F204</f>
        <v>8730</v>
      </c>
      <c r="S204" s="1" t="n">
        <f aca="false">Transport!G204</f>
        <v>10761</v>
      </c>
      <c r="T204" s="1" t="n">
        <f aca="false">Transport!H204</f>
        <v>15509</v>
      </c>
    </row>
    <row r="205" customFormat="false" ht="11.25" hidden="false" customHeight="false" outlineLevel="0" collapsed="false">
      <c r="A205" s="6" t="n">
        <f aca="false">+A204+365/12</f>
        <v>41832.3333333333</v>
      </c>
      <c r="B205" s="29" t="n">
        <f aca="false">C205-0.06</f>
        <v>4.78534762956747</v>
      </c>
      <c r="C205" s="29" t="n">
        <f aca="false">C193*1.01</f>
        <v>4.84534762956747</v>
      </c>
      <c r="D205" s="29" t="n">
        <f aca="false">C205-0.05</f>
        <v>4.79534762956747</v>
      </c>
      <c r="E205" s="29" t="n">
        <f aca="false">C205</f>
        <v>4.84534762956747</v>
      </c>
      <c r="F205" s="31" t="n">
        <f aca="false">+F204</f>
        <v>0.0275</v>
      </c>
      <c r="G205" s="38" t="n">
        <f aca="false">F205</f>
        <v>0.0275</v>
      </c>
      <c r="H205" s="1" t="n">
        <v>31</v>
      </c>
      <c r="L205" s="32" t="n">
        <f aca="false">L204</f>
        <v>0.398086634579785</v>
      </c>
      <c r="M205" s="4" t="n">
        <f aca="false">M204</f>
        <v>0.7348</v>
      </c>
      <c r="N205" s="8" t="n">
        <f aca="false">L205</f>
        <v>0.398086634579785</v>
      </c>
      <c r="O205" s="1" t="n">
        <f aca="false">O204</f>
        <v>0.0477</v>
      </c>
      <c r="P205" s="1" t="n">
        <f aca="false">P204</f>
        <v>0.0307</v>
      </c>
      <c r="R205" s="1" t="n">
        <f aca="false">Transport!F205</f>
        <v>8730</v>
      </c>
      <c r="S205" s="1" t="n">
        <f aca="false">Transport!G205</f>
        <v>10761</v>
      </c>
      <c r="T205" s="1" t="n">
        <f aca="false">Transport!H205</f>
        <v>15509</v>
      </c>
    </row>
    <row r="206" customFormat="false" ht="11.25" hidden="false" customHeight="false" outlineLevel="0" collapsed="false">
      <c r="A206" s="6" t="n">
        <f aca="false">+A205+365/12</f>
        <v>41862.75</v>
      </c>
      <c r="B206" s="29" t="n">
        <f aca="false">C206-0.06</f>
        <v>4.17686211329621</v>
      </c>
      <c r="C206" s="29" t="n">
        <f aca="false">C194*1.01</f>
        <v>4.23686211329621</v>
      </c>
      <c r="D206" s="29" t="n">
        <f aca="false">C206-0.05</f>
        <v>4.18686211329621</v>
      </c>
      <c r="E206" s="29" t="n">
        <f aca="false">C206</f>
        <v>4.23686211329621</v>
      </c>
      <c r="F206" s="31" t="n">
        <f aca="false">+F205</f>
        <v>0.0275</v>
      </c>
      <c r="G206" s="38" t="n">
        <f aca="false">F206</f>
        <v>0.0275</v>
      </c>
      <c r="H206" s="1" t="n">
        <v>31</v>
      </c>
      <c r="L206" s="32" t="n">
        <f aca="false">L205</f>
        <v>0.398086634579785</v>
      </c>
      <c r="M206" s="4" t="n">
        <f aca="false">M205</f>
        <v>0.7348</v>
      </c>
      <c r="N206" s="8" t="n">
        <f aca="false">L206</f>
        <v>0.398086634579785</v>
      </c>
      <c r="O206" s="1" t="n">
        <f aca="false">O205</f>
        <v>0.0477</v>
      </c>
      <c r="P206" s="1" t="n">
        <f aca="false">P205</f>
        <v>0.0307</v>
      </c>
      <c r="R206" s="1" t="n">
        <f aca="false">Transport!F206</f>
        <v>8730</v>
      </c>
      <c r="S206" s="1" t="n">
        <f aca="false">Transport!G206</f>
        <v>10761</v>
      </c>
      <c r="T206" s="1" t="n">
        <f aca="false">Transport!H206</f>
        <v>15509</v>
      </c>
    </row>
    <row r="207" customFormat="false" ht="11.25" hidden="false" customHeight="false" outlineLevel="0" collapsed="false">
      <c r="A207" s="6" t="n">
        <f aca="false">+A206+365/12</f>
        <v>41893.1666666667</v>
      </c>
      <c r="B207" s="29" t="n">
        <f aca="false">C207-0.06</f>
        <v>5.04451738649783</v>
      </c>
      <c r="C207" s="29" t="n">
        <f aca="false">C195*1.01</f>
        <v>5.10451738649783</v>
      </c>
      <c r="D207" s="29" t="n">
        <f aca="false">C207-0.05</f>
        <v>5.05451738649783</v>
      </c>
      <c r="E207" s="29" t="n">
        <f aca="false">C207</f>
        <v>5.10451738649783</v>
      </c>
      <c r="F207" s="31" t="n">
        <f aca="false">+F206</f>
        <v>0.0275</v>
      </c>
      <c r="G207" s="38" t="n">
        <f aca="false">F207</f>
        <v>0.0275</v>
      </c>
      <c r="H207" s="1" t="n">
        <v>30</v>
      </c>
      <c r="L207" s="32" t="n">
        <f aca="false">L206</f>
        <v>0.398086634579785</v>
      </c>
      <c r="M207" s="4" t="n">
        <f aca="false">M206</f>
        <v>0.7348</v>
      </c>
      <c r="N207" s="8" t="n">
        <f aca="false">L207</f>
        <v>0.398086634579785</v>
      </c>
      <c r="O207" s="1" t="n">
        <f aca="false">O206</f>
        <v>0.0477</v>
      </c>
      <c r="P207" s="1" t="n">
        <f aca="false">P206</f>
        <v>0.0307</v>
      </c>
      <c r="R207" s="1" t="n">
        <f aca="false">Transport!F207</f>
        <v>8730</v>
      </c>
      <c r="S207" s="1" t="n">
        <f aca="false">Transport!G207</f>
        <v>10761</v>
      </c>
      <c r="T207" s="1" t="n">
        <f aca="false">Transport!H207</f>
        <v>15509</v>
      </c>
    </row>
    <row r="208" customFormat="false" ht="11.25" hidden="false" customHeight="false" outlineLevel="0" collapsed="false">
      <c r="A208" s="6" t="n">
        <f aca="false">+A207+365/12</f>
        <v>41923.5833333333</v>
      </c>
      <c r="B208" s="29" t="n">
        <f aca="false">C208-0.06</f>
        <v>5.81075840698756</v>
      </c>
      <c r="C208" s="29" t="n">
        <f aca="false">C196*1.01</f>
        <v>5.87075840698756</v>
      </c>
      <c r="D208" s="29" t="n">
        <f aca="false">C208-0.05</f>
        <v>5.82075840698756</v>
      </c>
      <c r="E208" s="29" t="n">
        <f aca="false">C208</f>
        <v>5.87075840698756</v>
      </c>
      <c r="F208" s="31" t="n">
        <f aca="false">+F207</f>
        <v>0.0275</v>
      </c>
      <c r="G208" s="38" t="n">
        <f aca="false">F208</f>
        <v>0.0275</v>
      </c>
      <c r="H208" s="1" t="n">
        <v>31</v>
      </c>
      <c r="L208" s="32" t="n">
        <f aca="false">L207</f>
        <v>0.398086634579785</v>
      </c>
      <c r="M208" s="4" t="n">
        <f aca="false">M207</f>
        <v>0.7348</v>
      </c>
      <c r="N208" s="8" t="n">
        <f aca="false">L208</f>
        <v>0.398086634579785</v>
      </c>
      <c r="O208" s="1" t="n">
        <f aca="false">O207</f>
        <v>0.0477</v>
      </c>
      <c r="P208" s="1" t="n">
        <f aca="false">P207</f>
        <v>0.0307</v>
      </c>
      <c r="R208" s="1" t="n">
        <f aca="false">Transport!F208</f>
        <v>8730</v>
      </c>
      <c r="S208" s="1" t="n">
        <f aca="false">Transport!G208</f>
        <v>10361</v>
      </c>
      <c r="T208" s="1" t="n">
        <f aca="false">Transport!H208</f>
        <v>15909</v>
      </c>
    </row>
    <row r="209" customFormat="false" ht="11.25" hidden="false" customHeight="false" outlineLevel="0" collapsed="false">
      <c r="A209" s="6" t="n">
        <f aca="false">+A208+365/12</f>
        <v>41954</v>
      </c>
      <c r="B209" s="29" t="n">
        <f aca="false">C209-0.06</f>
        <v>3.86135110485926</v>
      </c>
      <c r="C209" s="29" t="n">
        <f aca="false">C197*1.01</f>
        <v>3.92135110485926</v>
      </c>
      <c r="D209" s="29" t="n">
        <f aca="false">C209-0.05</f>
        <v>3.87135110485926</v>
      </c>
      <c r="E209" s="29" t="n">
        <f aca="false">C209</f>
        <v>3.92135110485926</v>
      </c>
      <c r="F209" s="31" t="n">
        <f aca="false">+F208</f>
        <v>0.0275</v>
      </c>
      <c r="G209" s="38" t="n">
        <f aca="false">F209</f>
        <v>0.0275</v>
      </c>
      <c r="H209" s="1" t="n">
        <v>30</v>
      </c>
      <c r="L209" s="32" t="n">
        <f aca="false">L208</f>
        <v>0.398086634579785</v>
      </c>
      <c r="M209" s="4" t="n">
        <f aca="false">M208</f>
        <v>0.7348</v>
      </c>
      <c r="N209" s="8" t="n">
        <f aca="false">L209</f>
        <v>0.398086634579785</v>
      </c>
      <c r="O209" s="1" t="n">
        <f aca="false">O208</f>
        <v>0.0477</v>
      </c>
      <c r="P209" s="1" t="n">
        <f aca="false">P208</f>
        <v>0.0307</v>
      </c>
      <c r="R209" s="1" t="n">
        <f aca="false">Transport!F209</f>
        <v>4926</v>
      </c>
      <c r="S209" s="1" t="n">
        <f aca="false">Transport!G209</f>
        <v>5732</v>
      </c>
      <c r="T209" s="1" t="n">
        <f aca="false">Transport!H209</f>
        <v>9342</v>
      </c>
    </row>
    <row r="210" customFormat="false" ht="11.25" hidden="false" customHeight="false" outlineLevel="0" collapsed="false">
      <c r="A210" s="6" t="n">
        <f aca="false">+A209+365/12</f>
        <v>41984.4166666667</v>
      </c>
      <c r="B210" s="29" t="n">
        <f aca="false">C210-0.06</f>
        <v>2.86974507834312</v>
      </c>
      <c r="C210" s="29" t="n">
        <f aca="false">C198*1.01</f>
        <v>2.92974507834312</v>
      </c>
      <c r="D210" s="29" t="n">
        <f aca="false">C210-0.05</f>
        <v>2.87974507834312</v>
      </c>
      <c r="E210" s="29" t="n">
        <f aca="false">C210</f>
        <v>2.92974507834312</v>
      </c>
      <c r="F210" s="31" t="n">
        <f aca="false">+F209</f>
        <v>0.0275</v>
      </c>
      <c r="G210" s="38" t="n">
        <f aca="false">F210</f>
        <v>0.0275</v>
      </c>
      <c r="H210" s="1" t="n">
        <v>31</v>
      </c>
      <c r="L210" s="32" t="n">
        <f aca="false">L209</f>
        <v>0.398086634579785</v>
      </c>
      <c r="M210" s="4" t="n">
        <f aca="false">M209</f>
        <v>0.7348</v>
      </c>
      <c r="N210" s="8" t="n">
        <f aca="false">L210</f>
        <v>0.398086634579785</v>
      </c>
      <c r="O210" s="1" t="n">
        <f aca="false">O209</f>
        <v>0.0477</v>
      </c>
      <c r="P210" s="1" t="n">
        <f aca="false">P209</f>
        <v>0.0307</v>
      </c>
      <c r="R210" s="1" t="n">
        <f aca="false">Transport!F210</f>
        <v>4926</v>
      </c>
      <c r="S210" s="1" t="n">
        <f aca="false">Transport!G210</f>
        <v>5732</v>
      </c>
      <c r="T210" s="1" t="n">
        <f aca="false">Transport!H210</f>
        <v>9342</v>
      </c>
    </row>
    <row r="211" customFormat="false" ht="11.25" hidden="false" customHeight="false" outlineLevel="0" collapsed="false">
      <c r="A211" s="41" t="n">
        <f aca="false">+A210+365/12</f>
        <v>42014.8333333333</v>
      </c>
      <c r="B211" s="42" t="n">
        <f aca="false">C211-0.06</f>
        <v>2.52347174658357</v>
      </c>
      <c r="C211" s="42" t="n">
        <f aca="false">C199*1.01</f>
        <v>2.58347174658357</v>
      </c>
      <c r="D211" s="42" t="n">
        <f aca="false">C211-0.05</f>
        <v>2.53347174658357</v>
      </c>
      <c r="E211" s="42" t="n">
        <f aca="false">C211</f>
        <v>2.58347174658357</v>
      </c>
      <c r="F211" s="43" t="n">
        <f aca="false">+F210</f>
        <v>0.0275</v>
      </c>
      <c r="G211" s="44" t="n">
        <f aca="false">F211</f>
        <v>0.0275</v>
      </c>
      <c r="H211" s="45" t="n">
        <v>31</v>
      </c>
      <c r="I211" s="45"/>
      <c r="J211" s="45"/>
      <c r="K211" s="45"/>
      <c r="L211" s="48" t="n">
        <f aca="false">('[1]062'!$Z$56*1000)/('[1]062'!$Z$50*[1]Assumptions!$Z$9)</f>
        <v>0.398086634579785</v>
      </c>
      <c r="M211" s="49" t="n">
        <f aca="false">M210</f>
        <v>0.7348</v>
      </c>
      <c r="N211" s="50" t="n">
        <f aca="false">L211</f>
        <v>0.398086634579785</v>
      </c>
      <c r="O211" s="45" t="n">
        <f aca="false">O210</f>
        <v>0.0477</v>
      </c>
      <c r="P211" s="45" t="n">
        <f aca="false">P210</f>
        <v>0.0307</v>
      </c>
      <c r="Q211" s="45"/>
      <c r="R211" s="45" t="n">
        <f aca="false">Transport!F211</f>
        <v>4926</v>
      </c>
      <c r="S211" s="45" t="n">
        <f aca="false">Transport!G211</f>
        <v>5732</v>
      </c>
      <c r="T211" s="45" t="n">
        <f aca="false">Transport!H211</f>
        <v>9342</v>
      </c>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c r="BA211" s="45"/>
      <c r="BB211" s="45"/>
      <c r="BC211" s="45"/>
      <c r="BD211" s="45"/>
      <c r="BE211" s="45"/>
      <c r="BF211" s="45"/>
      <c r="BG211" s="45"/>
      <c r="BH211" s="45"/>
      <c r="BI211" s="45"/>
      <c r="BJ211" s="45"/>
      <c r="BK211" s="45"/>
      <c r="BL211" s="45"/>
      <c r="BM211" s="45"/>
      <c r="BN211" s="45"/>
      <c r="BO211" s="45"/>
      <c r="BP211" s="45"/>
      <c r="BQ211" s="45"/>
      <c r="BR211" s="45"/>
      <c r="BS211" s="45"/>
      <c r="BT211" s="45"/>
      <c r="BU211" s="45"/>
      <c r="BV211" s="45"/>
      <c r="BW211" s="45"/>
      <c r="BX211" s="45"/>
      <c r="BY211" s="45"/>
      <c r="BZ211" s="45"/>
      <c r="CA211" s="45"/>
      <c r="CB211" s="45"/>
      <c r="CC211" s="45"/>
      <c r="CD211" s="45"/>
      <c r="CE211" s="45"/>
      <c r="CF211" s="45"/>
      <c r="CG211" s="45"/>
      <c r="CH211" s="45"/>
      <c r="CI211" s="45"/>
      <c r="CJ211" s="45"/>
      <c r="CK211" s="45"/>
      <c r="CL211" s="45"/>
      <c r="CM211" s="45"/>
      <c r="CN211" s="45"/>
      <c r="CO211" s="45"/>
      <c r="CP211" s="45"/>
      <c r="CQ211" s="45"/>
      <c r="CR211" s="45"/>
      <c r="CS211" s="45"/>
      <c r="CT211" s="45"/>
      <c r="CU211" s="45"/>
      <c r="CV211" s="45"/>
      <c r="CW211" s="45"/>
      <c r="CX211" s="45"/>
      <c r="CY211" s="45"/>
      <c r="CZ211" s="45"/>
      <c r="DA211" s="45"/>
      <c r="DB211" s="45"/>
      <c r="DC211" s="45"/>
      <c r="DD211" s="45"/>
      <c r="DE211" s="45"/>
      <c r="DF211" s="45"/>
      <c r="DG211" s="45"/>
      <c r="DH211" s="45"/>
      <c r="DI211" s="45"/>
      <c r="DJ211" s="45"/>
      <c r="DK211" s="45"/>
      <c r="DL211" s="45"/>
      <c r="DM211" s="45"/>
      <c r="DN211" s="45"/>
      <c r="DO211" s="45"/>
      <c r="DP211" s="45"/>
      <c r="DQ211" s="45"/>
      <c r="DR211" s="45"/>
      <c r="DS211" s="45"/>
      <c r="DT211" s="45"/>
      <c r="DU211" s="45"/>
      <c r="DV211" s="45"/>
      <c r="DW211" s="45"/>
      <c r="DX211" s="45"/>
      <c r="DY211" s="45"/>
      <c r="DZ211" s="45"/>
      <c r="EA211" s="45"/>
      <c r="EB211" s="45"/>
      <c r="EC211" s="45"/>
      <c r="ED211" s="45"/>
      <c r="EE211" s="45"/>
      <c r="EF211" s="45"/>
      <c r="EG211" s="45"/>
      <c r="EH211" s="45"/>
      <c r="EI211" s="45"/>
      <c r="EJ211" s="45"/>
      <c r="EK211" s="45"/>
      <c r="EL211" s="45"/>
      <c r="EM211" s="45"/>
      <c r="EN211" s="45"/>
      <c r="EO211" s="45"/>
      <c r="EP211" s="45"/>
      <c r="EQ211" s="45"/>
      <c r="ER211" s="45"/>
      <c r="ES211" s="45"/>
      <c r="ET211" s="45"/>
      <c r="EU211" s="45"/>
      <c r="EV211" s="45"/>
      <c r="EW211" s="45"/>
      <c r="EX211" s="45"/>
      <c r="EY211" s="45"/>
      <c r="EZ211" s="45"/>
      <c r="FA211" s="45"/>
      <c r="FB211" s="45"/>
      <c r="FC211" s="45"/>
      <c r="FD211" s="45"/>
      <c r="FE211" s="45"/>
      <c r="FF211" s="45"/>
      <c r="FG211" s="45"/>
      <c r="FH211" s="45"/>
      <c r="FI211" s="45"/>
      <c r="FJ211" s="45"/>
      <c r="FK211" s="45"/>
      <c r="FL211" s="45"/>
      <c r="FM211" s="45"/>
      <c r="FN211" s="45"/>
      <c r="FO211" s="45"/>
      <c r="FP211" s="45"/>
      <c r="FQ211" s="45"/>
      <c r="FR211" s="45"/>
      <c r="FS211" s="45"/>
      <c r="FT211" s="45"/>
      <c r="FU211" s="45"/>
      <c r="FV211" s="45"/>
      <c r="FW211" s="45"/>
      <c r="FX211" s="45"/>
      <c r="FY211" s="45"/>
      <c r="FZ211" s="45"/>
      <c r="GA211" s="45"/>
      <c r="GB211" s="45"/>
      <c r="GC211" s="45"/>
      <c r="GD211" s="45"/>
      <c r="GE211" s="45"/>
      <c r="GF211" s="45"/>
      <c r="GG211" s="45"/>
      <c r="GH211" s="45"/>
      <c r="GI211" s="45"/>
      <c r="GJ211" s="45"/>
      <c r="GK211" s="45"/>
      <c r="GL211" s="45"/>
      <c r="GM211" s="45"/>
      <c r="GN211" s="45"/>
      <c r="GO211" s="45"/>
      <c r="GP211" s="45"/>
      <c r="GQ211" s="45"/>
      <c r="GR211" s="45"/>
      <c r="GS211" s="45"/>
      <c r="GT211" s="45"/>
      <c r="GU211" s="45"/>
      <c r="GV211" s="45"/>
      <c r="GW211" s="45"/>
      <c r="GX211" s="45"/>
      <c r="GY211" s="45"/>
      <c r="GZ211" s="45"/>
      <c r="HA211" s="45"/>
      <c r="HB211" s="45"/>
      <c r="HC211" s="45"/>
      <c r="HD211" s="45"/>
      <c r="HE211" s="45"/>
      <c r="HF211" s="45"/>
      <c r="HG211" s="45"/>
      <c r="HH211" s="45"/>
      <c r="HI211" s="45"/>
      <c r="HJ211" s="45"/>
      <c r="HK211" s="45"/>
      <c r="HL211" s="45"/>
      <c r="HM211" s="45"/>
      <c r="HN211" s="45"/>
      <c r="HO211" s="45"/>
      <c r="HP211" s="45"/>
      <c r="HQ211" s="45"/>
      <c r="HR211" s="45"/>
      <c r="HS211" s="45"/>
      <c r="HT211" s="45"/>
      <c r="HU211" s="45"/>
      <c r="HV211" s="45"/>
      <c r="HW211" s="45"/>
      <c r="HX211" s="45"/>
      <c r="HY211" s="45"/>
      <c r="HZ211" s="45"/>
      <c r="IA211" s="45"/>
      <c r="IB211" s="45"/>
      <c r="IC211" s="45"/>
      <c r="ID211" s="45"/>
      <c r="IE211" s="45"/>
      <c r="IF211" s="45"/>
      <c r="IG211" s="45"/>
      <c r="IH211" s="45"/>
      <c r="II211" s="45"/>
      <c r="IJ211" s="45"/>
      <c r="IK211" s="45"/>
      <c r="IL211" s="45"/>
      <c r="IM211" s="45"/>
      <c r="IN211" s="45"/>
      <c r="IO211" s="45"/>
      <c r="IP211" s="45"/>
      <c r="IQ211" s="45"/>
      <c r="IR211" s="45"/>
      <c r="IS211" s="45"/>
      <c r="IT211" s="45"/>
      <c r="IU211" s="45"/>
      <c r="IV211" s="45"/>
      <c r="IW211" s="45"/>
    </row>
    <row r="212" customFormat="false" ht="11.25" hidden="false" customHeight="false" outlineLevel="0" collapsed="false">
      <c r="A212" s="6" t="n">
        <f aca="false">+A211+365/12</f>
        <v>42045.25</v>
      </c>
      <c r="B212" s="29" t="n">
        <f aca="false">C212-0.06</f>
        <v>2.83075693230055</v>
      </c>
      <c r="C212" s="29" t="n">
        <f aca="false">C200*1.01</f>
        <v>2.89075693230055</v>
      </c>
      <c r="D212" s="29" t="n">
        <f aca="false">C212-0.05</f>
        <v>2.84075693230056</v>
      </c>
      <c r="E212" s="29" t="n">
        <f aca="false">C212</f>
        <v>2.89075693230055</v>
      </c>
      <c r="F212" s="31" t="n">
        <f aca="false">+F211</f>
        <v>0.0275</v>
      </c>
      <c r="G212" s="38" t="n">
        <f aca="false">F212</f>
        <v>0.0275</v>
      </c>
      <c r="H212" s="1" t="n">
        <v>28</v>
      </c>
      <c r="L212" s="32" t="n">
        <f aca="false">L211</f>
        <v>0.398086634579785</v>
      </c>
      <c r="M212" s="4" t="n">
        <f aca="false">M211</f>
        <v>0.7348</v>
      </c>
      <c r="N212" s="8" t="n">
        <f aca="false">L212</f>
        <v>0.398086634579785</v>
      </c>
      <c r="O212" s="1" t="n">
        <f aca="false">O211</f>
        <v>0.0477</v>
      </c>
      <c r="P212" s="1" t="n">
        <f aca="false">P211</f>
        <v>0.0307</v>
      </c>
      <c r="R212" s="1" t="n">
        <f aca="false">Transport!F212</f>
        <v>4926</v>
      </c>
      <c r="S212" s="1" t="n">
        <f aca="false">Transport!G212</f>
        <v>5732</v>
      </c>
      <c r="T212" s="1" t="n">
        <f aca="false">Transport!H212</f>
        <v>9342</v>
      </c>
    </row>
    <row r="213" customFormat="false" ht="11.25" hidden="false" customHeight="false" outlineLevel="0" collapsed="false">
      <c r="E213" s="1"/>
      <c r="F213" s="1"/>
    </row>
    <row r="214" customFormat="false" ht="11.25" hidden="false" customHeight="false" outlineLevel="0" collapsed="false">
      <c r="E214" s="1"/>
      <c r="F214" s="1"/>
    </row>
    <row r="215" customFormat="false" ht="11.25" hidden="false" customHeight="false" outlineLevel="0" collapsed="false">
      <c r="E215" s="1"/>
      <c r="F215" s="1"/>
    </row>
    <row r="216" customFormat="false" ht="11.25" hidden="false" customHeight="false" outlineLevel="0" collapsed="false">
      <c r="E216" s="1"/>
      <c r="F216" s="1"/>
    </row>
    <row r="217" customFormat="false" ht="11.25" hidden="false" customHeight="false" outlineLevel="0" collapsed="false">
      <c r="E217" s="1"/>
      <c r="F217" s="1"/>
    </row>
    <row r="218" customFormat="false" ht="11.25" hidden="false" customHeight="false" outlineLevel="0" collapsed="false">
      <c r="E218" s="1"/>
      <c r="F218" s="1"/>
    </row>
    <row r="219" customFormat="false" ht="11.25" hidden="false" customHeight="false" outlineLevel="0" collapsed="false">
      <c r="A219" s="1"/>
      <c r="E219" s="1"/>
      <c r="F219" s="1"/>
    </row>
    <row r="220" customFormat="false" ht="11.25" hidden="false" customHeight="false" outlineLevel="0" collapsed="false">
      <c r="A220" s="1"/>
      <c r="E220" s="1"/>
      <c r="F220" s="1"/>
    </row>
    <row r="221" customFormat="false" ht="11.25" hidden="false" customHeight="false" outlineLevel="0" collapsed="false">
      <c r="A221" s="1"/>
      <c r="E221" s="1"/>
      <c r="F221" s="1"/>
    </row>
    <row r="222" customFormat="false" ht="11.25" hidden="false" customHeight="false" outlineLevel="0" collapsed="false">
      <c r="A222" s="1"/>
      <c r="E222" s="1"/>
      <c r="F222" s="1"/>
    </row>
    <row r="223" customFormat="false" ht="11.25" hidden="false" customHeight="false" outlineLevel="0" collapsed="false">
      <c r="A223" s="1"/>
      <c r="E223" s="1"/>
      <c r="F223" s="1"/>
    </row>
    <row r="224" customFormat="false" ht="11.25" hidden="false" customHeight="false" outlineLevel="0" collapsed="false">
      <c r="A224" s="1"/>
      <c r="E224" s="1"/>
      <c r="F224" s="1"/>
    </row>
    <row r="225" customFormat="false" ht="11.25" hidden="false" customHeight="false" outlineLevel="0" collapsed="false">
      <c r="A225" s="1"/>
      <c r="E225" s="1"/>
      <c r="F225" s="1"/>
    </row>
    <row r="226" customFormat="false" ht="11.25" hidden="false" customHeight="false" outlineLevel="0" collapsed="false">
      <c r="A226" s="1"/>
      <c r="E226" s="1"/>
      <c r="F226" s="1"/>
    </row>
    <row r="227" customFormat="false" ht="11.25" hidden="false" customHeight="false" outlineLevel="0" collapsed="false">
      <c r="A227" s="1"/>
      <c r="E227" s="1"/>
      <c r="F227" s="1"/>
    </row>
    <row r="228" customFormat="false" ht="11.25" hidden="false" customHeight="false" outlineLevel="0" collapsed="false">
      <c r="A228" s="1"/>
      <c r="E228" s="1"/>
      <c r="F228" s="1"/>
    </row>
    <row r="229" customFormat="false" ht="11.25" hidden="false" customHeight="false" outlineLevel="0" collapsed="false">
      <c r="A229" s="1"/>
      <c r="E229" s="1"/>
      <c r="F229" s="1"/>
    </row>
    <row r="230" customFormat="false" ht="11.25" hidden="false" customHeight="false" outlineLevel="0" collapsed="false">
      <c r="A230" s="1"/>
      <c r="E230" s="1"/>
      <c r="F230" s="1"/>
    </row>
    <row r="231" customFormat="false" ht="11.25" hidden="false" customHeight="false" outlineLevel="0" collapsed="false">
      <c r="A231" s="1"/>
      <c r="E231" s="1"/>
      <c r="F231" s="1"/>
    </row>
    <row r="232" customFormat="false" ht="11.25" hidden="false" customHeight="false" outlineLevel="0" collapsed="false">
      <c r="A232" s="1"/>
      <c r="E232" s="1"/>
      <c r="F232" s="1"/>
    </row>
    <row r="233" customFormat="false" ht="11.25" hidden="false" customHeight="false" outlineLevel="0" collapsed="false">
      <c r="A233" s="1"/>
      <c r="E233" s="1"/>
      <c r="F233" s="1"/>
    </row>
    <row r="234" customFormat="false" ht="11.25" hidden="false" customHeight="false" outlineLevel="0" collapsed="false">
      <c r="A234" s="1"/>
      <c r="E234" s="1"/>
      <c r="F234" s="1"/>
    </row>
    <row r="235" customFormat="false" ht="11.25" hidden="false" customHeight="false" outlineLevel="0" collapsed="false">
      <c r="A235" s="1"/>
      <c r="E235" s="1"/>
      <c r="F235" s="1"/>
    </row>
    <row r="236" customFormat="false" ht="11.25" hidden="false" customHeight="false" outlineLevel="0" collapsed="false">
      <c r="A236" s="1"/>
      <c r="E236" s="1"/>
      <c r="F236" s="1"/>
    </row>
    <row r="237" customFormat="false" ht="11.25" hidden="false" customHeight="false" outlineLevel="0" collapsed="false">
      <c r="A237" s="1"/>
      <c r="E237" s="1"/>
      <c r="F237" s="1"/>
    </row>
    <row r="238" customFormat="false" ht="11.25" hidden="false" customHeight="false" outlineLevel="0" collapsed="false">
      <c r="A238" s="1"/>
      <c r="E238" s="1"/>
      <c r="F238" s="1"/>
    </row>
    <row r="239" customFormat="false" ht="11.25" hidden="false" customHeight="false" outlineLevel="0" collapsed="false">
      <c r="A239" s="1"/>
      <c r="E239" s="1"/>
      <c r="F239" s="1"/>
    </row>
    <row r="240" customFormat="false" ht="11.25" hidden="false" customHeight="false" outlineLevel="0" collapsed="false">
      <c r="A240" s="1"/>
      <c r="E240" s="1"/>
      <c r="F240" s="1"/>
    </row>
    <row r="241" customFormat="false" ht="11.25" hidden="false" customHeight="false" outlineLevel="0" collapsed="false">
      <c r="A241" s="1"/>
      <c r="E241" s="1"/>
      <c r="F241" s="1"/>
    </row>
    <row r="242" customFormat="false" ht="11.25" hidden="false" customHeight="false" outlineLevel="0" collapsed="false">
      <c r="A242" s="1"/>
      <c r="E242" s="1"/>
      <c r="F242" s="1"/>
    </row>
    <row r="243" customFormat="false" ht="11.25" hidden="false" customHeight="false" outlineLevel="0" collapsed="false">
      <c r="A243" s="1"/>
      <c r="E243" s="1"/>
      <c r="F243" s="1"/>
    </row>
    <row r="244" customFormat="false" ht="11.25" hidden="false" customHeight="false" outlineLevel="0" collapsed="false">
      <c r="A244" s="1"/>
      <c r="E244" s="1"/>
      <c r="F244" s="1"/>
    </row>
    <row r="245" customFormat="false" ht="11.25" hidden="false" customHeight="false" outlineLevel="0" collapsed="false">
      <c r="A245" s="1"/>
      <c r="E245" s="1"/>
      <c r="F245" s="1"/>
    </row>
    <row r="246" customFormat="false" ht="11.25" hidden="false" customHeight="false" outlineLevel="0" collapsed="false">
      <c r="A246" s="1"/>
      <c r="E246" s="1"/>
      <c r="F246" s="1"/>
    </row>
    <row r="247" customFormat="false" ht="11.25" hidden="false" customHeight="false" outlineLevel="0" collapsed="false">
      <c r="A247" s="1"/>
      <c r="E247" s="1"/>
      <c r="F247" s="1"/>
    </row>
    <row r="248" customFormat="false" ht="11.25" hidden="false" customHeight="false" outlineLevel="0" collapsed="false">
      <c r="A248" s="1"/>
      <c r="E248" s="1"/>
      <c r="F248" s="1"/>
    </row>
    <row r="249" customFormat="false" ht="11.25" hidden="false" customHeight="false" outlineLevel="0" collapsed="false">
      <c r="A249" s="1"/>
      <c r="E249" s="1"/>
      <c r="F249" s="1"/>
    </row>
    <row r="250" customFormat="false" ht="11.25" hidden="false" customHeight="false" outlineLevel="0" collapsed="false">
      <c r="A250" s="1"/>
      <c r="E250" s="1"/>
      <c r="F250" s="1"/>
    </row>
    <row r="251" customFormat="false" ht="11.25" hidden="false" customHeight="false" outlineLevel="0" collapsed="false">
      <c r="A251" s="1"/>
      <c r="E251" s="1"/>
      <c r="F251" s="1"/>
    </row>
    <row r="252" customFormat="false" ht="11.25" hidden="false" customHeight="false" outlineLevel="0" collapsed="false">
      <c r="A252" s="1"/>
      <c r="E252" s="1"/>
      <c r="F252" s="1"/>
    </row>
    <row r="253" customFormat="false" ht="11.25" hidden="false" customHeight="false" outlineLevel="0" collapsed="false">
      <c r="A253" s="1"/>
      <c r="E253" s="1"/>
      <c r="F253" s="1"/>
    </row>
    <row r="254" customFormat="false" ht="11.25" hidden="false" customHeight="false" outlineLevel="0" collapsed="false">
      <c r="A254" s="1"/>
      <c r="E254" s="1"/>
      <c r="F254" s="1"/>
    </row>
    <row r="255" customFormat="false" ht="11.25" hidden="false" customHeight="false" outlineLevel="0" collapsed="false">
      <c r="A255" s="1"/>
      <c r="E255" s="1"/>
      <c r="F255" s="1"/>
    </row>
    <row r="256" customFormat="false" ht="11.25" hidden="false" customHeight="false" outlineLevel="0" collapsed="false">
      <c r="A256" s="1"/>
      <c r="E256" s="1"/>
      <c r="F256" s="1"/>
    </row>
    <row r="257" customFormat="false" ht="11.25" hidden="false" customHeight="false" outlineLevel="0" collapsed="false">
      <c r="A257" s="1"/>
      <c r="E257" s="1"/>
      <c r="F257" s="1"/>
    </row>
    <row r="258" customFormat="false" ht="11.25" hidden="false" customHeight="false" outlineLevel="0" collapsed="false">
      <c r="A258" s="1"/>
      <c r="E258" s="1"/>
      <c r="F258" s="1"/>
    </row>
    <row r="259" customFormat="false" ht="11.25" hidden="false" customHeight="false" outlineLevel="0" collapsed="false">
      <c r="A259" s="1"/>
      <c r="E259" s="1"/>
      <c r="F259" s="1"/>
    </row>
    <row r="260" customFormat="false" ht="11.25" hidden="false" customHeight="false" outlineLevel="0" collapsed="false">
      <c r="A260" s="1"/>
      <c r="E260" s="1"/>
      <c r="F260" s="1"/>
    </row>
    <row r="261" customFormat="false" ht="11.25" hidden="false" customHeight="false" outlineLevel="0" collapsed="false">
      <c r="A261" s="1"/>
      <c r="E261" s="1"/>
      <c r="F261" s="1"/>
    </row>
    <row r="262" customFormat="false" ht="11.25" hidden="false" customHeight="false" outlineLevel="0" collapsed="false">
      <c r="A262" s="1"/>
      <c r="E262" s="1"/>
      <c r="F262" s="1"/>
    </row>
    <row r="263" customFormat="false" ht="11.25" hidden="false" customHeight="false" outlineLevel="0" collapsed="false">
      <c r="A263" s="1"/>
      <c r="E263" s="1"/>
      <c r="F263" s="1"/>
    </row>
    <row r="264" customFormat="false" ht="11.25" hidden="false" customHeight="false" outlineLevel="0" collapsed="false">
      <c r="A264" s="1"/>
      <c r="E264" s="1"/>
      <c r="F264" s="1"/>
    </row>
    <row r="265" customFormat="false" ht="11.25" hidden="false" customHeight="false" outlineLevel="0" collapsed="false">
      <c r="A265" s="1"/>
      <c r="E265" s="1"/>
      <c r="F265" s="1"/>
    </row>
    <row r="266" customFormat="false" ht="11.25" hidden="false" customHeight="false" outlineLevel="0" collapsed="false">
      <c r="A266" s="1"/>
      <c r="E266" s="1"/>
      <c r="F266" s="1"/>
    </row>
    <row r="267" customFormat="false" ht="11.25" hidden="false" customHeight="false" outlineLevel="0" collapsed="false">
      <c r="A267" s="1"/>
      <c r="E267" s="1"/>
      <c r="F267" s="1"/>
    </row>
    <row r="268" customFormat="false" ht="11.25" hidden="false" customHeight="false" outlineLevel="0" collapsed="false">
      <c r="A268" s="1"/>
      <c r="E268" s="1"/>
      <c r="F268" s="1"/>
    </row>
  </sheetData>
  <mergeCells count="6">
    <mergeCell ref="B1:D1"/>
    <mergeCell ref="F1:G1"/>
    <mergeCell ref="R1:T1"/>
    <mergeCell ref="U1:W1"/>
    <mergeCell ref="Y1:AA1"/>
    <mergeCell ref="AB1:AD1"/>
  </mergeCells>
  <printOptions headings="false" gridLines="true" gridLinesSet="true" horizontalCentered="true" verticalCentered="false"/>
  <pageMargins left="0.25" right="0.25" top="0.5" bottom="0.25"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2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4" topLeftCell="Z9" activePane="bottomRight" state="frozen"/>
      <selection pane="topLeft" activeCell="A1" activeCellId="0" sqref="A1"/>
      <selection pane="topRight" activeCell="Z1" activeCellId="0" sqref="Z1"/>
      <selection pane="bottomLeft" activeCell="A9" activeCellId="0" sqref="A9"/>
      <selection pane="bottomRight" activeCell="AH26" activeCellId="0" sqref="AH26"/>
    </sheetView>
  </sheetViews>
  <sheetFormatPr defaultColWidth="9.13671875" defaultRowHeight="11.25" customHeight="true" zeroHeight="false" outlineLevelRow="0" outlineLevelCol="0"/>
  <cols>
    <col collapsed="false" customWidth="false" hidden="false" outlineLevel="0" max="3" min="1" style="1" width="9.14"/>
    <col collapsed="false" customWidth="false" hidden="false" outlineLevel="0" max="7" min="4" style="7" width="9.14"/>
    <col collapsed="false" customWidth="true" hidden="false" outlineLevel="0" max="8" min="8" style="7" width="10.71"/>
    <col collapsed="false" customWidth="false" hidden="false" outlineLevel="0" max="13" min="9" style="7" width="9.14"/>
    <col collapsed="false" customWidth="false" hidden="false" outlineLevel="0" max="19" min="14" style="1" width="9.14"/>
    <col collapsed="false" customWidth="false" hidden="false" outlineLevel="0" max="24" min="20" style="8" width="9.14"/>
    <col collapsed="false" customWidth="true" hidden="false" outlineLevel="0" max="25" min="25" style="1" width="10.99"/>
    <col collapsed="false" customWidth="true" hidden="false" outlineLevel="0" max="26" min="26" style="1" width="8.7"/>
    <col collapsed="false" customWidth="true" hidden="false" outlineLevel="0" max="27" min="27" style="1" width="8.99"/>
    <col collapsed="false" customWidth="true" hidden="false" outlineLevel="0" max="28" min="28" style="1" width="9.28"/>
    <col collapsed="false" customWidth="true" hidden="false" outlineLevel="0" max="29" min="29" style="1" width="6.99"/>
    <col collapsed="false" customWidth="true" hidden="false" outlineLevel="0" max="30" min="30" style="1" width="6.56"/>
    <col collapsed="false" customWidth="true" hidden="false" outlineLevel="0" max="31" min="31" style="1" width="6.99"/>
    <col collapsed="false" customWidth="true" hidden="false" outlineLevel="0" max="32" min="32" style="1" width="6.28"/>
    <col collapsed="false" customWidth="false" hidden="false" outlineLevel="0" max="35" min="33" style="1" width="9.14"/>
    <col collapsed="false" customWidth="true" hidden="false" outlineLevel="0" max="38" min="36" style="1" width="6.7"/>
    <col collapsed="false" customWidth="false" hidden="false" outlineLevel="0" max="45" min="39" style="1" width="9.14"/>
    <col collapsed="false" customWidth="true" hidden="false" outlineLevel="0" max="46" min="46" style="1" width="9.56"/>
    <col collapsed="false" customWidth="false" hidden="false" outlineLevel="0" max="47" min="47" style="1" width="9.14"/>
    <col collapsed="false" customWidth="false" hidden="false" outlineLevel="0" max="49" min="48" style="7" width="9.14"/>
    <col collapsed="false" customWidth="false" hidden="false" outlineLevel="0" max="51" min="50" style="1" width="9.14"/>
    <col collapsed="false" customWidth="true" hidden="false" outlineLevel="0" max="52" min="52" style="1" width="9.85"/>
    <col collapsed="false" customWidth="true" hidden="false" outlineLevel="0" max="54" min="53" style="1" width="10.71"/>
    <col collapsed="false" customWidth="true" hidden="false" outlineLevel="0" max="56" min="55" style="1" width="10.56"/>
    <col collapsed="false" customWidth="true" hidden="false" outlineLevel="0" max="57" min="57" style="1" width="9.7"/>
    <col collapsed="false" customWidth="true" hidden="false" outlineLevel="0" max="58" min="58" style="1" width="9.85"/>
    <col collapsed="false" customWidth="true" hidden="false" outlineLevel="0" max="65" min="59" style="1" width="11.7"/>
    <col collapsed="false" customWidth="true" hidden="false" outlineLevel="0" max="66" min="66" style="7" width="11.7"/>
    <col collapsed="false" customWidth="true" hidden="false" outlineLevel="0" max="69" min="67" style="1" width="11.7"/>
    <col collapsed="false" customWidth="false" hidden="false" outlineLevel="0" max="98" min="70" style="1" width="9.14"/>
    <col collapsed="false" customWidth="true" hidden="false" outlineLevel="0" max="99" min="99" style="1" width="9.56"/>
    <col collapsed="false" customWidth="false" hidden="false" outlineLevel="0" max="257" min="100" style="1" width="9.14"/>
  </cols>
  <sheetData>
    <row r="1" customFormat="false" ht="11.25" hidden="false" customHeight="false" outlineLevel="0" collapsed="false">
      <c r="BN1" s="1"/>
    </row>
    <row r="2" customFormat="false" ht="24.95" hidden="false" customHeight="true" outlineLevel="0" collapsed="false">
      <c r="B2" s="3" t="s">
        <v>96</v>
      </c>
      <c r="C2" s="3"/>
      <c r="D2" s="3"/>
      <c r="E2" s="3"/>
      <c r="F2" s="3"/>
      <c r="G2" s="3"/>
      <c r="H2" s="3"/>
      <c r="I2" s="3"/>
      <c r="J2" s="3"/>
      <c r="K2" s="3"/>
      <c r="L2" s="51" t="s">
        <v>97</v>
      </c>
      <c r="M2" s="51"/>
      <c r="N2" s="51"/>
      <c r="O2" s="51"/>
      <c r="P2" s="51"/>
      <c r="Q2" s="51"/>
      <c r="R2" s="51"/>
      <c r="S2" s="51"/>
      <c r="T2" s="51"/>
      <c r="U2" s="51"/>
      <c r="V2" s="51"/>
      <c r="W2" s="51"/>
      <c r="X2" s="51"/>
      <c r="Y2" s="51"/>
      <c r="Z2" s="51"/>
      <c r="AA2" s="51"/>
      <c r="AB2" s="51"/>
      <c r="AC2" s="51"/>
      <c r="AD2" s="3" t="s">
        <v>98</v>
      </c>
      <c r="AE2" s="3"/>
      <c r="AF2" s="3"/>
      <c r="AG2" s="3"/>
      <c r="AH2" s="3"/>
      <c r="AI2" s="3"/>
      <c r="AJ2" s="3"/>
      <c r="AK2" s="3"/>
      <c r="AL2" s="3"/>
      <c r="AM2" s="3" t="s">
        <v>99</v>
      </c>
      <c r="AN2" s="3"/>
      <c r="AO2" s="3"/>
      <c r="AP2" s="3"/>
      <c r="AQ2" s="3"/>
      <c r="AR2" s="3" t="s">
        <v>100</v>
      </c>
      <c r="AS2" s="3"/>
      <c r="AT2" s="3"/>
      <c r="AU2" s="3"/>
      <c r="BN2" s="1"/>
    </row>
    <row r="3" customFormat="false" ht="24.95" hidden="false" customHeight="true" outlineLevel="0" collapsed="false">
      <c r="B3" s="2" t="s">
        <v>101</v>
      </c>
      <c r="C3" s="2"/>
      <c r="D3" s="2"/>
      <c r="E3" s="0"/>
      <c r="F3" s="51" t="s">
        <v>102</v>
      </c>
      <c r="G3" s="51"/>
      <c r="H3" s="51"/>
      <c r="I3" s="1"/>
      <c r="J3" s="52"/>
      <c r="K3" s="52"/>
      <c r="L3" s="2" t="s">
        <v>103</v>
      </c>
      <c r="M3" s="2"/>
      <c r="N3" s="2"/>
      <c r="O3" s="2"/>
      <c r="P3" s="2"/>
      <c r="Q3" s="2"/>
      <c r="R3" s="2"/>
      <c r="S3" s="0"/>
      <c r="T3" s="53"/>
      <c r="U3" s="37"/>
      <c r="V3" s="37"/>
      <c r="W3" s="37"/>
      <c r="X3" s="37"/>
      <c r="Z3" s="53"/>
      <c r="AB3" s="53"/>
      <c r="AC3" s="53"/>
      <c r="AD3" s="52" t="s">
        <v>104</v>
      </c>
      <c r="AE3" s="52"/>
      <c r="AF3" s="52"/>
      <c r="AI3" s="53"/>
      <c r="AJ3" s="53"/>
      <c r="AK3" s="52" t="s">
        <v>104</v>
      </c>
      <c r="AL3" s="52"/>
      <c r="AM3" s="52"/>
      <c r="AN3" s="0"/>
      <c r="AO3" s="53"/>
      <c r="AP3" s="53"/>
      <c r="AQ3" s="53"/>
      <c r="AR3" s="53"/>
      <c r="AS3" s="53"/>
      <c r="AT3" s="53"/>
      <c r="AU3" s="53"/>
      <c r="BN3" s="1"/>
    </row>
    <row r="4" customFormat="false" ht="45" hidden="false" customHeight="true" outlineLevel="0" collapsed="false">
      <c r="A4" s="4"/>
      <c r="B4" s="5" t="s">
        <v>29</v>
      </c>
      <c r="C4" s="5" t="s">
        <v>30</v>
      </c>
      <c r="D4" s="5" t="s">
        <v>31</v>
      </c>
      <c r="E4" s="5" t="s">
        <v>105</v>
      </c>
      <c r="F4" s="5" t="s">
        <v>106</v>
      </c>
      <c r="G4" s="5" t="s">
        <v>107</v>
      </c>
      <c r="H4" s="5" t="s">
        <v>108</v>
      </c>
      <c r="I4" s="5" t="s">
        <v>109</v>
      </c>
      <c r="J4" s="5" t="s">
        <v>110</v>
      </c>
      <c r="K4" s="5" t="s">
        <v>72</v>
      </c>
      <c r="L4" s="5" t="s">
        <v>29</v>
      </c>
      <c r="M4" s="5" t="s">
        <v>30</v>
      </c>
      <c r="N4" s="5" t="s">
        <v>31</v>
      </c>
      <c r="O4" s="54" t="s">
        <v>111</v>
      </c>
      <c r="P4" s="54"/>
      <c r="Q4" s="54"/>
      <c r="R4" s="54"/>
      <c r="S4" s="5" t="s">
        <v>112</v>
      </c>
      <c r="T4" s="5" t="s">
        <v>113</v>
      </c>
      <c r="U4" s="5" t="s">
        <v>114</v>
      </c>
      <c r="V4" s="54" t="s">
        <v>115</v>
      </c>
      <c r="W4" s="54" t="s">
        <v>116</v>
      </c>
      <c r="X4" s="54" t="s">
        <v>117</v>
      </c>
      <c r="Y4" s="5" t="s">
        <v>109</v>
      </c>
      <c r="Z4" s="54" t="s">
        <v>118</v>
      </c>
      <c r="AA4" s="5" t="s">
        <v>119</v>
      </c>
      <c r="AB4" s="5" t="s">
        <v>110</v>
      </c>
      <c r="AC4" s="5" t="s">
        <v>72</v>
      </c>
      <c r="AD4" s="5" t="s">
        <v>29</v>
      </c>
      <c r="AE4" s="5" t="s">
        <v>30</v>
      </c>
      <c r="AF4" s="54" t="s">
        <v>31</v>
      </c>
      <c r="AG4" s="5" t="s">
        <v>120</v>
      </c>
      <c r="AH4" s="5" t="s">
        <v>109</v>
      </c>
      <c r="AI4" s="5" t="s">
        <v>110</v>
      </c>
      <c r="AJ4" s="5" t="s">
        <v>72</v>
      </c>
      <c r="AK4" s="5" t="s">
        <v>29</v>
      </c>
      <c r="AL4" s="5" t="s">
        <v>30</v>
      </c>
      <c r="AM4" s="54" t="s">
        <v>31</v>
      </c>
      <c r="AN4" s="5" t="s">
        <v>120</v>
      </c>
      <c r="AO4" s="5" t="s">
        <v>109</v>
      </c>
      <c r="AP4" s="5" t="s">
        <v>110</v>
      </c>
      <c r="AQ4" s="5" t="s">
        <v>72</v>
      </c>
      <c r="AR4" s="5" t="s">
        <v>109</v>
      </c>
      <c r="AS4" s="5" t="s">
        <v>21</v>
      </c>
      <c r="AT4" s="5" t="s">
        <v>110</v>
      </c>
      <c r="AU4" s="5" t="s">
        <v>72</v>
      </c>
      <c r="AV4" s="5" t="s">
        <v>121</v>
      </c>
      <c r="AW4" s="5" t="s">
        <v>122</v>
      </c>
      <c r="AX4" s="4"/>
      <c r="AY4" s="4" t="s">
        <v>123</v>
      </c>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row>
    <row r="5" customFormat="false" ht="11.25" hidden="false" customHeight="false" outlineLevel="0" collapsed="false">
      <c r="A5" s="6" t="n">
        <v>35749</v>
      </c>
      <c r="B5" s="7" t="n">
        <v>0</v>
      </c>
      <c r="C5" s="7" t="n">
        <f aca="false">7710/30*0.9695</f>
        <v>249.1615</v>
      </c>
      <c r="D5" s="7" t="n">
        <f aca="false">111924/30*0.9695</f>
        <v>3617.0106</v>
      </c>
      <c r="E5" s="8" t="n">
        <f aca="false">((('Prices&amp;Fuel'!$B5*0.36+'Prices&amp;Fuel'!$C5*0.43+'Prices&amp;Fuel'!$D5*0.21))+0.03+0.05)/(1-'Prices&amp;Fuel'!F5)</f>
        <v>3.40979886539453</v>
      </c>
      <c r="F5" s="7" t="n">
        <f aca="false">('Prices&amp;Fuel'!Y5+'Prices&amp;Fuel'!Z5+'Prices&amp;Fuel'!AA5)*'Prices&amp;Fuel'!H5*('Prices&amp;Fuel'!L5+'Prices&amp;Fuel'!O5)</f>
        <v>18724.875</v>
      </c>
      <c r="G5" s="7" t="n">
        <f aca="false">('Prices&amp;Fuel'!M5+'Prices&amp;Fuel'!P5)*'Prices&amp;Fuel'!H5*'Prices&amp;Fuel'!AD5</f>
        <v>18076.368</v>
      </c>
      <c r="H5" s="7" t="n">
        <f aca="false">IF('Prices&amp;Fuel'!AE2&gt;(B5+C5+D5),0,(B5+C5+D5-'Prices&amp;Fuel'!AE5)*('Prices&amp;Fuel'!L5+'Prices&amp;Fuel'!O5)*'Prices&amp;Fuel'!H5)</f>
        <v>20705.9805525</v>
      </c>
      <c r="I5" s="7" t="n">
        <f aca="false">((B5+C5+D5)*E5*'Prices&amp;Fuel'!H5)+F5+G5+H5</f>
        <v>452993.3007525</v>
      </c>
      <c r="J5" s="7" t="n">
        <f aca="false">(((('Prices&amp;Fuel'!B5*B5+'Prices&amp;Fuel'!C5*C5+'Prices&amp;Fuel'!D5*D5)/(B5+C5+D5)+0.015)/(1-'Prices&amp;Fuel'!F5))*(B5+C5+D5)*'Prices&amp;Fuel'!H5)+F5+G5+H5</f>
        <v>442593.1335525</v>
      </c>
      <c r="K5" s="7" t="n">
        <f aca="false">I5-J5</f>
        <v>10400.1671999999</v>
      </c>
      <c r="L5" s="7" t="n">
        <v>0</v>
      </c>
      <c r="M5" s="7" t="n">
        <f aca="false">5240/30</f>
        <v>174.666666666667</v>
      </c>
      <c r="N5" s="7" t="n">
        <f aca="false">68880/30</f>
        <v>2296</v>
      </c>
      <c r="O5" s="7" t="n">
        <f aca="false">(L5+M5+N5)*'Prices&amp;Fuel'!H5</f>
        <v>74120</v>
      </c>
      <c r="P5" s="7" t="n">
        <f aca="false">IF(O5&gt;20000,20000,O5)</f>
        <v>20000</v>
      </c>
      <c r="Q5" s="7" t="n">
        <f aca="false">O5-P5-R5</f>
        <v>30000</v>
      </c>
      <c r="R5" s="7" t="n">
        <f aca="false">IF(O5&gt;49999,O5-50000,0)</f>
        <v>24120</v>
      </c>
      <c r="S5" s="8" t="n">
        <f aca="false">'Prices&amp;Fuel'!B5</f>
        <v>3.2</v>
      </c>
      <c r="T5" s="8" t="n">
        <f aca="false">'Prices&amp;Fuel'!C5</f>
        <v>3.26</v>
      </c>
      <c r="U5" s="8" t="n">
        <f aca="false">'Prices&amp;Fuel'!D5</f>
        <v>3.2</v>
      </c>
      <c r="V5" s="7" t="n">
        <f aca="false">P5*0.19+Q5*0.16+R5*0.14</f>
        <v>11976.8</v>
      </c>
      <c r="W5" s="8" t="n">
        <f aca="false">Y5/O5</f>
        <v>3.36582838640043</v>
      </c>
      <c r="X5" s="8" t="n">
        <f aca="false">((L5*S5+M5*T5+N5*U5)/(L5+M5+N5))+0.015</f>
        <v>3.21924177010254</v>
      </c>
      <c r="Y5" s="7" t="n">
        <f aca="false">((L5*S5+M5*T5+N5*U5)*'Prices&amp;Fuel'!H5)+V5</f>
        <v>249475.2</v>
      </c>
      <c r="Z5" s="7" t="n">
        <v>21417</v>
      </c>
      <c r="AA5" s="7" t="n">
        <f aca="false">(W5-X5)*Z5/(1-'Prices&amp;Fuel'!F5)</f>
        <v>3238.21099664983</v>
      </c>
      <c r="AB5" s="7" t="n">
        <f aca="false">(O5*X5)+AA5</f>
        <v>241848.41099665</v>
      </c>
      <c r="AC5" s="7" t="n">
        <f aca="false">Y5-AB5</f>
        <v>7626.78900335013</v>
      </c>
      <c r="AD5" s="7" t="n">
        <v>0</v>
      </c>
      <c r="AE5" s="7" t="n">
        <v>0</v>
      </c>
      <c r="AF5" s="7" t="n">
        <f aca="false">2909/30</f>
        <v>96.9666666666667</v>
      </c>
      <c r="AG5" s="8" t="n">
        <f aca="false">(('Prices&amp;Fuel'!$B5*0.36+'Prices&amp;Fuel'!$C5*0.43+'Prices&amp;Fuel'!$D5*0.21))+0.04</f>
        <v>3.2658</v>
      </c>
      <c r="AH5" s="7" t="n">
        <f aca="false">((AD5+AE5+AF5)*'Prices&amp;Fuel'!H5*('Index Price Deals'!AG5))+('Prices&amp;Fuel'!L5+'Prices&amp;Fuel'!O5)*(AD5+AE5+AF5)*(1-'Prices&amp;Fuel'!F5)*'Prices&amp;Fuel'!H5</f>
        <v>10677.67722125</v>
      </c>
      <c r="AI5" s="7" t="n">
        <f aca="false">((AD5*('Prices&amp;Fuel'!B5+0.015)+AE5*('Prices&amp;Fuel'!C5+0.015)+('Prices&amp;Fuel'!D5+0.015)*AF5)*'Prices&amp;Fuel'!H5)+(AD5+AE5+AF5)*(1-'Prices&amp;Fuel'!F5)*('Prices&amp;Fuel'!L5+'Prices&amp;Fuel'!O5)*'Prices&amp;Fuel'!H5</f>
        <v>10529.90002125</v>
      </c>
      <c r="AJ5" s="7" t="n">
        <f aca="false">AH5-AI5</f>
        <v>147.777199999999</v>
      </c>
      <c r="AK5" s="7" t="n">
        <v>0</v>
      </c>
      <c r="AL5" s="7" t="n">
        <v>0</v>
      </c>
      <c r="AM5" s="7" t="n">
        <f aca="false">7881/30</f>
        <v>262.7</v>
      </c>
      <c r="AN5" s="8" t="n">
        <f aca="false">(('Prices&amp;Fuel'!$B5*AK5+'Prices&amp;Fuel'!$C5*AL5+'Prices&amp;Fuel'!$D5*AM5)/(AK5+AL5+AM5))+0.03+0.015</f>
        <v>3.245</v>
      </c>
      <c r="AO5" s="7" t="n">
        <f aca="false">(AK5+AL5+AM5)*AN5*'Prices&amp;Fuel'!H5</f>
        <v>25573.845</v>
      </c>
      <c r="AP5" s="7" t="n">
        <f aca="false">(('Prices&amp;Fuel'!$B5+0.015)*AK5+('Prices&amp;Fuel'!$C5+0.015)*AL5+('Prices&amp;Fuel'!$D5+0.015)*AM5)*'Prices&amp;Fuel'!H5</f>
        <v>25337.415</v>
      </c>
      <c r="AQ5" s="7" t="n">
        <f aca="false">AO5-AP5</f>
        <v>236.43</v>
      </c>
      <c r="AR5" s="14" t="n">
        <f aca="false">I5+Y5+AH5+AO5</f>
        <v>738720.02297375</v>
      </c>
      <c r="AS5" s="30" t="n">
        <f aca="false">(B5+C5+D5+L5+M5+N5+((AD5+AE5+AF5)*(1-'Prices&amp;Fuel'!F5))+AK5+AL5+AM5)*0.005*'Prices&amp;Fuel'!H5</f>
        <v>1004.0321925</v>
      </c>
      <c r="AT5" s="7" t="n">
        <f aca="false">J5+AB5+AI5+AP5+AS5</f>
        <v>721312.8917629</v>
      </c>
      <c r="AU5" s="14" t="n">
        <f aca="false">AR5-AT5</f>
        <v>17407.1312108501</v>
      </c>
      <c r="AV5" s="30" t="n">
        <f aca="false">((B5+C5+D5+AK5+AL5+AM5)*0.005)*'Prices&amp;Fuel'!H5</f>
        <v>619.330815</v>
      </c>
      <c r="AW5" s="30" t="n">
        <f aca="false">((L5+M5+N5+(AD5+AE5+AF5)*(1-'Prices&amp;Fuel'!F5))*0.005)*'Prices&amp;Fuel'!H5</f>
        <v>384.7013775</v>
      </c>
      <c r="AX5" s="55" t="n">
        <f aca="false">AV5+AW5</f>
        <v>1004.0321925</v>
      </c>
      <c r="AY5" s="1" t="n">
        <f aca="false">(B5+C5+D5+L5+M5+N5+AD5+AE5+AF5+AK5+AL5+AM5)*'Prices&amp;Fuel'!H5</f>
        <v>200895.163</v>
      </c>
      <c r="BI5" s="1" t="n">
        <v>5023</v>
      </c>
      <c r="BN5" s="1"/>
      <c r="BO5" s="1" t="n">
        <v>0.15</v>
      </c>
      <c r="BP5" s="1" t="n">
        <v>0.05</v>
      </c>
    </row>
    <row r="6" customFormat="false" ht="11.25" hidden="false" customHeight="false" outlineLevel="0" collapsed="false">
      <c r="A6" s="6" t="n">
        <f aca="false">+A5+365/12</f>
        <v>35779.4166666667</v>
      </c>
      <c r="B6" s="7" t="n">
        <v>1798.33333333333</v>
      </c>
      <c r="C6" s="7" t="n">
        <v>1798.33333333333</v>
      </c>
      <c r="D6" s="7" t="n">
        <v>1798.33333333333</v>
      </c>
      <c r="E6" s="8" t="n">
        <f aca="false">((('Prices&amp;Fuel'!$B6*0.36+'Prices&amp;Fuel'!$C6*0.43+'Prices&amp;Fuel'!$D6*0.21))+0.03+0.05)/(1-'Prices&amp;Fuel'!F6)</f>
        <v>2.66260959257349</v>
      </c>
      <c r="F6" s="7" t="n">
        <f aca="false">('Prices&amp;Fuel'!Y6+'Prices&amp;Fuel'!Z6+'Prices&amp;Fuel'!AA6)*'Prices&amp;Fuel'!H6*('Prices&amp;Fuel'!L6+'Prices&amp;Fuel'!O6)</f>
        <v>19349.0375</v>
      </c>
      <c r="G6" s="7" t="n">
        <f aca="false">('Prices&amp;Fuel'!M6+'Prices&amp;Fuel'!P6)*'Prices&amp;Fuel'!H6*'Prices&amp;Fuel'!AD6</f>
        <v>18678.9136</v>
      </c>
      <c r="H6" s="7" t="n">
        <f aca="false">IF('Prices&amp;Fuel'!AE3&gt;(B6+C6+D6),0,(B6+C6+D6-'Prices&amp;Fuel'!AE6)*('Prices&amp;Fuel'!L6+'Prices&amp;Fuel'!O6)*'Prices&amp;Fuel'!H6)</f>
        <v>41183.035</v>
      </c>
      <c r="I6" s="7" t="n">
        <f aca="false">((B6+C6+D6)*E6*'Prices&amp;Fuel'!H6)+F6+G6+H6</f>
        <v>524519.127409954</v>
      </c>
      <c r="J6" s="7" t="n">
        <f aca="false">(((('Prices&amp;Fuel'!B6*B6+'Prices&amp;Fuel'!C6*C6+'Prices&amp;Fuel'!D6*D6)/(B6+C6+D6)+0.015)/(1-'Prices&amp;Fuel'!F6))*(B6+C6+D6)*'Prices&amp;Fuel'!H6)+F6+G6+H6</f>
        <v>512489.677865515</v>
      </c>
      <c r="K6" s="7" t="n">
        <f aca="false">I6-J6</f>
        <v>12029.4495444387</v>
      </c>
      <c r="L6" s="7" t="n">
        <v>645</v>
      </c>
      <c r="M6" s="7" t="n">
        <v>968</v>
      </c>
      <c r="N6" s="7" t="n">
        <v>850</v>
      </c>
      <c r="O6" s="7" t="n">
        <f aca="false">(L6+M6+N6)*'Prices&amp;Fuel'!H6</f>
        <v>76353</v>
      </c>
      <c r="P6" s="7" t="n">
        <f aca="false">IF(O6&gt;20000,20000,O6)</f>
        <v>20000</v>
      </c>
      <c r="Q6" s="7" t="n">
        <f aca="false">O6-P6-R6</f>
        <v>30000</v>
      </c>
      <c r="R6" s="7" t="n">
        <f aca="false">IF(O6&gt;49999,O6-50000,0)</f>
        <v>26353</v>
      </c>
      <c r="S6" s="8" t="n">
        <f aca="false">'Prices&amp;Fuel'!B6</f>
        <v>2.45</v>
      </c>
      <c r="T6" s="8" t="n">
        <f aca="false">'Prices&amp;Fuel'!C6</f>
        <v>2.55</v>
      </c>
      <c r="U6" s="8" t="n">
        <f aca="false">'Prices&amp;Fuel'!D6</f>
        <v>2.49</v>
      </c>
      <c r="V6" s="7" t="n">
        <f aca="false">P6*0.19+Q6*0.16+R6*0.14</f>
        <v>12289.42</v>
      </c>
      <c r="W6" s="8" t="n">
        <f aca="false">Y6/O6</f>
        <v>2.66406126805757</v>
      </c>
      <c r="X6" s="8" t="n">
        <f aca="false">((L6*S6+M6*T6+N6*U6)/(L6+M6+N6))+0.015</f>
        <v>2.5181059683313</v>
      </c>
      <c r="Y6" s="7" t="n">
        <f aca="false">((L6*S6+M6*T6+N6*U6)*'Prices&amp;Fuel'!H6)+V6</f>
        <v>203409.07</v>
      </c>
      <c r="Z6" s="7" t="n">
        <v>28406</v>
      </c>
      <c r="AA6" s="7" t="n">
        <f aca="false">(W6-X6)*Z6/(1-'Prices&amp;Fuel'!F6)</f>
        <v>4276.4375905358</v>
      </c>
      <c r="AB6" s="7" t="n">
        <f aca="false">(O6*X6)+AA6</f>
        <v>196541.382590536</v>
      </c>
      <c r="AC6" s="7" t="n">
        <f aca="false">Y6-AB6</f>
        <v>6867.68740946421</v>
      </c>
      <c r="AD6" s="7"/>
      <c r="AE6" s="7"/>
      <c r="AF6" s="7"/>
      <c r="AG6" s="8"/>
      <c r="AH6" s="7"/>
      <c r="AI6" s="7"/>
      <c r="AJ6" s="7"/>
      <c r="AK6" s="7" t="n">
        <v>167.666666666667</v>
      </c>
      <c r="AL6" s="7" t="n">
        <v>167.666666666667</v>
      </c>
      <c r="AM6" s="7" t="n">
        <v>167.666666666667</v>
      </c>
      <c r="AN6" s="8" t="n">
        <f aca="false">(('Prices&amp;Fuel'!$B6*AK6+'Prices&amp;Fuel'!$C6*AL6+'Prices&amp;Fuel'!$D6*AM6)/(AK6+AL6+AM6))+0.03+0.015</f>
        <v>2.54166666666667</v>
      </c>
      <c r="AO6" s="7" t="n">
        <f aca="false">(AK6+AL6+AM6)*AN6*'Prices&amp;Fuel'!H6</f>
        <v>39632.2083333333</v>
      </c>
      <c r="AP6" s="7" t="n">
        <f aca="false">(('Prices&amp;Fuel'!$B6+0.015)*AK6+('Prices&amp;Fuel'!$C6+0.015)*AL6+('Prices&amp;Fuel'!$D6+0.015)*AM6)*'Prices&amp;Fuel'!H6</f>
        <v>39164.4183333333</v>
      </c>
      <c r="AQ6" s="7" t="n">
        <f aca="false">AO6-AP6</f>
        <v>467.789999999994</v>
      </c>
      <c r="AR6" s="14" t="n">
        <f aca="false">I6+Y6+AH6+AO6</f>
        <v>767560.405743287</v>
      </c>
      <c r="AS6" s="7" t="n">
        <f aca="false">(B6+C6+D6+L6+M6+N6+((AD6+AE6+AF6)*(1-'Prices&amp;Fuel'!F6))+AK6+AL6+AM6)*0.005*'Prices&amp;Fuel'!H6</f>
        <v>1295.955</v>
      </c>
      <c r="AT6" s="7" t="n">
        <f aca="false">J6+AB6+AI6+AP6+AS6</f>
        <v>749491.433789384</v>
      </c>
      <c r="AU6" s="14" t="n">
        <f aca="false">AR6-AT6</f>
        <v>18068.971953903</v>
      </c>
      <c r="AV6" s="30" t="n">
        <f aca="false">((B6+C6+D6+AK6+AL6+AM6)*0.005)*'Prices&amp;Fuel'!H6</f>
        <v>914.19</v>
      </c>
      <c r="AW6" s="30" t="n">
        <f aca="false">((L6+M6+N6+(AD6+AE6+AF6)*(1-'Prices&amp;Fuel'!F6))*0.005)*'Prices&amp;Fuel'!H6</f>
        <v>381.765</v>
      </c>
      <c r="AX6" s="55" t="n">
        <f aca="false">AV6+AW6</f>
        <v>1295.955</v>
      </c>
      <c r="AY6" s="1" t="n">
        <f aca="false">(B6+C6+D6+L6+M6+N6+AD6+AE6+AF6+AK6+AL6+AM6)*'Prices&amp;Fuel'!H6</f>
        <v>259191</v>
      </c>
      <c r="AZ6" s="1" t="n">
        <f aca="false">SUM(AY5:AY6)</f>
        <v>460086.163</v>
      </c>
      <c r="BN6" s="1"/>
      <c r="CU6" s="7" t="n">
        <f aca="false">SUM(CT5:CT6)</f>
        <v>0</v>
      </c>
    </row>
    <row r="7" customFormat="false" ht="11.25" hidden="false" customHeight="false" outlineLevel="0" collapsed="false">
      <c r="A7" s="6" t="n">
        <f aca="false">+A6+365/12</f>
        <v>35809.8333333333</v>
      </c>
      <c r="B7" s="7" t="n">
        <v>1498.66666666667</v>
      </c>
      <c r="C7" s="7" t="n">
        <v>1498.66666666667</v>
      </c>
      <c r="D7" s="7" t="n">
        <v>1498.66666666667</v>
      </c>
      <c r="E7" s="8" t="n">
        <f aca="false">((('Prices&amp;Fuel'!$B7*0.36+'Prices&amp;Fuel'!$C7*0.43+'Prices&amp;Fuel'!$D7*0.21))+0.03+0.05)/(1-'Prices&amp;Fuel'!F7)</f>
        <v>2.39742135121196</v>
      </c>
      <c r="F7" s="7" t="n">
        <f aca="false">('Prices&amp;Fuel'!Y7+'Prices&amp;Fuel'!Z7+'Prices&amp;Fuel'!AA7)*'Prices&amp;Fuel'!H7*('Prices&amp;Fuel'!L7+'Prices&amp;Fuel'!O7)</f>
        <v>19349.0375</v>
      </c>
      <c r="G7" s="7" t="n">
        <f aca="false">('Prices&amp;Fuel'!M7+'Prices&amp;Fuel'!P7)*'Prices&amp;Fuel'!H7*'Prices&amp;Fuel'!AD7</f>
        <v>18678.9136</v>
      </c>
      <c r="H7" s="7" t="n">
        <f aca="false">IF('Prices&amp;Fuel'!AE4&gt;(B7+C7+D7),0,(B7+C7+D7-'Prices&amp;Fuel'!AE7)*('Prices&amp;Fuel'!L7+'Prices&amp;Fuel'!O7)*'Prices&amp;Fuel'!H7)</f>
        <v>29547.7275</v>
      </c>
      <c r="I7" s="7" t="n">
        <f aca="false">((B7+C7+D7)*E7*'Prices&amp;Fuel'!H7)+F7+G7+H7</f>
        <v>401718.676846519</v>
      </c>
      <c r="J7" s="7" t="n">
        <f aca="false">(((('Prices&amp;Fuel'!B7*B7+'Prices&amp;Fuel'!C7*C7+'Prices&amp;Fuel'!D7*D7)/(B7+C7+D7)+0.015)/(1-'Prices&amp;Fuel'!F7))*(B7+C7+D7)*'Prices&amp;Fuel'!H7)+F7+G7+H7</f>
        <v>391756.060240021</v>
      </c>
      <c r="K7" s="7" t="n">
        <f aca="false">I7-J7</f>
        <v>9962.61660649814</v>
      </c>
      <c r="L7" s="7" t="n">
        <v>645</v>
      </c>
      <c r="M7" s="7" t="n">
        <v>968</v>
      </c>
      <c r="N7" s="7" t="n">
        <v>790</v>
      </c>
      <c r="O7" s="7" t="n">
        <f aca="false">(L7+M7+N7)*'Prices&amp;Fuel'!H7</f>
        <v>74493</v>
      </c>
      <c r="P7" s="7" t="n">
        <f aca="false">IF(O7&gt;20000,20000,O7)</f>
        <v>20000</v>
      </c>
      <c r="Q7" s="7" t="n">
        <f aca="false">O7-P7-R7</f>
        <v>30000</v>
      </c>
      <c r="R7" s="7" t="n">
        <f aca="false">IF(O7&gt;49999,O7-50000,0)</f>
        <v>24493</v>
      </c>
      <c r="S7" s="8" t="n">
        <f aca="false">'Prices&amp;Fuel'!B7</f>
        <v>2.21</v>
      </c>
      <c r="T7" s="8" t="n">
        <f aca="false">'Prices&amp;Fuel'!C7</f>
        <v>2.28</v>
      </c>
      <c r="U7" s="8" t="n">
        <f aca="false">'Prices&amp;Fuel'!D7</f>
        <v>2.23</v>
      </c>
      <c r="V7" s="7" t="n">
        <f aca="false">P7*0.19+Q7*0.16+R7*0.14</f>
        <v>12029.02</v>
      </c>
      <c r="W7" s="8" t="n">
        <f aca="false">Y7/O7</f>
        <v>2.40625172835031</v>
      </c>
      <c r="X7" s="8" t="n">
        <f aca="false">((L7*S7+M7*T7+N7*U7)/(L7+M7+N7))+0.015</f>
        <v>2.25977320016646</v>
      </c>
      <c r="Y7" s="7" t="n">
        <f aca="false">((L7*S7+M7*T7+N7*U7)*'Prices&amp;Fuel'!H7)+V7</f>
        <v>179248.91</v>
      </c>
      <c r="Z7" s="7" t="n">
        <v>27553</v>
      </c>
      <c r="AA7" s="7" t="n">
        <f aca="false">(W7-X7)*Z7/(1-'Prices&amp;Fuel'!F7)</f>
        <v>4162.89106451757</v>
      </c>
      <c r="AB7" s="7" t="n">
        <f aca="false">(O7*X7)+AA7</f>
        <v>172500.176064518</v>
      </c>
      <c r="AC7" s="7" t="n">
        <f aca="false">Y7-AB7</f>
        <v>6748.73393548239</v>
      </c>
      <c r="AD7" s="7"/>
      <c r="AE7" s="7"/>
      <c r="AF7" s="7"/>
      <c r="AG7" s="8"/>
      <c r="AH7" s="7"/>
      <c r="AI7" s="7"/>
      <c r="AJ7" s="7"/>
      <c r="AK7" s="7" t="n">
        <v>194.666666666667</v>
      </c>
      <c r="AL7" s="7" t="n">
        <v>194.666666666667</v>
      </c>
      <c r="AM7" s="7" t="n">
        <v>194.666666666667</v>
      </c>
      <c r="AN7" s="8" t="n">
        <f aca="false">(('Prices&amp;Fuel'!$B7*AK7+'Prices&amp;Fuel'!$C7*AL7+'Prices&amp;Fuel'!$D7*AM7)/(AK7+AL7+AM7))+0.03+0.015</f>
        <v>2.285</v>
      </c>
      <c r="AO7" s="7" t="n">
        <f aca="false">(AK7+AL7+AM7)*AN7*'Prices&amp;Fuel'!H7</f>
        <v>41367.64</v>
      </c>
      <c r="AP7" s="7" t="n">
        <f aca="false">(('Prices&amp;Fuel'!$B7+0.015)*AK7+('Prices&amp;Fuel'!$C7+0.015)*AL7+('Prices&amp;Fuel'!$D7+0.015)*AM7)*'Prices&amp;Fuel'!H7</f>
        <v>40824.52</v>
      </c>
      <c r="AQ7" s="7" t="n">
        <f aca="false">AO7-AP7</f>
        <v>543.119999999988</v>
      </c>
      <c r="AR7" s="14" t="n">
        <f aca="false">I7+Y7+AH7+AO7</f>
        <v>622335.226846519</v>
      </c>
      <c r="AS7" s="7" t="n">
        <f aca="false">(B7+C7+D7+L7+M7+N7+((AD7+AE7+AF7)*(1-'Prices&amp;Fuel'!F7))+AK7+AL7+AM7)*0.005*'Prices&amp;Fuel'!H7</f>
        <v>1159.865</v>
      </c>
      <c r="AT7" s="7" t="n">
        <f aca="false">J7+AB7+AI7+AP7+AS7</f>
        <v>606240.621304538</v>
      </c>
      <c r="AU7" s="14" t="n">
        <f aca="false">AR7-AT7</f>
        <v>16094.6055419806</v>
      </c>
      <c r="AV7" s="30" t="n">
        <f aca="false">((B7+C7+D7+AK7+AL7+AM7)*0.005)*'Prices&amp;Fuel'!H7</f>
        <v>787.4</v>
      </c>
      <c r="AW7" s="30" t="n">
        <f aca="false">((L7+M7+N7+(AD7+AE7+AF7)*(1-'Prices&amp;Fuel'!F7))*0.005)*'Prices&amp;Fuel'!H7</f>
        <v>372.465</v>
      </c>
      <c r="AX7" s="55" t="n">
        <f aca="false">AV7+AW7</f>
        <v>1159.865</v>
      </c>
      <c r="AY7" s="1" t="n">
        <f aca="false">(B7+C7+D7+L7+M7+N7+AD7+AE7+AF7+AK7+AL7+AM7)*'Prices&amp;Fuel'!H7</f>
        <v>231973</v>
      </c>
      <c r="AZ7" s="7"/>
      <c r="BA7" s="7"/>
      <c r="BB7" s="7"/>
      <c r="BC7" s="7"/>
      <c r="BD7" s="7"/>
      <c r="BE7" s="14"/>
      <c r="BF7" s="14"/>
      <c r="BG7" s="14"/>
      <c r="BH7" s="14"/>
      <c r="BI7" s="14"/>
      <c r="BJ7" s="5"/>
      <c r="BK7" s="5"/>
      <c r="BL7" s="5"/>
      <c r="BM7" s="5"/>
      <c r="BN7" s="5"/>
      <c r="BO7" s="5"/>
      <c r="BP7" s="5"/>
      <c r="BQ7" s="5"/>
      <c r="BR7" s="5"/>
      <c r="BW7" s="1" t="n">
        <v>120</v>
      </c>
    </row>
    <row r="8" customFormat="false" ht="11.25" hidden="false" customHeight="false" outlineLevel="0" collapsed="false">
      <c r="A8" s="6" t="n">
        <f aca="false">+A7+365/12</f>
        <v>35840.25</v>
      </c>
      <c r="B8" s="7" t="n">
        <f aca="false">134197/28/3</f>
        <v>1597.58333333333</v>
      </c>
      <c r="C8" s="7" t="n">
        <f aca="false">B8</f>
        <v>1597.58333333333</v>
      </c>
      <c r="D8" s="7" t="n">
        <f aca="false">C8</f>
        <v>1597.58333333333</v>
      </c>
      <c r="E8" s="8" t="n">
        <f aca="false">((('Prices&amp;Fuel'!$B8*0.36+'Prices&amp;Fuel'!$C8*0.43+'Prices&amp;Fuel'!$D8*0.21))+0.03+0.05)/(1-'Prices&amp;Fuel'!F8)</f>
        <v>2.11681233933162</v>
      </c>
      <c r="F8" s="7" t="n">
        <f aca="false">('Prices&amp;Fuel'!Y8+'Prices&amp;Fuel'!Z8+'Prices&amp;Fuel'!AA8)*'Prices&amp;Fuel'!H8*('Prices&amp;Fuel'!L8+'Prices&amp;Fuel'!O8)</f>
        <v>17476.55</v>
      </c>
      <c r="G8" s="7" t="n">
        <f aca="false">('Prices&amp;Fuel'!M8+'Prices&amp;Fuel'!P8)*'Prices&amp;Fuel'!H8*'Prices&amp;Fuel'!AD8</f>
        <v>16871.2768</v>
      </c>
      <c r="H8" s="7" t="n">
        <f aca="false">IF('Prices&amp;Fuel'!AE5&gt;(B8+C8+D8),0,(B8+C8+D8-'Prices&amp;Fuel'!AE8)*('Prices&amp;Fuel'!L8+'Prices&amp;Fuel'!O8)*'Prices&amp;Fuel'!H8)</f>
        <v>30157.2775</v>
      </c>
      <c r="I8" s="7" t="n">
        <f aca="false">((B8+C8+D8)*E8*'Prices&amp;Fuel'!H8)+F8+G8+H8</f>
        <v>348574.969801285</v>
      </c>
      <c r="J8" s="7" t="n">
        <f aca="false">(((('Prices&amp;Fuel'!B8*B8+'Prices&amp;Fuel'!C8*C8+'Prices&amp;Fuel'!D8*D8)/(B8+C8+D8)+0.015)/(1-'Prices&amp;Fuel'!F8))*(B8+C8+D8)*'Prices&amp;Fuel'!H8)+F8+G8+H8</f>
        <v>338878.74783042</v>
      </c>
      <c r="K8" s="7" t="n">
        <f aca="false">I8-J8</f>
        <v>9696.22197086545</v>
      </c>
      <c r="L8" s="7" t="n">
        <v>714</v>
      </c>
      <c r="M8" s="7" t="n">
        <v>1071</v>
      </c>
      <c r="N8" s="7" t="n">
        <v>91.39285714</v>
      </c>
      <c r="O8" s="7" t="n">
        <f aca="false">(L8+M8+N8)*'Prices&amp;Fuel'!H8</f>
        <v>52538.99999992</v>
      </c>
      <c r="P8" s="7" t="n">
        <f aca="false">IF(O8&gt;20000,20000,O8)</f>
        <v>20000</v>
      </c>
      <c r="Q8" s="7" t="n">
        <f aca="false">O8-P8-R8</f>
        <v>30000</v>
      </c>
      <c r="R8" s="7" t="n">
        <f aca="false">IF(O8&gt;49999,O8-50000,0)</f>
        <v>2538.99999992</v>
      </c>
      <c r="S8" s="8" t="n">
        <f aca="false">'Prices&amp;Fuel'!B8</f>
        <v>1.94</v>
      </c>
      <c r="T8" s="8" t="n">
        <f aca="false">'Prices&amp;Fuel'!C8</f>
        <v>2.02</v>
      </c>
      <c r="U8" s="8" t="n">
        <f aca="false">'Prices&amp;Fuel'!D8</f>
        <v>1.96</v>
      </c>
      <c r="V8" s="7" t="n">
        <f aca="false">P8*0.19+Q8*0.16+R8*0.14</f>
        <v>8955.4599999888</v>
      </c>
      <c r="W8" s="8" t="n">
        <f aca="false">Y8/O8</f>
        <v>2.15708978092473</v>
      </c>
      <c r="X8" s="8" t="n">
        <f aca="false">((L8*S8+M8*T8+N8*U8)/(L8+M8+N8))+0.015</f>
        <v>2.00163621309888</v>
      </c>
      <c r="Y8" s="7" t="n">
        <f aca="false">((L8*S8+M8*T8+N8*U8)*'Prices&amp;Fuel'!H8)+V8</f>
        <v>113331.339999832</v>
      </c>
      <c r="Z8" s="7" t="n">
        <v>21772</v>
      </c>
      <c r="AA8" s="7" t="n">
        <f aca="false">(W8-X8)*Z8/(1-'Prices&amp;Fuel'!F8)</f>
        <v>3480.24172617424</v>
      </c>
      <c r="AB8" s="7" t="n">
        <f aca="false">(O8*X8)+AA8</f>
        <v>108644.206726016</v>
      </c>
      <c r="AC8" s="7" t="n">
        <f aca="false">Y8-AB8</f>
        <v>4687.13327381575</v>
      </c>
      <c r="AD8" s="7"/>
      <c r="AE8" s="7"/>
      <c r="AF8" s="7"/>
      <c r="AG8" s="8"/>
      <c r="AH8" s="7"/>
      <c r="AI8" s="7"/>
      <c r="AJ8" s="7"/>
      <c r="AK8" s="7" t="n">
        <v>132</v>
      </c>
      <c r="AL8" s="7" t="n">
        <v>132</v>
      </c>
      <c r="AM8" s="7" t="n">
        <v>132</v>
      </c>
      <c r="AN8" s="8" t="n">
        <f aca="false">(('Prices&amp;Fuel'!$B8*AK8+'Prices&amp;Fuel'!$C8*AL8+'Prices&amp;Fuel'!$D8*AM8)/(AK8+AL8+AM8))+0.03+0.015</f>
        <v>2.01833333333333</v>
      </c>
      <c r="AO8" s="7" t="n">
        <f aca="false">(AK8+AL8+AM8)*AN8*'Prices&amp;Fuel'!H8</f>
        <v>22379.28</v>
      </c>
      <c r="AP8" s="7" t="n">
        <f aca="false">(('Prices&amp;Fuel'!$B8+0.015)*AK8+('Prices&amp;Fuel'!$C8+0.015)*AL8+('Prices&amp;Fuel'!$D8+0.015)*AM8)*'Prices&amp;Fuel'!H8</f>
        <v>22046.64</v>
      </c>
      <c r="AQ8" s="7" t="n">
        <f aca="false">AO8-AP8</f>
        <v>332.639999999999</v>
      </c>
      <c r="AR8" s="14" t="n">
        <f aca="false">I8+Y8+AH8+AO8</f>
        <v>484285.589801117</v>
      </c>
      <c r="AS8" s="7" t="n">
        <f aca="false">(B8+C8+D8+L8+M8+N8+((AD8+AE8+AF8)*(1-'Prices&amp;Fuel'!F8))+AK8+AL8+AM8)*0.005*'Prices&amp;Fuel'!H8</f>
        <v>989.1199999996</v>
      </c>
      <c r="AT8" s="7" t="n">
        <f aca="false">J8+AB8+AI8+AP8+AS8</f>
        <v>470558.714556436</v>
      </c>
      <c r="AU8" s="14" t="n">
        <f aca="false">AR8-AT8</f>
        <v>13726.8752446816</v>
      </c>
      <c r="AV8" s="30" t="n">
        <f aca="false">((B8+C8+D8+AK8+AL8+AM8)*0.005)*'Prices&amp;Fuel'!H8</f>
        <v>726.425</v>
      </c>
      <c r="AW8" s="30" t="n">
        <f aca="false">((L8+M8+N8+(AD8+AE8+AF8)*(1-'Prices&amp;Fuel'!F8))*0.005)*'Prices&amp;Fuel'!H8</f>
        <v>262.6949999996</v>
      </c>
      <c r="AX8" s="55" t="n">
        <f aca="false">AV8+AW8</f>
        <v>989.1199999996</v>
      </c>
      <c r="AY8" s="1" t="n">
        <f aca="false">(B8+C8+D8+L8+M8+N8+AD8+AE8+AF8+AK8+AL8+AM8)*'Prices&amp;Fuel'!H8</f>
        <v>197823.99999992</v>
      </c>
      <c r="AZ8" s="7"/>
      <c r="BA8" s="7"/>
      <c r="BB8" s="7"/>
      <c r="BC8" s="7"/>
      <c r="BD8" s="7"/>
      <c r="BE8" s="14"/>
      <c r="BF8" s="14"/>
      <c r="BG8" s="14"/>
      <c r="BH8" s="14"/>
      <c r="BI8" s="14"/>
      <c r="BJ8" s="5"/>
      <c r="BK8" s="5"/>
      <c r="BL8" s="5"/>
      <c r="BM8" s="5"/>
      <c r="BN8" s="5"/>
      <c r="BO8" s="5"/>
      <c r="BP8" s="5"/>
      <c r="BQ8" s="5"/>
      <c r="BR8" s="5"/>
    </row>
    <row r="9" customFormat="false" ht="11.25" hidden="false" customHeight="false" outlineLevel="0" collapsed="false">
      <c r="A9" s="6" t="n">
        <f aca="false">+A8+365/12</f>
        <v>35870.6666666667</v>
      </c>
      <c r="B9" s="7" t="n">
        <v>0</v>
      </c>
      <c r="C9" s="7" t="n">
        <f aca="false">73664/31</f>
        <v>2376.25806451613</v>
      </c>
      <c r="D9" s="7" t="n">
        <f aca="false">26256/31</f>
        <v>846.967741935484</v>
      </c>
      <c r="E9" s="8" t="n">
        <f aca="false">((('Prices&amp;Fuel'!$B9*0.36+'Prices&amp;Fuel'!$C9*0.43+'Prices&amp;Fuel'!$D9*0.21))+0.03+0.05)/(1-'Prices&amp;Fuel'!F9)</f>
        <v>2.36071979434447</v>
      </c>
      <c r="F9" s="7" t="n">
        <f aca="false">('Prices&amp;Fuel'!Y9+'Prices&amp;Fuel'!Z9+'Prices&amp;Fuel'!AA9)*'Prices&amp;Fuel'!H9*('Prices&amp;Fuel'!L9+'Prices&amp;Fuel'!O9)</f>
        <v>19349.0375</v>
      </c>
      <c r="G9" s="7" t="n">
        <f aca="false">('Prices&amp;Fuel'!M9+'Prices&amp;Fuel'!P9)*'Prices&amp;Fuel'!H9*'Prices&amp;Fuel'!AD9</f>
        <v>18678.9136</v>
      </c>
      <c r="H9" s="7" t="n">
        <f aca="false">IF('Prices&amp;Fuel'!AE6&gt;(B9+C9+D9),0,(B9+C9+D9-'Prices&amp;Fuel'!AE9)*('Prices&amp;Fuel'!L9+'Prices&amp;Fuel'!O9)*'Prices&amp;Fuel'!H9)</f>
        <v>13074.8475</v>
      </c>
      <c r="I9" s="7" t="n">
        <f aca="false">((B9+C9+D9)*E9*'Prices&amp;Fuel'!H9)+F9+G9+H9</f>
        <v>286985.9204509</v>
      </c>
      <c r="J9" s="7" t="n">
        <f aca="false">(((('Prices&amp;Fuel'!B9*B9+'Prices&amp;Fuel'!C9*C9+'Prices&amp;Fuel'!D9*D9)/(B9+C9+D9)+0.015)/(1-'Prices&amp;Fuel'!F9))*(B9+C9+D9)*'Prices&amp;Fuel'!H9)+F9+G9+H9</f>
        <v>282201.451556298</v>
      </c>
      <c r="K9" s="7" t="n">
        <f aca="false">I9-J9</f>
        <v>4784.46889460145</v>
      </c>
      <c r="L9" s="7" t="n">
        <v>0</v>
      </c>
      <c r="M9" s="7" t="n">
        <v>0</v>
      </c>
      <c r="N9" s="7" t="n">
        <f aca="false">57425/31</f>
        <v>1852.41935483871</v>
      </c>
      <c r="O9" s="7" t="n">
        <f aca="false">(L9+M9+N9)*'Prices&amp;Fuel'!H9</f>
        <v>57425</v>
      </c>
      <c r="P9" s="7" t="n">
        <f aca="false">IF(O9&gt;20000,20000,O9)</f>
        <v>20000</v>
      </c>
      <c r="Q9" s="7" t="n">
        <f aca="false">O9-P9-R9</f>
        <v>30000</v>
      </c>
      <c r="R9" s="7" t="n">
        <f aca="false">IF(O9&gt;49999,O9-50000,0)</f>
        <v>7425</v>
      </c>
      <c r="S9" s="8" t="n">
        <f aca="false">'Prices&amp;Fuel'!B9</f>
        <v>2.19</v>
      </c>
      <c r="T9" s="8" t="n">
        <f aca="false">'Prices&amp;Fuel'!C9</f>
        <v>2.25</v>
      </c>
      <c r="U9" s="8" t="n">
        <f aca="false">'Prices&amp;Fuel'!D9</f>
        <v>2.19</v>
      </c>
      <c r="V9" s="7" t="n">
        <f aca="false">P9*0.19+Q9*0.16+R9*0.14</f>
        <v>9639.5</v>
      </c>
      <c r="W9" s="8" t="n">
        <f aca="false">Y9/O9</f>
        <v>2.35786242925555</v>
      </c>
      <c r="X9" s="8" t="n">
        <f aca="false">((L9*S9+M9*T9+N9*U9)/(L9+M9+N9))+0.015</f>
        <v>2.205</v>
      </c>
      <c r="Y9" s="7" t="n">
        <f aca="false">((L9*S9+M9*T9+N9*U9)*'Prices&amp;Fuel'!H9)+V9</f>
        <v>135400.25</v>
      </c>
      <c r="Z9" s="7" t="n">
        <v>16381</v>
      </c>
      <c r="AA9" s="7" t="n">
        <f aca="false">(W9-X9)*Z9/(1-'Prices&amp;Fuel'!F9)</f>
        <v>2574.84776723411</v>
      </c>
      <c r="AB9" s="7" t="n">
        <f aca="false">(O9*X9)+AA9</f>
        <v>129196.972767234</v>
      </c>
      <c r="AC9" s="7" t="n">
        <f aca="false">Y9-AB9</f>
        <v>6203.27723276589</v>
      </c>
      <c r="AD9" s="7"/>
      <c r="AE9" s="7"/>
      <c r="AF9" s="7"/>
      <c r="AG9" s="8"/>
      <c r="AH9" s="7"/>
      <c r="AI9" s="7"/>
      <c r="AJ9" s="7"/>
      <c r="AK9" s="7" t="n">
        <v>0</v>
      </c>
      <c r="AL9" s="7" t="n">
        <v>0</v>
      </c>
      <c r="AM9" s="7" t="n">
        <v>412.096774193548</v>
      </c>
      <c r="AN9" s="8" t="n">
        <f aca="false">(('Prices&amp;Fuel'!$B9*AK9+'Prices&amp;Fuel'!$C9*AL9+'Prices&amp;Fuel'!$D9*AM9)/(AK9+AL9+AM9))+0.03+0.015</f>
        <v>2.235</v>
      </c>
      <c r="AO9" s="7" t="n">
        <f aca="false">(AK9+AL9+AM9)*AN9*'Prices&amp;Fuel'!H9</f>
        <v>28552.125</v>
      </c>
      <c r="AP9" s="7" t="n">
        <f aca="false">(('Prices&amp;Fuel'!$B9+0.015)*AK9+('Prices&amp;Fuel'!$C9+0.015)*AL9+('Prices&amp;Fuel'!$D9+0.015)*AM9)*'Prices&amp;Fuel'!H9</f>
        <v>28168.875</v>
      </c>
      <c r="AQ9" s="7" t="n">
        <f aca="false">AO9-AP9</f>
        <v>383.249999999996</v>
      </c>
      <c r="AR9" s="14" t="n">
        <f aca="false">I9+Y9+AH9+AO9</f>
        <v>450938.2954509</v>
      </c>
      <c r="AS9" s="7" t="n">
        <f aca="false">(B9+C9+D9+L9+M9+N9+((AD9+AE9+AF9)*(1-'Prices&amp;Fuel'!F9))+AK9+AL9+AM9)*0.005*'Prices&amp;Fuel'!H9</f>
        <v>850.6</v>
      </c>
      <c r="AT9" s="7" t="n">
        <f aca="false">J9+AB9+AI9+AP9+AS9</f>
        <v>440417.899323532</v>
      </c>
      <c r="AU9" s="14" t="n">
        <f aca="false">AR9-AT9</f>
        <v>10520.3961273674</v>
      </c>
      <c r="AV9" s="30" t="n">
        <f aca="false">((B9+C9+D9+AK9+AL9+AM9)*0.005)*'Prices&amp;Fuel'!H9</f>
        <v>563.475</v>
      </c>
      <c r="AW9" s="30" t="n">
        <f aca="false">((L9+M9+N9+(AD9+AE9+AF9)*(1-'Prices&amp;Fuel'!F9))*0.005)*'Prices&amp;Fuel'!H9</f>
        <v>287.125</v>
      </c>
      <c r="AX9" s="55" t="n">
        <f aca="false">AV9+AW9</f>
        <v>850.6</v>
      </c>
      <c r="AY9" s="1" t="n">
        <f aca="false">(B9+C9+D9+L9+M9+N9+AD9+AE9+AF9+AK9+AL9+AM9)*'Prices&amp;Fuel'!H9</f>
        <v>170120</v>
      </c>
      <c r="AZ9" s="7"/>
      <c r="BA9" s="7"/>
      <c r="BB9" s="7"/>
      <c r="BC9" s="7"/>
      <c r="BD9" s="7"/>
      <c r="BE9" s="14"/>
      <c r="BF9" s="14"/>
      <c r="BG9" s="14"/>
      <c r="BH9" s="14"/>
      <c r="BI9" s="14"/>
      <c r="BJ9" s="5"/>
      <c r="BK9" s="5"/>
      <c r="BL9" s="5"/>
      <c r="BM9" s="5"/>
      <c r="BN9" s="5"/>
      <c r="BO9" s="5"/>
      <c r="BP9" s="5"/>
      <c r="BQ9" s="5"/>
      <c r="BR9" s="5"/>
    </row>
    <row r="10" customFormat="false" ht="11.25" hidden="false" customHeight="false" outlineLevel="0" collapsed="false">
      <c r="A10" s="6" t="n">
        <f aca="false">+A9+365/12</f>
        <v>35901.0833333333</v>
      </c>
      <c r="B10" s="7" t="n">
        <v>1531.66666666667</v>
      </c>
      <c r="C10" s="7" t="n">
        <v>1531.66666666667</v>
      </c>
      <c r="D10" s="7" t="n">
        <v>1531.66666666667</v>
      </c>
      <c r="E10" s="8" t="n">
        <f aca="false">((('Prices&amp;Fuel'!$B10*0.36+'Prices&amp;Fuel'!$C10*0.43+'Prices&amp;Fuel'!$D10*0.21))+0.03+0.05)/(1-'Prices&amp;Fuel'!F10)</f>
        <v>2.43567433188316</v>
      </c>
      <c r="F10" s="7" t="n">
        <f aca="false">('Prices&amp;Fuel'!Y10+'Prices&amp;Fuel'!Z10+'Prices&amp;Fuel'!AA10)*'Prices&amp;Fuel'!H10*('Prices&amp;Fuel'!L10+'Prices&amp;Fuel'!O10)</f>
        <v>19433.505</v>
      </c>
      <c r="G10" s="7" t="n">
        <f aca="false">('Prices&amp;Fuel'!M10+'Prices&amp;Fuel'!P10)*'Prices&amp;Fuel'!H10*'Prices&amp;Fuel'!AD10</f>
        <v>18416.7</v>
      </c>
      <c r="H10" s="7" t="n">
        <f aca="false">IF('Prices&amp;Fuel'!AE7&gt;(B10+C10+D10),0,(B10+C10+D10-'Prices&amp;Fuel'!AE10)*('Prices&amp;Fuel'!L10+'Prices&amp;Fuel'!O10)*'Prices&amp;Fuel'!H10)</f>
        <v>30963.618</v>
      </c>
      <c r="I10" s="7" t="n">
        <f aca="false">((B10+C10+D10)*E10*'Prices&amp;Fuel'!H10)+F10+G10+H10</f>
        <v>404571.529650093</v>
      </c>
      <c r="J10" s="7" t="n">
        <f aca="false">(((('Prices&amp;Fuel'!B10*B10+'Prices&amp;Fuel'!C10*C10+'Prices&amp;Fuel'!D10*D10)/(B10+C10+D10)+0.015)/(1-'Prices&amp;Fuel'!F10))*(B10+C10+D10)*'Prices&amp;Fuel'!H10)+F10+G10+H10</f>
        <v>395090.23692169</v>
      </c>
      <c r="K10" s="7" t="n">
        <f aca="false">I10-J10</f>
        <v>9481.29272840271</v>
      </c>
      <c r="L10" s="7" t="n">
        <v>667</v>
      </c>
      <c r="M10" s="7" t="n">
        <v>993</v>
      </c>
      <c r="N10" s="7"/>
      <c r="O10" s="7" t="n">
        <f aca="false">(L10+M10+N10)*'Prices&amp;Fuel'!H10</f>
        <v>49800</v>
      </c>
      <c r="P10" s="7" t="n">
        <f aca="false">IF(O10&gt;20000,20000,O10)</f>
        <v>20000</v>
      </c>
      <c r="Q10" s="7" t="n">
        <f aca="false">O10-P10-R10</f>
        <v>29800</v>
      </c>
      <c r="R10" s="7" t="n">
        <f aca="false">IF(O10&gt;49999,O10-50000,0)</f>
        <v>0</v>
      </c>
      <c r="S10" s="8" t="n">
        <f aca="false">'Prices&amp;Fuel'!B10</f>
        <v>2.25</v>
      </c>
      <c r="T10" s="8" t="n">
        <f aca="false">'Prices&amp;Fuel'!C10</f>
        <v>2.29</v>
      </c>
      <c r="U10" s="8" t="n">
        <f aca="false">'Prices&amp;Fuel'!D10</f>
        <v>2.27</v>
      </c>
      <c r="V10" s="7" t="n">
        <f aca="false">P10*0.19+Q10*0.16+R10*0.14</f>
        <v>8568</v>
      </c>
      <c r="W10" s="8" t="n">
        <f aca="false">Y10/O10</f>
        <v>2.44597590361446</v>
      </c>
      <c r="X10" s="8" t="n">
        <f aca="false">((L10*S10+M10*T10+N10*U10)/(L10+M10+N10))+0.015</f>
        <v>2.28892771084337</v>
      </c>
      <c r="Y10" s="7" t="n">
        <f aca="false">((L10*S10+M10*T10+N10*U10)*'Prices&amp;Fuel'!H10)+V10</f>
        <v>121809.6</v>
      </c>
      <c r="Z10" s="7" t="n">
        <v>16214</v>
      </c>
      <c r="AA10" s="7" t="n">
        <f aca="false">(W10-X10)*Z10/(1-'Prices&amp;Fuel'!F10)</f>
        <v>2637.64180400908</v>
      </c>
      <c r="AB10" s="7" t="n">
        <f aca="false">(O10*X10)+AA10</f>
        <v>116626.241804009</v>
      </c>
      <c r="AC10" s="7" t="n">
        <f aca="false">Y10-AB10</f>
        <v>5183.35819599092</v>
      </c>
      <c r="AD10" s="7"/>
      <c r="AE10" s="7"/>
      <c r="AF10" s="7"/>
      <c r="AG10" s="8"/>
      <c r="AH10" s="7"/>
      <c r="AI10" s="7"/>
      <c r="AJ10" s="7"/>
      <c r="AK10" s="7" t="n">
        <v>148</v>
      </c>
      <c r="AL10" s="7" t="n">
        <v>148.333333333333</v>
      </c>
      <c r="AM10" s="7" t="n">
        <v>148.333333333333</v>
      </c>
      <c r="AN10" s="8" t="n">
        <f aca="false">(('Prices&amp;Fuel'!$B10*AK10+'Prices&amp;Fuel'!$C10*AL10+'Prices&amp;Fuel'!$D10*AM10)/(AK10+AL10+AM10))+0.03+0.015</f>
        <v>2.31501499250375</v>
      </c>
      <c r="AO10" s="7" t="n">
        <f aca="false">(AK10+AL10+AM10)*AN10*'Prices&amp;Fuel'!H10</f>
        <v>30882.3</v>
      </c>
      <c r="AP10" s="7" t="n">
        <f aca="false">(('Prices&amp;Fuel'!$B10+0.015)*AK10+('Prices&amp;Fuel'!$C10+0.015)*AL10+('Prices&amp;Fuel'!$D10+0.015)*AM10)*'Prices&amp;Fuel'!H10</f>
        <v>30482.1</v>
      </c>
      <c r="AQ10" s="7" t="n">
        <f aca="false">AO10-AP10</f>
        <v>400.200000000001</v>
      </c>
      <c r="AR10" s="14" t="n">
        <f aca="false">I10+Y10+AH10+AO10</f>
        <v>557263.429650093</v>
      </c>
      <c r="AS10" s="7" t="n">
        <f aca="false">(B10+C10+D10+L10+M10+N10+((AD10+AE10+AF10)*(1-'Prices&amp;Fuel'!F10))+AK10+AL10+AM10)*0.005*'Prices&amp;Fuel'!H10</f>
        <v>1004.95</v>
      </c>
      <c r="AT10" s="7" t="n">
        <f aca="false">J10+AB10+AI10+AP10+AS10</f>
        <v>543203.5287257</v>
      </c>
      <c r="AU10" s="14" t="n">
        <f aca="false">AR10-AT10</f>
        <v>14059.9009243937</v>
      </c>
      <c r="AV10" s="30" t="n">
        <f aca="false">((B10+C10+D10+AK10+AL10+AM10)*0.005)*'Prices&amp;Fuel'!H10</f>
        <v>755.95</v>
      </c>
      <c r="AW10" s="30" t="n">
        <f aca="false">((L10+M10+N10+(AD10+AE10+AF10)*(1-'Prices&amp;Fuel'!F10))*0.005)*'Prices&amp;Fuel'!H10</f>
        <v>249</v>
      </c>
      <c r="AX10" s="55" t="n">
        <f aca="false">AV10+AW10</f>
        <v>1004.95</v>
      </c>
      <c r="AY10" s="1" t="n">
        <f aca="false">(B10+C10+D10+L10+M10+N10+AD10+AE10+AF10+AK10+AL10+AM10)*'Prices&amp;Fuel'!H10</f>
        <v>200990</v>
      </c>
      <c r="AZ10" s="7"/>
      <c r="BA10" s="7"/>
      <c r="BB10" s="7"/>
      <c r="BC10" s="7"/>
      <c r="BD10" s="7"/>
      <c r="BE10" s="14"/>
      <c r="BF10" s="14"/>
      <c r="BG10" s="14"/>
      <c r="BH10" s="14"/>
      <c r="BI10" s="14"/>
      <c r="BJ10" s="5"/>
      <c r="BK10" s="5"/>
      <c r="BL10" s="5"/>
      <c r="BM10" s="5"/>
      <c r="BN10" s="5"/>
      <c r="BO10" s="5"/>
      <c r="BP10" s="5"/>
      <c r="BQ10" s="5"/>
      <c r="BR10" s="5"/>
    </row>
    <row r="11" customFormat="false" ht="11.25" hidden="false" customHeight="false" outlineLevel="0" collapsed="false">
      <c r="A11" s="6" t="n">
        <f aca="false">+A10+365/12</f>
        <v>35931.5</v>
      </c>
      <c r="B11" s="7" t="n">
        <v>1536.66666666667</v>
      </c>
      <c r="C11" s="7" t="n">
        <v>1536.66666666667</v>
      </c>
      <c r="D11" s="7" t="n">
        <v>1536.66666666667</v>
      </c>
      <c r="E11" s="8" t="n">
        <f aca="false">((('Prices&amp;Fuel'!$B11*0.36+'Prices&amp;Fuel'!$C11*0.43+'Prices&amp;Fuel'!$D11*0.21))+0.03+0.05)/(1-'Prices&amp;Fuel'!F11)</f>
        <v>2.37603050288541</v>
      </c>
      <c r="F11" s="7" t="n">
        <f aca="false">('Prices&amp;Fuel'!Y11+'Prices&amp;Fuel'!Z11+'Prices&amp;Fuel'!AA11)*'Prices&amp;Fuel'!H11*('Prices&amp;Fuel'!L11+'Prices&amp;Fuel'!O11)</f>
        <v>20081.2885</v>
      </c>
      <c r="G11" s="7" t="n">
        <f aca="false">('Prices&amp;Fuel'!M11+'Prices&amp;Fuel'!P11)*'Prices&amp;Fuel'!H11*'Prices&amp;Fuel'!AD11</f>
        <v>19030.59</v>
      </c>
      <c r="H11" s="7" t="n">
        <f aca="false">IF('Prices&amp;Fuel'!AE8&gt;(B11+C11+D11),0,(B11+C11+D11-'Prices&amp;Fuel'!AE11)*('Prices&amp;Fuel'!L11+'Prices&amp;Fuel'!O11)*'Prices&amp;Fuel'!H11)</f>
        <v>32197.2231</v>
      </c>
      <c r="I11" s="7" t="n">
        <f aca="false">((B11+C11+D11)*E11*'Prices&amp;Fuel'!H11)+F11+G11+H11</f>
        <v>410867.620767354</v>
      </c>
      <c r="J11" s="7" t="n">
        <f aca="false">(((('Prices&amp;Fuel'!B11*B11+'Prices&amp;Fuel'!C11*C11+'Prices&amp;Fuel'!D11*D11)/(B11+C11+D11)+0.015)/(1-'Prices&amp;Fuel'!F11))*(B11+C11+D11)*'Prices&amp;Fuel'!H11)+F11+G11+H11</f>
        <v>400946.587859962</v>
      </c>
      <c r="K11" s="7" t="n">
        <f aca="false">I11-J11</f>
        <v>9921.03290739202</v>
      </c>
      <c r="L11" s="7" t="n">
        <v>645</v>
      </c>
      <c r="M11" s="7" t="n">
        <v>352.4</v>
      </c>
      <c r="N11" s="7"/>
      <c r="O11" s="7" t="n">
        <f aca="false">(L11+M11+N11)*'Prices&amp;Fuel'!H11</f>
        <v>30919.4</v>
      </c>
      <c r="P11" s="7" t="n">
        <f aca="false">IF(O11&gt;20000,20000,O11)</f>
        <v>20000</v>
      </c>
      <c r="Q11" s="7" t="n">
        <f aca="false">O11-P11-R11</f>
        <v>10919.4</v>
      </c>
      <c r="R11" s="7" t="n">
        <f aca="false">IF(O11&gt;49999,O11-50000,0)</f>
        <v>0</v>
      </c>
      <c r="S11" s="8" t="n">
        <f aca="false">'Prices&amp;Fuel'!B11</f>
        <v>2.2</v>
      </c>
      <c r="T11" s="8" t="n">
        <f aca="false">'Prices&amp;Fuel'!C11</f>
        <v>2.25</v>
      </c>
      <c r="U11" s="8" t="n">
        <f aca="false">'Prices&amp;Fuel'!D11</f>
        <v>2.22</v>
      </c>
      <c r="V11" s="7" t="n">
        <f aca="false">P11*0.19+Q11*0.16+R11*0.14</f>
        <v>5547.104</v>
      </c>
      <c r="W11" s="8" t="n">
        <f aca="false">Y11/O11</f>
        <v>2.3970712238918</v>
      </c>
      <c r="X11" s="8" t="n">
        <f aca="false">((L11*S11+M11*T11+N11*U11)/(L11+M11+N11))+0.015</f>
        <v>2.2326659314217</v>
      </c>
      <c r="Y11" s="7" t="n">
        <f aca="false">((L11*S11+M11*T11+N11*U11)*'Prices&amp;Fuel'!H11)+V11</f>
        <v>74116.004</v>
      </c>
      <c r="Z11" s="7" t="n">
        <v>6000</v>
      </c>
      <c r="AA11" s="7" t="n">
        <f aca="false">(W11-X11)*Z11/(1-'Prices&amp;Fuel'!F11)</f>
        <v>1016.52076960078</v>
      </c>
      <c r="AB11" s="7" t="n">
        <f aca="false">(O11*X11)+AA11</f>
        <v>70049.2117696008</v>
      </c>
      <c r="AC11" s="7" t="n">
        <f aca="false">Y11-AB11</f>
        <v>4066.79223039922</v>
      </c>
      <c r="AD11" s="7"/>
      <c r="AE11" s="7"/>
      <c r="AF11" s="7"/>
      <c r="AG11" s="8"/>
      <c r="AH11" s="7"/>
      <c r="AI11" s="7"/>
      <c r="AJ11" s="7"/>
      <c r="AK11" s="7" t="n">
        <v>62</v>
      </c>
      <c r="AL11" s="7" t="n">
        <v>62.3333333333333</v>
      </c>
      <c r="AM11" s="7" t="n">
        <v>62.3333333333333</v>
      </c>
      <c r="AN11" s="8" t="n">
        <f aca="false">(('Prices&amp;Fuel'!$B11*AK11+'Prices&amp;Fuel'!$C11*AL11+'Prices&amp;Fuel'!$D11*AM11)/(AK11+AL11+AM11))+0.03+0.015</f>
        <v>2.268375</v>
      </c>
      <c r="AO11" s="7" t="n">
        <f aca="false">(AK11+AL11+AM11)*AN11*'Prices&amp;Fuel'!H11</f>
        <v>13126.33</v>
      </c>
      <c r="AP11" s="7" t="n">
        <f aca="false">(('Prices&amp;Fuel'!$B11+0.015)*AK11+('Prices&amp;Fuel'!$C11+0.015)*AL11+('Prices&amp;Fuel'!$D11+0.015)*AM11)*'Prices&amp;Fuel'!H11</f>
        <v>12952.73</v>
      </c>
      <c r="AQ11" s="7" t="n">
        <f aca="false">AO11-AP11</f>
        <v>173.599999999997</v>
      </c>
      <c r="AR11" s="14" t="n">
        <f aca="false">I11+Y11+AH11+AO11</f>
        <v>498109.954767354</v>
      </c>
      <c r="AS11" s="7" t="n">
        <f aca="false">(B11+C11+D11+L11+M11+N11+((AD11+AE11+AF11)*(1-'Prices&amp;Fuel'!F11))+AK11+AL11+AM11)*0.005*'Prices&amp;Fuel'!H11</f>
        <v>898.080333333333</v>
      </c>
      <c r="AT11" s="7" t="n">
        <f aca="false">J11+AB11+AI11+AP11+AS11</f>
        <v>484846.609962896</v>
      </c>
      <c r="AU11" s="14" t="n">
        <f aca="false">AR11-AT11</f>
        <v>13263.3448044579</v>
      </c>
      <c r="AV11" s="30" t="n">
        <f aca="false">((B11+C11+D11+AK11+AL11+AM11)*0.005)*'Prices&amp;Fuel'!H11</f>
        <v>743.483333333333</v>
      </c>
      <c r="AW11" s="30" t="n">
        <f aca="false">((L11+M11+N11+(AD11+AE11+AF11)*(1-'Prices&amp;Fuel'!F11))*0.005)*'Prices&amp;Fuel'!H11</f>
        <v>154.597</v>
      </c>
      <c r="AX11" s="55" t="n">
        <f aca="false">AV11+AW11</f>
        <v>898.080333333333</v>
      </c>
      <c r="AY11" s="1" t="n">
        <f aca="false">(B11+C11+D11+L11+M11+N11+AD11+AE11+AF11+AK11+AL11+AM11)*'Prices&amp;Fuel'!H11</f>
        <v>179616.066666667</v>
      </c>
      <c r="AZ11" s="7"/>
      <c r="BA11" s="7"/>
      <c r="BB11" s="7"/>
      <c r="BC11" s="7"/>
      <c r="BD11" s="7"/>
      <c r="BE11" s="14"/>
      <c r="BF11" s="14"/>
      <c r="BG11" s="14"/>
      <c r="BH11" s="14"/>
      <c r="BI11" s="14"/>
      <c r="BJ11" s="5"/>
      <c r="BK11" s="5"/>
      <c r="BL11" s="5"/>
      <c r="BM11" s="5"/>
      <c r="BN11" s="5"/>
      <c r="BO11" s="5"/>
      <c r="BP11" s="5"/>
      <c r="BQ11" s="5"/>
      <c r="BR11" s="5"/>
    </row>
    <row r="12" customFormat="false" ht="11.25" hidden="false" customHeight="false" outlineLevel="0" collapsed="false">
      <c r="A12" s="6" t="n">
        <f aca="false">+A11+365/12</f>
        <v>35961.9166666667</v>
      </c>
      <c r="B12" s="7" t="n">
        <v>1220.66666666667</v>
      </c>
      <c r="C12" s="7" t="n">
        <v>1220.66666666667</v>
      </c>
      <c r="D12" s="7" t="n">
        <v>1220.66666666667</v>
      </c>
      <c r="E12" s="8" t="n">
        <f aca="false">((('Prices&amp;Fuel'!$B12*0.36+'Prices&amp;Fuel'!$C12*0.43+'Prices&amp;Fuel'!$D12*0.21))+0.03+0.05)/(1-'Prices&amp;Fuel'!F12)</f>
        <v>2.14499175597692</v>
      </c>
      <c r="F12" s="7" t="n">
        <f aca="false">('Prices&amp;Fuel'!Y12+'Prices&amp;Fuel'!Z12+'Prices&amp;Fuel'!AA12)*'Prices&amp;Fuel'!H12*('Prices&amp;Fuel'!L12+'Prices&amp;Fuel'!O12)</f>
        <v>19433.505</v>
      </c>
      <c r="G12" s="7" t="n">
        <f aca="false">('Prices&amp;Fuel'!M12+'Prices&amp;Fuel'!P12)*'Prices&amp;Fuel'!H12*'Prices&amp;Fuel'!AD12</f>
        <v>18416.7</v>
      </c>
      <c r="H12" s="7" t="n">
        <f aca="false">IF('Prices&amp;Fuel'!AE9&gt;(B12+C12+D12),0,(B12+C12+D12-'Prices&amp;Fuel'!AE12)*('Prices&amp;Fuel'!L12+'Prices&amp;Fuel'!O12)*'Prices&amp;Fuel'!H12)</f>
        <v>18835.551</v>
      </c>
      <c r="I12" s="7" t="n">
        <f aca="false">((B12+C12+D12)*E12*'Prices&amp;Fuel'!H12)+F12+G12+H12</f>
        <v>292334.550311624</v>
      </c>
      <c r="J12" s="7" t="n">
        <f aca="false">(((('Prices&amp;Fuel'!B12*B12+'Prices&amp;Fuel'!C12*C12+'Prices&amp;Fuel'!D12*D12)/(B12+C12+D12)+0.015)/(1-'Prices&amp;Fuel'!F12))*(B12+C12+D12)*'Prices&amp;Fuel'!H12)+F12+G12+H12</f>
        <v>284428.645530091</v>
      </c>
      <c r="K12" s="7" t="n">
        <f aca="false">I12-J12</f>
        <v>7905.90478153341</v>
      </c>
      <c r="L12" s="7" t="n">
        <v>667</v>
      </c>
      <c r="M12" s="7" t="n">
        <v>729</v>
      </c>
      <c r="N12" s="7"/>
      <c r="O12" s="7" t="n">
        <f aca="false">(L12+M12+N12)*'Prices&amp;Fuel'!H12</f>
        <v>41880</v>
      </c>
      <c r="P12" s="7" t="n">
        <f aca="false">IF(O12&gt;20000,20000,O12)</f>
        <v>20000</v>
      </c>
      <c r="Q12" s="7" t="n">
        <f aca="false">O12-P12-R12</f>
        <v>21880</v>
      </c>
      <c r="R12" s="7" t="n">
        <f aca="false">IF(O12&gt;49999,O12-50000,0)</f>
        <v>0</v>
      </c>
      <c r="S12" s="8" t="n">
        <f aca="false">'Prices&amp;Fuel'!B12</f>
        <v>1.98</v>
      </c>
      <c r="T12" s="8" t="n">
        <f aca="false">'Prices&amp;Fuel'!C12</f>
        <v>2.03</v>
      </c>
      <c r="U12" s="8" t="n">
        <f aca="false">'Prices&amp;Fuel'!D12</f>
        <v>1.98</v>
      </c>
      <c r="V12" s="7" t="n">
        <f aca="false">P12*0.19+Q12*0.16+R12*0.14</f>
        <v>7300.8</v>
      </c>
      <c r="W12" s="8" t="n">
        <f aca="false">Y12/O12</f>
        <v>2.18043696275072</v>
      </c>
      <c r="X12" s="8" t="n">
        <f aca="false">((L12*S12+M12*T12+N12*U12)/(L12+M12+N12))+0.015</f>
        <v>2.02111031518625</v>
      </c>
      <c r="Y12" s="7" t="n">
        <f aca="false">((L12*S12+M12*T12+N12*U12)*'Prices&amp;Fuel'!H12)+V12</f>
        <v>91316.7</v>
      </c>
      <c r="Z12" s="7" t="n">
        <v>14309</v>
      </c>
      <c r="AA12" s="7" t="n">
        <f aca="false">(W12-X12)*Z12/(1-'Prices&amp;Fuel'!F12)</f>
        <v>2349.34563066777</v>
      </c>
      <c r="AB12" s="7" t="n">
        <f aca="false">(O12*X12)+AA12</f>
        <v>86993.4456306678</v>
      </c>
      <c r="AC12" s="7" t="n">
        <f aca="false">Y12-AB12</f>
        <v>4323.25436933224</v>
      </c>
      <c r="AD12" s="7"/>
      <c r="AE12" s="7"/>
      <c r="AF12" s="7"/>
      <c r="AG12" s="8"/>
      <c r="AH12" s="7"/>
      <c r="AI12" s="7"/>
      <c r="AJ12" s="7"/>
      <c r="AK12" s="7" t="n">
        <v>48</v>
      </c>
      <c r="AL12" s="7" t="n">
        <v>48.3333333333333</v>
      </c>
      <c r="AM12" s="7" t="n">
        <v>48.3333333333333</v>
      </c>
      <c r="AN12" s="8" t="n">
        <f aca="false">(('Prices&amp;Fuel'!$B12*AK12+'Prices&amp;Fuel'!$C12*AL12+'Prices&amp;Fuel'!$D12*AM12)/(AK12+AL12+AM12))+0.03+0.015</f>
        <v>2.04170506912442</v>
      </c>
      <c r="AO12" s="7" t="n">
        <f aca="false">(AK12+AL12+AM12)*AN12*'Prices&amp;Fuel'!H12</f>
        <v>8861</v>
      </c>
      <c r="AP12" s="7" t="n">
        <f aca="false">(('Prices&amp;Fuel'!$B12+0.015)*AK12+('Prices&amp;Fuel'!$C12+0.015)*AL12+('Prices&amp;Fuel'!$D12+0.015)*AM12)*'Prices&amp;Fuel'!H12</f>
        <v>8730.8</v>
      </c>
      <c r="AQ12" s="7" t="n">
        <f aca="false">AO12-AP12</f>
        <v>130.199999999999</v>
      </c>
      <c r="AR12" s="14" t="n">
        <f aca="false">I12+Y12+AH12+AO12</f>
        <v>392512.250311624</v>
      </c>
      <c r="AS12" s="7" t="n">
        <f aca="false">(B12+C12+D12+L12+M12+N12+((AD12+AE12+AF12)*(1-'Prices&amp;Fuel'!F12))+AK12+AL12+AM12)*0.005*'Prices&amp;Fuel'!H12</f>
        <v>780.4</v>
      </c>
      <c r="AT12" s="7" t="n">
        <f aca="false">J12+AB12+AI12+AP12+AS12</f>
        <v>380933.291160758</v>
      </c>
      <c r="AU12" s="14" t="n">
        <f aca="false">AR12-AT12</f>
        <v>11578.9591508656</v>
      </c>
      <c r="AV12" s="30" t="n">
        <f aca="false">((B12+C12+D12+AK12+AL12+AM12)*0.005)*'Prices&amp;Fuel'!H12</f>
        <v>571</v>
      </c>
      <c r="AW12" s="30" t="n">
        <f aca="false">((L12+M12+N12+(AD12+AE12+AF12)*(1-'Prices&amp;Fuel'!F12))*0.005)*'Prices&amp;Fuel'!H12</f>
        <v>209.4</v>
      </c>
      <c r="AX12" s="55" t="n">
        <f aca="false">AV12+AW12</f>
        <v>780.4</v>
      </c>
      <c r="AY12" s="1" t="n">
        <f aca="false">(B12+C12+D12+L12+M12+N12+AD12+AE12+AF12+AK12+AL12+AM12)*'Prices&amp;Fuel'!H12</f>
        <v>156080</v>
      </c>
      <c r="AZ12" s="7"/>
      <c r="BA12" s="7"/>
      <c r="BB12" s="7"/>
      <c r="BC12" s="7"/>
      <c r="BD12" s="7"/>
      <c r="BE12" s="7"/>
      <c r="BF12" s="7"/>
      <c r="BG12" s="7"/>
      <c r="BH12" s="7"/>
      <c r="BI12" s="7"/>
      <c r="BJ12" s="5"/>
      <c r="BK12" s="5"/>
      <c r="BL12" s="5"/>
      <c r="BM12" s="5"/>
      <c r="BN12" s="5"/>
      <c r="BO12" s="5"/>
      <c r="BP12" s="5"/>
      <c r="BQ12" s="5"/>
      <c r="BR12" s="5"/>
    </row>
    <row r="13" customFormat="false" ht="11.25" hidden="false" customHeight="false" outlineLevel="0" collapsed="false">
      <c r="A13" s="6" t="n">
        <f aca="false">+A12+365/12</f>
        <v>35992.3333333333</v>
      </c>
      <c r="B13" s="7" t="n">
        <v>1281</v>
      </c>
      <c r="C13" s="7" t="n">
        <v>1281</v>
      </c>
      <c r="D13" s="7" t="n">
        <v>1281</v>
      </c>
      <c r="E13" s="8" t="n">
        <f aca="false">((('Prices&amp;Fuel'!$B13*0.36+'Prices&amp;Fuel'!$C13*0.43+'Prices&amp;Fuel'!$D13*0.21))+0.03+0.05)/(1-'Prices&amp;Fuel'!F13)</f>
        <v>2.48072959604287</v>
      </c>
      <c r="F13" s="7" t="n">
        <f aca="false">('Prices&amp;Fuel'!Y13+'Prices&amp;Fuel'!Z13+'Prices&amp;Fuel'!AA13)*'Prices&amp;Fuel'!H13*('Prices&amp;Fuel'!L13+'Prices&amp;Fuel'!O13)</f>
        <v>20081.2885</v>
      </c>
      <c r="G13" s="7" t="n">
        <f aca="false">('Prices&amp;Fuel'!M13+'Prices&amp;Fuel'!P13)*'Prices&amp;Fuel'!H13*'Prices&amp;Fuel'!AD13</f>
        <v>19030.59</v>
      </c>
      <c r="H13" s="7" t="n">
        <f aca="false">IF('Prices&amp;Fuel'!AE10&gt;(B13+C13+D13),0,(B13+C13+D13-'Prices&amp;Fuel'!AE13)*('Prices&amp;Fuel'!L13+'Prices&amp;Fuel'!O13)*'Prices&amp;Fuel'!H13)</f>
        <v>21894.649</v>
      </c>
      <c r="I13" s="7" t="n">
        <f aca="false">((B13+C13+D13)*E13*'Prices&amp;Fuel'!H13)+F13+G13+H13</f>
        <v>356543.286465375</v>
      </c>
      <c r="J13" s="7" t="n">
        <f aca="false">(((('Prices&amp;Fuel'!B13*B13+'Prices&amp;Fuel'!C13*C13+'Prices&amp;Fuel'!D13*D13)/(B13+C13+D13)+0.015)/(1-'Prices&amp;Fuel'!F13))*(B13+C13+D13)*'Prices&amp;Fuel'!H13)+F13+G13+H13</f>
        <v>347667.239577494</v>
      </c>
      <c r="K13" s="7" t="n">
        <f aca="false">I13-J13</f>
        <v>8876.0468878813</v>
      </c>
      <c r="L13" s="7" t="n">
        <v>645</v>
      </c>
      <c r="M13" s="7" t="n">
        <v>764</v>
      </c>
      <c r="N13" s="7"/>
      <c r="O13" s="7" t="n">
        <f aca="false">(L13+M13+N13)*'Prices&amp;Fuel'!H13</f>
        <v>43679</v>
      </c>
      <c r="P13" s="7" t="n">
        <f aca="false">IF(O13&gt;20000,20000,O13)</f>
        <v>20000</v>
      </c>
      <c r="Q13" s="7" t="n">
        <f aca="false">O13-P13-R13</f>
        <v>23679</v>
      </c>
      <c r="R13" s="7" t="n">
        <f aca="false">IF(O13&gt;49999,O13-50000,0)</f>
        <v>0</v>
      </c>
      <c r="S13" s="8" t="n">
        <f aca="false">'Prices&amp;Fuel'!B13</f>
        <v>2.31</v>
      </c>
      <c r="T13" s="8" t="n">
        <f aca="false">'Prices&amp;Fuel'!C13</f>
        <v>2.36</v>
      </c>
      <c r="U13" s="8" t="n">
        <f aca="false">'Prices&amp;Fuel'!D13</f>
        <v>2.29</v>
      </c>
      <c r="V13" s="7" t="n">
        <f aca="false">P13*0.19+Q13*0.16+R13*0.14</f>
        <v>7588.64</v>
      </c>
      <c r="W13" s="8" t="n">
        <f aca="false">Y13/O13</f>
        <v>2.51084800476201</v>
      </c>
      <c r="X13" s="8" t="n">
        <f aca="false">((L13*S13+M13*T13+N13*U13)/(L13+M13+N13))+0.015</f>
        <v>2.35211142654365</v>
      </c>
      <c r="Y13" s="7" t="n">
        <f aca="false">((L13*S13+M13*T13+N13*U13)*'Prices&amp;Fuel'!H13)+V13</f>
        <v>109671.33</v>
      </c>
      <c r="Z13" s="7" t="n">
        <v>13698</v>
      </c>
      <c r="AA13" s="7" t="n">
        <f aca="false">(W13-X13)*Z13/(1-'Prices&amp;Fuel'!F13)</f>
        <v>2240.69831866774</v>
      </c>
      <c r="AB13" s="7" t="n">
        <f aca="false">(O13*X13)+AA13</f>
        <v>104978.573318668</v>
      </c>
      <c r="AC13" s="7" t="n">
        <f aca="false">Y13-AB13</f>
        <v>4692.75668133226</v>
      </c>
      <c r="AD13" s="7"/>
      <c r="AE13" s="7"/>
      <c r="AF13" s="7"/>
      <c r="AG13" s="8"/>
      <c r="AH13" s="7"/>
      <c r="AI13" s="7"/>
      <c r="AJ13" s="7"/>
      <c r="AK13" s="7" t="n">
        <v>150</v>
      </c>
      <c r="AL13" s="7" t="n">
        <v>149.666666666667</v>
      </c>
      <c r="AM13" s="7" t="n">
        <v>149.666666666667</v>
      </c>
      <c r="AN13" s="8" t="n">
        <f aca="false">(('Prices&amp;Fuel'!$B13*AK13+'Prices&amp;Fuel'!$C13*AL13+'Prices&amp;Fuel'!$D13*AM13)/(AK13+AL13+AM13))+0.03+0.015</f>
        <v>2.36499258160237</v>
      </c>
      <c r="AO13" s="7" t="n">
        <f aca="false">(AK13+AL13+AM13)*AN13*'Prices&amp;Fuel'!H13</f>
        <v>32942.77</v>
      </c>
      <c r="AP13" s="7" t="n">
        <f aca="false">(('Prices&amp;Fuel'!$B13+0.015)*AK13+('Prices&amp;Fuel'!$C13+0.015)*AL13+('Prices&amp;Fuel'!$D13+0.015)*AM13)*'Prices&amp;Fuel'!H13</f>
        <v>32524.89</v>
      </c>
      <c r="AQ13" s="7" t="n">
        <f aca="false">AO13-AP13</f>
        <v>417.880000000001</v>
      </c>
      <c r="AR13" s="14" t="n">
        <f aca="false">I13+Y13+AH13+AO13</f>
        <v>499157.386465375</v>
      </c>
      <c r="AS13" s="7" t="n">
        <f aca="false">(B13+C13+D13+L13+M13+N13+((AD13+AE13+AF13)*(1-'Prices&amp;Fuel'!F13))+AK13+AL13+AM13)*0.005*'Prices&amp;Fuel'!H13</f>
        <v>883.706666666667</v>
      </c>
      <c r="AT13" s="7" t="n">
        <f aca="false">J13+AB13+AI13+AP13+AS13</f>
        <v>486054.409562828</v>
      </c>
      <c r="AU13" s="14" t="n">
        <f aca="false">AR13-AT13</f>
        <v>13102.9769025469</v>
      </c>
      <c r="AV13" s="30" t="n">
        <f aca="false">((B13+C13+D13+AK13+AL13+AM13)*0.005)*'Prices&amp;Fuel'!H13</f>
        <v>665.311666666667</v>
      </c>
      <c r="AW13" s="30" t="n">
        <f aca="false">((L13+M13+N13+(AD13+AE13+AF13)*(1-'Prices&amp;Fuel'!F13))*0.005)*'Prices&amp;Fuel'!H13</f>
        <v>218.395</v>
      </c>
      <c r="AX13" s="55" t="n">
        <f aca="false">AV13+AW13</f>
        <v>883.706666666667</v>
      </c>
      <c r="AY13" s="1" t="n">
        <f aca="false">(B13+C13+D13+L13+M13+N13+AD13+AE13+AF13+AK13+AL13+AM13)*'Prices&amp;Fuel'!H13</f>
        <v>176741.333333333</v>
      </c>
      <c r="AZ13" s="7"/>
      <c r="BA13" s="7"/>
      <c r="BB13" s="7"/>
      <c r="BC13" s="7"/>
      <c r="BD13" s="7"/>
      <c r="BE13" s="7"/>
      <c r="BF13" s="7"/>
      <c r="BG13" s="7"/>
      <c r="BH13" s="7"/>
      <c r="BI13" s="7"/>
      <c r="BJ13" s="5"/>
      <c r="BK13" s="5"/>
      <c r="BL13" s="5"/>
      <c r="BM13" s="5"/>
      <c r="BN13" s="5"/>
      <c r="BO13" s="5"/>
      <c r="BP13" s="5"/>
      <c r="BQ13" s="5"/>
      <c r="BR13" s="5"/>
    </row>
    <row r="14" customFormat="false" ht="11.25" hidden="false" customHeight="false" outlineLevel="0" collapsed="false">
      <c r="A14" s="6" t="n">
        <f aca="false">+A13+365/12</f>
        <v>36022.75</v>
      </c>
      <c r="B14" s="7" t="n">
        <v>1794.33333333333</v>
      </c>
      <c r="C14" s="7" t="n">
        <v>1794.33333333333</v>
      </c>
      <c r="D14" s="7" t="n">
        <v>1794.33333333333</v>
      </c>
      <c r="E14" s="8" t="n">
        <f aca="false">((('Prices&amp;Fuel'!$B14*0.36+'Prices&amp;Fuel'!$C14*0.43+'Prices&amp;Fuel'!$D14*0.21))+0.03+0.05)/(1-'Prices&amp;Fuel'!F14)</f>
        <v>2.0257625721352</v>
      </c>
      <c r="F14" s="7" t="n">
        <f aca="false">('Prices&amp;Fuel'!Y14+'Prices&amp;Fuel'!Z14+'Prices&amp;Fuel'!AA14)*'Prices&amp;Fuel'!H14*('Prices&amp;Fuel'!L14+'Prices&amp;Fuel'!O14)</f>
        <v>20081.2885</v>
      </c>
      <c r="G14" s="7" t="n">
        <f aca="false">('Prices&amp;Fuel'!M14+'Prices&amp;Fuel'!P14)*'Prices&amp;Fuel'!H14*'Prices&amp;Fuel'!AD14</f>
        <v>19030.59</v>
      </c>
      <c r="H14" s="7" t="n">
        <f aca="false">IF('Prices&amp;Fuel'!AE11&gt;(B14+C14+D14),0,(B14+C14+D14-'Prices&amp;Fuel'!AE14)*('Prices&amp;Fuel'!L14+'Prices&amp;Fuel'!O14)*'Prices&amp;Fuel'!H14)</f>
        <v>42580.391</v>
      </c>
      <c r="I14" s="7" t="n">
        <f aca="false">((B14+C14+D14)*E14*'Prices&amp;Fuel'!H14)+F14+G14+H14</f>
        <v>419737.347199918</v>
      </c>
      <c r="J14" s="7" t="n">
        <f aca="false">(((('Prices&amp;Fuel'!B14*B14+'Prices&amp;Fuel'!C14*C14+'Prices&amp;Fuel'!D14*D14)/(B14+C14+D14)+0.015)/(1-'Prices&amp;Fuel'!F14))*(B14+C14+D14)*'Prices&amp;Fuel'!H14)+F14+G14+H14</f>
        <v>407562.359153751</v>
      </c>
      <c r="K14" s="7" t="n">
        <f aca="false">I14-J14</f>
        <v>12174.9880461666</v>
      </c>
      <c r="L14" s="7" t="n">
        <v>0</v>
      </c>
      <c r="M14" s="7" t="n">
        <f aca="false">30198/31</f>
        <v>974.129032258065</v>
      </c>
      <c r="N14" s="7" t="n">
        <f aca="false">159/31</f>
        <v>5.12903225806452</v>
      </c>
      <c r="O14" s="7" t="n">
        <f aca="false">(L14+M14+N14)*'Prices&amp;Fuel'!H14</f>
        <v>30357</v>
      </c>
      <c r="P14" s="7" t="n">
        <f aca="false">IF(O14&gt;20000,20000,O14)</f>
        <v>20000</v>
      </c>
      <c r="Q14" s="7" t="n">
        <f aca="false">O14-P14-R14</f>
        <v>10357</v>
      </c>
      <c r="R14" s="7" t="n">
        <f aca="false">IF(O14&gt;49999,O14-50000,0)</f>
        <v>0</v>
      </c>
      <c r="S14" s="8" t="n">
        <f aca="false">'Prices&amp;Fuel'!B14</f>
        <v>1.86</v>
      </c>
      <c r="T14" s="8" t="n">
        <f aca="false">'Prices&amp;Fuel'!C14</f>
        <v>1.92</v>
      </c>
      <c r="U14" s="8" t="n">
        <f aca="false">'Prices&amp;Fuel'!D14</f>
        <v>1.86</v>
      </c>
      <c r="V14" s="7" t="n">
        <f aca="false">P14*0.19+Q14*0.16+R14*0.14</f>
        <v>5457.12</v>
      </c>
      <c r="W14" s="8" t="n">
        <f aca="false">Y14/O14</f>
        <v>2.09945053859077</v>
      </c>
      <c r="X14" s="8" t="n">
        <f aca="false">((L14*S14+M14*T14+N14*U14)/(L14+M14+N14))+0.015</f>
        <v>1.9346857396976</v>
      </c>
      <c r="Y14" s="7" t="n">
        <f aca="false">((L14*S14+M14*T14+N14*U14)*'Prices&amp;Fuel'!H14)+V14</f>
        <v>63733.02</v>
      </c>
      <c r="Z14" s="7" t="n">
        <v>13818</v>
      </c>
      <c r="AA14" s="7" t="n">
        <f aca="false">(W14-X14)*Z14/(1-'Prices&amp;Fuel'!F14)</f>
        <v>2346.16652010083</v>
      </c>
      <c r="AB14" s="7" t="n">
        <f aca="false">(O14*X14)+AA14</f>
        <v>61077.4215201008</v>
      </c>
      <c r="AC14" s="7" t="n">
        <f aca="false">Y14-AB14</f>
        <v>2655.59847989918</v>
      </c>
      <c r="AD14" s="7"/>
      <c r="AE14" s="7"/>
      <c r="AF14" s="7"/>
      <c r="AG14" s="8"/>
      <c r="AH14" s="7"/>
      <c r="AI14" s="7"/>
      <c r="AJ14" s="7"/>
      <c r="AK14" s="7" t="n">
        <v>106</v>
      </c>
      <c r="AL14" s="7" t="n">
        <v>106.333333333333</v>
      </c>
      <c r="AM14" s="7" t="n">
        <v>106.333333333333</v>
      </c>
      <c r="AN14" s="8" t="n">
        <f aca="false">(('Prices&amp;Fuel'!$B14*AK14+'Prices&amp;Fuel'!$C14*AL14+'Prices&amp;Fuel'!$D14*AM14)/(AK14+AL14+AM14))+0.03+0.015</f>
        <v>1.92502092050209</v>
      </c>
      <c r="AO14" s="7" t="n">
        <f aca="false">(AK14+AL14+AM14)*AN14*'Prices&amp;Fuel'!H14</f>
        <v>19016.64</v>
      </c>
      <c r="AP14" s="7" t="n">
        <f aca="false">(('Prices&amp;Fuel'!$B14+0.015)*AK14+('Prices&amp;Fuel'!$C14+0.015)*AL14+('Prices&amp;Fuel'!$D14+0.015)*AM14)*'Prices&amp;Fuel'!H14</f>
        <v>18720.28</v>
      </c>
      <c r="AQ14" s="7" t="n">
        <f aca="false">AO14-AP14</f>
        <v>296.360000000004</v>
      </c>
      <c r="AR14" s="14" t="n">
        <f aca="false">I14+Y14+AH14+AO14</f>
        <v>502487.007199918</v>
      </c>
      <c r="AS14" s="7" t="n">
        <f aca="false">(B14+C14+D14+L14+M14+N14+((AD14+AE14+AF14)*(1-'Prices&amp;Fuel'!F14))+AK14+AL14+AM14)*0.005*'Prices&amp;Fuel'!H14</f>
        <v>1035.54333333333</v>
      </c>
      <c r="AT14" s="7" t="n">
        <f aca="false">J14+AB14+AI14+AP14+AS14</f>
        <v>488395.604007185</v>
      </c>
      <c r="AU14" s="14" t="n">
        <f aca="false">AR14-AT14</f>
        <v>14091.4031927325</v>
      </c>
      <c r="AV14" s="30" t="n">
        <f aca="false">((B14+C14+D14+AK14+AL14+AM14)*0.005)*'Prices&amp;Fuel'!H14</f>
        <v>883.758333333333</v>
      </c>
      <c r="AW14" s="30" t="n">
        <f aca="false">((L14+M14+N14+(AD14+AE14+AF14)*(1-'Prices&amp;Fuel'!F14))*0.005)*'Prices&amp;Fuel'!H14</f>
        <v>151.785</v>
      </c>
      <c r="AX14" s="55" t="n">
        <f aca="false">AV14+AW14</f>
        <v>1035.54333333333</v>
      </c>
      <c r="AY14" s="1" t="n">
        <f aca="false">(B14+C14+D14+L14+M14+N14+AD14+AE14+AF14+AK14+AL14+AM14)*'Prices&amp;Fuel'!H14</f>
        <v>207108.666666667</v>
      </c>
      <c r="AZ14" s="7"/>
      <c r="BA14" s="7"/>
      <c r="BB14" s="7"/>
      <c r="BC14" s="7"/>
      <c r="BD14" s="7"/>
      <c r="BE14" s="7"/>
      <c r="BF14" s="7"/>
      <c r="BG14" s="7"/>
      <c r="BH14" s="7"/>
      <c r="BI14" s="7"/>
      <c r="BJ14" s="5"/>
      <c r="BK14" s="5"/>
      <c r="BL14" s="5"/>
      <c r="BM14" s="5"/>
      <c r="BN14" s="5"/>
      <c r="BO14" s="5"/>
      <c r="BP14" s="5"/>
      <c r="BQ14" s="5"/>
      <c r="BR14" s="5"/>
    </row>
    <row r="15" customFormat="false" ht="11.25" hidden="false" customHeight="false" outlineLevel="0" collapsed="false">
      <c r="A15" s="6" t="n">
        <f aca="false">+A14+365/12</f>
        <v>36053.1666666667</v>
      </c>
      <c r="B15" s="7" t="n">
        <v>1580.33333333333</v>
      </c>
      <c r="C15" s="7" t="n">
        <v>1580.33333333333</v>
      </c>
      <c r="D15" s="7" t="n">
        <v>1580.33333333333</v>
      </c>
      <c r="E15" s="8" t="n">
        <f aca="false">((('Prices&amp;Fuel'!$B15*0.36+'Prices&amp;Fuel'!$C15*0.43+'Prices&amp;Fuel'!$D15*0.21))+0.03+0.05)/(1-'Prices&amp;Fuel'!F15)</f>
        <v>1.71805441055235</v>
      </c>
      <c r="F15" s="7" t="n">
        <f aca="false">('Prices&amp;Fuel'!Y15+'Prices&amp;Fuel'!Z15+'Prices&amp;Fuel'!AA15)*'Prices&amp;Fuel'!H15*('Prices&amp;Fuel'!L15+'Prices&amp;Fuel'!O15)</f>
        <v>19433.505</v>
      </c>
      <c r="G15" s="7" t="n">
        <f aca="false">('Prices&amp;Fuel'!M15+'Prices&amp;Fuel'!P15)*'Prices&amp;Fuel'!H15*'Prices&amp;Fuel'!AD15</f>
        <v>18416.7</v>
      </c>
      <c r="H15" s="7" t="n">
        <f aca="false">IF('Prices&amp;Fuel'!AE12&gt;(B15+C15+D15),0,(B15+C15+D15-'Prices&amp;Fuel'!AE15)*('Prices&amp;Fuel'!L15+'Prices&amp;Fuel'!O15)*'Prices&amp;Fuel'!H15)</f>
        <v>32861.472</v>
      </c>
      <c r="I15" s="7" t="n">
        <f aca="false">((B15+C15+D15)*E15*'Prices&amp;Fuel'!H15)+F15+G15+H15</f>
        <v>315070.555812861</v>
      </c>
      <c r="J15" s="7" t="n">
        <f aca="false">(((('Prices&amp;Fuel'!B15*B15+'Prices&amp;Fuel'!C15*C15+'Prices&amp;Fuel'!D15*D15)/(B15+C15+D15)+0.015)/(1-'Prices&amp;Fuel'!F15))*(B15+C15+D15)*'Prices&amp;Fuel'!H15)+F15+G15+H15</f>
        <v>304976.87691756</v>
      </c>
      <c r="K15" s="7" t="n">
        <f aca="false">I15-J15</f>
        <v>10093.678895301</v>
      </c>
      <c r="L15" s="7" t="n">
        <v>667</v>
      </c>
      <c r="M15" s="7" t="n">
        <v>741</v>
      </c>
      <c r="N15" s="7"/>
      <c r="O15" s="7" t="n">
        <f aca="false">(L15+M15+N15)*'Prices&amp;Fuel'!H15</f>
        <v>42240</v>
      </c>
      <c r="P15" s="7" t="n">
        <f aca="false">IF(O15&gt;20000,20000,O15)</f>
        <v>20000</v>
      </c>
      <c r="Q15" s="7" t="n">
        <f aca="false">O15-P15-R15</f>
        <v>22240</v>
      </c>
      <c r="R15" s="7" t="n">
        <f aca="false">IF(O15&gt;49999,O15-50000,0)</f>
        <v>0</v>
      </c>
      <c r="S15" s="8" t="n">
        <f aca="false">'Prices&amp;Fuel'!B15</f>
        <v>1.57</v>
      </c>
      <c r="T15" s="8" t="n">
        <f aca="false">'Prices&amp;Fuel'!C15</f>
        <v>1.61</v>
      </c>
      <c r="U15" s="8" t="n">
        <f aca="false">'Prices&amp;Fuel'!D15</f>
        <v>1.57</v>
      </c>
      <c r="V15" s="7" t="n">
        <f aca="false">P15*0.19+Q15*0.16+R15*0.14</f>
        <v>7358.4</v>
      </c>
      <c r="W15" s="8" t="n">
        <f aca="false">Y15/O15</f>
        <v>1.76525568181818</v>
      </c>
      <c r="X15" s="8" t="n">
        <f aca="false">((L15*S15+M15*T15+N15*U15)/(L15+M15+N15))+0.015</f>
        <v>1.60605113636364</v>
      </c>
      <c r="Y15" s="7" t="n">
        <f aca="false">((L15*S15+M15*T15+N15*U15)*'Prices&amp;Fuel'!H15)+V15</f>
        <v>74564.4</v>
      </c>
      <c r="Z15" s="7" t="n">
        <v>13408</v>
      </c>
      <c r="AA15" s="7" t="n">
        <f aca="false">(W15-X15)*Z15/(1-'Prices&amp;Fuel'!F15)</f>
        <v>2199.72644832497</v>
      </c>
      <c r="AB15" s="7" t="n">
        <f aca="false">(O15*X15)+AA15</f>
        <v>70039.326448325</v>
      </c>
      <c r="AC15" s="7" t="n">
        <f aca="false">Y15-AB15</f>
        <v>4525.07355167504</v>
      </c>
      <c r="AD15" s="7"/>
      <c r="AE15" s="7"/>
      <c r="AF15" s="7"/>
      <c r="AG15" s="8"/>
      <c r="AH15" s="7"/>
      <c r="AI15" s="7"/>
      <c r="AJ15" s="7"/>
      <c r="AK15" s="7" t="n">
        <v>173</v>
      </c>
      <c r="AL15" s="7" t="n">
        <v>172.666666666667</v>
      </c>
      <c r="AM15" s="7" t="n">
        <v>172.666666666667</v>
      </c>
      <c r="AN15" s="8" t="n">
        <f aca="false">(('Prices&amp;Fuel'!$B15*AK15+'Prices&amp;Fuel'!$C15*AL15+'Prices&amp;Fuel'!$D15*AM15)/(AK15+AL15+AM15))+0.03+0.015</f>
        <v>1.62832475884244</v>
      </c>
      <c r="AO15" s="7" t="n">
        <f aca="false">(AK15+AL15+AM15)*AN15*'Prices&amp;Fuel'!H15</f>
        <v>25320.45</v>
      </c>
      <c r="AP15" s="7" t="n">
        <f aca="false">(('Prices&amp;Fuel'!$B15+0.015)*AK15+('Prices&amp;Fuel'!$C15+0.015)*AL15+('Prices&amp;Fuel'!$D15+0.015)*AM15)*'Prices&amp;Fuel'!H15</f>
        <v>24853.95</v>
      </c>
      <c r="AQ15" s="7" t="n">
        <f aca="false">AO15-AP15</f>
        <v>466.500000000007</v>
      </c>
      <c r="AR15" s="14" t="n">
        <f aca="false">I15+Y15+AH15+AO15</f>
        <v>414955.405812861</v>
      </c>
      <c r="AS15" s="7" t="n">
        <f aca="false">(B15+C15+D15+L15+M15+N15+((AD15+AE15+AF15)*(1-'Prices&amp;Fuel'!F15))+AK15+AL15+AM15)*0.005*'Prices&amp;Fuel'!H15</f>
        <v>1000.1</v>
      </c>
      <c r="AT15" s="7" t="n">
        <f aca="false">J15+AB15+AI15+AP15+AS15</f>
        <v>400870.253365885</v>
      </c>
      <c r="AU15" s="14" t="n">
        <f aca="false">AR15-AT15</f>
        <v>14085.152446976</v>
      </c>
      <c r="AV15" s="30" t="n">
        <f aca="false">((B15+C15+D15+AK15+AL15+AM15)*0.005)*'Prices&amp;Fuel'!H15</f>
        <v>788.9</v>
      </c>
      <c r="AW15" s="30" t="n">
        <f aca="false">((L15+M15+N15+(AD15+AE15+AF15)*(1-'Prices&amp;Fuel'!F15))*0.005)*'Prices&amp;Fuel'!H15</f>
        <v>211.2</v>
      </c>
      <c r="AX15" s="55" t="n">
        <f aca="false">AV15+AW15</f>
        <v>1000.1</v>
      </c>
      <c r="AY15" s="1" t="n">
        <f aca="false">(B15+C15+D15+L15+M15+N15+AD15+AE15+AF15+AK15+AL15+AM15)*'Prices&amp;Fuel'!H15</f>
        <v>200020</v>
      </c>
      <c r="AZ15" s="7"/>
      <c r="BA15" s="7"/>
      <c r="BB15" s="7"/>
      <c r="BC15" s="7"/>
      <c r="BD15" s="7"/>
      <c r="BE15" s="7"/>
      <c r="BF15" s="7"/>
      <c r="BG15" s="7"/>
      <c r="BH15" s="7"/>
      <c r="BI15" s="7"/>
      <c r="BJ15" s="5"/>
      <c r="BK15" s="5"/>
      <c r="BL15" s="5"/>
      <c r="BM15" s="5"/>
      <c r="BN15" s="5"/>
      <c r="BO15" s="5"/>
      <c r="BP15" s="5"/>
      <c r="BQ15" s="5"/>
      <c r="BR15" s="5"/>
    </row>
    <row r="16" customFormat="false" ht="11.25" hidden="false" customHeight="false" outlineLevel="0" collapsed="false">
      <c r="A16" s="6" t="n">
        <f aca="false">+A15+365/12</f>
        <v>36083.5833333333</v>
      </c>
      <c r="B16" s="7" t="n">
        <v>1423.33333333333</v>
      </c>
      <c r="C16" s="7" t="n">
        <v>1423.33333333333</v>
      </c>
      <c r="D16" s="7" t="n">
        <v>1423.33333333333</v>
      </c>
      <c r="E16" s="8" t="n">
        <f aca="false">((('Prices&amp;Fuel'!$B16*0.36+'Prices&amp;Fuel'!$C16*0.43+'Prices&amp;Fuel'!$D16*0.21))+0.03+0.05)/(1-'Prices&amp;Fuel'!F16)</f>
        <v>2.14018114450391</v>
      </c>
      <c r="F16" s="7" t="n">
        <f aca="false">('Prices&amp;Fuel'!Y16+'Prices&amp;Fuel'!Z16+'Prices&amp;Fuel'!AA16)*'Prices&amp;Fuel'!H16*('Prices&amp;Fuel'!L16+'Prices&amp;Fuel'!O16)</f>
        <v>27697.2352</v>
      </c>
      <c r="G16" s="7" t="n">
        <f aca="false">('Prices&amp;Fuel'!M16+'Prices&amp;Fuel'!P16)*'Prices&amp;Fuel'!H16*'Prices&amp;Fuel'!AD16</f>
        <v>18458.5594</v>
      </c>
      <c r="H16" s="7" t="n">
        <f aca="false">IF('Prices&amp;Fuel'!AE13&gt;(B16+C16+D16),0,(B16+C16+D16-'Prices&amp;Fuel'!AE16)*('Prices&amp;Fuel'!L16+'Prices&amp;Fuel'!O16)*'Prices&amp;Fuel'!H16)</f>
        <v>17184.416</v>
      </c>
      <c r="I16" s="7" t="n">
        <f aca="false">((B16+C16+D16)*E16*'Prices&amp;Fuel'!H16)+F16+G16+H16</f>
        <v>346635.988697983</v>
      </c>
      <c r="J16" s="7" t="n">
        <f aca="false">(((('Prices&amp;Fuel'!B16*B16+'Prices&amp;Fuel'!C16*C16+'Prices&amp;Fuel'!D16*D16)/(B16+C16+D16)+0.015)/(1-'Prices&amp;Fuel'!F16))*(B16+C16+D16)*'Prices&amp;Fuel'!H16)+F16+G16+H16</f>
        <v>336953.923376177</v>
      </c>
      <c r="K16" s="7" t="n">
        <f aca="false">I16-J16</f>
        <v>9682.06532180589</v>
      </c>
      <c r="L16" s="7" t="n">
        <f aca="false">30877/31</f>
        <v>996.032258064516</v>
      </c>
      <c r="M16" s="7" t="n">
        <v>0</v>
      </c>
      <c r="N16" s="7"/>
      <c r="O16" s="7" t="n">
        <f aca="false">(L16+M16+N16)*'Prices&amp;Fuel'!H16</f>
        <v>30877</v>
      </c>
      <c r="P16" s="7" t="n">
        <f aca="false">IF(O16&gt;20000,20000,O16)</f>
        <v>20000</v>
      </c>
      <c r="Q16" s="7" t="n">
        <f aca="false">O16-P16-R16</f>
        <v>10877</v>
      </c>
      <c r="R16" s="7" t="n">
        <f aca="false">IF(O16&gt;49999,O16-50000,0)</f>
        <v>0</v>
      </c>
      <c r="S16" s="8" t="n">
        <f aca="false">'Prices&amp;Fuel'!B16</f>
        <v>1.98</v>
      </c>
      <c r="T16" s="8" t="n">
        <f aca="false">'Prices&amp;Fuel'!C16</f>
        <v>2.03</v>
      </c>
      <c r="U16" s="8" t="n">
        <f aca="false">'Prices&amp;Fuel'!D16</f>
        <v>1.97</v>
      </c>
      <c r="V16" s="7" t="n">
        <f aca="false">P16*0.19+Q16*0.16+R16*0.14</f>
        <v>5540.32</v>
      </c>
      <c r="W16" s="8" t="n">
        <f aca="false">Y16/O16</f>
        <v>2.15943193963144</v>
      </c>
      <c r="X16" s="8" t="n">
        <f aca="false">((L16*S16+M16*T16+N16*U16)/(L16+M16+N16))+0.015</f>
        <v>1.995</v>
      </c>
      <c r="Y16" s="7" t="n">
        <f aca="false">((L16*S16+M16*T16+N16*U16)*'Prices&amp;Fuel'!H16)+V16</f>
        <v>66676.78</v>
      </c>
      <c r="Z16" s="7" t="n">
        <v>14167</v>
      </c>
      <c r="AA16" s="7" t="n">
        <f aca="false">(W16-X16)*Z16</f>
        <v>2329.50728875862</v>
      </c>
      <c r="AB16" s="7" t="n">
        <f aca="false">(O16*X16)+AA16</f>
        <v>63929.1222887586</v>
      </c>
      <c r="AC16" s="7" t="n">
        <f aca="false">Y16-AB16</f>
        <v>2747.65771124138</v>
      </c>
      <c r="AD16" s="7"/>
      <c r="AE16" s="7"/>
      <c r="AF16" s="7"/>
      <c r="AG16" s="8"/>
      <c r="AH16" s="7"/>
      <c r="AI16" s="7"/>
      <c r="AJ16" s="7"/>
      <c r="AK16" s="7" t="n">
        <v>146</v>
      </c>
      <c r="AL16" s="7" t="n">
        <v>145.666666666667</v>
      </c>
      <c r="AM16" s="7" t="n">
        <v>145.666666666667</v>
      </c>
      <c r="AN16" s="8" t="n">
        <f aca="false">(('Prices&amp;Fuel'!$B16*AK16+'Prices&amp;Fuel'!$C16*AL16+'Prices&amp;Fuel'!$D16*AM16)/(AK16+AL16+AM16))+0.03+0.015</f>
        <v>2.03832317073171</v>
      </c>
      <c r="AO16" s="7" t="n">
        <f aca="false">(AK16+AL16+AM16)*AN16*'Prices&amp;Fuel'!H16</f>
        <v>27634.2266666667</v>
      </c>
      <c r="AP16" s="7" t="n">
        <f aca="false">(('Prices&amp;Fuel'!$B16+0.015)*AK16+('Prices&amp;Fuel'!$C16+0.015)*AL16+('Prices&amp;Fuel'!$D16+0.015)*AM16)*'Prices&amp;Fuel'!H16</f>
        <v>27227.5066666667</v>
      </c>
      <c r="AQ16" s="7" t="n">
        <f aca="false">AO16-AP16</f>
        <v>406.720000000001</v>
      </c>
      <c r="AR16" s="14" t="n">
        <f aca="false">I16+Y16+AH16+AO16</f>
        <v>440946.995364649</v>
      </c>
      <c r="AS16" s="7" t="n">
        <f aca="false">(B16+C16+D16+L16+M16+N16+((AD16+AE16+AF16)*(1-'Prices&amp;Fuel'!F16))+AK16+AL16+AM16)*0.005*'Prices&amp;Fuel'!H16</f>
        <v>884.021666666667</v>
      </c>
      <c r="AT16" s="7" t="n">
        <f aca="false">J16+AB16+AI16+AP16+AS16</f>
        <v>428994.573998269</v>
      </c>
      <c r="AU16" s="14" t="n">
        <f aca="false">AR16-AT16</f>
        <v>11952.4213663806</v>
      </c>
      <c r="AV16" s="30" t="n">
        <f aca="false">((B16+C16+D16+AK16+AL16+AM16)*0.005)*'Prices&amp;Fuel'!H16</f>
        <v>729.636666666667</v>
      </c>
      <c r="AW16" s="30" t="n">
        <f aca="false">((L16+M16+N16+(AD16+AE16+AF16)*(1-'Prices&amp;Fuel'!F16))*0.005)*'Prices&amp;Fuel'!H16</f>
        <v>154.385</v>
      </c>
      <c r="AX16" s="55" t="n">
        <f aca="false">AV16+AW16</f>
        <v>884.021666666667</v>
      </c>
      <c r="AY16" s="1" t="n">
        <f aca="false">(B16+C16+D16+L16+M16+N16+AD16+AE16+AF16+AK16+AL16+AM16)*'Prices&amp;Fuel'!H16</f>
        <v>176804.333333333</v>
      </c>
      <c r="AZ16" s="7"/>
      <c r="BA16" s="7"/>
      <c r="BB16" s="7"/>
      <c r="BC16" s="7"/>
      <c r="BD16" s="7"/>
      <c r="BE16" s="7"/>
      <c r="BF16" s="7"/>
      <c r="BG16" s="7"/>
      <c r="BH16" s="7"/>
      <c r="BI16" s="7"/>
      <c r="BJ16" s="5"/>
      <c r="BK16" s="5"/>
      <c r="BL16" s="5"/>
      <c r="BM16" s="5"/>
      <c r="BN16" s="5"/>
      <c r="BO16" s="5"/>
      <c r="BP16" s="5"/>
      <c r="BQ16" s="5"/>
      <c r="BR16" s="5"/>
    </row>
    <row r="17" customFormat="false" ht="11.25" hidden="false" customHeight="false" outlineLevel="0" collapsed="false">
      <c r="A17" s="6" t="n">
        <f aca="false">+A16+365/12</f>
        <v>36114</v>
      </c>
      <c r="B17" s="6"/>
      <c r="C17" s="6"/>
      <c r="E17" s="8"/>
      <c r="F17" s="8"/>
      <c r="G17" s="8"/>
      <c r="H17" s="8"/>
      <c r="L17" s="7" t="n">
        <f aca="false">37262/30</f>
        <v>1242.06666666667</v>
      </c>
      <c r="M17" s="7" t="n">
        <v>0</v>
      </c>
      <c r="N17" s="7" t="n">
        <v>0</v>
      </c>
      <c r="O17" s="7" t="n">
        <f aca="false">(L17+M17+N17)*'Prices&amp;Fuel'!H17</f>
        <v>37262</v>
      </c>
      <c r="P17" s="7" t="n">
        <f aca="false">IF(O17&gt;20000,20000,O17)</f>
        <v>20000</v>
      </c>
      <c r="Q17" s="7" t="n">
        <f aca="false">O17-P17-R17</f>
        <v>17262</v>
      </c>
      <c r="R17" s="7" t="n">
        <f aca="false">IF(O17&gt;49999,O17-50000,0)</f>
        <v>0</v>
      </c>
      <c r="S17" s="8" t="n">
        <f aca="false">'Prices&amp;Fuel'!B17</f>
        <v>1.92</v>
      </c>
      <c r="T17" s="8" t="n">
        <f aca="false">'Prices&amp;Fuel'!C17</f>
        <v>1.99</v>
      </c>
      <c r="U17" s="8" t="n">
        <f aca="false">'Prices&amp;Fuel'!D17</f>
        <v>1.91</v>
      </c>
      <c r="V17" s="7" t="n">
        <f aca="false">P17*0.19+Q17*0.16+R17*0.14</f>
        <v>6561.92</v>
      </c>
      <c r="W17" s="8" t="n">
        <f aca="false">Y17/O17</f>
        <v>2.09610219526595</v>
      </c>
      <c r="X17" s="8" t="n">
        <f aca="false">((L17*S17+M17*T17+N17*U17)/(L17+M17+N17))+0.015</f>
        <v>1.935</v>
      </c>
      <c r="Y17" s="7" t="n">
        <f aca="false">((L17*S17+M17*T17+N17*U17)*'Prices&amp;Fuel'!H17)+V17</f>
        <v>78104.96</v>
      </c>
      <c r="Z17" s="7" t="n">
        <f aca="false">13118+1972</f>
        <v>15090</v>
      </c>
      <c r="AA17" s="7" t="n">
        <f aca="false">(W17-X17)*Z17/(1-'Prices&amp;Fuel'!F17)</f>
        <v>2502.09152589878</v>
      </c>
      <c r="AB17" s="7" t="n">
        <f aca="false">(O17*X17)+AA17</f>
        <v>74604.0615258988</v>
      </c>
      <c r="AC17" s="7" t="n">
        <f aca="false">Y17-AB17</f>
        <v>3500.89847410122</v>
      </c>
      <c r="AD17" s="7"/>
      <c r="AE17" s="7"/>
      <c r="AF17" s="7"/>
      <c r="AG17" s="8"/>
      <c r="AH17" s="7"/>
      <c r="AI17" s="7"/>
      <c r="AJ17" s="7"/>
      <c r="AK17" s="7" t="n">
        <v>121</v>
      </c>
      <c r="AL17" s="7" t="n">
        <v>121</v>
      </c>
      <c r="AM17" s="7" t="n">
        <v>121</v>
      </c>
      <c r="AN17" s="8" t="n">
        <f aca="false">(('Prices&amp;Fuel'!$B17*AK17+'Prices&amp;Fuel'!$C17*AL17+'Prices&amp;Fuel'!$D17*AM17)/(AK17+AL17+AM17))+0.03+0.015</f>
        <v>1.985</v>
      </c>
      <c r="AO17" s="7" t="n">
        <f aca="false">(AK17+AL17+AM17)*AN17*'Prices&amp;Fuel'!H17</f>
        <v>21616.65</v>
      </c>
      <c r="AP17" s="7" t="n">
        <f aca="false">(('Prices&amp;Fuel'!$B17+0.015)*AK17+('Prices&amp;Fuel'!$C17+0.015)*AL17+('Prices&amp;Fuel'!$D17+0.015)*AM17)*'Prices&amp;Fuel'!H17</f>
        <v>21289.95</v>
      </c>
      <c r="AQ17" s="7" t="n">
        <f aca="false">AO17-AP17</f>
        <v>326.700000000004</v>
      </c>
      <c r="AR17" s="14" t="n">
        <f aca="false">I17+Y17+AH17+AO17</f>
        <v>99721.61</v>
      </c>
      <c r="AS17" s="7" t="n">
        <f aca="false">(B17+C17+D17+L17+M17+N17+((AD17+AE17+AF17)*(1-'Prices&amp;Fuel'!F17))+AK17+AL17+AM17)*0.005*'Prices&amp;Fuel'!H17</f>
        <v>240.76</v>
      </c>
      <c r="AT17" s="7" t="n">
        <f aca="false">J17+AB17+AI17+AP17+AS17</f>
        <v>96134.7715258988</v>
      </c>
      <c r="AU17" s="14" t="n">
        <f aca="false">AR17-AT17</f>
        <v>3586.83847410123</v>
      </c>
      <c r="AV17" s="30" t="n">
        <f aca="false">((B17+C17+D17+AK17+AL17+AM17)*0.005)*'Prices&amp;Fuel'!H17</f>
        <v>54.45</v>
      </c>
      <c r="AW17" s="30" t="n">
        <f aca="false">((L17+M17+N17+(AD17+AE17+AF17)*(1-'Prices&amp;Fuel'!F17))*0.005)*'Prices&amp;Fuel'!H17</f>
        <v>186.31</v>
      </c>
      <c r="AX17" s="55" t="n">
        <f aca="false">AV17+AW17</f>
        <v>240.76</v>
      </c>
      <c r="AY17" s="1" t="n">
        <f aca="false">(B17+C17+D17+L17+M17+N17+AD17+AE17+AF17+AK17+AL17+AM17)*'Prices&amp;Fuel'!H17</f>
        <v>48152</v>
      </c>
      <c r="AZ17" s="7"/>
      <c r="BA17" s="7"/>
      <c r="BB17" s="7"/>
      <c r="BC17" s="7"/>
      <c r="BD17" s="7"/>
      <c r="BE17" s="14"/>
      <c r="BF17" s="14"/>
      <c r="BG17" s="14"/>
      <c r="BH17" s="14"/>
      <c r="BI17" s="14"/>
      <c r="BJ17" s="5"/>
      <c r="BK17" s="5"/>
      <c r="BL17" s="5"/>
      <c r="BM17" s="5"/>
      <c r="BN17" s="5"/>
      <c r="BO17" s="5"/>
      <c r="BP17" s="5"/>
      <c r="BQ17" s="5"/>
      <c r="BR17" s="5"/>
      <c r="BV17" s="9"/>
    </row>
    <row r="18" customFormat="false" ht="11.25" hidden="false" customHeight="false" outlineLevel="0" collapsed="false">
      <c r="A18" s="6" t="n">
        <f aca="false">+A17+365/12</f>
        <v>36144.4166666667</v>
      </c>
      <c r="B18" s="6"/>
      <c r="C18" s="6"/>
      <c r="E18" s="8"/>
      <c r="F18" s="8"/>
      <c r="G18" s="8"/>
      <c r="H18" s="8"/>
      <c r="I18" s="8"/>
      <c r="J18" s="8"/>
      <c r="L18" s="7" t="n">
        <v>645</v>
      </c>
      <c r="M18" s="7" t="n">
        <v>968</v>
      </c>
      <c r="N18" s="7" t="n">
        <v>850</v>
      </c>
      <c r="O18" s="7" t="n">
        <f aca="false">(L18+M18+N18)*'Prices&amp;Fuel'!H18</f>
        <v>76353</v>
      </c>
      <c r="P18" s="7" t="n">
        <f aca="false">IF(O18&gt;20000,20000,O18)</f>
        <v>20000</v>
      </c>
      <c r="Q18" s="7" t="n">
        <f aca="false">O18-P18-R18</f>
        <v>30000</v>
      </c>
      <c r="R18" s="7" t="n">
        <f aca="false">IF(O18&gt;49999,O18-50000,0)</f>
        <v>26353</v>
      </c>
      <c r="S18" s="8" t="n">
        <f aca="false">'Prices&amp;Fuel'!B18</f>
        <v>2.07</v>
      </c>
      <c r="T18" s="8" t="n">
        <f aca="false">'Prices&amp;Fuel'!C18</f>
        <v>2.12</v>
      </c>
      <c r="U18" s="8" t="n">
        <f aca="false">'Prices&amp;Fuel'!D18</f>
        <v>2.07</v>
      </c>
      <c r="V18" s="7" t="n">
        <f aca="false">P18*0.19+Q18*0.16+R18*0.14</f>
        <v>12289.42</v>
      </c>
      <c r="W18" s="8" t="n">
        <f aca="false">Y18/O18</f>
        <v>2.25060613204458</v>
      </c>
      <c r="X18" s="8" t="n">
        <f aca="false">((L18*S18+M18*T18+N18*U18)/(L18+M18+N18))+0.015</f>
        <v>2.10465083231831</v>
      </c>
      <c r="Y18" s="7" t="n">
        <f aca="false">((L18*S18+M18*T18+N18*U18)*'Prices&amp;Fuel'!H18)+V18</f>
        <v>171840.53</v>
      </c>
      <c r="Z18" s="7" t="n">
        <v>28406</v>
      </c>
      <c r="AA18" s="7" t="n">
        <f aca="false">(W18-X18)*Z18/(1-'Prices&amp;Fuel'!F18)</f>
        <v>4267.19456980699</v>
      </c>
      <c r="AB18" s="7" t="n">
        <f aca="false">(O18*X18)+AA18</f>
        <v>164963.599569807</v>
      </c>
      <c r="AC18" s="7" t="n">
        <f aca="false">Y18-AB18</f>
        <v>6876.93043019302</v>
      </c>
      <c r="AD18" s="7"/>
      <c r="AE18" s="7"/>
      <c r="AF18" s="7"/>
      <c r="AG18" s="8"/>
      <c r="AH18" s="7"/>
      <c r="AI18" s="7"/>
      <c r="AJ18" s="7"/>
      <c r="AK18" s="7" t="n">
        <v>168</v>
      </c>
      <c r="AL18" s="7" t="n">
        <v>167.666666666667</v>
      </c>
      <c r="AM18" s="7" t="n">
        <v>167.666666666667</v>
      </c>
      <c r="AN18" s="8" t="n">
        <f aca="false">(('Prices&amp;Fuel'!$B18*AK18+'Prices&amp;Fuel'!$C18*AL18+'Prices&amp;Fuel'!$D18*AM18)/(AK18+AL18+AM18))+0.03+0.015</f>
        <v>2.13165562913907</v>
      </c>
      <c r="AO18" s="7" t="n">
        <f aca="false">(AK18+AL18+AM18)*AN18*'Prices&amp;Fuel'!H18</f>
        <v>33260.9333333333</v>
      </c>
      <c r="AP18" s="7" t="n">
        <f aca="false">(('Prices&amp;Fuel'!$B18+0.015)*AK18+('Prices&amp;Fuel'!$C18+0.015)*AL18+('Prices&amp;Fuel'!$D18+0.015)*AM18)*'Prices&amp;Fuel'!H18</f>
        <v>32792.8333333333</v>
      </c>
      <c r="AQ18" s="7" t="n">
        <f aca="false">AO18-AP18</f>
        <v>468.100000000006</v>
      </c>
      <c r="AR18" s="14" t="n">
        <f aca="false">I18+Y18+AH18+AO18</f>
        <v>205101.463333333</v>
      </c>
      <c r="AS18" s="7" t="n">
        <f aca="false">(B18+C18+D18+L18+M18+N18+((AD18+AE18+AF18)*(1-'Prices&amp;Fuel'!F18))+AK18+AL18+AM18)*0.005*'Prices&amp;Fuel'!H18</f>
        <v>459.781666666667</v>
      </c>
      <c r="AT18" s="7" t="n">
        <f aca="false">J18+AB18+AI18+AP18+AS18</f>
        <v>198216.214569807</v>
      </c>
      <c r="AU18" s="14" t="n">
        <f aca="false">AR18-AT18</f>
        <v>6885.24876352638</v>
      </c>
      <c r="AV18" s="30" t="n">
        <f aca="false">((B18+C18+D18+AK18+AL18+AM18)*0.005)*'Prices&amp;Fuel'!H18</f>
        <v>78.0166666666667</v>
      </c>
      <c r="AW18" s="30" t="n">
        <f aca="false">((L18+M18+N18+(AD18+AE18+AF18)*(1-'Prices&amp;Fuel'!F18))*0.005)*'Prices&amp;Fuel'!H18</f>
        <v>381.765</v>
      </c>
      <c r="AX18" s="55" t="n">
        <f aca="false">AV18+AW18</f>
        <v>459.781666666667</v>
      </c>
      <c r="AY18" s="1" t="n">
        <f aca="false">(B18+C18+D18+L18+M18+N18+AD18+AE18+AF18+AK18+AL18+AM18)*'Prices&amp;Fuel'!H18</f>
        <v>91956.3333333333</v>
      </c>
      <c r="AZ18" s="7" t="n">
        <f aca="false">SUM(AY7:AY18)/365</f>
        <v>5581.87872146097</v>
      </c>
      <c r="BA18" s="7"/>
      <c r="BB18" s="7"/>
      <c r="BC18" s="7"/>
      <c r="BD18" s="7"/>
      <c r="BE18" s="14"/>
      <c r="BF18" s="14"/>
      <c r="BG18" s="14"/>
      <c r="BH18" s="14"/>
      <c r="BI18" s="14"/>
      <c r="BJ18" s="5"/>
      <c r="BK18" s="5"/>
      <c r="BL18" s="5"/>
      <c r="BM18" s="5"/>
      <c r="BN18" s="5"/>
      <c r="BO18" s="5"/>
      <c r="BP18" s="5"/>
      <c r="BQ18" s="5"/>
      <c r="BR18" s="5"/>
      <c r="BV18" s="9"/>
    </row>
    <row r="19" customFormat="false" ht="11.25" hidden="false" customHeight="false" outlineLevel="0" collapsed="false">
      <c r="A19" s="6" t="n">
        <f aca="false">+A18+365/12</f>
        <v>36174.8333333333</v>
      </c>
      <c r="B19" s="6"/>
      <c r="C19" s="6"/>
      <c r="E19" s="8"/>
      <c r="F19" s="8"/>
      <c r="G19" s="8"/>
      <c r="H19" s="8"/>
      <c r="I19" s="8"/>
      <c r="J19" s="8"/>
      <c r="K19" s="56"/>
      <c r="L19" s="7" t="n">
        <f aca="false">$O19/3/'Prices&amp;Fuel'!$H19</f>
        <v>665.322580645161</v>
      </c>
      <c r="M19" s="7" t="n">
        <f aca="false">$O19/3/'Prices&amp;Fuel'!$H19</f>
        <v>665.322580645161</v>
      </c>
      <c r="N19" s="7" t="n">
        <f aca="false">$O19/3/'Prices&amp;Fuel'!$H19</f>
        <v>665.322580645161</v>
      </c>
      <c r="O19" s="7" t="n">
        <v>61875</v>
      </c>
      <c r="P19" s="7" t="n">
        <f aca="false">IF(O19&gt;20000,20000,O19)</f>
        <v>20000</v>
      </c>
      <c r="Q19" s="7" t="n">
        <f aca="false">O19-P19-R19</f>
        <v>30000</v>
      </c>
      <c r="R19" s="7" t="n">
        <f aca="false">IF(O19&gt;49999,O19-50000,0)</f>
        <v>11875</v>
      </c>
      <c r="S19" s="8" t="n">
        <f aca="false">'Prices&amp;Fuel'!B19</f>
        <v>1.73</v>
      </c>
      <c r="T19" s="8" t="n">
        <f aca="false">'Prices&amp;Fuel'!C19</f>
        <v>1.78</v>
      </c>
      <c r="U19" s="8" t="n">
        <f aca="false">'Prices&amp;Fuel'!D19</f>
        <v>1.73</v>
      </c>
      <c r="V19" s="7" t="n">
        <f aca="false">P19*0.19+Q19*0.16+R19*0.14</f>
        <v>10262.5</v>
      </c>
      <c r="W19" s="8" t="n">
        <f aca="false">Y19/O19</f>
        <v>1.91252525252525</v>
      </c>
      <c r="X19" s="8" t="n">
        <f aca="false">((L19*S19+M19*T19+N19*U19)/(L19+M19+N19))+0.015</f>
        <v>1.76166666666667</v>
      </c>
      <c r="Y19" s="7" t="n">
        <f aca="false">((L19*S19+M19*T19+N19*U19)*'Prices&amp;Fuel'!H19)+V19</f>
        <v>118337.5</v>
      </c>
      <c r="Z19" s="7" t="n">
        <v>24742</v>
      </c>
      <c r="AA19" s="7" t="n">
        <f aca="false">(W19-X19)*Z19/(1-'Prices&amp;Fuel'!F19)</f>
        <v>3828.24936544936</v>
      </c>
      <c r="AB19" s="7" t="n">
        <f aca="false">(O19*X19)+AA19</f>
        <v>112831.374365449</v>
      </c>
      <c r="AC19" s="7" t="n">
        <f aca="false">Y19-AB19</f>
        <v>5506.12563455064</v>
      </c>
      <c r="AD19" s="7"/>
      <c r="AE19" s="7"/>
      <c r="AF19" s="7"/>
      <c r="AG19" s="8"/>
      <c r="AH19" s="7"/>
      <c r="AI19" s="7"/>
      <c r="AJ19" s="7"/>
      <c r="AK19" s="7" t="n">
        <v>108</v>
      </c>
      <c r="AL19" s="7" t="n">
        <f aca="false">AK19</f>
        <v>108</v>
      </c>
      <c r="AM19" s="7" t="n">
        <f aca="false">AL19</f>
        <v>108</v>
      </c>
      <c r="AN19" s="8" t="n">
        <f aca="false">(('Prices&amp;Fuel'!$B19*AK19+'Prices&amp;Fuel'!$C19*AL19+'Prices&amp;Fuel'!$D19*AM19)/(AK19+AL19+AM19))+0.03+0.015</f>
        <v>1.79166666666667</v>
      </c>
      <c r="AO19" s="7" t="n">
        <f aca="false">(AK19+AL19+AM19)*AN19*'Prices&amp;Fuel'!H19</f>
        <v>17995.5</v>
      </c>
      <c r="AP19" s="7" t="n">
        <f aca="false">(('Prices&amp;Fuel'!$B19+0.015)*AK19+('Prices&amp;Fuel'!$C19+0.015)*AL19+('Prices&amp;Fuel'!$D19+0.015)*AM19)*'Prices&amp;Fuel'!H19</f>
        <v>17694.18</v>
      </c>
      <c r="AQ19" s="7" t="n">
        <f aca="false">AO19-AP19</f>
        <v>301.32</v>
      </c>
      <c r="AR19" s="14" t="n">
        <f aca="false">I19+Y19+AH19+AO19</f>
        <v>136333</v>
      </c>
      <c r="AS19" s="7" t="n">
        <f aca="false">(B19+C19+D19+L19+M19+N19+((AD19+AE19+AF19)*(1-'Prices&amp;Fuel'!F19))+AK19+AL19+AM19)*0.005*'Prices&amp;Fuel'!H19</f>
        <v>359.595</v>
      </c>
      <c r="AT19" s="7" t="n">
        <f aca="false">J19+AB19+AI19+AP19+AS19</f>
        <v>130885.149365449</v>
      </c>
      <c r="AU19" s="14" t="n">
        <f aca="false">AR19-AT19</f>
        <v>5447.85063455065</v>
      </c>
      <c r="AV19" s="30" t="n">
        <f aca="false">((B19+C19+D19+AK19+AL19+AM19)*0.005)*'Prices&amp;Fuel'!H19</f>
        <v>50.22</v>
      </c>
      <c r="AW19" s="30" t="n">
        <f aca="false">((L19+M19+N19+(AD19+AE19+AF19)*(1-'Prices&amp;Fuel'!F19))*0.005)*'Prices&amp;Fuel'!H19</f>
        <v>309.375</v>
      </c>
      <c r="AX19" s="55" t="n">
        <f aca="false">AV19+AW19</f>
        <v>359.595</v>
      </c>
      <c r="AY19" s="1" t="n">
        <f aca="false">(B19+C19+D19+L19+M19+N19+AD19+AE19+AF19+AK19+AL19+AM19)*'Prices&amp;Fuel'!H19</f>
        <v>71919</v>
      </c>
      <c r="BA19" s="7" t="n">
        <f aca="false">(AK19+AL19+AM19)*'Prices&amp;Fuel'!H19</f>
        <v>10044</v>
      </c>
      <c r="BB19" s="7"/>
      <c r="BC19" s="7"/>
      <c r="BD19" s="7"/>
      <c r="BE19" s="14"/>
      <c r="BF19" s="14"/>
      <c r="BG19" s="14"/>
      <c r="BH19" s="14"/>
      <c r="BI19" s="14"/>
      <c r="BJ19" s="5"/>
      <c r="BK19" s="5"/>
      <c r="BL19" s="5"/>
      <c r="BM19" s="5"/>
      <c r="BN19" s="5"/>
      <c r="BO19" s="5"/>
      <c r="BP19" s="5"/>
      <c r="BQ19" s="5"/>
      <c r="BR19" s="5"/>
      <c r="BV19" s="9"/>
    </row>
    <row r="20" customFormat="false" ht="11.25" hidden="false" customHeight="false" outlineLevel="0" collapsed="false">
      <c r="A20" s="6" t="n">
        <f aca="false">+A19+365/12</f>
        <v>36205.25</v>
      </c>
      <c r="B20" s="6"/>
      <c r="C20" s="6"/>
      <c r="E20" s="8"/>
      <c r="F20" s="8"/>
      <c r="G20" s="8"/>
      <c r="H20" s="8"/>
      <c r="I20" s="8"/>
      <c r="J20" s="8"/>
      <c r="K20" s="8"/>
      <c r="L20" s="7" t="n">
        <f aca="false">$O20/3/'Prices&amp;Fuel'!$H20</f>
        <v>674.428571428571</v>
      </c>
      <c r="M20" s="7" t="n">
        <f aca="false">$O20/3/'Prices&amp;Fuel'!$H20</f>
        <v>674.428571428571</v>
      </c>
      <c r="N20" s="7" t="n">
        <f aca="false">$O20/3/'Prices&amp;Fuel'!$H20</f>
        <v>674.428571428571</v>
      </c>
      <c r="O20" s="7" t="n">
        <v>56652</v>
      </c>
      <c r="P20" s="7" t="n">
        <f aca="false">IF(O20&gt;20000,20000,O20)</f>
        <v>20000</v>
      </c>
      <c r="Q20" s="7" t="n">
        <f aca="false">O20-P20-R20</f>
        <v>30000</v>
      </c>
      <c r="R20" s="7" t="n">
        <f aca="false">IF(O20&gt;49999,O20-50000,0)</f>
        <v>6652</v>
      </c>
      <c r="S20" s="8" t="n">
        <f aca="false">'Prices&amp;Fuel'!B20</f>
        <v>1.74</v>
      </c>
      <c r="T20" s="8" t="n">
        <f aca="false">'Prices&amp;Fuel'!C20</f>
        <v>1.77</v>
      </c>
      <c r="U20" s="8" t="n">
        <f aca="false">'Prices&amp;Fuel'!D20</f>
        <v>1.74</v>
      </c>
      <c r="V20" s="7" t="n">
        <f aca="false">P20*0.19+Q20*0.16+R20*0.14</f>
        <v>9531.28</v>
      </c>
      <c r="W20" s="8" t="n">
        <f aca="false">Y20/O20</f>
        <v>1.91824260396809</v>
      </c>
      <c r="X20" s="8" t="n">
        <f aca="false">((L20*S20+M20*T20+N20*U20)/(L20+M20+N20))+0.015</f>
        <v>1.765</v>
      </c>
      <c r="Y20" s="7" t="n">
        <f aca="false">((L20*S20+M20*T20+N20*U20)*'Prices&amp;Fuel'!H20)+V20</f>
        <v>108672.28</v>
      </c>
      <c r="Z20" s="7" t="n">
        <v>22858</v>
      </c>
      <c r="AA20" s="7" t="n">
        <f aca="false">(W20-X20)*Z20/(1-'Prices&amp;Fuel'!F20)</f>
        <v>3592.63532461796</v>
      </c>
      <c r="AB20" s="7" t="n">
        <f aca="false">(O20*X20)+AA20</f>
        <v>103583.415324618</v>
      </c>
      <c r="AC20" s="7" t="n">
        <f aca="false">Y20-AB20</f>
        <v>5088.86467538205</v>
      </c>
      <c r="AD20" s="7"/>
      <c r="AE20" s="7"/>
      <c r="AF20" s="7"/>
      <c r="AG20" s="8"/>
      <c r="AH20" s="7"/>
      <c r="AI20" s="7"/>
      <c r="AJ20" s="7"/>
      <c r="AK20" s="7" t="n">
        <v>184</v>
      </c>
      <c r="AL20" s="7" t="n">
        <f aca="false">AK20</f>
        <v>184</v>
      </c>
      <c r="AM20" s="7" t="n">
        <f aca="false">AL20</f>
        <v>184</v>
      </c>
      <c r="AN20" s="8" t="n">
        <f aca="false">(('Prices&amp;Fuel'!$B20*AK20+'Prices&amp;Fuel'!$C20*AL20+'Prices&amp;Fuel'!$D20*AM20)/(AK20+AL20+AM20))+0.03+0.015</f>
        <v>1.795</v>
      </c>
      <c r="AO20" s="7" t="n">
        <f aca="false">(AK20+AL20+AM20)*AN20*'Prices&amp;Fuel'!H20</f>
        <v>27743.52</v>
      </c>
      <c r="AP20" s="7" t="n">
        <f aca="false">(('Prices&amp;Fuel'!$B20+0.015)*AK20+('Prices&amp;Fuel'!$C20+0.015)*AL20+('Prices&amp;Fuel'!$D20+0.015)*AM20)*'Prices&amp;Fuel'!H20</f>
        <v>27279.84</v>
      </c>
      <c r="AQ20" s="7" t="n">
        <f aca="false">AO20-AP20</f>
        <v>463.68</v>
      </c>
      <c r="AR20" s="14" t="n">
        <f aca="false">I20+Y20+AH20+AO20</f>
        <v>136415.8</v>
      </c>
      <c r="AS20" s="7" t="n">
        <f aca="false">(B20+C20+D20+L20+M20+N20+((AD20+AE20+AF20)*(1-'Prices&amp;Fuel'!F20))+AK20+AL20+AM20)*0.005*'Prices&amp;Fuel'!H20</f>
        <v>360.54</v>
      </c>
      <c r="AT20" s="7" t="n">
        <f aca="false">J20+AB20+AI20+AP20+AS20</f>
        <v>131223.795324618</v>
      </c>
      <c r="AU20" s="14" t="n">
        <f aca="false">AR20-AT20</f>
        <v>5192.00467538205</v>
      </c>
      <c r="AV20" s="30" t="n">
        <f aca="false">((B20+C20+D20+AK20+AL20+AM20)*0.005)*'Prices&amp;Fuel'!H20</f>
        <v>77.28</v>
      </c>
      <c r="AW20" s="30" t="n">
        <f aca="false">((L20+M20+N20+(AD20+AE20+AF20)*(1-'Prices&amp;Fuel'!F20))*0.005)*'Prices&amp;Fuel'!H20</f>
        <v>283.26</v>
      </c>
      <c r="AX20" s="55" t="n">
        <f aca="false">AV20+AW20</f>
        <v>360.54</v>
      </c>
      <c r="AY20" s="1" t="n">
        <f aca="false">(B20+C20+D20+L20+M20+N20+AD20+AE20+AF20+AK20+AL20+AM20)*'Prices&amp;Fuel'!H20</f>
        <v>72108</v>
      </c>
      <c r="AZ20" s="7"/>
      <c r="BA20" s="7" t="n">
        <f aca="false">(AK20+AL20+AM20)*'Prices&amp;Fuel'!H20</f>
        <v>15456</v>
      </c>
      <c r="BB20" s="7"/>
      <c r="BC20" s="7"/>
      <c r="BD20" s="7"/>
      <c r="BE20" s="14"/>
      <c r="BF20" s="14"/>
      <c r="BG20" s="14"/>
      <c r="BH20" s="14"/>
      <c r="BI20" s="14"/>
      <c r="BJ20" s="5"/>
      <c r="BK20" s="5"/>
      <c r="BL20" s="5"/>
      <c r="BM20" s="5"/>
      <c r="BN20" s="5"/>
      <c r="BO20" s="5"/>
      <c r="BP20" s="5"/>
      <c r="BQ20" s="5"/>
      <c r="BR20" s="5"/>
      <c r="BV20" s="9"/>
    </row>
    <row r="21" customFormat="false" ht="11.25" hidden="false" customHeight="false" outlineLevel="0" collapsed="false">
      <c r="A21" s="6" t="n">
        <f aca="false">+A20+365/12</f>
        <v>36235.6666666667</v>
      </c>
      <c r="B21" s="6"/>
      <c r="C21" s="6"/>
      <c r="E21" s="8"/>
      <c r="F21" s="8"/>
      <c r="G21" s="8"/>
      <c r="H21" s="8"/>
      <c r="I21" s="8"/>
      <c r="J21" s="8"/>
      <c r="K21" s="8"/>
      <c r="L21" s="7" t="n">
        <f aca="false">$O21/3/'Prices&amp;Fuel'!$H21</f>
        <v>627.236559139785</v>
      </c>
      <c r="M21" s="7" t="n">
        <f aca="false">$O21/3/'Prices&amp;Fuel'!$H21</f>
        <v>627.236559139785</v>
      </c>
      <c r="N21" s="7" t="n">
        <f aca="false">$O21/3/'Prices&amp;Fuel'!$H21</f>
        <v>627.236559139785</v>
      </c>
      <c r="O21" s="7" t="n">
        <v>58333</v>
      </c>
      <c r="P21" s="7" t="n">
        <f aca="false">IF(O21&gt;20000,20000,O21)</f>
        <v>20000</v>
      </c>
      <c r="Q21" s="7" t="n">
        <f aca="false">O21-P21-R21</f>
        <v>30000</v>
      </c>
      <c r="R21" s="7" t="n">
        <f aca="false">IF(O21&gt;49999,O21-50000,0)</f>
        <v>8333</v>
      </c>
      <c r="S21" s="8" t="n">
        <f aca="false">'Prices&amp;Fuel'!B21</f>
        <v>1.59</v>
      </c>
      <c r="T21" s="8" t="n">
        <f aca="false">'Prices&amp;Fuel'!C21</f>
        <v>1.63</v>
      </c>
      <c r="U21" s="8" t="n">
        <f aca="false">'Prices&amp;Fuel'!D21</f>
        <v>1.6</v>
      </c>
      <c r="V21" s="7" t="n">
        <f aca="false">P21*0.19+Q21*0.16+R21*0.14</f>
        <v>9766.62</v>
      </c>
      <c r="W21" s="8" t="n">
        <f aca="false">Y21/O21</f>
        <v>1.77409539483083</v>
      </c>
      <c r="X21" s="8" t="n">
        <f aca="false">((L21*S21+M21*T21+N21*U21)/(L21+M21+N21))+0.015</f>
        <v>1.62166666666667</v>
      </c>
      <c r="Y21" s="7" t="n">
        <f aca="false">((L21*S21+M21*T21+N21*U21)*'Prices&amp;Fuel'!H21)+V21</f>
        <v>103488.306666667</v>
      </c>
      <c r="Z21" s="7" t="n">
        <v>22188</v>
      </c>
      <c r="AA21" s="7" t="n">
        <f aca="false">(W21-X21)*Z21/(1-'Prices&amp;Fuel'!F21)</f>
        <v>3468.80884154503</v>
      </c>
      <c r="AB21" s="7" t="n">
        <f aca="false">(O21*X21)+AA21</f>
        <v>98065.4905082117</v>
      </c>
      <c r="AC21" s="7" t="n">
        <f aca="false">Y21-AB21</f>
        <v>5422.81615845498</v>
      </c>
      <c r="AD21" s="7"/>
      <c r="AE21" s="7"/>
      <c r="AF21" s="7"/>
      <c r="AG21" s="8"/>
      <c r="AH21" s="7"/>
      <c r="AI21" s="7"/>
      <c r="AJ21" s="7"/>
      <c r="AK21" s="7" t="n">
        <v>120</v>
      </c>
      <c r="AL21" s="7" t="n">
        <f aca="false">AK21</f>
        <v>120</v>
      </c>
      <c r="AM21" s="7" t="n">
        <f aca="false">AL21</f>
        <v>120</v>
      </c>
      <c r="AN21" s="8" t="n">
        <f aca="false">(('Prices&amp;Fuel'!$B21*AK21+'Prices&amp;Fuel'!$C21*AL21+'Prices&amp;Fuel'!$D21*AM21)/(AK21+AL21+AM21))+0.03+0.015</f>
        <v>1.65166666666667</v>
      </c>
      <c r="AO21" s="7" t="n">
        <f aca="false">(AK21+AL21+AM21)*AN21*'Prices&amp;Fuel'!H21</f>
        <v>18432.6</v>
      </c>
      <c r="AP21" s="7" t="n">
        <f aca="false">(('Prices&amp;Fuel'!$B21+0.015)*AK21+('Prices&amp;Fuel'!$C21+0.015)*AL21+('Prices&amp;Fuel'!$D21+0.015)*AM21)*'Prices&amp;Fuel'!H21</f>
        <v>18097.8</v>
      </c>
      <c r="AQ21" s="7" t="n">
        <f aca="false">AO21-AP21</f>
        <v>334.800000000003</v>
      </c>
      <c r="AR21" s="14" t="n">
        <f aca="false">I21+Y21+AH21+AO21</f>
        <v>121920.906666667</v>
      </c>
      <c r="AS21" s="7" t="n">
        <f aca="false">(B21+C21+D21+L21+M21+N21+((AD21+AE21+AF21)*(1-'Prices&amp;Fuel'!F21))+AK21+AL21+AM21)*0.005*'Prices&amp;Fuel'!H21</f>
        <v>347.465</v>
      </c>
      <c r="AT21" s="7" t="n">
        <f aca="false">J21+AB21+AI21+AP21+AS21</f>
        <v>116510.755508212</v>
      </c>
      <c r="AU21" s="14" t="n">
        <f aca="false">AR21-AT21</f>
        <v>5410.15115845499</v>
      </c>
      <c r="AV21" s="30" t="n">
        <f aca="false">((B21+C21+D21+AK21+AL21+AM21)*0.005)*'Prices&amp;Fuel'!H21</f>
        <v>55.8</v>
      </c>
      <c r="AW21" s="30" t="n">
        <f aca="false">((L21+M21+N21+(AD21+AE21+AF21)*(1-'Prices&amp;Fuel'!F21))*0.005)*'Prices&amp;Fuel'!H21</f>
        <v>291.665</v>
      </c>
      <c r="AX21" s="55" t="n">
        <f aca="false">AV21+AW21</f>
        <v>347.465</v>
      </c>
      <c r="AY21" s="1" t="n">
        <f aca="false">(B21+C21+D21+L21+M21+N21+AD21+AE21+AF21+AK21+AL21+AM21)*'Prices&amp;Fuel'!H21</f>
        <v>69493</v>
      </c>
      <c r="AZ21" s="7"/>
      <c r="BA21" s="7" t="n">
        <f aca="false">(AK21+AL21+AM21)*'Prices&amp;Fuel'!H21</f>
        <v>11160</v>
      </c>
      <c r="BB21" s="7"/>
      <c r="BC21" s="7"/>
      <c r="BD21" s="7"/>
      <c r="BE21" s="14"/>
      <c r="BF21" s="14"/>
      <c r="BG21" s="14"/>
      <c r="BH21" s="14"/>
      <c r="BI21" s="14"/>
      <c r="BJ21" s="5"/>
      <c r="BK21" s="5"/>
      <c r="BL21" s="5"/>
      <c r="BM21" s="5"/>
      <c r="BN21" s="5"/>
      <c r="BO21" s="5"/>
      <c r="BP21" s="5"/>
      <c r="BQ21" s="5"/>
      <c r="BR21" s="5"/>
      <c r="BV21" s="9"/>
    </row>
    <row r="22" customFormat="false" ht="11.25" hidden="false" customHeight="false" outlineLevel="0" collapsed="false">
      <c r="A22" s="6" t="n">
        <f aca="false">+A21+365/12</f>
        <v>36266.0833333333</v>
      </c>
      <c r="B22" s="6"/>
      <c r="C22" s="6"/>
      <c r="E22" s="8"/>
      <c r="F22" s="8"/>
      <c r="G22" s="8"/>
      <c r="H22" s="8"/>
      <c r="I22" s="8"/>
      <c r="J22" s="8"/>
      <c r="K22" s="8"/>
      <c r="L22" s="7" t="n">
        <f aca="false">$O22/3/'Prices&amp;Fuel'!$H22</f>
        <v>416.422222222222</v>
      </c>
      <c r="M22" s="7" t="n">
        <f aca="false">$O22/3/'Prices&amp;Fuel'!$H22</f>
        <v>416.422222222222</v>
      </c>
      <c r="N22" s="7" t="n">
        <f aca="false">$O22/3/'Prices&amp;Fuel'!$H22</f>
        <v>416.422222222222</v>
      </c>
      <c r="O22" s="7" t="n">
        <v>37478</v>
      </c>
      <c r="P22" s="7" t="n">
        <f aca="false">IF(O22&gt;20000,20000,O22)</f>
        <v>20000</v>
      </c>
      <c r="Q22" s="7" t="n">
        <f aca="false">O22-P22-R22</f>
        <v>17478</v>
      </c>
      <c r="R22" s="7" t="n">
        <f aca="false">IF(O22&gt;49999,O22-50000,0)</f>
        <v>0</v>
      </c>
      <c r="S22" s="8" t="n">
        <f aca="false">'Prices&amp;Fuel'!B22</f>
        <v>1.84</v>
      </c>
      <c r="T22" s="8" t="n">
        <f aca="false">'Prices&amp;Fuel'!C22</f>
        <v>1.88</v>
      </c>
      <c r="U22" s="8" t="n">
        <f aca="false">'Prices&amp;Fuel'!D22</f>
        <v>1.85</v>
      </c>
      <c r="V22" s="7" t="n">
        <f aca="false">P22*0.19+Q22*0.16+R22*0.14</f>
        <v>6596.48</v>
      </c>
      <c r="W22" s="8" t="n">
        <f aca="false">Y22/O22</f>
        <v>2.03267605884341</v>
      </c>
      <c r="X22" s="8" t="n">
        <f aca="false">((L22*S22+M22*T22+N22*U22)/(L22+M22+N22))+0.015</f>
        <v>1.87166666666667</v>
      </c>
      <c r="Y22" s="7" t="n">
        <f aca="false">((L22*S22+M22*T22+N22*U22)*'Prices&amp;Fuel'!H22)+V22</f>
        <v>76180.6333333333</v>
      </c>
      <c r="Z22" s="7" t="n">
        <v>14859</v>
      </c>
      <c r="AA22" s="7" t="n">
        <f aca="false">(W22-X22)*Z22/(1-'Prices&amp;Fuel'!F22)</f>
        <v>2453.78313677358</v>
      </c>
      <c r="AB22" s="7" t="n">
        <f aca="false">(O22*X22)+AA22</f>
        <v>72600.1064701069</v>
      </c>
      <c r="AC22" s="7" t="n">
        <f aca="false">Y22-AB22</f>
        <v>3580.52686322642</v>
      </c>
      <c r="AD22" s="7"/>
      <c r="AE22" s="7"/>
      <c r="AF22" s="7"/>
      <c r="AG22" s="8"/>
      <c r="AH22" s="7"/>
      <c r="AI22" s="7"/>
      <c r="AJ22" s="7"/>
      <c r="AK22" s="7" t="n">
        <v>125</v>
      </c>
      <c r="AL22" s="7" t="n">
        <f aca="false">AK22</f>
        <v>125</v>
      </c>
      <c r="AM22" s="7" t="n">
        <f aca="false">AL22</f>
        <v>125</v>
      </c>
      <c r="AN22" s="8" t="n">
        <f aca="false">(('Prices&amp;Fuel'!$B22*AK22+'Prices&amp;Fuel'!$C22*AL22+'Prices&amp;Fuel'!$D22*AM22)/(AK22+AL22+AM22))+0.03+0.015</f>
        <v>1.90166666666667</v>
      </c>
      <c r="AO22" s="7" t="n">
        <f aca="false">(AK22+AL22+AM22)*AN22*'Prices&amp;Fuel'!H22</f>
        <v>21393.75</v>
      </c>
      <c r="AP22" s="7" t="n">
        <f aca="false">(('Prices&amp;Fuel'!$B22+0.015)*AK22+('Prices&amp;Fuel'!$C22+0.015)*AL22+('Prices&amp;Fuel'!$D22+0.015)*AM22)*'Prices&amp;Fuel'!H22</f>
        <v>21056.25</v>
      </c>
      <c r="AQ22" s="7" t="n">
        <f aca="false">AO22-AP22</f>
        <v>337.5</v>
      </c>
      <c r="AR22" s="14" t="n">
        <f aca="false">I22+Y22+AH22+AO22</f>
        <v>97574.3833333333</v>
      </c>
      <c r="AS22" s="7" t="n">
        <f aca="false">(B22+C22+D22+L22+M22+N22+((AD22+AE22+AF22)*(1-'Prices&amp;Fuel'!F22))+AK22+AL22+AM22)*0.005*'Prices&amp;Fuel'!H22</f>
        <v>243.64</v>
      </c>
      <c r="AT22" s="7" t="n">
        <f aca="false">J22+AB22+AI22+AP22+AS22</f>
        <v>93899.9964701069</v>
      </c>
      <c r="AU22" s="14" t="n">
        <f aca="false">AR22-AT22</f>
        <v>3674.38686322642</v>
      </c>
      <c r="AV22" s="30" t="n">
        <f aca="false">((B22+C22+D22+AK22+AL22+AM22)*0.005)*'Prices&amp;Fuel'!H22</f>
        <v>56.25</v>
      </c>
      <c r="AW22" s="30" t="n">
        <f aca="false">((L22+M22+N22+(AD22+AE22+AF22)*(1-'Prices&amp;Fuel'!F22))*0.005)*'Prices&amp;Fuel'!H22</f>
        <v>187.39</v>
      </c>
      <c r="AX22" s="55" t="n">
        <f aca="false">AV22+AW22</f>
        <v>243.64</v>
      </c>
      <c r="AY22" s="1" t="n">
        <f aca="false">(B22+C22+D22+L22+M22+N22+AD22+AE22+AF22+AK22+AL22+AM22)*'Prices&amp;Fuel'!H22</f>
        <v>48728</v>
      </c>
      <c r="AZ22" s="7"/>
      <c r="BA22" s="7" t="n">
        <f aca="false">(AK22+AL22+AM22)*'Prices&amp;Fuel'!H22</f>
        <v>11250</v>
      </c>
      <c r="BB22" s="7"/>
      <c r="BC22" s="7"/>
      <c r="BD22" s="7"/>
      <c r="BE22" s="14"/>
      <c r="BF22" s="14"/>
      <c r="BG22" s="14"/>
      <c r="BH22" s="14"/>
      <c r="BI22" s="14"/>
      <c r="BJ22" s="5"/>
      <c r="BK22" s="5"/>
      <c r="BL22" s="5"/>
      <c r="BM22" s="5"/>
      <c r="BN22" s="5"/>
      <c r="BO22" s="5"/>
      <c r="BP22" s="5"/>
      <c r="BQ22" s="5"/>
      <c r="BR22" s="5"/>
      <c r="BV22" s="9"/>
    </row>
    <row r="23" customFormat="false" ht="11.25" hidden="false" customHeight="false" outlineLevel="0" collapsed="false">
      <c r="A23" s="6" t="n">
        <f aca="false">+A22+365/12</f>
        <v>36296.5</v>
      </c>
      <c r="B23" s="6"/>
      <c r="C23" s="6"/>
      <c r="E23" s="8"/>
      <c r="F23" s="8"/>
      <c r="G23" s="8"/>
      <c r="H23" s="8"/>
      <c r="I23" s="8"/>
      <c r="J23" s="8"/>
      <c r="K23" s="8"/>
      <c r="L23" s="7" t="n">
        <f aca="false">$O23/3/'Prices&amp;Fuel'!$H23</f>
        <v>325.086021505376</v>
      </c>
      <c r="M23" s="7" t="n">
        <f aca="false">$O23/3/'Prices&amp;Fuel'!$H23</f>
        <v>325.086021505376</v>
      </c>
      <c r="N23" s="7" t="n">
        <f aca="false">$O23/3/'Prices&amp;Fuel'!$H23</f>
        <v>325.086021505376</v>
      </c>
      <c r="O23" s="7" t="n">
        <v>30233</v>
      </c>
      <c r="P23" s="7" t="n">
        <f aca="false">IF(O23&gt;20000,20000,O23)</f>
        <v>20000</v>
      </c>
      <c r="Q23" s="7" t="n">
        <f aca="false">O23-P23-R23</f>
        <v>10233</v>
      </c>
      <c r="R23" s="7" t="n">
        <f aca="false">IF(O23&gt;49999,O23-50000,0)</f>
        <v>0</v>
      </c>
      <c r="S23" s="8" t="n">
        <f aca="false">'Prices&amp;Fuel'!B23</f>
        <v>2.3</v>
      </c>
      <c r="T23" s="8" t="n">
        <f aca="false">'Prices&amp;Fuel'!C23</f>
        <v>2.35</v>
      </c>
      <c r="U23" s="8" t="n">
        <f aca="false">'Prices&amp;Fuel'!D23</f>
        <v>2.3</v>
      </c>
      <c r="V23" s="7" t="n">
        <f aca="false">P23*0.19+Q23*0.16+R23*0.14</f>
        <v>5437.28</v>
      </c>
      <c r="W23" s="8" t="n">
        <f aca="false">Y23/O23</f>
        <v>2.49651253045789</v>
      </c>
      <c r="X23" s="8" t="n">
        <f aca="false">((L23*S23+M23*T23+N23*U23)/(L23+M23+N23))+0.015</f>
        <v>2.33166666666667</v>
      </c>
      <c r="Y23" s="7" t="n">
        <f aca="false">((L23*S23+M23*T23+N23*U23)*'Prices&amp;Fuel'!H23)+V23</f>
        <v>75477.0633333333</v>
      </c>
      <c r="Z23" s="7" t="n">
        <v>13155</v>
      </c>
      <c r="AA23" s="7" t="n">
        <f aca="false">(W23-X23)*Z23/(1-'Prices&amp;Fuel'!F23)</f>
        <v>2235.61581255002</v>
      </c>
      <c r="AB23" s="7" t="n">
        <f aca="false">(O23*X23)+AA23</f>
        <v>72728.8941458834</v>
      </c>
      <c r="AC23" s="7" t="n">
        <f aca="false">Y23-AB23</f>
        <v>2748.16918744997</v>
      </c>
      <c r="AD23" s="7"/>
      <c r="AE23" s="7"/>
      <c r="AF23" s="7"/>
      <c r="AG23" s="8"/>
      <c r="AH23" s="7"/>
      <c r="AI23" s="7"/>
      <c r="AJ23" s="7"/>
      <c r="AK23" s="7" t="n">
        <v>97</v>
      </c>
      <c r="AL23" s="7" t="n">
        <f aca="false">AK23</f>
        <v>97</v>
      </c>
      <c r="AM23" s="7" t="n">
        <f aca="false">AL23</f>
        <v>97</v>
      </c>
      <c r="AN23" s="8" t="n">
        <f aca="false">(('Prices&amp;Fuel'!$B23*AK23+'Prices&amp;Fuel'!$C23*AL23+'Prices&amp;Fuel'!$D23*AM23)/(AK23+AL23+AM23))+0.03+0.015</f>
        <v>2.36166666666667</v>
      </c>
      <c r="AO23" s="7" t="n">
        <f aca="false">(AK23+AL23+AM23)*AN23*'Prices&amp;Fuel'!H23</f>
        <v>21304.595</v>
      </c>
      <c r="AP23" s="7" t="n">
        <f aca="false">(('Prices&amp;Fuel'!$B23+0.015)*AK23+('Prices&amp;Fuel'!$C23+0.015)*AL23+('Prices&amp;Fuel'!$D23+0.015)*AM23)*'Prices&amp;Fuel'!H23</f>
        <v>21033.965</v>
      </c>
      <c r="AQ23" s="7" t="n">
        <f aca="false">AO23-AP23</f>
        <v>270.629999999994</v>
      </c>
      <c r="AR23" s="14" t="n">
        <f aca="false">I23+Y23+AH23+AO23</f>
        <v>96781.6583333333</v>
      </c>
      <c r="AS23" s="7" t="n">
        <f aca="false">(B23+C23+D23+L23+M23+N23+((AD23+AE23+AF23)*(1-'Prices&amp;Fuel'!F23))+AK23+AL23+AM23)*0.005*'Prices&amp;Fuel'!H23</f>
        <v>196.27</v>
      </c>
      <c r="AT23" s="7" t="n">
        <f aca="false">J23+AB23+AI23+AP23+AS23</f>
        <v>93959.1291458834</v>
      </c>
      <c r="AU23" s="14" t="n">
        <f aca="false">AR23-AT23</f>
        <v>2822.52918744997</v>
      </c>
      <c r="AV23" s="30" t="n">
        <f aca="false">((B23+C23+D23+AK23+AL23+AM23)*0.005)*'Prices&amp;Fuel'!H23</f>
        <v>45.105</v>
      </c>
      <c r="AW23" s="30" t="n">
        <f aca="false">((L23+M23+N23+(AD23+AE23+AF23)*(1-'Prices&amp;Fuel'!F23))*0.005)*'Prices&amp;Fuel'!H23</f>
        <v>151.165</v>
      </c>
      <c r="AX23" s="55" t="n">
        <f aca="false">AV23+AW23</f>
        <v>196.27</v>
      </c>
      <c r="AY23" s="1" t="n">
        <f aca="false">(B23+C23+D23+L23+M23+N23+AD23+AE23+AF23+AK23+AL23+AM23)*'Prices&amp;Fuel'!H23</f>
        <v>39254</v>
      </c>
      <c r="AZ23" s="7"/>
      <c r="BA23" s="7" t="n">
        <f aca="false">(AK23+AL23+AM23)*'Prices&amp;Fuel'!H23</f>
        <v>9021</v>
      </c>
      <c r="BB23" s="7"/>
      <c r="BC23" s="7"/>
      <c r="BD23" s="7"/>
      <c r="BE23" s="14"/>
      <c r="BF23" s="14"/>
      <c r="BG23" s="14"/>
      <c r="BH23" s="14"/>
      <c r="BI23" s="14"/>
      <c r="BJ23" s="5"/>
      <c r="BK23" s="5"/>
      <c r="BL23" s="5"/>
      <c r="BM23" s="5"/>
      <c r="BN23" s="5"/>
      <c r="BO23" s="5"/>
      <c r="BP23" s="5"/>
      <c r="BQ23" s="5"/>
      <c r="BR23" s="5"/>
      <c r="BV23" s="9"/>
    </row>
    <row r="24" customFormat="false" ht="11.25" hidden="false" customHeight="false" outlineLevel="0" collapsed="false">
      <c r="A24" s="6" t="n">
        <f aca="false">+A23+365/12</f>
        <v>36326.9166666667</v>
      </c>
      <c r="B24" s="6"/>
      <c r="C24" s="6"/>
      <c r="E24" s="8"/>
      <c r="F24" s="8"/>
      <c r="G24" s="8"/>
      <c r="H24" s="8"/>
      <c r="I24" s="8"/>
      <c r="J24" s="8"/>
      <c r="K24" s="8"/>
      <c r="L24" s="7" t="n">
        <f aca="false">$O24/3/'Prices&amp;Fuel'!$H24</f>
        <v>293.311111111111</v>
      </c>
      <c r="M24" s="7" t="n">
        <f aca="false">$O24/3/'Prices&amp;Fuel'!$H24</f>
        <v>293.311111111111</v>
      </c>
      <c r="N24" s="7" t="n">
        <f aca="false">$O24/3/'Prices&amp;Fuel'!$H24</f>
        <v>293.311111111111</v>
      </c>
      <c r="O24" s="7" t="n">
        <v>26398</v>
      </c>
      <c r="P24" s="7" t="n">
        <f aca="false">IF(O24&gt;20000,20000,O24)</f>
        <v>20000</v>
      </c>
      <c r="Q24" s="7" t="n">
        <f aca="false">O24-P24-R24</f>
        <v>6398</v>
      </c>
      <c r="R24" s="7" t="n">
        <f aca="false">IF(O24&gt;49999,O24-50000,0)</f>
        <v>0</v>
      </c>
      <c r="S24" s="8" t="n">
        <f aca="false">'Prices&amp;Fuel'!B24</f>
        <v>2.2</v>
      </c>
      <c r="T24" s="8" t="n">
        <f aca="false">'Prices&amp;Fuel'!C24</f>
        <v>2.23</v>
      </c>
      <c r="U24" s="8" t="n">
        <f aca="false">'Prices&amp;Fuel'!D24</f>
        <v>2.21</v>
      </c>
      <c r="V24" s="7" t="n">
        <f aca="false">P24*0.19+Q24*0.16+R24*0.14</f>
        <v>4823.68</v>
      </c>
      <c r="W24" s="8" t="n">
        <f aca="false">Y24/O24</f>
        <v>2.39606232795414</v>
      </c>
      <c r="X24" s="8" t="n">
        <f aca="false">((L24*S24+M24*T24+N24*U24)/(L24+M24+N24))+0.015</f>
        <v>2.22833333333333</v>
      </c>
      <c r="Y24" s="7" t="n">
        <f aca="false">((L24*S24+M24*T24+N24*U24)*'Prices&amp;Fuel'!H24)+V24</f>
        <v>63251.2533333333</v>
      </c>
      <c r="Z24" s="7" t="n">
        <v>12483</v>
      </c>
      <c r="AA24" s="7" t="n">
        <f aca="false">(W24-X24)*Z24/(1-'Prices&amp;Fuel'!F24)</f>
        <v>2158.51653592938</v>
      </c>
      <c r="AB24" s="7" t="n">
        <f aca="false">(O24*X24)+AA24</f>
        <v>60982.0598692627</v>
      </c>
      <c r="AC24" s="7" t="n">
        <f aca="false">Y24-AB24</f>
        <v>2269.19346407062</v>
      </c>
      <c r="AD24" s="7"/>
      <c r="AE24" s="7"/>
      <c r="AF24" s="7"/>
      <c r="AG24" s="8"/>
      <c r="AH24" s="7"/>
      <c r="AI24" s="7"/>
      <c r="AJ24" s="7"/>
      <c r="AK24" s="7" t="n">
        <v>82</v>
      </c>
      <c r="AL24" s="7" t="n">
        <f aca="false">AK24</f>
        <v>82</v>
      </c>
      <c r="AM24" s="7" t="n">
        <f aca="false">AL24</f>
        <v>82</v>
      </c>
      <c r="AN24" s="8" t="n">
        <f aca="false">(('Prices&amp;Fuel'!$B24*AK24+'Prices&amp;Fuel'!$C24*AL24+'Prices&amp;Fuel'!$D24*AM24)/(AK24+AL24+AM24))+0.03+0.015</f>
        <v>2.25833333333333</v>
      </c>
      <c r="AO24" s="7" t="n">
        <f aca="false">(AK24+AL24+AM24)*AN24*'Prices&amp;Fuel'!H24</f>
        <v>16666.5</v>
      </c>
      <c r="AP24" s="7" t="n">
        <f aca="false">(('Prices&amp;Fuel'!$B24+0.015)*AK24+('Prices&amp;Fuel'!$C24+0.015)*AL24+('Prices&amp;Fuel'!$D24+0.015)*AM24)*'Prices&amp;Fuel'!H24</f>
        <v>16445.1</v>
      </c>
      <c r="AQ24" s="7" t="n">
        <f aca="false">AO24-AP24</f>
        <v>221.399999999998</v>
      </c>
      <c r="AR24" s="14" t="n">
        <f aca="false">I24+Y24+AH24+AO24</f>
        <v>79917.7533333333</v>
      </c>
      <c r="AS24" s="7" t="n">
        <f aca="false">(B24+C24+D24+L24+M24+N24+((AD24+AE24+AF24)*(1-'Prices&amp;Fuel'!F24))+AK24+AL24+AM24)*0.005*'Prices&amp;Fuel'!H24</f>
        <v>168.89</v>
      </c>
      <c r="AT24" s="7" t="n">
        <f aca="false">J24+AB24+AI24+AP24+AS24</f>
        <v>77596.0498692627</v>
      </c>
      <c r="AU24" s="14" t="n">
        <f aca="false">AR24-AT24</f>
        <v>2321.70346407061</v>
      </c>
      <c r="AV24" s="30" t="n">
        <f aca="false">((B24+C24+D24+AK24+AL24+AM24)*0.005)*'Prices&amp;Fuel'!H24</f>
        <v>36.9</v>
      </c>
      <c r="AW24" s="30" t="n">
        <f aca="false">((L24+M24+N24+(AD24+AE24+AF24)*(1-'Prices&amp;Fuel'!F24))*0.005)*'Prices&amp;Fuel'!H24</f>
        <v>131.99</v>
      </c>
      <c r="AX24" s="55" t="n">
        <f aca="false">AV24+AW24</f>
        <v>168.89</v>
      </c>
      <c r="AY24" s="1" t="n">
        <f aca="false">(B24+C24+D24+L24+M24+N24+AD24+AE24+AF24+AK24+AL24+AM24)*'Prices&amp;Fuel'!H24</f>
        <v>33778</v>
      </c>
      <c r="AZ24" s="7"/>
      <c r="BA24" s="7" t="n">
        <f aca="false">(AK24+AL24+AM24)*'Prices&amp;Fuel'!H24</f>
        <v>7380</v>
      </c>
      <c r="BB24" s="7"/>
      <c r="BC24" s="7"/>
      <c r="BD24" s="7"/>
      <c r="BE24" s="7"/>
      <c r="BF24" s="7"/>
      <c r="BG24" s="7"/>
      <c r="BH24" s="7"/>
      <c r="BI24" s="7"/>
      <c r="BJ24" s="5"/>
      <c r="BK24" s="5"/>
      <c r="BL24" s="5"/>
      <c r="BM24" s="5"/>
      <c r="BN24" s="5"/>
      <c r="BO24" s="5"/>
      <c r="BP24" s="5"/>
      <c r="BQ24" s="5"/>
      <c r="BR24" s="5"/>
      <c r="BV24" s="9"/>
    </row>
    <row r="25" customFormat="false" ht="11.25" hidden="false" customHeight="false" outlineLevel="0" collapsed="false">
      <c r="A25" s="6" t="n">
        <f aca="false">+A24+365/12</f>
        <v>36357.3333333333</v>
      </c>
      <c r="B25" s="6"/>
      <c r="C25" s="6"/>
      <c r="E25" s="8"/>
      <c r="F25" s="8"/>
      <c r="G25" s="8"/>
      <c r="H25" s="8"/>
      <c r="I25" s="8"/>
      <c r="J25" s="8"/>
      <c r="K25" s="8"/>
      <c r="L25" s="7" t="n">
        <f aca="false">$O25/3/'Prices&amp;Fuel'!$H25</f>
        <v>348.075268817204</v>
      </c>
      <c r="M25" s="7" t="n">
        <f aca="false">$O25/3/'Prices&amp;Fuel'!$H25</f>
        <v>348.075268817204</v>
      </c>
      <c r="N25" s="7" t="n">
        <f aca="false">$O25/3/'Prices&amp;Fuel'!$H25</f>
        <v>348.075268817204</v>
      </c>
      <c r="O25" s="7" t="n">
        <v>32371</v>
      </c>
      <c r="P25" s="7" t="n">
        <f aca="false">IF(O25&gt;20000,20000,O25)</f>
        <v>20000</v>
      </c>
      <c r="Q25" s="7" t="n">
        <f aca="false">O25-P25-R25</f>
        <v>12371</v>
      </c>
      <c r="R25" s="7" t="n">
        <f aca="false">IF(O25&gt;49999,O25-50000,0)</f>
        <v>0</v>
      </c>
      <c r="S25" s="8" t="n">
        <f aca="false">'Prices&amp;Fuel'!B25</f>
        <v>2.24</v>
      </c>
      <c r="T25" s="8" t="n">
        <f aca="false">'Prices&amp;Fuel'!C25</f>
        <v>2.27</v>
      </c>
      <c r="U25" s="8" t="n">
        <f aca="false">'Prices&amp;Fuel'!D25</f>
        <v>2.24</v>
      </c>
      <c r="V25" s="7" t="n">
        <f aca="false">P25*0.19+Q25*0.16+R25*0.14</f>
        <v>5779.36</v>
      </c>
      <c r="W25" s="8" t="n">
        <f aca="false">Y25/O25</f>
        <v>2.42853510858485</v>
      </c>
      <c r="X25" s="8" t="n">
        <f aca="false">((L25*S25+M25*T25+N25*U25)/(L25+M25+N25))+0.015</f>
        <v>2.265</v>
      </c>
      <c r="Y25" s="7" t="n">
        <f aca="false">((L25*S25+M25*T25+N25*U25)*'Prices&amp;Fuel'!H25)+V25</f>
        <v>78614.11</v>
      </c>
      <c r="Z25" s="7" t="n">
        <v>14483</v>
      </c>
      <c r="AA25" s="7" t="n">
        <f aca="false">(W25-X25)*Z25/(1-'Prices&amp;Fuel'!F25)</f>
        <v>2441.73090477763</v>
      </c>
      <c r="AB25" s="7" t="n">
        <f aca="false">(O25*X25)+AA25</f>
        <v>75762.0459047776</v>
      </c>
      <c r="AC25" s="7" t="n">
        <f aca="false">Y25-AB25</f>
        <v>2852.06409522238</v>
      </c>
      <c r="AD25" s="7"/>
      <c r="AE25" s="7"/>
      <c r="AF25" s="7"/>
      <c r="AG25" s="8"/>
      <c r="AH25" s="7"/>
      <c r="AI25" s="7"/>
      <c r="AJ25" s="7"/>
      <c r="AK25" s="7" t="n">
        <v>73</v>
      </c>
      <c r="AL25" s="7" t="n">
        <f aca="false">AK25</f>
        <v>73</v>
      </c>
      <c r="AM25" s="7" t="n">
        <f aca="false">AL25</f>
        <v>73</v>
      </c>
      <c r="AN25" s="8" t="n">
        <f aca="false">(('Prices&amp;Fuel'!$B25*AK25+'Prices&amp;Fuel'!$C25*AL25+'Prices&amp;Fuel'!$D25*AM25)/(AK25+AL25+AM25))+0.03+0.015</f>
        <v>2.295</v>
      </c>
      <c r="AO25" s="7" t="n">
        <f aca="false">(AK25+AL25+AM25)*AN25*'Prices&amp;Fuel'!H25</f>
        <v>15580.755</v>
      </c>
      <c r="AP25" s="7" t="n">
        <f aca="false">(('Prices&amp;Fuel'!$B25+0.015)*AK25+('Prices&amp;Fuel'!$C25+0.015)*AL25+('Prices&amp;Fuel'!$D25+0.015)*AM25)*'Prices&amp;Fuel'!H25</f>
        <v>15377.085</v>
      </c>
      <c r="AQ25" s="7" t="n">
        <f aca="false">AO25-AP25</f>
        <v>203.669999999996</v>
      </c>
      <c r="AR25" s="14" t="n">
        <f aca="false">I25+Y25+AH25+AO25</f>
        <v>94194.865</v>
      </c>
      <c r="AS25" s="7" t="n">
        <f aca="false">(B25+C25+D25+L25+M25+N25+((AD25+AE25+AF25)*(1-'Prices&amp;Fuel'!F25))+AK25+AL25+AM25)*0.005*'Prices&amp;Fuel'!H25</f>
        <v>195.8</v>
      </c>
      <c r="AT25" s="7" t="n">
        <f aca="false">J25+AB25+AI25+AP25+AS25</f>
        <v>91334.9309047777</v>
      </c>
      <c r="AU25" s="14" t="n">
        <f aca="false">AR25-AT25</f>
        <v>2859.93409522237</v>
      </c>
      <c r="AV25" s="30" t="n">
        <f aca="false">((B25+C25+D25+AK25+AL25+AM25)*0.005)*'Prices&amp;Fuel'!H25</f>
        <v>33.945</v>
      </c>
      <c r="AW25" s="30" t="n">
        <f aca="false">((L25+M25+N25+(AD25+AE25+AF25)*(1-'Prices&amp;Fuel'!F25))*0.005)*'Prices&amp;Fuel'!H25</f>
        <v>161.855</v>
      </c>
      <c r="AX25" s="55" t="n">
        <f aca="false">AV25+AW25</f>
        <v>195.8</v>
      </c>
      <c r="AY25" s="1" t="n">
        <f aca="false">(B25+C25+D25+L25+M25+N25+AD25+AE25+AF25+AK25+AL25+AM25)*'Prices&amp;Fuel'!H25</f>
        <v>39160</v>
      </c>
      <c r="AZ25" s="7"/>
      <c r="BA25" s="7" t="n">
        <f aca="false">(AK25+AL25+AM25)*'Prices&amp;Fuel'!H25</f>
        <v>6789</v>
      </c>
      <c r="BB25" s="7"/>
      <c r="BC25" s="7"/>
      <c r="BD25" s="7"/>
      <c r="BE25" s="7"/>
      <c r="BF25" s="7"/>
      <c r="BG25" s="7"/>
      <c r="BH25" s="7"/>
      <c r="BI25" s="7"/>
      <c r="BJ25" s="5"/>
      <c r="BK25" s="5"/>
      <c r="BL25" s="5"/>
      <c r="BM25" s="5"/>
      <c r="BN25" s="5"/>
      <c r="BO25" s="5"/>
      <c r="BP25" s="5"/>
      <c r="BQ25" s="5"/>
      <c r="BR25" s="5"/>
      <c r="BV25" s="9"/>
    </row>
    <row r="26" customFormat="false" ht="11.25" hidden="false" customHeight="false" outlineLevel="0" collapsed="false">
      <c r="A26" s="6" t="n">
        <f aca="false">+A25+365/12</f>
        <v>36387.75</v>
      </c>
      <c r="B26" s="6"/>
      <c r="C26" s="6"/>
      <c r="E26" s="8"/>
      <c r="F26" s="8"/>
      <c r="G26" s="8"/>
      <c r="H26" s="8"/>
      <c r="I26" s="8"/>
      <c r="J26" s="8"/>
      <c r="K26" s="8"/>
      <c r="L26" s="7" t="n">
        <f aca="false">$O26/3/'Prices&amp;Fuel'!$H26</f>
        <v>329.021505376344</v>
      </c>
      <c r="M26" s="7" t="n">
        <f aca="false">$O26/3/'Prices&amp;Fuel'!$H26</f>
        <v>329.021505376344</v>
      </c>
      <c r="N26" s="7" t="n">
        <f aca="false">$O26/3/'Prices&amp;Fuel'!$H26</f>
        <v>329.021505376344</v>
      </c>
      <c r="O26" s="7" t="n">
        <v>30599</v>
      </c>
      <c r="P26" s="7" t="n">
        <f aca="false">IF(O26&gt;20000,20000,O26)</f>
        <v>20000</v>
      </c>
      <c r="Q26" s="7" t="n">
        <f aca="false">O26-P26-R26</f>
        <v>10599</v>
      </c>
      <c r="R26" s="7" t="n">
        <f aca="false">IF(O26&gt;49999,O26-50000,0)</f>
        <v>0</v>
      </c>
      <c r="S26" s="8" t="n">
        <f aca="false">'Prices&amp;Fuel'!B26</f>
        <v>2.57</v>
      </c>
      <c r="T26" s="8" t="n">
        <f aca="false">'Prices&amp;Fuel'!C26</f>
        <v>2.61</v>
      </c>
      <c r="U26" s="8" t="n">
        <f aca="false">'Prices&amp;Fuel'!D26</f>
        <v>2.57</v>
      </c>
      <c r="V26" s="7" t="n">
        <f aca="false">P26*0.19+Q26*0.16+R26*0.14</f>
        <v>5495.84</v>
      </c>
      <c r="W26" s="8" t="n">
        <f aca="false">Y26/O26</f>
        <v>2.76294181727072</v>
      </c>
      <c r="X26" s="8" t="n">
        <f aca="false">((L26*S26+M26*T26+N26*U26)/(L26+M26+N26))+0.015</f>
        <v>2.59833333333333</v>
      </c>
      <c r="Y26" s="7" t="n">
        <f aca="false">((L26*S26+M26*T26+N26*U26)*'Prices&amp;Fuel'!H26)+V26</f>
        <v>84543.2566666666</v>
      </c>
      <c r="Z26" s="7" t="n">
        <v>13894</v>
      </c>
      <c r="AA26" s="7" t="n">
        <f aca="false">(W26-X26)*Z26/(1-'Prices&amp;Fuel'!F26)</f>
        <v>2357.80440806804</v>
      </c>
      <c r="AB26" s="7" t="n">
        <f aca="false">(O26*X26)+AA26</f>
        <v>81864.2060747347</v>
      </c>
      <c r="AC26" s="7" t="n">
        <f aca="false">Y26-AB26</f>
        <v>2679.05059193194</v>
      </c>
      <c r="AD26" s="7"/>
      <c r="AE26" s="7"/>
      <c r="AF26" s="7"/>
      <c r="AG26" s="8"/>
      <c r="AH26" s="7"/>
      <c r="AI26" s="7"/>
      <c r="AJ26" s="7"/>
      <c r="AK26" s="7" t="n">
        <v>15</v>
      </c>
      <c r="AL26" s="7" t="n">
        <f aca="false">AK26</f>
        <v>15</v>
      </c>
      <c r="AM26" s="7" t="n">
        <f aca="false">AL26</f>
        <v>15</v>
      </c>
      <c r="AN26" s="8" t="n">
        <f aca="false">(('Prices&amp;Fuel'!$B26*AK26+'Prices&amp;Fuel'!$C26*AL26+'Prices&amp;Fuel'!$D26*AM26)/(AK26+AL26+AM26))+0.03+0.015</f>
        <v>2.62833333333333</v>
      </c>
      <c r="AO26" s="7" t="n">
        <f aca="false">(AK26+AL26+AM26)*AN26*'Prices&amp;Fuel'!H26</f>
        <v>3666.525</v>
      </c>
      <c r="AP26" s="7" t="n">
        <f aca="false">(('Prices&amp;Fuel'!$B26+0.015)*AK26+('Prices&amp;Fuel'!$C26+0.015)*AL26+('Prices&amp;Fuel'!$D26+0.015)*AM26)*'Prices&amp;Fuel'!H26</f>
        <v>3624.675</v>
      </c>
      <c r="AQ26" s="7" t="n">
        <f aca="false">AO26-AP26</f>
        <v>41.849999999999</v>
      </c>
      <c r="AR26" s="14" t="n">
        <f aca="false">I26+Y26+AH26+AO26</f>
        <v>88209.7816666666</v>
      </c>
      <c r="AS26" s="7" t="n">
        <f aca="false">(B26+C26+D26+L26+M26+N26+((AD26+AE26+AF26)*(1-'Prices&amp;Fuel'!F26))+AK26+AL26+AM26)*0.005*'Prices&amp;Fuel'!H26</f>
        <v>159.97</v>
      </c>
      <c r="AT26" s="7" t="n">
        <f aca="false">J26+AB26+AI26+AP26+AS26</f>
        <v>85648.8510747347</v>
      </c>
      <c r="AU26" s="14" t="n">
        <f aca="false">AR26-AT26</f>
        <v>2560.93059193193</v>
      </c>
      <c r="AV26" s="30" t="n">
        <f aca="false">((B26+C26+D26+AK26+AL26+AM26)*0.005)*'Prices&amp;Fuel'!H26</f>
        <v>6.975</v>
      </c>
      <c r="AW26" s="30" t="n">
        <f aca="false">((L26+M26+N26+(AD26+AE26+AF26)*(1-'Prices&amp;Fuel'!F26))*0.005)*'Prices&amp;Fuel'!H26</f>
        <v>152.995</v>
      </c>
      <c r="AX26" s="55" t="n">
        <f aca="false">AV26+AW26</f>
        <v>159.97</v>
      </c>
      <c r="AY26" s="1" t="n">
        <f aca="false">(B26+C26+D26+L26+M26+N26+AD26+AE26+AF26+AK26+AL26+AM26)*'Prices&amp;Fuel'!H26</f>
        <v>31994</v>
      </c>
      <c r="AZ26" s="7"/>
      <c r="BA26" s="7" t="n">
        <f aca="false">(AK26+AL26+AM26)*'Prices&amp;Fuel'!H26</f>
        <v>1395</v>
      </c>
      <c r="BB26" s="7"/>
      <c r="BC26" s="7"/>
      <c r="BD26" s="7"/>
      <c r="BE26" s="7"/>
      <c r="BF26" s="7"/>
      <c r="BG26" s="7"/>
      <c r="BH26" s="7"/>
      <c r="BI26" s="7"/>
      <c r="BJ26" s="7"/>
      <c r="BK26" s="7"/>
      <c r="BL26" s="7"/>
      <c r="BN26" s="1"/>
      <c r="BV26" s="9"/>
    </row>
    <row r="27" customFormat="false" ht="11.25" hidden="false" customHeight="false" outlineLevel="0" collapsed="false">
      <c r="A27" s="6" t="n">
        <f aca="false">+A26+365/12</f>
        <v>36418.1666666667</v>
      </c>
      <c r="B27" s="6"/>
      <c r="C27" s="6"/>
      <c r="E27" s="8"/>
      <c r="F27" s="8"/>
      <c r="G27" s="8"/>
      <c r="H27" s="8"/>
      <c r="I27" s="8"/>
      <c r="J27" s="8"/>
      <c r="K27" s="8"/>
      <c r="L27" s="7" t="n">
        <f aca="false">$O27/3/'Prices&amp;Fuel'!$H27</f>
        <v>342.233333333333</v>
      </c>
      <c r="M27" s="7" t="n">
        <f aca="false">$O27/3/'Prices&amp;Fuel'!$H27</f>
        <v>342.233333333333</v>
      </c>
      <c r="N27" s="7" t="n">
        <f aca="false">$O27/3/'Prices&amp;Fuel'!$H27</f>
        <v>342.233333333333</v>
      </c>
      <c r="O27" s="7" t="n">
        <v>30801</v>
      </c>
      <c r="P27" s="7" t="n">
        <f aca="false">IF(O27&gt;20000,20000,O27)</f>
        <v>20000</v>
      </c>
      <c r="Q27" s="7" t="n">
        <f aca="false">O27-P27-R27</f>
        <v>10801</v>
      </c>
      <c r="R27" s="7" t="n">
        <f aca="false">IF(O27&gt;49999,O27-50000,0)</f>
        <v>0</v>
      </c>
      <c r="S27" s="8" t="n">
        <f aca="false">'Prices&amp;Fuel'!B27</f>
        <v>2.86</v>
      </c>
      <c r="T27" s="8" t="n">
        <f aca="false">'Prices&amp;Fuel'!C27</f>
        <v>2.9</v>
      </c>
      <c r="U27" s="8" t="n">
        <f aca="false">'Prices&amp;Fuel'!D27</f>
        <v>2.86</v>
      </c>
      <c r="V27" s="7" t="n">
        <f aca="false">P27*0.19+Q27*0.16+R27*0.14</f>
        <v>5528.16</v>
      </c>
      <c r="W27" s="8" t="n">
        <f aca="false">Y27/O27</f>
        <v>3.05281322034999</v>
      </c>
      <c r="X27" s="8" t="n">
        <f aca="false">((L27*S27+M27*T27+N27*U27)/(L27+M27+N27))+0.015</f>
        <v>2.88833333333333</v>
      </c>
      <c r="Y27" s="7" t="n">
        <f aca="false">((L27*S27+M27*T27+N27*U27)*'Prices&amp;Fuel'!H27)+V27</f>
        <v>94029.7</v>
      </c>
      <c r="Z27" s="7" t="n">
        <v>13169</v>
      </c>
      <c r="AA27" s="7" t="n">
        <f aca="false">(W27-X27)*Z27/(1-'Prices&amp;Fuel'!F27)</f>
        <v>2233.02642486839</v>
      </c>
      <c r="AB27" s="7" t="n">
        <f aca="false">(O27*X27)+AA27</f>
        <v>91196.5814248684</v>
      </c>
      <c r="AC27" s="7" t="n">
        <f aca="false">Y27-AB27</f>
        <v>2833.11857513162</v>
      </c>
      <c r="AD27" s="7"/>
      <c r="AE27" s="7"/>
      <c r="AF27" s="7"/>
      <c r="AG27" s="8"/>
      <c r="AH27" s="7"/>
      <c r="AI27" s="7"/>
      <c r="AJ27" s="7"/>
      <c r="AK27" s="7" t="n">
        <v>70</v>
      </c>
      <c r="AL27" s="7" t="n">
        <f aca="false">AK27</f>
        <v>70</v>
      </c>
      <c r="AM27" s="7" t="n">
        <f aca="false">AL27</f>
        <v>70</v>
      </c>
      <c r="AN27" s="8" t="n">
        <f aca="false">(('Prices&amp;Fuel'!$B27*AK27+'Prices&amp;Fuel'!$C27*AL27+'Prices&amp;Fuel'!$D27*AM27)/(AK27+AL27+AM27))+0.03+0.015</f>
        <v>2.91833333333333</v>
      </c>
      <c r="AO27" s="7" t="n">
        <f aca="false">(AK27+AL27+AM27)*AN27*'Prices&amp;Fuel'!H27</f>
        <v>18385.5</v>
      </c>
      <c r="AP27" s="7" t="n">
        <f aca="false">(('Prices&amp;Fuel'!$B27+0.015)*AK27+('Prices&amp;Fuel'!$C27+0.015)*AL27+('Prices&amp;Fuel'!$D27+0.015)*AM27)*'Prices&amp;Fuel'!H27</f>
        <v>18196.5</v>
      </c>
      <c r="AQ27" s="7" t="n">
        <f aca="false">AO27-AP27</f>
        <v>188.999999999996</v>
      </c>
      <c r="AR27" s="14" t="n">
        <f aca="false">I27+Y27+AH27+AO27</f>
        <v>112415.2</v>
      </c>
      <c r="AS27" s="7" t="n">
        <f aca="false">(B27+C27+D27+L27+M27+N27+((AD27+AE27+AF27)*(1-'Prices&amp;Fuel'!F27))+AK27+AL27+AM27)*0.005*'Prices&amp;Fuel'!H27</f>
        <v>185.505</v>
      </c>
      <c r="AT27" s="7" t="n">
        <f aca="false">J27+AB27+AI27+AP27+AS27</f>
        <v>109578.586424868</v>
      </c>
      <c r="AU27" s="14" t="n">
        <f aca="false">AR27-AT27</f>
        <v>2836.61357513162</v>
      </c>
      <c r="AV27" s="30" t="n">
        <f aca="false">((B27+C27+D27+AK27+AL27+AM27)*0.005)*'Prices&amp;Fuel'!H27</f>
        <v>31.5</v>
      </c>
      <c r="AW27" s="30" t="n">
        <f aca="false">((L27+M27+N27+(AD27+AE27+AF27)*(1-'Prices&amp;Fuel'!F27))*0.005)*'Prices&amp;Fuel'!H27</f>
        <v>154.005</v>
      </c>
      <c r="AX27" s="55" t="n">
        <f aca="false">AV27+AW27</f>
        <v>185.505</v>
      </c>
      <c r="AY27" s="1" t="n">
        <f aca="false">(B27+C27+D27+L27+M27+N27+AD27+AE27+AF27+AK27+AL27+AM27)*'Prices&amp;Fuel'!H27</f>
        <v>37101</v>
      </c>
      <c r="AZ27" s="7"/>
      <c r="BA27" s="7" t="n">
        <f aca="false">(AK27+AL27+AM27)*'Prices&amp;Fuel'!H27</f>
        <v>6300</v>
      </c>
      <c r="BB27" s="7"/>
      <c r="BC27" s="7"/>
      <c r="BD27" s="7"/>
      <c r="BE27" s="7"/>
      <c r="BF27" s="7"/>
      <c r="BG27" s="7"/>
      <c r="BH27" s="7"/>
      <c r="BI27" s="7"/>
      <c r="BJ27" s="7"/>
      <c r="BK27" s="7"/>
      <c r="BL27" s="7"/>
      <c r="BN27" s="1"/>
      <c r="BV27" s="9"/>
    </row>
    <row r="28" customFormat="false" ht="11.25" hidden="false" customHeight="false" outlineLevel="0" collapsed="false">
      <c r="A28" s="6" t="n">
        <f aca="false">+A27+365/12</f>
        <v>36448.5833333333</v>
      </c>
      <c r="B28" s="6"/>
      <c r="C28" s="6"/>
      <c r="E28" s="8"/>
      <c r="F28" s="8"/>
      <c r="G28" s="8"/>
      <c r="H28" s="8"/>
      <c r="I28" s="8"/>
      <c r="J28" s="8"/>
      <c r="K28" s="8"/>
      <c r="L28" s="7" t="n">
        <f aca="false">$O28/3/'Prices&amp;Fuel'!$H28</f>
        <v>405.698924731183</v>
      </c>
      <c r="M28" s="7" t="n">
        <f aca="false">$O28/3/'Prices&amp;Fuel'!$H28</f>
        <v>405.698924731183</v>
      </c>
      <c r="N28" s="7" t="n">
        <f aca="false">$O28/3/'Prices&amp;Fuel'!$H28</f>
        <v>405.698924731183</v>
      </c>
      <c r="O28" s="7" t="n">
        <v>37730</v>
      </c>
      <c r="P28" s="7" t="n">
        <f aca="false">IF(O28&gt;20000,20000,O28)</f>
        <v>20000</v>
      </c>
      <c r="Q28" s="7" t="n">
        <f aca="false">O28-P28-R28</f>
        <v>17730</v>
      </c>
      <c r="R28" s="7" t="n">
        <f aca="false">IF(O28&gt;49999,O28-50000,0)</f>
        <v>0</v>
      </c>
      <c r="S28" s="8" t="n">
        <f aca="false">'Prices&amp;Fuel'!B28</f>
        <v>2.49</v>
      </c>
      <c r="T28" s="8" t="n">
        <f aca="false">'Prices&amp;Fuel'!C28</f>
        <v>2.53</v>
      </c>
      <c r="U28" s="8" t="n">
        <f aca="false">'Prices&amp;Fuel'!D28</f>
        <v>2.49</v>
      </c>
      <c r="V28" s="7" t="n">
        <f aca="false">P28*0.19+Q28*0.16+R28*0.14</f>
        <v>6636.8</v>
      </c>
      <c r="W28" s="8" t="n">
        <f aca="false">Y28/O28</f>
        <v>2.67923579821539</v>
      </c>
      <c r="X28" s="8" t="n">
        <f aca="false">((L28*S28+M28*T28+N28*U28)/(L28+M28+N28))+0.015</f>
        <v>2.51833333333333</v>
      </c>
      <c r="Y28" s="7" t="n">
        <f aca="false">((L28*S28+M28*T28+N28*U28)*'Prices&amp;Fuel'!H28)+V28</f>
        <v>101087.566666667</v>
      </c>
      <c r="Z28" s="7" t="n">
        <v>14442</v>
      </c>
      <c r="AA28" s="7" t="n">
        <f aca="false">(W28-X28)*Z28/(1-'Prices&amp;Fuel'!F28)</f>
        <v>2389.46364815081</v>
      </c>
      <c r="AB28" s="7" t="n">
        <f aca="false">(O28*X28)+AA28</f>
        <v>97406.1803148175</v>
      </c>
      <c r="AC28" s="7" t="n">
        <f aca="false">Y28-AB28</f>
        <v>3681.38635184919</v>
      </c>
      <c r="AD28" s="7"/>
      <c r="AE28" s="7"/>
      <c r="AF28" s="7"/>
      <c r="AG28" s="8"/>
      <c r="AH28" s="7"/>
      <c r="AI28" s="7"/>
      <c r="AJ28" s="7"/>
      <c r="AK28" s="7" t="n">
        <v>131</v>
      </c>
      <c r="AL28" s="7" t="n">
        <f aca="false">AK28</f>
        <v>131</v>
      </c>
      <c r="AM28" s="7" t="n">
        <f aca="false">AL28</f>
        <v>131</v>
      </c>
      <c r="AN28" s="8" t="n">
        <f aca="false">(('Prices&amp;Fuel'!$B28*AK28+'Prices&amp;Fuel'!$C28*AL28+'Prices&amp;Fuel'!$D28*AM28)/(AK28+AL28+AM28))+0.03+0.015</f>
        <v>2.54833333333333</v>
      </c>
      <c r="AO28" s="7" t="n">
        <f aca="false">(AK28+AL28+AM28)*AN28*'Prices&amp;Fuel'!H28</f>
        <v>31046.345</v>
      </c>
      <c r="AP28" s="7" t="n">
        <f aca="false">(('Prices&amp;Fuel'!$B28+0.015)*AK28+('Prices&amp;Fuel'!$C28+0.015)*AL28+('Prices&amp;Fuel'!$D28+0.015)*AM28)*'Prices&amp;Fuel'!H28</f>
        <v>30680.855</v>
      </c>
      <c r="AQ28" s="7" t="n">
        <f aca="false">AO28-AP28</f>
        <v>365.490000000005</v>
      </c>
      <c r="AR28" s="14" t="n">
        <f aca="false">I28+Y28+AH28+AO28</f>
        <v>132133.911666667</v>
      </c>
      <c r="AS28" s="7" t="n">
        <f aca="false">(B28+C28+D28+L28+M28+N28+((AD28+AE28+AF28)*(1-'Prices&amp;Fuel'!F28))+AK28+AL28+AM28)*0.005*'Prices&amp;Fuel'!H28</f>
        <v>249.565</v>
      </c>
      <c r="AT28" s="7" t="n">
        <f aca="false">J28+AB28+AI28+AP28+AS28</f>
        <v>128336.600314817</v>
      </c>
      <c r="AU28" s="14" t="n">
        <f aca="false">AR28-AT28</f>
        <v>3797.3113518492</v>
      </c>
      <c r="AV28" s="30" t="n">
        <f aca="false">((B28+C28+D28+AK28+AL28+AM28)*0.005)*'Prices&amp;Fuel'!H28</f>
        <v>60.915</v>
      </c>
      <c r="AW28" s="30" t="n">
        <f aca="false">((L28+M28+N28+(AD28+AE28+AF28)*(1-'Prices&amp;Fuel'!F28))*0.005)*'Prices&amp;Fuel'!H28</f>
        <v>188.65</v>
      </c>
      <c r="AX28" s="55" t="n">
        <f aca="false">AV28+AW28</f>
        <v>249.565</v>
      </c>
      <c r="AY28" s="1" t="n">
        <f aca="false">(B28+C28+D28+L28+M28+N28+AD28+AE28+AF28+AK28+AL28+AM28)*'Prices&amp;Fuel'!H28</f>
        <v>49913</v>
      </c>
      <c r="AZ28" s="7"/>
      <c r="BA28" s="7" t="n">
        <f aca="false">(AK28+AL28+AM28)*'Prices&amp;Fuel'!H28</f>
        <v>12183</v>
      </c>
      <c r="BB28" s="7"/>
      <c r="BC28" s="7"/>
      <c r="BD28" s="7"/>
      <c r="BE28" s="7"/>
      <c r="BF28" s="7"/>
      <c r="BG28" s="7"/>
      <c r="BH28" s="7"/>
      <c r="BI28" s="7"/>
      <c r="BJ28" s="7"/>
      <c r="BK28" s="7"/>
      <c r="BL28" s="7"/>
      <c r="BN28" s="1"/>
      <c r="BV28" s="9"/>
    </row>
    <row r="29" customFormat="false" ht="11.25" hidden="false" customHeight="false" outlineLevel="0" collapsed="false">
      <c r="A29" s="6" t="n">
        <f aca="false">+A28+365/12</f>
        <v>36479</v>
      </c>
      <c r="B29" s="6"/>
      <c r="C29" s="6"/>
      <c r="E29" s="8"/>
      <c r="F29" s="8"/>
      <c r="G29" s="8"/>
      <c r="H29" s="8"/>
      <c r="I29" s="8"/>
      <c r="J29" s="8"/>
      <c r="K29" s="8"/>
      <c r="N29" s="7"/>
      <c r="O29" s="7"/>
      <c r="P29" s="7"/>
      <c r="Q29" s="7"/>
      <c r="R29" s="7"/>
      <c r="S29" s="8"/>
      <c r="Y29" s="7"/>
      <c r="Z29" s="7"/>
      <c r="AA29" s="7"/>
      <c r="AB29" s="7"/>
      <c r="AC29" s="7"/>
      <c r="AD29" s="7"/>
      <c r="AE29" s="7"/>
      <c r="AF29" s="7"/>
      <c r="AG29" s="8"/>
      <c r="AH29" s="7"/>
      <c r="AI29" s="7"/>
      <c r="AJ29" s="7"/>
      <c r="AK29" s="7" t="n">
        <v>59</v>
      </c>
      <c r="AL29" s="7" t="n">
        <f aca="false">AK29</f>
        <v>59</v>
      </c>
      <c r="AM29" s="7" t="n">
        <f aca="false">AL29</f>
        <v>59</v>
      </c>
      <c r="AN29" s="8" t="n">
        <f aca="false">(('Prices&amp;Fuel'!$B29*AK29+'Prices&amp;Fuel'!$C29*AL29+'Prices&amp;Fuel'!$D29*AM29)/(AK29+AL29+AM29))+0.03+0.015</f>
        <v>3.03833333333333</v>
      </c>
      <c r="AO29" s="7" t="n">
        <f aca="false">(AK29+AL29+AM29)*AN29*'Prices&amp;Fuel'!H29</f>
        <v>16133.55</v>
      </c>
      <c r="AP29" s="7" t="n">
        <f aca="false">(('Prices&amp;Fuel'!$B29+0.015)*AK29+('Prices&amp;Fuel'!$C29+0.015)*AL29+('Prices&amp;Fuel'!$D29+0.015)*AM29)*'Prices&amp;Fuel'!H29</f>
        <v>15974.25</v>
      </c>
      <c r="AQ29" s="7" t="n">
        <f aca="false">AO29-AP29</f>
        <v>159.299999999999</v>
      </c>
      <c r="AR29" s="14" t="n">
        <f aca="false">I29+Y29+AH29+AO29</f>
        <v>16133.55</v>
      </c>
      <c r="AS29" s="7" t="n">
        <f aca="false">(B29+C29+D29+L29+M29+N29+((AD29+AE29+AF29)*(1-'Prices&amp;Fuel'!F29))+AK29+AL29+AM29)*0.005*'Prices&amp;Fuel'!H29</f>
        <v>26.55</v>
      </c>
      <c r="AT29" s="7" t="n">
        <f aca="false">J29+AB29+AI29+AP29+AS29</f>
        <v>16000.8</v>
      </c>
      <c r="AU29" s="14" t="n">
        <f aca="false">AR29-AT29</f>
        <v>132.75</v>
      </c>
      <c r="AV29" s="30" t="n">
        <f aca="false">((B29+C29+D29+AK29+AL29+AM29)*0.005)*'Prices&amp;Fuel'!H29</f>
        <v>26.55</v>
      </c>
      <c r="AW29" s="30" t="n">
        <f aca="false">((L29+M29+N29+(AD29+AE29+AF29)*(1-'Prices&amp;Fuel'!F29))*0.005)*'Prices&amp;Fuel'!H29</f>
        <v>0</v>
      </c>
      <c r="AX29" s="55" t="n">
        <f aca="false">AV29+AW29</f>
        <v>26.55</v>
      </c>
      <c r="AY29" s="1" t="n">
        <f aca="false">(B29+C29+D29+L29+M29+N29+AD29+AE29+AF29+AK29+AL29+AM29)*'Prices&amp;Fuel'!H29</f>
        <v>5310</v>
      </c>
      <c r="AZ29" s="7"/>
      <c r="BA29" s="7" t="n">
        <f aca="false">(AK29+AL29+AM29)*'Prices&amp;Fuel'!H29</f>
        <v>5310</v>
      </c>
      <c r="BB29" s="7"/>
      <c r="BC29" s="7"/>
      <c r="BD29" s="7"/>
      <c r="BE29" s="7"/>
      <c r="BF29" s="14"/>
      <c r="BG29" s="7"/>
      <c r="BH29" s="7"/>
      <c r="BI29" s="14"/>
      <c r="BJ29" s="14"/>
      <c r="BK29" s="14"/>
      <c r="BL29" s="14"/>
      <c r="BN29" s="1"/>
      <c r="BV29" s="9"/>
    </row>
    <row r="30" customFormat="false" ht="11.25" hidden="false" customHeight="false" outlineLevel="0" collapsed="false">
      <c r="A30" s="6" t="n">
        <f aca="false">+A29+365/12</f>
        <v>36509.4166666667</v>
      </c>
      <c r="B30" s="6"/>
      <c r="C30" s="6"/>
      <c r="E30" s="8"/>
      <c r="F30" s="8"/>
      <c r="G30" s="8"/>
      <c r="H30" s="8"/>
      <c r="I30" s="8"/>
      <c r="J30" s="8"/>
      <c r="K30" s="8"/>
      <c r="N30" s="7"/>
      <c r="O30" s="7"/>
      <c r="P30" s="7"/>
      <c r="Q30" s="7"/>
      <c r="R30" s="7"/>
      <c r="S30" s="8"/>
      <c r="Y30" s="7"/>
      <c r="Z30" s="7"/>
      <c r="AA30" s="7"/>
      <c r="AB30" s="7"/>
      <c r="AC30" s="7"/>
      <c r="AD30" s="7"/>
      <c r="AE30" s="7"/>
      <c r="AF30" s="7"/>
      <c r="AG30" s="8"/>
      <c r="AH30" s="7"/>
      <c r="AI30" s="7"/>
      <c r="AJ30" s="7"/>
      <c r="AK30" s="7" t="n">
        <v>93</v>
      </c>
      <c r="AL30" s="7" t="n">
        <f aca="false">AK30</f>
        <v>93</v>
      </c>
      <c r="AM30" s="7" t="n">
        <f aca="false">AL30</f>
        <v>93</v>
      </c>
      <c r="AN30" s="8" t="n">
        <f aca="false">(('Prices&amp;Fuel'!$B30*AK30+'Prices&amp;Fuel'!$C30*AL30+'Prices&amp;Fuel'!$D30*AM30)/(AK30+AL30+AM30))+0.03+0.015</f>
        <v>2.15833333333333</v>
      </c>
      <c r="AO30" s="7" t="n">
        <f aca="false">(AK30+AL30+AM30)*AN30*'Prices&amp;Fuel'!H30</f>
        <v>18667.425</v>
      </c>
      <c r="AP30" s="7" t="n">
        <f aca="false">(('Prices&amp;Fuel'!$B30+0.015)*AK30+('Prices&amp;Fuel'!$C30+0.015)*AL30+('Prices&amp;Fuel'!$D30+0.015)*AM30)*'Prices&amp;Fuel'!H30</f>
        <v>18407.955</v>
      </c>
      <c r="AQ30" s="7" t="n">
        <f aca="false">AO30-AP30</f>
        <v>259.470000000001</v>
      </c>
      <c r="AR30" s="14" t="n">
        <f aca="false">I30+Y30+AH30+AO30</f>
        <v>18667.425</v>
      </c>
      <c r="AS30" s="7" t="n">
        <f aca="false">(B30+C30+D30+L30+M30+N30+((AD30+AE30+AF30)*(1-'Prices&amp;Fuel'!F30))+AK30+AL30+AM30)*0.005*'Prices&amp;Fuel'!H30</f>
        <v>43.245</v>
      </c>
      <c r="AT30" s="7" t="n">
        <f aca="false">J30+AB30+AI30+AP30+AS30</f>
        <v>18451.2</v>
      </c>
      <c r="AU30" s="14" t="n">
        <f aca="false">AR30-AT30</f>
        <v>216.225000000002</v>
      </c>
      <c r="AV30" s="30" t="n">
        <f aca="false">((B30+C30+D30+AK30+AL30+AM30)*0.005)*'Prices&amp;Fuel'!H30</f>
        <v>43.245</v>
      </c>
      <c r="AW30" s="30" t="n">
        <f aca="false">((L30+M30+N30+(AD30+AE30+AF30)*(1-'Prices&amp;Fuel'!F30))*0.005)*'Prices&amp;Fuel'!H30</f>
        <v>0</v>
      </c>
      <c r="AX30" s="55" t="n">
        <f aca="false">AV30+AW30</f>
        <v>43.245</v>
      </c>
      <c r="AY30" s="1" t="n">
        <f aca="false">(B30+C30+D30+L30+M30+N30+AD30+AE30+AF30+AK30+AL30+AM30)*'Prices&amp;Fuel'!H30</f>
        <v>8649</v>
      </c>
      <c r="AZ30" s="7" t="n">
        <f aca="false">SUM(AY19:AY30)/365</f>
        <v>1390.15616438356</v>
      </c>
      <c r="BA30" s="7" t="n">
        <f aca="false">(AK30+AL30+AM30)*'Prices&amp;Fuel'!H30</f>
        <v>8649</v>
      </c>
      <c r="BB30" s="7"/>
      <c r="BC30" s="7"/>
      <c r="BD30" s="7"/>
      <c r="BE30" s="7"/>
      <c r="BF30" s="14"/>
      <c r="BG30" s="7"/>
      <c r="BH30" s="7"/>
      <c r="BI30" s="14"/>
      <c r="BJ30" s="14"/>
      <c r="BK30" s="14"/>
      <c r="BL30" s="14"/>
      <c r="BN30" s="1"/>
      <c r="BV30" s="9"/>
    </row>
    <row r="31" customFormat="false" ht="11.25" hidden="false" customHeight="false" outlineLevel="0" collapsed="false">
      <c r="A31" s="6" t="n">
        <f aca="false">+A30+365/12</f>
        <v>36539.8333333333</v>
      </c>
      <c r="B31" s="6"/>
      <c r="C31" s="6"/>
      <c r="E31" s="8"/>
      <c r="F31" s="8"/>
      <c r="G31" s="8"/>
      <c r="H31" s="8"/>
      <c r="I31" s="8"/>
      <c r="J31" s="8"/>
      <c r="K31" s="8"/>
      <c r="N31" s="7"/>
      <c r="O31" s="7"/>
      <c r="P31" s="7"/>
      <c r="Q31" s="7"/>
      <c r="R31" s="7"/>
      <c r="S31" s="8"/>
      <c r="Y31" s="27"/>
      <c r="Z31" s="7"/>
      <c r="AA31" s="27"/>
      <c r="AB31" s="27"/>
      <c r="AC31" s="7"/>
      <c r="AD31" s="7"/>
      <c r="AE31" s="7"/>
      <c r="AF31" s="7"/>
      <c r="AG31" s="8"/>
      <c r="AH31" s="7"/>
      <c r="AI31" s="7"/>
      <c r="AJ31" s="7"/>
      <c r="AK31" s="7" t="n">
        <v>108</v>
      </c>
      <c r="AL31" s="7" t="n">
        <f aca="false">AK31</f>
        <v>108</v>
      </c>
      <c r="AM31" s="7" t="n">
        <f aca="false">AL31</f>
        <v>108</v>
      </c>
      <c r="AN31" s="8" t="n">
        <f aca="false">(('Prices&amp;Fuel'!$B31*AK31+'Prices&amp;Fuel'!$C31*AL31+'Prices&amp;Fuel'!$D31*AM31)/(AK31+AL31+AM31))+0.03+0.015</f>
        <v>2.36833333333333</v>
      </c>
      <c r="AO31" s="7" t="n">
        <f aca="false">(AK31+AL31+AM31)*AN31*'Prices&amp;Fuel'!H31</f>
        <v>23787.54</v>
      </c>
      <c r="AP31" s="7" t="n">
        <f aca="false">(('Prices&amp;Fuel'!$B31+0.015)*AK31+('Prices&amp;Fuel'!$C31+0.015)*AL31+('Prices&amp;Fuel'!$D31+0.015)*AM31)*'Prices&amp;Fuel'!H31</f>
        <v>23486.22</v>
      </c>
      <c r="AQ31" s="7" t="n">
        <f aca="false">AO31-AP31</f>
        <v>301.319999999992</v>
      </c>
      <c r="AR31" s="14" t="n">
        <f aca="false">I31+Y31+AH31+AO31</f>
        <v>23787.54</v>
      </c>
      <c r="AS31" s="7" t="n">
        <f aca="false">(B31+C31+D31+L31+M31+N31+((AD31+AE31+AF31)*(1-'Prices&amp;Fuel'!F31))+AK31+AL31+AM31)*0.005*'Prices&amp;Fuel'!H31</f>
        <v>50.22</v>
      </c>
      <c r="AT31" s="7" t="n">
        <f aca="false">J31+AB31+AI31+AP31+AS31</f>
        <v>23536.44</v>
      </c>
      <c r="AU31" s="14" t="n">
        <f aca="false">AR31-AT31</f>
        <v>251.099999999991</v>
      </c>
      <c r="AV31" s="30" t="n">
        <f aca="false">((B31+C31+D31+AK31+AL31+AM31)*0.005)*'Prices&amp;Fuel'!H31</f>
        <v>50.22</v>
      </c>
      <c r="AW31" s="30" t="n">
        <f aca="false">((L31+M31+N31+(AD31+AE31+AF31)*(1-'Prices&amp;Fuel'!F31))*0.005)*'Prices&amp;Fuel'!H31</f>
        <v>0</v>
      </c>
      <c r="AX31" s="55" t="n">
        <f aca="false">AV31+AW31</f>
        <v>50.22</v>
      </c>
      <c r="AY31" s="1" t="n">
        <f aca="false">(B31+C31+D31+L31+M31+N31+AD31+AE31+AF31+AK31+AL31+AM31)*'Prices&amp;Fuel'!H31</f>
        <v>10044</v>
      </c>
      <c r="AZ31" s="7"/>
      <c r="BA31" s="7" t="n">
        <f aca="false">(AK31+AL31+AM31)*'Prices&amp;Fuel'!H31</f>
        <v>10044</v>
      </c>
      <c r="BB31" s="7"/>
      <c r="BC31" s="7"/>
      <c r="BE31" s="7"/>
      <c r="BF31" s="14"/>
      <c r="BG31" s="7"/>
      <c r="BH31" s="7"/>
      <c r="BI31" s="14"/>
      <c r="BJ31" s="14"/>
      <c r="BK31" s="14"/>
      <c r="BL31" s="14"/>
      <c r="BN31" s="1"/>
      <c r="BV31" s="9"/>
    </row>
    <row r="32" customFormat="false" ht="11.25" hidden="false" customHeight="false" outlineLevel="0" collapsed="false">
      <c r="A32" s="6" t="n">
        <f aca="false">+A31+365/12</f>
        <v>36570.25</v>
      </c>
      <c r="B32" s="6"/>
      <c r="C32" s="6"/>
      <c r="E32" s="8"/>
      <c r="F32" s="8"/>
      <c r="G32" s="8"/>
      <c r="H32" s="8"/>
      <c r="I32" s="8"/>
      <c r="J32" s="8"/>
      <c r="K32" s="8"/>
      <c r="N32" s="7"/>
      <c r="O32" s="7"/>
      <c r="P32" s="7"/>
      <c r="Q32" s="7"/>
      <c r="R32" s="7"/>
      <c r="S32" s="8"/>
      <c r="Y32" s="27"/>
      <c r="Z32" s="7"/>
      <c r="AA32" s="27"/>
      <c r="AB32" s="27"/>
      <c r="AC32" s="27"/>
      <c r="AD32" s="7"/>
      <c r="AE32" s="7"/>
      <c r="AF32" s="7"/>
      <c r="AG32" s="8"/>
      <c r="AH32" s="7"/>
      <c r="AI32" s="7"/>
      <c r="AJ32" s="7"/>
      <c r="AK32" s="7" t="n">
        <v>184</v>
      </c>
      <c r="AL32" s="7" t="n">
        <f aca="false">AK32</f>
        <v>184</v>
      </c>
      <c r="AM32" s="7" t="n">
        <f aca="false">AL32</f>
        <v>184</v>
      </c>
      <c r="AN32" s="8" t="n">
        <f aca="false">(('Prices&amp;Fuel'!$B32*AK32+'Prices&amp;Fuel'!$C32*AL32+'Prices&amp;Fuel'!$D32*AM32)/(AK32+AL32+AM32))+0.03+0.015</f>
        <v>2.63833333333333</v>
      </c>
      <c r="AO32" s="7" t="n">
        <f aca="false">(AK32+AL32+AM32)*AN32*'Prices&amp;Fuel'!H32</f>
        <v>42234.44</v>
      </c>
      <c r="AP32" s="7" t="n">
        <f aca="false">(('Prices&amp;Fuel'!$B32+0.015)*AK32+('Prices&amp;Fuel'!$C32+0.015)*AL32+('Prices&amp;Fuel'!$D32+0.015)*AM32)*'Prices&amp;Fuel'!H32</f>
        <v>41754.2</v>
      </c>
      <c r="AQ32" s="7" t="n">
        <f aca="false">AO32-AP32</f>
        <v>480.239999999991</v>
      </c>
      <c r="AR32" s="14" t="n">
        <f aca="false">I32+Y32+AH32+AO32</f>
        <v>42234.44</v>
      </c>
      <c r="AS32" s="7" t="n">
        <f aca="false">(B32+C32+D32+L32+M32+N32+((AD32+AE32+AF32)*(1-'Prices&amp;Fuel'!F32))+AK32+AL32+AM32)*0.005*'Prices&amp;Fuel'!H32</f>
        <v>80.04</v>
      </c>
      <c r="AT32" s="7" t="n">
        <f aca="false">J32+AB32+AI32+AP32+AS32</f>
        <v>41834.24</v>
      </c>
      <c r="AU32" s="14" t="n">
        <f aca="false">AR32-AT32</f>
        <v>400.19999999999</v>
      </c>
      <c r="AV32" s="30" t="n">
        <f aca="false">((B32+C32+D32+AK32+AL32+AM32)*0.005)*'Prices&amp;Fuel'!H32</f>
        <v>80.04</v>
      </c>
      <c r="AW32" s="30" t="n">
        <f aca="false">((L32+M32+N32+(AD32+AE32+AF32)*(1-'Prices&amp;Fuel'!F32))*0.005)*'Prices&amp;Fuel'!H32</f>
        <v>0</v>
      </c>
      <c r="AX32" s="55" t="n">
        <f aca="false">AV32+AW32</f>
        <v>80.04</v>
      </c>
      <c r="AY32" s="1" t="n">
        <f aca="false">(B32+C32+D32+L32+M32+N32+AD32+AE32+AF32+AK32+AL32+AM32)*'Prices&amp;Fuel'!H32</f>
        <v>16008</v>
      </c>
      <c r="AZ32" s="7"/>
      <c r="BA32" s="7" t="n">
        <f aca="false">(AK32+AL32+AM32)*'Prices&amp;Fuel'!H32</f>
        <v>16008</v>
      </c>
      <c r="BB32" s="7"/>
      <c r="BC32" s="7"/>
      <c r="BE32" s="7"/>
      <c r="BG32" s="7"/>
      <c r="BH32" s="7"/>
      <c r="BN32" s="1"/>
      <c r="BV32" s="9"/>
    </row>
    <row r="33" customFormat="false" ht="11.25" hidden="false" customHeight="false" outlineLevel="0" collapsed="false">
      <c r="A33" s="6" t="n">
        <f aca="false">+A32+365/12</f>
        <v>36600.6666666667</v>
      </c>
      <c r="B33" s="6"/>
      <c r="C33" s="6"/>
      <c r="E33" s="8"/>
      <c r="F33" s="8"/>
      <c r="G33" s="8"/>
      <c r="H33" s="8"/>
      <c r="I33" s="8"/>
      <c r="J33" s="8"/>
      <c r="K33" s="8"/>
      <c r="N33" s="7"/>
      <c r="O33" s="7"/>
      <c r="P33" s="7"/>
      <c r="Q33" s="7"/>
      <c r="R33" s="7"/>
      <c r="S33" s="8"/>
      <c r="Y33" s="27"/>
      <c r="Z33" s="7"/>
      <c r="AA33" s="27"/>
      <c r="AB33" s="27"/>
      <c r="AC33" s="27"/>
      <c r="AD33" s="7"/>
      <c r="AE33" s="7"/>
      <c r="AF33" s="7"/>
      <c r="AG33" s="8"/>
      <c r="AH33" s="7"/>
      <c r="AI33" s="7"/>
      <c r="AJ33" s="7"/>
      <c r="AK33" s="7" t="n">
        <v>120</v>
      </c>
      <c r="AL33" s="7" t="n">
        <f aca="false">AK33</f>
        <v>120</v>
      </c>
      <c r="AM33" s="7" t="n">
        <f aca="false">AL33</f>
        <v>120</v>
      </c>
      <c r="AN33" s="8" t="n">
        <f aca="false">(('Prices&amp;Fuel'!$B33*AK33+'Prices&amp;Fuel'!$C33*AL33+'Prices&amp;Fuel'!$D33*AM33)/(AK33+AL33+AM33))+0.03+0.015</f>
        <v>2.635</v>
      </c>
      <c r="AO33" s="7" t="n">
        <f aca="false">(AK33+AL33+AM33)*AN33*'Prices&amp;Fuel'!H33</f>
        <v>29406.6</v>
      </c>
      <c r="AP33" s="7" t="n">
        <f aca="false">(('Prices&amp;Fuel'!$B33+0.015)*AK33+('Prices&amp;Fuel'!$C33+0.015)*AL33+('Prices&amp;Fuel'!$D33+0.015)*AM33)*'Prices&amp;Fuel'!H33</f>
        <v>29071.8</v>
      </c>
      <c r="AQ33" s="7" t="n">
        <f aca="false">AO33-AP33</f>
        <v>334.799999999992</v>
      </c>
      <c r="AR33" s="14" t="n">
        <f aca="false">I33+Y33+AH33+AO33</f>
        <v>29406.6</v>
      </c>
      <c r="AS33" s="7" t="n">
        <f aca="false">(B33+C33+D33+L33+M33+N33+((AD33+AE33+AF33)*(1-'Prices&amp;Fuel'!F33))+AK33+AL33+AM33)*0.005*'Prices&amp;Fuel'!H33</f>
        <v>55.8</v>
      </c>
      <c r="AT33" s="7" t="n">
        <f aca="false">J33+AB33+AI33+AP33+AS33</f>
        <v>29127.6</v>
      </c>
      <c r="AU33" s="14" t="n">
        <f aca="false">AR33-AT33</f>
        <v>278.999999999993</v>
      </c>
      <c r="AV33" s="30" t="n">
        <f aca="false">((B33+C33+D33+AK33+AL33+AM33)*0.005)*'Prices&amp;Fuel'!H33</f>
        <v>55.8</v>
      </c>
      <c r="AW33" s="30" t="n">
        <f aca="false">((L33+M33+N33+(AD33+AE33+AF33)*(1-'Prices&amp;Fuel'!F33))*0.005)*'Prices&amp;Fuel'!H33</f>
        <v>0</v>
      </c>
      <c r="AX33" s="55" t="n">
        <f aca="false">AV33+AW33</f>
        <v>55.8</v>
      </c>
      <c r="AY33" s="1" t="n">
        <f aca="false">(B33+C33+D33+L33+M33+N33+AD33+AE33+AF33+AK33+AL33+AM33)*'Prices&amp;Fuel'!H33</f>
        <v>11160</v>
      </c>
      <c r="AZ33" s="7"/>
      <c r="BA33" s="7" t="n">
        <f aca="false">(AK33+AL33+AM33)*'Prices&amp;Fuel'!H33</f>
        <v>11160</v>
      </c>
      <c r="BB33" s="7"/>
      <c r="BC33" s="7"/>
      <c r="BE33" s="7"/>
      <c r="BG33" s="7"/>
      <c r="BH33" s="7"/>
      <c r="BN33" s="1"/>
      <c r="BV33" s="9"/>
    </row>
    <row r="34" customFormat="false" ht="11.25" hidden="false" customHeight="false" outlineLevel="0" collapsed="false">
      <c r="A34" s="6" t="n">
        <f aca="false">+A33+365/12</f>
        <v>36631.0833333333</v>
      </c>
      <c r="B34" s="6"/>
      <c r="C34" s="6"/>
      <c r="E34" s="8"/>
      <c r="F34" s="8"/>
      <c r="G34" s="8"/>
      <c r="H34" s="8"/>
      <c r="I34" s="8"/>
      <c r="J34" s="8"/>
      <c r="K34" s="8"/>
      <c r="N34" s="7"/>
      <c r="O34" s="7"/>
      <c r="P34" s="7"/>
      <c r="Q34" s="7"/>
      <c r="R34" s="7"/>
      <c r="S34" s="8"/>
      <c r="Y34" s="27"/>
      <c r="Z34" s="7"/>
      <c r="AA34" s="27"/>
      <c r="AB34" s="27"/>
      <c r="AC34" s="27"/>
      <c r="AD34" s="7"/>
      <c r="AE34" s="7"/>
      <c r="AF34" s="7"/>
      <c r="AG34" s="8"/>
      <c r="AH34" s="7"/>
      <c r="AI34" s="7"/>
      <c r="AJ34" s="7"/>
      <c r="AK34" s="7" t="n">
        <v>125</v>
      </c>
      <c r="AL34" s="7" t="n">
        <f aca="false">AK34</f>
        <v>125</v>
      </c>
      <c r="AM34" s="7" t="n">
        <f aca="false">AL34</f>
        <v>125</v>
      </c>
      <c r="AN34" s="8" t="n">
        <f aca="false">(('Prices&amp;Fuel'!$B34*AK34+'Prices&amp;Fuel'!$C34*AL34+'Prices&amp;Fuel'!$D34*AM34)/(AK34+AL34+AM34))+0.03+0.015</f>
        <v>2.905</v>
      </c>
      <c r="AO34" s="7" t="n">
        <f aca="false">(AK34+AL34+AM34)*AN34*'Prices&amp;Fuel'!H34</f>
        <v>32681.25</v>
      </c>
      <c r="AP34" s="7" t="n">
        <f aca="false">(('Prices&amp;Fuel'!$B34+0.015)*AK34+('Prices&amp;Fuel'!$C34+0.015)*AL34+('Prices&amp;Fuel'!$D34+0.015)*AM34)*'Prices&amp;Fuel'!H34</f>
        <v>32343.75</v>
      </c>
      <c r="AQ34" s="7" t="n">
        <f aca="false">AO34-AP34</f>
        <v>337.5</v>
      </c>
      <c r="AR34" s="14" t="n">
        <f aca="false">I34+Y34+AH34+AO34</f>
        <v>32681.25</v>
      </c>
      <c r="AS34" s="7" t="n">
        <f aca="false">(B34+C34+D34+L34+M34+N34+((AD34+AE34+AF34)*(1-'Prices&amp;Fuel'!F34))+AK34+AL34+AM34)*0.005*'Prices&amp;Fuel'!H34</f>
        <v>56.25</v>
      </c>
      <c r="AT34" s="7" t="n">
        <f aca="false">J34+AB34+AI34+AP34+AS34</f>
        <v>32400</v>
      </c>
      <c r="AU34" s="14" t="n">
        <f aca="false">AR34-AT34</f>
        <v>281.25</v>
      </c>
      <c r="AV34" s="30" t="n">
        <f aca="false">((B34+C34+D34+AK34+AL34+AM34)*0.005)*'Prices&amp;Fuel'!H34</f>
        <v>56.25</v>
      </c>
      <c r="AW34" s="30" t="n">
        <f aca="false">((L34+M34+N34+(AD34+AE34+AF34)*(1-'Prices&amp;Fuel'!F34))*0.005)*'Prices&amp;Fuel'!H34</f>
        <v>0</v>
      </c>
      <c r="AX34" s="55" t="n">
        <f aca="false">AV34+AW34</f>
        <v>56.25</v>
      </c>
      <c r="AY34" s="1" t="n">
        <f aca="false">(B34+C34+D34+L34+M34+N34+AD34+AE34+AF34+AK34+AL34+AM34)*'Prices&amp;Fuel'!H34</f>
        <v>11250</v>
      </c>
      <c r="AZ34" s="7"/>
      <c r="BA34" s="7" t="n">
        <f aca="false">(AK34+AL34+AM34)*'Prices&amp;Fuel'!H34</f>
        <v>11250</v>
      </c>
      <c r="BB34" s="7"/>
      <c r="BC34" s="7"/>
      <c r="BE34" s="7"/>
      <c r="BG34" s="7"/>
      <c r="BH34" s="7"/>
      <c r="BN34" s="1"/>
      <c r="BV34" s="9"/>
    </row>
    <row r="35" customFormat="false" ht="11.25" hidden="false" customHeight="false" outlineLevel="0" collapsed="false">
      <c r="A35" s="6" t="n">
        <f aca="false">+A34+365/12</f>
        <v>36661.5</v>
      </c>
      <c r="B35" s="6"/>
      <c r="C35" s="6"/>
      <c r="E35" s="8"/>
      <c r="F35" s="8"/>
      <c r="G35" s="8"/>
      <c r="H35" s="8"/>
      <c r="I35" s="8"/>
      <c r="J35" s="8"/>
      <c r="K35" s="8"/>
      <c r="N35" s="7"/>
      <c r="O35" s="7"/>
      <c r="P35" s="7"/>
      <c r="Q35" s="7"/>
      <c r="R35" s="7"/>
      <c r="S35" s="8"/>
      <c r="Y35" s="27"/>
      <c r="Z35" s="7"/>
      <c r="AA35" s="27"/>
      <c r="AB35" s="27"/>
      <c r="AC35" s="27"/>
      <c r="AD35" s="7"/>
      <c r="AE35" s="7"/>
      <c r="AF35" s="7"/>
      <c r="AG35" s="8"/>
      <c r="AH35" s="7"/>
      <c r="AI35" s="7"/>
      <c r="AJ35" s="7"/>
      <c r="AK35" s="7" t="n">
        <v>97</v>
      </c>
      <c r="AL35" s="7" t="n">
        <f aca="false">AK35</f>
        <v>97</v>
      </c>
      <c r="AM35" s="7" t="n">
        <f aca="false">AL35</f>
        <v>97</v>
      </c>
      <c r="AN35" s="8" t="n">
        <f aca="false">(('Prices&amp;Fuel'!$B35*AK35+'Prices&amp;Fuel'!$C35*AL35+'Prices&amp;Fuel'!$D35*AM35)/(AK35+AL35+AM35))+0.03+0.015</f>
        <v>3.10166666666667</v>
      </c>
      <c r="AO35" s="7" t="n">
        <f aca="false">(AK35+AL35+AM35)*AN35*'Prices&amp;Fuel'!H35</f>
        <v>27980.135</v>
      </c>
      <c r="AP35" s="7" t="n">
        <f aca="false">(('Prices&amp;Fuel'!$B35+0.015)*AK35+('Prices&amp;Fuel'!$C35+0.015)*AL35+('Prices&amp;Fuel'!$D35+0.015)*AM35)*'Prices&amp;Fuel'!H35</f>
        <v>27709.505</v>
      </c>
      <c r="AQ35" s="7" t="n">
        <f aca="false">AO35-AP35</f>
        <v>270.629999999997</v>
      </c>
      <c r="AR35" s="14" t="n">
        <f aca="false">I35+Y35+AH35+AO35</f>
        <v>27980.135</v>
      </c>
      <c r="AS35" s="7" t="n">
        <f aca="false">(B35+C35+D35+L35+M35+N35+((AD35+AE35+AF35)*(1-'Prices&amp;Fuel'!F35))+AK35+AL35+AM35)*0.005*'Prices&amp;Fuel'!H35</f>
        <v>45.105</v>
      </c>
      <c r="AT35" s="7" t="n">
        <f aca="false">J35+AB35+AI35+AP35+AS35</f>
        <v>27754.61</v>
      </c>
      <c r="AU35" s="14" t="n">
        <f aca="false">AR35-AT35</f>
        <v>225.524999999998</v>
      </c>
      <c r="AV35" s="30" t="n">
        <f aca="false">((B35+C35+D35+AK35+AL35+AM35)*0.005)*'Prices&amp;Fuel'!H35</f>
        <v>45.105</v>
      </c>
      <c r="AW35" s="30" t="n">
        <f aca="false">((L35+M35+N35+(AD35+AE35+AF35)*(1-'Prices&amp;Fuel'!F35))*0.005)*'Prices&amp;Fuel'!H35</f>
        <v>0</v>
      </c>
      <c r="AX35" s="55" t="n">
        <f aca="false">AV35+AW35</f>
        <v>45.105</v>
      </c>
      <c r="AY35" s="1" t="n">
        <f aca="false">(B35+C35+D35+L35+M35+N35+AD35+AE35+AF35+AK35+AL35+AM35)*'Prices&amp;Fuel'!H35</f>
        <v>9021</v>
      </c>
      <c r="AZ35" s="7" t="n">
        <f aca="false">SUM(AY31:AY35)/366</f>
        <v>157.05737704918</v>
      </c>
      <c r="BA35" s="7" t="n">
        <f aca="false">(AK35+AL35+AM35)*'Prices&amp;Fuel'!H35</f>
        <v>9021</v>
      </c>
      <c r="BB35" s="7"/>
      <c r="BC35" s="7"/>
      <c r="BE35" s="7"/>
      <c r="BG35" s="7"/>
      <c r="BH35" s="7"/>
      <c r="BN35" s="1"/>
      <c r="BV35" s="9"/>
    </row>
    <row r="36" customFormat="false" ht="11.25" hidden="false" customHeight="false" outlineLevel="0" collapsed="false">
      <c r="A36" s="6" t="n">
        <f aca="false">+A35+365/12</f>
        <v>36691.9166666667</v>
      </c>
      <c r="B36" s="6"/>
      <c r="C36" s="6"/>
      <c r="E36" s="8"/>
      <c r="F36" s="8"/>
      <c r="G36" s="8"/>
      <c r="H36" s="8"/>
      <c r="I36" s="8"/>
      <c r="J36" s="8"/>
      <c r="K36" s="8"/>
      <c r="N36" s="7"/>
      <c r="O36" s="7"/>
      <c r="P36" s="7"/>
      <c r="Q36" s="7"/>
      <c r="R36" s="7"/>
      <c r="S36" s="8"/>
      <c r="Y36" s="27"/>
      <c r="Z36" s="7"/>
      <c r="AA36" s="27"/>
      <c r="AB36" s="27"/>
      <c r="AC36" s="27"/>
      <c r="AD36" s="7"/>
      <c r="AE36" s="7"/>
      <c r="AF36" s="7"/>
      <c r="AG36" s="8"/>
      <c r="AH36" s="7"/>
      <c r="AI36" s="7"/>
      <c r="AJ36" s="7"/>
      <c r="AK36" s="7"/>
      <c r="AL36" s="7"/>
      <c r="AM36" s="7"/>
      <c r="AN36" s="7"/>
      <c r="AO36" s="7"/>
      <c r="AP36" s="7"/>
      <c r="AQ36" s="7"/>
      <c r="AR36" s="14"/>
      <c r="AS36" s="7"/>
      <c r="AT36" s="7"/>
      <c r="AU36" s="14"/>
      <c r="AX36" s="7"/>
      <c r="AY36" s="7"/>
      <c r="AZ36" s="7"/>
      <c r="BB36" s="7"/>
      <c r="BC36" s="7"/>
      <c r="BE36" s="7"/>
      <c r="BG36" s="7"/>
      <c r="BH36" s="7"/>
      <c r="BN36" s="1"/>
      <c r="BV36" s="9"/>
    </row>
    <row r="37" customFormat="false" ht="11.25" hidden="false" customHeight="false" outlineLevel="0" collapsed="false">
      <c r="A37" s="6" t="n">
        <f aca="false">+A36+365/12</f>
        <v>36722.3333333333</v>
      </c>
      <c r="B37" s="6"/>
      <c r="C37" s="6"/>
      <c r="E37" s="8"/>
      <c r="F37" s="8"/>
      <c r="G37" s="8"/>
      <c r="H37" s="8"/>
      <c r="I37" s="8"/>
      <c r="J37" s="8"/>
      <c r="K37" s="8"/>
      <c r="N37" s="7"/>
      <c r="O37" s="7"/>
      <c r="P37" s="7"/>
      <c r="Q37" s="7"/>
      <c r="R37" s="7"/>
      <c r="S37" s="8"/>
      <c r="Y37" s="27"/>
      <c r="Z37" s="7"/>
      <c r="AA37" s="27"/>
      <c r="AB37" s="27"/>
      <c r="AC37" s="27"/>
      <c r="AD37" s="7"/>
      <c r="AE37" s="7"/>
      <c r="AF37" s="7"/>
      <c r="AG37" s="8"/>
      <c r="AH37" s="7"/>
      <c r="AI37" s="7"/>
      <c r="AJ37" s="7"/>
      <c r="AK37" s="7"/>
      <c r="AL37" s="7"/>
      <c r="AM37" s="7"/>
      <c r="AN37" s="7"/>
      <c r="AO37" s="7"/>
      <c r="AP37" s="7"/>
      <c r="AQ37" s="7"/>
      <c r="AR37" s="14"/>
      <c r="AS37" s="7"/>
      <c r="AT37" s="7"/>
      <c r="AU37" s="14"/>
      <c r="AX37" s="7"/>
      <c r="AY37" s="7"/>
      <c r="AZ37" s="7"/>
      <c r="BB37" s="7"/>
      <c r="BC37" s="7"/>
      <c r="BE37" s="7"/>
      <c r="BG37" s="7"/>
      <c r="BH37" s="7"/>
      <c r="BN37" s="1"/>
      <c r="BV37" s="9"/>
    </row>
    <row r="38" customFormat="false" ht="11.25" hidden="false" customHeight="false" outlineLevel="0" collapsed="false">
      <c r="A38" s="6" t="n">
        <f aca="false">+A37+365/12</f>
        <v>36752.75</v>
      </c>
      <c r="B38" s="6"/>
      <c r="C38" s="6"/>
      <c r="E38" s="8"/>
      <c r="F38" s="8"/>
      <c r="G38" s="8"/>
      <c r="H38" s="8"/>
      <c r="I38" s="8"/>
      <c r="J38" s="8"/>
      <c r="K38" s="8"/>
      <c r="N38" s="7"/>
      <c r="O38" s="7"/>
      <c r="P38" s="7"/>
      <c r="Q38" s="7"/>
      <c r="R38" s="7"/>
      <c r="S38" s="8"/>
      <c r="Y38" s="27"/>
      <c r="Z38" s="7"/>
      <c r="AA38" s="27"/>
      <c r="AB38" s="27"/>
      <c r="AC38" s="27"/>
      <c r="AD38" s="7"/>
      <c r="AE38" s="7"/>
      <c r="AF38" s="7"/>
      <c r="AG38" s="8"/>
      <c r="AH38" s="7"/>
      <c r="AI38" s="7"/>
      <c r="AJ38" s="7"/>
      <c r="AK38" s="7"/>
      <c r="AL38" s="7"/>
      <c r="AM38" s="7"/>
      <c r="AN38" s="7"/>
      <c r="AO38" s="7"/>
      <c r="AP38" s="7"/>
      <c r="AQ38" s="7"/>
      <c r="AR38" s="14"/>
      <c r="AS38" s="7"/>
      <c r="AT38" s="7"/>
      <c r="AU38" s="14"/>
      <c r="AX38" s="7"/>
      <c r="AY38" s="7"/>
      <c r="AZ38" s="7"/>
      <c r="BB38" s="7"/>
      <c r="BC38" s="7"/>
      <c r="BE38" s="7"/>
      <c r="BG38" s="7"/>
      <c r="BN38" s="1"/>
      <c r="BV38" s="9"/>
    </row>
    <row r="39" customFormat="false" ht="11.25" hidden="false" customHeight="false" outlineLevel="0" collapsed="false">
      <c r="A39" s="6" t="n">
        <f aca="false">+A38+365/12</f>
        <v>36783.1666666667</v>
      </c>
      <c r="B39" s="6"/>
      <c r="C39" s="6"/>
      <c r="E39" s="8"/>
      <c r="F39" s="8"/>
      <c r="G39" s="8"/>
      <c r="H39" s="8"/>
      <c r="I39" s="8"/>
      <c r="J39" s="8"/>
      <c r="K39" s="8"/>
      <c r="N39" s="7"/>
      <c r="O39" s="7"/>
      <c r="P39" s="7"/>
      <c r="Q39" s="7"/>
      <c r="R39" s="7"/>
      <c r="S39" s="8"/>
      <c r="Y39" s="27"/>
      <c r="Z39" s="7"/>
      <c r="AA39" s="27"/>
      <c r="AB39" s="27"/>
      <c r="AC39" s="27"/>
      <c r="AD39" s="7"/>
      <c r="AE39" s="7"/>
      <c r="AF39" s="7"/>
      <c r="AG39" s="8"/>
      <c r="AH39" s="7"/>
      <c r="AI39" s="7"/>
      <c r="AJ39" s="7"/>
      <c r="AK39" s="7"/>
      <c r="AL39" s="7"/>
      <c r="AM39" s="7"/>
      <c r="AN39" s="7"/>
      <c r="AO39" s="7"/>
      <c r="AP39" s="7"/>
      <c r="AQ39" s="7"/>
      <c r="AR39" s="14"/>
      <c r="AS39" s="7"/>
      <c r="AT39" s="7"/>
      <c r="AU39" s="14"/>
      <c r="AX39" s="7"/>
      <c r="AY39" s="7"/>
      <c r="AZ39" s="7"/>
      <c r="BB39" s="7"/>
      <c r="BC39" s="7"/>
      <c r="BE39" s="7"/>
      <c r="BG39" s="7"/>
      <c r="BN39" s="1"/>
      <c r="BV39" s="9"/>
    </row>
    <row r="40" customFormat="false" ht="11.25" hidden="false" customHeight="false" outlineLevel="0" collapsed="false">
      <c r="A40" s="6" t="n">
        <f aca="false">+A39+365/12</f>
        <v>36813.5833333333</v>
      </c>
      <c r="B40" s="6"/>
      <c r="C40" s="6"/>
      <c r="E40" s="8"/>
      <c r="F40" s="8"/>
      <c r="G40" s="8"/>
      <c r="H40" s="8"/>
      <c r="I40" s="8"/>
      <c r="J40" s="8"/>
      <c r="K40" s="8"/>
      <c r="N40" s="7"/>
      <c r="O40" s="7"/>
      <c r="P40" s="7"/>
      <c r="Q40" s="7"/>
      <c r="R40" s="7"/>
      <c r="S40" s="8"/>
      <c r="Y40" s="27"/>
      <c r="Z40" s="7"/>
      <c r="AA40" s="27"/>
      <c r="AB40" s="27"/>
      <c r="AC40" s="27"/>
      <c r="AD40" s="7"/>
      <c r="AE40" s="7"/>
      <c r="AF40" s="7"/>
      <c r="AG40" s="8"/>
      <c r="AH40" s="7"/>
      <c r="AI40" s="7"/>
      <c r="AJ40" s="7"/>
      <c r="AK40" s="7"/>
      <c r="AL40" s="7"/>
      <c r="AM40" s="7"/>
      <c r="AN40" s="7"/>
      <c r="AO40" s="7"/>
      <c r="AP40" s="7"/>
      <c r="AQ40" s="7"/>
      <c r="AR40" s="14"/>
      <c r="AS40" s="7"/>
      <c r="AT40" s="7"/>
      <c r="AU40" s="14"/>
      <c r="AX40" s="7"/>
      <c r="AY40" s="7"/>
      <c r="AZ40" s="7"/>
      <c r="BB40" s="7"/>
      <c r="BC40" s="7"/>
      <c r="BE40" s="7"/>
      <c r="BG40" s="7"/>
      <c r="BN40" s="1"/>
      <c r="BV40" s="9"/>
    </row>
    <row r="41" customFormat="false" ht="11.25" hidden="false" customHeight="false" outlineLevel="0" collapsed="false">
      <c r="A41" s="6" t="n">
        <f aca="false">+A40+365/12</f>
        <v>36844</v>
      </c>
      <c r="B41" s="6"/>
      <c r="C41" s="6"/>
      <c r="E41" s="8"/>
      <c r="F41" s="8"/>
      <c r="G41" s="8"/>
      <c r="H41" s="8"/>
      <c r="I41" s="8"/>
      <c r="J41" s="8"/>
      <c r="K41" s="8"/>
      <c r="N41" s="7"/>
      <c r="O41" s="7"/>
      <c r="P41" s="7"/>
      <c r="Q41" s="7"/>
      <c r="R41" s="7"/>
      <c r="S41" s="8"/>
      <c r="Y41" s="27"/>
      <c r="Z41" s="7"/>
      <c r="AA41" s="27"/>
      <c r="AB41" s="27"/>
      <c r="AC41" s="27"/>
      <c r="AD41" s="7"/>
      <c r="AE41" s="7"/>
      <c r="AF41" s="7"/>
      <c r="AG41" s="8"/>
      <c r="AH41" s="7"/>
      <c r="AI41" s="7"/>
      <c r="AJ41" s="7"/>
      <c r="AK41" s="7"/>
      <c r="AL41" s="7"/>
      <c r="AM41" s="7"/>
      <c r="AN41" s="7"/>
      <c r="AO41" s="7"/>
      <c r="AP41" s="7"/>
      <c r="AQ41" s="7"/>
      <c r="AR41" s="14"/>
      <c r="AS41" s="7"/>
      <c r="AT41" s="7"/>
      <c r="AU41" s="14"/>
      <c r="AX41" s="7"/>
      <c r="AY41" s="7"/>
      <c r="AZ41" s="7"/>
      <c r="BB41" s="7"/>
      <c r="BC41" s="7"/>
      <c r="BE41" s="7"/>
      <c r="BG41" s="7"/>
      <c r="BN41" s="1"/>
      <c r="BV41" s="9"/>
    </row>
    <row r="42" customFormat="false" ht="11.25" hidden="false" customHeight="false" outlineLevel="0" collapsed="false">
      <c r="A42" s="6" t="n">
        <f aca="false">+A41+365/12</f>
        <v>36874.4166666667</v>
      </c>
      <c r="B42" s="6"/>
      <c r="C42" s="6"/>
      <c r="E42" s="8"/>
      <c r="F42" s="8"/>
      <c r="G42" s="8"/>
      <c r="H42" s="8"/>
      <c r="I42" s="8"/>
      <c r="J42" s="8"/>
      <c r="K42" s="8"/>
      <c r="N42" s="7"/>
      <c r="O42" s="7"/>
      <c r="P42" s="7"/>
      <c r="Q42" s="7"/>
      <c r="R42" s="7"/>
      <c r="S42" s="8"/>
      <c r="Y42" s="27"/>
      <c r="Z42" s="7"/>
      <c r="AA42" s="27"/>
      <c r="AB42" s="27"/>
      <c r="AC42" s="27"/>
      <c r="AD42" s="7"/>
      <c r="AE42" s="7"/>
      <c r="AF42" s="7"/>
      <c r="AG42" s="8"/>
      <c r="AH42" s="7"/>
      <c r="AI42" s="7"/>
      <c r="AJ42" s="7"/>
      <c r="AK42" s="7"/>
      <c r="AL42" s="7"/>
      <c r="AM42" s="7"/>
      <c r="AN42" s="7"/>
      <c r="AO42" s="7"/>
      <c r="AP42" s="7"/>
      <c r="AQ42" s="7"/>
      <c r="AR42" s="14"/>
      <c r="AS42" s="7"/>
      <c r="AT42" s="7"/>
      <c r="AU42" s="14"/>
      <c r="AX42" s="7"/>
      <c r="AY42" s="7"/>
      <c r="AZ42" s="7"/>
      <c r="BB42" s="7"/>
      <c r="BC42" s="7"/>
      <c r="BE42" s="7"/>
      <c r="BG42" s="7"/>
      <c r="BN42" s="1"/>
      <c r="BV42" s="9"/>
    </row>
    <row r="43" customFormat="false" ht="11.25" hidden="false" customHeight="false" outlineLevel="0" collapsed="false">
      <c r="A43" s="6" t="n">
        <f aca="false">+A42+365/12</f>
        <v>36904.8333333333</v>
      </c>
      <c r="B43" s="6"/>
      <c r="C43" s="6"/>
      <c r="E43" s="8"/>
      <c r="F43" s="8"/>
      <c r="G43" s="8"/>
      <c r="H43" s="8"/>
      <c r="I43" s="8"/>
      <c r="J43" s="8"/>
      <c r="K43" s="8"/>
      <c r="N43" s="7"/>
      <c r="O43" s="7"/>
      <c r="P43" s="7"/>
      <c r="Q43" s="7"/>
      <c r="R43" s="7"/>
      <c r="S43" s="8"/>
      <c r="Y43" s="27"/>
      <c r="Z43" s="7"/>
      <c r="AA43" s="27"/>
      <c r="AB43" s="27"/>
      <c r="AC43" s="27"/>
      <c r="AD43" s="7"/>
      <c r="AE43" s="7"/>
      <c r="AF43" s="7"/>
      <c r="AG43" s="8"/>
      <c r="AH43" s="7"/>
      <c r="AI43" s="7"/>
      <c r="AJ43" s="7"/>
      <c r="AK43" s="7"/>
      <c r="AL43" s="7"/>
      <c r="AM43" s="7"/>
      <c r="AN43" s="7"/>
      <c r="AO43" s="7"/>
      <c r="AP43" s="7"/>
      <c r="AQ43" s="7"/>
      <c r="AR43" s="14"/>
      <c r="AS43" s="7"/>
      <c r="AT43" s="7"/>
      <c r="AU43" s="14"/>
      <c r="AX43" s="7"/>
      <c r="AY43" s="7"/>
      <c r="AZ43" s="7"/>
      <c r="BB43" s="7"/>
      <c r="BC43" s="7"/>
      <c r="BE43" s="7"/>
      <c r="BG43" s="7"/>
      <c r="BN43" s="1"/>
      <c r="BV43" s="9"/>
    </row>
    <row r="44" customFormat="false" ht="11.25" hidden="false" customHeight="false" outlineLevel="0" collapsed="false">
      <c r="A44" s="6" t="n">
        <f aca="false">+A43+365/12</f>
        <v>36935.25</v>
      </c>
      <c r="B44" s="6"/>
      <c r="C44" s="6"/>
      <c r="E44" s="8"/>
      <c r="F44" s="8"/>
      <c r="G44" s="8"/>
      <c r="H44" s="8"/>
      <c r="I44" s="8"/>
      <c r="J44" s="8"/>
      <c r="K44" s="8"/>
      <c r="N44" s="7"/>
      <c r="O44" s="7"/>
      <c r="P44" s="7"/>
      <c r="Q44" s="7"/>
      <c r="R44" s="7"/>
      <c r="S44" s="8"/>
      <c r="Y44" s="27"/>
      <c r="Z44" s="7"/>
      <c r="AA44" s="27"/>
      <c r="AB44" s="27"/>
      <c r="AC44" s="27"/>
      <c r="AD44" s="7"/>
      <c r="AE44" s="7"/>
      <c r="AF44" s="7"/>
      <c r="AG44" s="8"/>
      <c r="AH44" s="7"/>
      <c r="AI44" s="7"/>
      <c r="AJ44" s="7"/>
      <c r="AK44" s="7"/>
      <c r="AL44" s="7"/>
      <c r="AM44" s="7"/>
      <c r="AN44" s="7"/>
      <c r="AO44" s="7"/>
      <c r="AP44" s="7"/>
      <c r="AQ44" s="7"/>
      <c r="AR44" s="14"/>
      <c r="AS44" s="7"/>
      <c r="AT44" s="7"/>
      <c r="AU44" s="14"/>
      <c r="AX44" s="7"/>
      <c r="AY44" s="7"/>
      <c r="AZ44" s="7"/>
      <c r="BB44" s="7"/>
      <c r="BC44" s="7"/>
      <c r="BE44" s="7"/>
      <c r="BG44" s="7"/>
      <c r="BN44" s="1"/>
      <c r="BV44" s="9"/>
    </row>
    <row r="45" customFormat="false" ht="11.25" hidden="false" customHeight="false" outlineLevel="0" collapsed="false">
      <c r="A45" s="6" t="n">
        <f aca="false">+A44+365/12</f>
        <v>36965.6666666667</v>
      </c>
      <c r="B45" s="6"/>
      <c r="C45" s="6"/>
      <c r="E45" s="8"/>
      <c r="F45" s="8"/>
      <c r="G45" s="8"/>
      <c r="H45" s="8"/>
      <c r="I45" s="8"/>
      <c r="J45" s="8"/>
      <c r="K45" s="8"/>
      <c r="N45" s="7"/>
      <c r="O45" s="7"/>
      <c r="P45" s="7"/>
      <c r="Q45" s="7"/>
      <c r="R45" s="7"/>
      <c r="S45" s="8"/>
      <c r="Y45" s="27"/>
      <c r="Z45" s="7"/>
      <c r="AA45" s="27"/>
      <c r="AB45" s="27"/>
      <c r="AC45" s="27"/>
      <c r="AD45" s="7"/>
      <c r="AE45" s="7"/>
      <c r="AF45" s="7"/>
      <c r="AG45" s="8"/>
      <c r="AH45" s="7"/>
      <c r="AI45" s="7"/>
      <c r="AJ45" s="7"/>
      <c r="AK45" s="7"/>
      <c r="AL45" s="7"/>
      <c r="AM45" s="7"/>
      <c r="AN45" s="7"/>
      <c r="AO45" s="7"/>
      <c r="AP45" s="7"/>
      <c r="AQ45" s="7"/>
      <c r="AR45" s="14"/>
      <c r="AS45" s="7"/>
      <c r="AT45" s="7"/>
      <c r="AU45" s="14"/>
      <c r="AX45" s="7"/>
      <c r="AY45" s="7"/>
      <c r="AZ45" s="7"/>
      <c r="BB45" s="7"/>
      <c r="BC45" s="7"/>
      <c r="BE45" s="7"/>
      <c r="BG45" s="7"/>
      <c r="BN45" s="1"/>
      <c r="BV45" s="9"/>
    </row>
    <row r="46" customFormat="false" ht="11.25" hidden="false" customHeight="false" outlineLevel="0" collapsed="false">
      <c r="A46" s="6" t="n">
        <f aca="false">+A45+365/12</f>
        <v>36996.0833333333</v>
      </c>
      <c r="B46" s="6"/>
      <c r="C46" s="6"/>
      <c r="E46" s="8"/>
      <c r="F46" s="8"/>
      <c r="G46" s="8"/>
      <c r="H46" s="8"/>
      <c r="I46" s="8"/>
      <c r="J46" s="8"/>
      <c r="K46" s="8"/>
      <c r="N46" s="7"/>
      <c r="O46" s="7"/>
      <c r="P46" s="7"/>
      <c r="Q46" s="7"/>
      <c r="R46" s="7"/>
      <c r="S46" s="8"/>
      <c r="Y46" s="27"/>
      <c r="Z46" s="7"/>
      <c r="AA46" s="27"/>
      <c r="AB46" s="27"/>
      <c r="AC46" s="27"/>
      <c r="AD46" s="7"/>
      <c r="AE46" s="7"/>
      <c r="AF46" s="7"/>
      <c r="AG46" s="8"/>
      <c r="AH46" s="7"/>
      <c r="AI46" s="7"/>
      <c r="AJ46" s="7"/>
      <c r="AK46" s="7"/>
      <c r="AL46" s="7"/>
      <c r="AM46" s="7"/>
      <c r="AN46" s="7"/>
      <c r="AO46" s="7"/>
      <c r="AP46" s="7"/>
      <c r="AQ46" s="7"/>
      <c r="AR46" s="14"/>
      <c r="AS46" s="7"/>
      <c r="AT46" s="7"/>
      <c r="AU46" s="14"/>
      <c r="AX46" s="7"/>
      <c r="AY46" s="7"/>
      <c r="AZ46" s="7"/>
      <c r="BB46" s="7"/>
      <c r="BC46" s="7"/>
      <c r="BE46" s="7"/>
      <c r="BG46" s="7"/>
      <c r="BN46" s="1"/>
      <c r="BV46" s="9"/>
    </row>
    <row r="47" customFormat="false" ht="11.25" hidden="false" customHeight="false" outlineLevel="0" collapsed="false">
      <c r="A47" s="6" t="n">
        <f aca="false">+A46+365/12</f>
        <v>37026.5</v>
      </c>
      <c r="B47" s="6"/>
      <c r="C47" s="6"/>
      <c r="E47" s="8"/>
      <c r="F47" s="8"/>
      <c r="G47" s="8"/>
      <c r="H47" s="8"/>
      <c r="I47" s="8"/>
      <c r="J47" s="8"/>
      <c r="K47" s="8"/>
      <c r="N47" s="7"/>
      <c r="O47" s="7"/>
      <c r="P47" s="7"/>
      <c r="Q47" s="7"/>
      <c r="R47" s="7"/>
      <c r="S47" s="8"/>
      <c r="Y47" s="27"/>
      <c r="Z47" s="7"/>
      <c r="AA47" s="27"/>
      <c r="AB47" s="27"/>
      <c r="AC47" s="27"/>
      <c r="AD47" s="7"/>
      <c r="AE47" s="7"/>
      <c r="AF47" s="7"/>
      <c r="AG47" s="8"/>
      <c r="AH47" s="7"/>
      <c r="AI47" s="7"/>
      <c r="AJ47" s="7"/>
      <c r="AK47" s="7"/>
      <c r="AL47" s="7"/>
      <c r="AM47" s="7"/>
      <c r="AN47" s="7"/>
      <c r="AO47" s="7"/>
      <c r="AP47" s="7"/>
      <c r="AQ47" s="7"/>
      <c r="AR47" s="14"/>
      <c r="AS47" s="7"/>
      <c r="AT47" s="7"/>
      <c r="AU47" s="14"/>
      <c r="AX47" s="7"/>
      <c r="AY47" s="7"/>
      <c r="AZ47" s="7"/>
      <c r="BB47" s="7"/>
      <c r="BC47" s="7"/>
      <c r="BE47" s="7"/>
      <c r="BG47" s="7"/>
      <c r="BN47" s="1"/>
      <c r="BV47" s="9"/>
    </row>
    <row r="48" customFormat="false" ht="11.25" hidden="false" customHeight="false" outlineLevel="0" collapsed="false">
      <c r="A48" s="6" t="n">
        <f aca="false">+A47+365/12</f>
        <v>37056.9166666667</v>
      </c>
      <c r="B48" s="6"/>
      <c r="C48" s="6"/>
      <c r="E48" s="8"/>
      <c r="F48" s="8"/>
      <c r="G48" s="8"/>
      <c r="H48" s="8"/>
      <c r="I48" s="8"/>
      <c r="J48" s="8"/>
      <c r="K48" s="8"/>
      <c r="N48" s="7"/>
      <c r="O48" s="7"/>
      <c r="P48" s="7"/>
      <c r="Q48" s="7"/>
      <c r="R48" s="7"/>
      <c r="S48" s="8"/>
      <c r="Y48" s="27"/>
      <c r="Z48" s="7"/>
      <c r="AA48" s="27"/>
      <c r="AB48" s="27"/>
      <c r="AC48" s="27"/>
      <c r="AD48" s="7"/>
      <c r="AE48" s="7"/>
      <c r="AF48" s="7"/>
      <c r="AG48" s="8"/>
      <c r="AH48" s="7"/>
      <c r="AI48" s="7"/>
      <c r="AJ48" s="7"/>
      <c r="AK48" s="7"/>
      <c r="AL48" s="7"/>
      <c r="AM48" s="7"/>
      <c r="AN48" s="7"/>
      <c r="AO48" s="7"/>
      <c r="AP48" s="7"/>
      <c r="AQ48" s="7"/>
      <c r="AR48" s="14"/>
      <c r="AS48" s="7"/>
      <c r="AT48" s="7"/>
      <c r="AU48" s="14"/>
      <c r="AX48" s="7"/>
      <c r="AY48" s="7"/>
      <c r="AZ48" s="7"/>
      <c r="BB48" s="7"/>
      <c r="BC48" s="7"/>
      <c r="BE48" s="7"/>
      <c r="BG48" s="7"/>
      <c r="BN48" s="1"/>
      <c r="BV48" s="9"/>
    </row>
    <row r="49" customFormat="false" ht="11.25" hidden="false" customHeight="false" outlineLevel="0" collapsed="false">
      <c r="A49" s="6" t="n">
        <f aca="false">+A48+365/12</f>
        <v>37087.3333333333</v>
      </c>
      <c r="B49" s="6"/>
      <c r="C49" s="6"/>
      <c r="E49" s="8"/>
      <c r="F49" s="8"/>
      <c r="G49" s="8"/>
      <c r="H49" s="8"/>
      <c r="I49" s="8"/>
      <c r="J49" s="8"/>
      <c r="K49" s="8"/>
      <c r="N49" s="7"/>
      <c r="O49" s="7"/>
      <c r="P49" s="7"/>
      <c r="Q49" s="7"/>
      <c r="R49" s="7"/>
      <c r="S49" s="8"/>
      <c r="Y49" s="27"/>
      <c r="Z49" s="7"/>
      <c r="AA49" s="27"/>
      <c r="AB49" s="27"/>
      <c r="AC49" s="27"/>
      <c r="AD49" s="7"/>
      <c r="AE49" s="7"/>
      <c r="AF49" s="7"/>
      <c r="AG49" s="8"/>
      <c r="AH49" s="7"/>
      <c r="AI49" s="7"/>
      <c r="AJ49" s="7"/>
      <c r="AK49" s="7"/>
      <c r="AL49" s="7"/>
      <c r="AM49" s="7"/>
      <c r="AN49" s="7"/>
      <c r="AO49" s="7"/>
      <c r="AP49" s="7"/>
      <c r="AQ49" s="7"/>
      <c r="AR49" s="14"/>
      <c r="AS49" s="7"/>
      <c r="AT49" s="7"/>
      <c r="AU49" s="14"/>
      <c r="AX49" s="7"/>
      <c r="AY49" s="7"/>
      <c r="AZ49" s="7"/>
      <c r="BB49" s="7"/>
      <c r="BC49" s="7"/>
      <c r="BE49" s="7"/>
      <c r="BG49" s="7"/>
      <c r="BN49" s="1"/>
      <c r="BV49" s="9"/>
    </row>
    <row r="50" customFormat="false" ht="11.25" hidden="false" customHeight="false" outlineLevel="0" collapsed="false">
      <c r="A50" s="6" t="n">
        <f aca="false">+A49+365/12</f>
        <v>37117.75</v>
      </c>
      <c r="B50" s="6"/>
      <c r="C50" s="6"/>
      <c r="E50" s="8"/>
      <c r="F50" s="8"/>
      <c r="G50" s="8"/>
      <c r="H50" s="8"/>
      <c r="I50" s="8"/>
      <c r="J50" s="8"/>
      <c r="K50" s="8"/>
      <c r="N50" s="7"/>
      <c r="O50" s="7"/>
      <c r="P50" s="7"/>
      <c r="Q50" s="7"/>
      <c r="R50" s="7"/>
      <c r="S50" s="8"/>
      <c r="Y50" s="27"/>
      <c r="Z50" s="7"/>
      <c r="AA50" s="27"/>
      <c r="AB50" s="27"/>
      <c r="AC50" s="27"/>
      <c r="AD50" s="7"/>
      <c r="AE50" s="7"/>
      <c r="AF50" s="7"/>
      <c r="AG50" s="8"/>
      <c r="AH50" s="7"/>
      <c r="AI50" s="7"/>
      <c r="AJ50" s="7"/>
      <c r="AK50" s="7"/>
      <c r="AL50" s="7"/>
      <c r="AM50" s="7"/>
      <c r="AN50" s="7"/>
      <c r="AO50" s="7"/>
      <c r="AP50" s="7"/>
      <c r="AQ50" s="7"/>
      <c r="AR50" s="14"/>
      <c r="AS50" s="7"/>
      <c r="AT50" s="7"/>
      <c r="AU50" s="14"/>
      <c r="AX50" s="7"/>
      <c r="AY50" s="7"/>
      <c r="AZ50" s="7"/>
      <c r="BB50" s="7"/>
      <c r="BC50" s="7"/>
      <c r="BE50" s="7"/>
      <c r="BG50" s="7"/>
      <c r="BN50" s="1"/>
      <c r="BV50" s="9"/>
    </row>
    <row r="51" customFormat="false" ht="11.25" hidden="false" customHeight="false" outlineLevel="0" collapsed="false">
      <c r="A51" s="6" t="n">
        <f aca="false">+A50+365/12</f>
        <v>37148.1666666667</v>
      </c>
      <c r="B51" s="6"/>
      <c r="C51" s="6"/>
      <c r="E51" s="8"/>
      <c r="F51" s="8"/>
      <c r="G51" s="8"/>
      <c r="H51" s="8"/>
      <c r="I51" s="8"/>
      <c r="J51" s="8"/>
      <c r="K51" s="8"/>
      <c r="N51" s="7"/>
      <c r="O51" s="7"/>
      <c r="P51" s="7"/>
      <c r="Q51" s="7"/>
      <c r="R51" s="7"/>
      <c r="S51" s="8"/>
      <c r="Y51" s="27"/>
      <c r="Z51" s="7"/>
      <c r="AA51" s="27"/>
      <c r="AB51" s="27"/>
      <c r="AC51" s="27"/>
      <c r="AD51" s="7"/>
      <c r="AE51" s="7"/>
      <c r="AF51" s="7"/>
      <c r="AG51" s="8"/>
      <c r="AH51" s="7"/>
      <c r="AI51" s="7"/>
      <c r="AJ51" s="7"/>
      <c r="AK51" s="7"/>
      <c r="AL51" s="7"/>
      <c r="AM51" s="7"/>
      <c r="AN51" s="7"/>
      <c r="AO51" s="7"/>
      <c r="AP51" s="7"/>
      <c r="AQ51" s="7"/>
      <c r="AR51" s="14"/>
      <c r="AS51" s="7"/>
      <c r="AT51" s="7"/>
      <c r="AU51" s="14"/>
      <c r="AX51" s="7"/>
      <c r="AY51" s="7"/>
      <c r="AZ51" s="7"/>
      <c r="BB51" s="7"/>
      <c r="BC51" s="7"/>
      <c r="BE51" s="7"/>
      <c r="BG51" s="7"/>
      <c r="BN51" s="1"/>
      <c r="BV51" s="9"/>
    </row>
    <row r="52" customFormat="false" ht="11.25" hidden="false" customHeight="false" outlineLevel="0" collapsed="false">
      <c r="A52" s="6" t="n">
        <f aca="false">+A51+365/12</f>
        <v>37178.5833333333</v>
      </c>
      <c r="B52" s="6"/>
      <c r="C52" s="6"/>
      <c r="E52" s="8"/>
      <c r="F52" s="8"/>
      <c r="G52" s="8"/>
      <c r="H52" s="8"/>
      <c r="I52" s="8"/>
      <c r="J52" s="8"/>
      <c r="K52" s="8"/>
      <c r="N52" s="7"/>
      <c r="O52" s="7"/>
      <c r="P52" s="7"/>
      <c r="Q52" s="7"/>
      <c r="R52" s="7"/>
      <c r="S52" s="8"/>
      <c r="Y52" s="27"/>
      <c r="Z52" s="7"/>
      <c r="AA52" s="27"/>
      <c r="AB52" s="27"/>
      <c r="AC52" s="27"/>
      <c r="AD52" s="7"/>
      <c r="AE52" s="7"/>
      <c r="AF52" s="7"/>
      <c r="AG52" s="8"/>
      <c r="AH52" s="7"/>
      <c r="AI52" s="7"/>
      <c r="AJ52" s="7"/>
      <c r="AK52" s="7"/>
      <c r="AL52" s="7"/>
      <c r="AM52" s="7"/>
      <c r="AN52" s="7"/>
      <c r="AO52" s="7"/>
      <c r="AP52" s="7"/>
      <c r="AQ52" s="7"/>
      <c r="AR52" s="14"/>
      <c r="AS52" s="7"/>
      <c r="AT52" s="7"/>
      <c r="AU52" s="14"/>
      <c r="AX52" s="7"/>
      <c r="AY52" s="7"/>
      <c r="AZ52" s="7"/>
      <c r="BB52" s="7"/>
      <c r="BC52" s="7"/>
      <c r="BE52" s="7"/>
      <c r="BG52" s="7"/>
      <c r="BN52" s="1"/>
      <c r="BV52" s="9"/>
    </row>
    <row r="53" customFormat="false" ht="11.25" hidden="false" customHeight="false" outlineLevel="0" collapsed="false">
      <c r="A53" s="6" t="n">
        <f aca="false">+A52+365/12</f>
        <v>37209</v>
      </c>
      <c r="B53" s="6"/>
      <c r="C53" s="6"/>
      <c r="E53" s="8"/>
      <c r="F53" s="8"/>
      <c r="G53" s="8"/>
      <c r="H53" s="8"/>
      <c r="I53" s="8"/>
      <c r="J53" s="8"/>
      <c r="K53" s="8"/>
      <c r="N53" s="7"/>
      <c r="O53" s="7"/>
      <c r="P53" s="7"/>
      <c r="Q53" s="7"/>
      <c r="R53" s="7"/>
      <c r="S53" s="8"/>
      <c r="Y53" s="27"/>
      <c r="Z53" s="7"/>
      <c r="AA53" s="27"/>
      <c r="AB53" s="27"/>
      <c r="AC53" s="27"/>
      <c r="AD53" s="7"/>
      <c r="AE53" s="7"/>
      <c r="AF53" s="7"/>
      <c r="AG53" s="8"/>
      <c r="AH53" s="7"/>
      <c r="AI53" s="7"/>
      <c r="AJ53" s="7"/>
      <c r="AK53" s="7"/>
      <c r="AL53" s="7"/>
      <c r="AM53" s="7"/>
      <c r="AN53" s="7"/>
      <c r="AO53" s="7"/>
      <c r="AP53" s="7"/>
      <c r="AQ53" s="7"/>
      <c r="AR53" s="14"/>
      <c r="AS53" s="7"/>
      <c r="AT53" s="7"/>
      <c r="AU53" s="14"/>
      <c r="AX53" s="7"/>
      <c r="AY53" s="7"/>
      <c r="AZ53" s="7"/>
      <c r="BB53" s="7"/>
      <c r="BC53" s="7"/>
      <c r="BE53" s="7"/>
      <c r="BG53" s="7"/>
      <c r="BN53" s="1"/>
      <c r="BV53" s="9"/>
    </row>
    <row r="54" customFormat="false" ht="11.25" hidden="false" customHeight="false" outlineLevel="0" collapsed="false">
      <c r="A54" s="6" t="n">
        <f aca="false">+A53+365/12</f>
        <v>37239.4166666667</v>
      </c>
      <c r="B54" s="6"/>
      <c r="C54" s="6"/>
      <c r="E54" s="8"/>
      <c r="F54" s="8"/>
      <c r="G54" s="8"/>
      <c r="H54" s="8"/>
      <c r="I54" s="8"/>
      <c r="J54" s="8"/>
      <c r="K54" s="8"/>
      <c r="N54" s="7"/>
      <c r="O54" s="7"/>
      <c r="P54" s="7"/>
      <c r="Q54" s="7"/>
      <c r="R54" s="7"/>
      <c r="S54" s="8"/>
      <c r="Y54" s="27"/>
      <c r="Z54" s="7"/>
      <c r="AA54" s="27"/>
      <c r="AB54" s="27"/>
      <c r="AC54" s="27"/>
      <c r="AD54" s="7"/>
      <c r="AE54" s="7"/>
      <c r="AF54" s="7"/>
      <c r="AG54" s="8"/>
      <c r="AH54" s="7"/>
      <c r="AI54" s="7"/>
      <c r="AJ54" s="7"/>
      <c r="AK54" s="7"/>
      <c r="AL54" s="7"/>
      <c r="AM54" s="7"/>
      <c r="AN54" s="7"/>
      <c r="AO54" s="7"/>
      <c r="AP54" s="7"/>
      <c r="AQ54" s="7"/>
      <c r="AR54" s="14"/>
      <c r="AS54" s="7"/>
      <c r="AT54" s="7"/>
      <c r="AU54" s="14"/>
      <c r="AX54" s="7"/>
      <c r="AY54" s="7"/>
      <c r="AZ54" s="7"/>
      <c r="BB54" s="7"/>
      <c r="BC54" s="7"/>
      <c r="BE54" s="7"/>
      <c r="BG54" s="7"/>
      <c r="BN54" s="1"/>
      <c r="BV54" s="9"/>
    </row>
    <row r="55" customFormat="false" ht="11.25" hidden="false" customHeight="false" outlineLevel="0" collapsed="false">
      <c r="A55" s="6" t="n">
        <f aca="false">+A54+365/12</f>
        <v>37269.8333333333</v>
      </c>
      <c r="B55" s="6"/>
      <c r="C55" s="6"/>
      <c r="E55" s="8"/>
      <c r="F55" s="8"/>
      <c r="G55" s="8"/>
      <c r="H55" s="8"/>
      <c r="I55" s="8"/>
      <c r="J55" s="8"/>
      <c r="K55" s="8"/>
      <c r="N55" s="7"/>
      <c r="O55" s="7"/>
      <c r="P55" s="7"/>
      <c r="Q55" s="7"/>
      <c r="R55" s="7"/>
      <c r="S55" s="8"/>
      <c r="Y55" s="27"/>
      <c r="Z55" s="7"/>
      <c r="AA55" s="27"/>
      <c r="AB55" s="27"/>
      <c r="AC55" s="27"/>
      <c r="AD55" s="7"/>
      <c r="AE55" s="7"/>
      <c r="AF55" s="7"/>
      <c r="AG55" s="8"/>
      <c r="AH55" s="7"/>
      <c r="AI55" s="7"/>
      <c r="AJ55" s="7"/>
      <c r="AK55" s="7"/>
      <c r="AL55" s="7"/>
      <c r="AM55" s="7"/>
      <c r="AN55" s="7"/>
      <c r="AO55" s="7"/>
      <c r="AP55" s="7"/>
      <c r="AQ55" s="7"/>
      <c r="AR55" s="14"/>
      <c r="AS55" s="7"/>
      <c r="AT55" s="7"/>
      <c r="AU55" s="14"/>
      <c r="AX55" s="7"/>
      <c r="AY55" s="7"/>
      <c r="AZ55" s="7"/>
      <c r="BB55" s="7"/>
      <c r="BC55" s="7"/>
      <c r="BE55" s="7"/>
      <c r="BG55" s="7"/>
      <c r="BN55" s="1"/>
      <c r="BV55" s="9"/>
    </row>
    <row r="56" customFormat="false" ht="11.25" hidden="false" customHeight="false" outlineLevel="0" collapsed="false">
      <c r="A56" s="6" t="n">
        <f aca="false">+A55+365/12</f>
        <v>37300.25</v>
      </c>
      <c r="B56" s="6"/>
      <c r="C56" s="6"/>
      <c r="E56" s="8"/>
      <c r="F56" s="8"/>
      <c r="G56" s="8"/>
      <c r="H56" s="8"/>
      <c r="I56" s="8"/>
      <c r="J56" s="8"/>
      <c r="K56" s="8"/>
      <c r="N56" s="7"/>
      <c r="O56" s="7"/>
      <c r="P56" s="7"/>
      <c r="Q56" s="7"/>
      <c r="R56" s="7"/>
      <c r="S56" s="8"/>
      <c r="Y56" s="27"/>
      <c r="Z56" s="7"/>
      <c r="AA56" s="27"/>
      <c r="AB56" s="27"/>
      <c r="AC56" s="27"/>
      <c r="AD56" s="7"/>
      <c r="AE56" s="7"/>
      <c r="AF56" s="7"/>
      <c r="AG56" s="8"/>
      <c r="AH56" s="7"/>
      <c r="AI56" s="7"/>
      <c r="AJ56" s="7"/>
      <c r="AK56" s="7"/>
      <c r="AL56" s="7"/>
      <c r="AM56" s="7"/>
      <c r="AN56" s="7"/>
      <c r="AO56" s="7"/>
      <c r="AP56" s="7"/>
      <c r="AQ56" s="7"/>
      <c r="AR56" s="14"/>
      <c r="AS56" s="7"/>
      <c r="AT56" s="7"/>
      <c r="AU56" s="14"/>
      <c r="AX56" s="7"/>
      <c r="AY56" s="7"/>
      <c r="AZ56" s="7"/>
      <c r="BB56" s="7"/>
      <c r="BC56" s="7"/>
      <c r="BE56" s="7"/>
      <c r="BG56" s="7"/>
      <c r="BN56" s="1"/>
      <c r="BV56" s="9"/>
    </row>
    <row r="57" customFormat="false" ht="11.25" hidden="false" customHeight="false" outlineLevel="0" collapsed="false">
      <c r="A57" s="6" t="n">
        <f aca="false">+A56+365/12</f>
        <v>37330.6666666667</v>
      </c>
      <c r="B57" s="6"/>
      <c r="C57" s="6"/>
      <c r="E57" s="8"/>
      <c r="F57" s="8"/>
      <c r="G57" s="8"/>
      <c r="H57" s="8"/>
      <c r="I57" s="8"/>
      <c r="J57" s="8"/>
      <c r="K57" s="8"/>
      <c r="N57" s="7"/>
      <c r="O57" s="7"/>
      <c r="P57" s="7"/>
      <c r="Q57" s="7"/>
      <c r="R57" s="7"/>
      <c r="S57" s="8"/>
      <c r="Y57" s="27"/>
      <c r="Z57" s="7"/>
      <c r="AA57" s="27"/>
      <c r="AB57" s="27"/>
      <c r="AC57" s="27"/>
      <c r="AD57" s="7"/>
      <c r="AE57" s="7"/>
      <c r="AF57" s="7"/>
      <c r="AG57" s="8"/>
      <c r="AH57" s="7"/>
      <c r="AI57" s="7"/>
      <c r="AJ57" s="7"/>
      <c r="AK57" s="7"/>
      <c r="AL57" s="7"/>
      <c r="AM57" s="7"/>
      <c r="AN57" s="7"/>
      <c r="AO57" s="7"/>
      <c r="AP57" s="7"/>
      <c r="AQ57" s="7"/>
      <c r="AR57" s="14"/>
      <c r="AS57" s="7"/>
      <c r="AT57" s="7"/>
      <c r="AU57" s="14"/>
      <c r="AX57" s="7"/>
      <c r="AY57" s="7"/>
      <c r="AZ57" s="7"/>
      <c r="BB57" s="7"/>
      <c r="BC57" s="7"/>
      <c r="BE57" s="7"/>
      <c r="BG57" s="7"/>
      <c r="BN57" s="1"/>
      <c r="BV57" s="9"/>
    </row>
    <row r="58" customFormat="false" ht="11.25" hidden="false" customHeight="false" outlineLevel="0" collapsed="false">
      <c r="A58" s="6" t="n">
        <f aca="false">+A57+365/12</f>
        <v>37361.0833333333</v>
      </c>
      <c r="B58" s="6"/>
      <c r="C58" s="6"/>
      <c r="E58" s="8"/>
      <c r="F58" s="8"/>
      <c r="G58" s="8"/>
      <c r="H58" s="8"/>
      <c r="I58" s="8"/>
      <c r="J58" s="8"/>
      <c r="K58" s="8"/>
      <c r="N58" s="7"/>
      <c r="O58" s="7"/>
      <c r="P58" s="7"/>
      <c r="Q58" s="7"/>
      <c r="R58" s="7"/>
      <c r="S58" s="8"/>
      <c r="Y58" s="27"/>
      <c r="Z58" s="7"/>
      <c r="AA58" s="27"/>
      <c r="AB58" s="27"/>
      <c r="AC58" s="27"/>
      <c r="AD58" s="7"/>
      <c r="AE58" s="7"/>
      <c r="AF58" s="7"/>
      <c r="AG58" s="8"/>
      <c r="AH58" s="7"/>
      <c r="AI58" s="7"/>
      <c r="AJ58" s="7"/>
      <c r="AK58" s="7"/>
      <c r="AL58" s="7"/>
      <c r="AM58" s="7"/>
      <c r="AN58" s="7"/>
      <c r="AO58" s="7"/>
      <c r="AP58" s="7"/>
      <c r="AQ58" s="7"/>
      <c r="AR58" s="14"/>
      <c r="AS58" s="7"/>
      <c r="AT58" s="7"/>
      <c r="AU58" s="14"/>
      <c r="AX58" s="7"/>
      <c r="AY58" s="7"/>
      <c r="AZ58" s="7"/>
      <c r="BB58" s="7"/>
      <c r="BC58" s="7"/>
      <c r="BE58" s="7"/>
      <c r="BG58" s="7"/>
      <c r="BN58" s="1"/>
      <c r="BV58" s="9"/>
    </row>
    <row r="59" customFormat="false" ht="11.25" hidden="false" customHeight="false" outlineLevel="0" collapsed="false">
      <c r="A59" s="6" t="n">
        <f aca="false">+A58+365/12</f>
        <v>37391.5</v>
      </c>
      <c r="B59" s="6"/>
      <c r="C59" s="6"/>
      <c r="E59" s="8"/>
      <c r="F59" s="8"/>
      <c r="G59" s="8"/>
      <c r="H59" s="8"/>
      <c r="I59" s="8"/>
      <c r="J59" s="8"/>
      <c r="K59" s="8"/>
      <c r="N59" s="7"/>
      <c r="O59" s="7"/>
      <c r="P59" s="7"/>
      <c r="Q59" s="7"/>
      <c r="R59" s="7"/>
      <c r="S59" s="8"/>
      <c r="Y59" s="27"/>
      <c r="Z59" s="7"/>
      <c r="AA59" s="27"/>
      <c r="AB59" s="27"/>
      <c r="AC59" s="27"/>
      <c r="AD59" s="7"/>
      <c r="AE59" s="7"/>
      <c r="AF59" s="7"/>
      <c r="AG59" s="8"/>
      <c r="AH59" s="7"/>
      <c r="AI59" s="7"/>
      <c r="AJ59" s="7"/>
      <c r="AK59" s="7"/>
      <c r="AL59" s="7"/>
      <c r="AM59" s="7"/>
      <c r="AN59" s="7"/>
      <c r="AO59" s="7"/>
      <c r="AP59" s="7"/>
      <c r="AQ59" s="7"/>
      <c r="AR59" s="14"/>
      <c r="AS59" s="7"/>
      <c r="AT59" s="7"/>
      <c r="AU59" s="14"/>
      <c r="AX59" s="7"/>
      <c r="AY59" s="7"/>
      <c r="AZ59" s="7"/>
      <c r="BB59" s="7"/>
      <c r="BC59" s="7"/>
      <c r="BE59" s="7"/>
      <c r="BG59" s="7"/>
      <c r="BN59" s="1"/>
      <c r="BV59" s="9"/>
    </row>
    <row r="60" customFormat="false" ht="11.25" hidden="false" customHeight="false" outlineLevel="0" collapsed="false">
      <c r="A60" s="6" t="n">
        <f aca="false">+A59+365/12</f>
        <v>37421.9166666667</v>
      </c>
      <c r="B60" s="6"/>
      <c r="C60" s="6"/>
      <c r="E60" s="8"/>
      <c r="F60" s="8"/>
      <c r="G60" s="8"/>
      <c r="H60" s="8"/>
      <c r="I60" s="8"/>
      <c r="J60" s="8"/>
      <c r="K60" s="8"/>
      <c r="N60" s="7"/>
      <c r="O60" s="7"/>
      <c r="P60" s="7"/>
      <c r="Q60" s="7"/>
      <c r="R60" s="7"/>
      <c r="S60" s="8"/>
      <c r="Y60" s="27"/>
      <c r="Z60" s="7"/>
      <c r="AA60" s="27"/>
      <c r="AB60" s="27"/>
      <c r="AC60" s="27"/>
      <c r="AD60" s="7"/>
      <c r="AE60" s="7"/>
      <c r="AF60" s="7"/>
      <c r="AG60" s="8"/>
      <c r="AH60" s="7"/>
      <c r="AI60" s="7"/>
      <c r="AJ60" s="7"/>
      <c r="AK60" s="7"/>
      <c r="AL60" s="7"/>
      <c r="AM60" s="7"/>
      <c r="AN60" s="7"/>
      <c r="AO60" s="7"/>
      <c r="AP60" s="7"/>
      <c r="AQ60" s="7"/>
      <c r="AR60" s="14"/>
      <c r="AS60" s="7"/>
      <c r="AT60" s="7"/>
      <c r="AU60" s="14"/>
      <c r="AX60" s="7"/>
      <c r="AY60" s="7"/>
      <c r="AZ60" s="7"/>
      <c r="BB60" s="7"/>
      <c r="BC60" s="7"/>
      <c r="BE60" s="7"/>
      <c r="BG60" s="7"/>
      <c r="BN60" s="1"/>
      <c r="BV60" s="9"/>
    </row>
    <row r="61" customFormat="false" ht="11.25" hidden="false" customHeight="false" outlineLevel="0" collapsed="false">
      <c r="A61" s="6" t="n">
        <f aca="false">+A60+365/12</f>
        <v>37452.3333333333</v>
      </c>
      <c r="B61" s="6"/>
      <c r="C61" s="6"/>
      <c r="E61" s="8"/>
      <c r="F61" s="8"/>
      <c r="G61" s="8"/>
      <c r="H61" s="8"/>
      <c r="I61" s="8"/>
      <c r="J61" s="8"/>
      <c r="K61" s="8"/>
      <c r="N61" s="7"/>
      <c r="O61" s="7"/>
      <c r="P61" s="7"/>
      <c r="Q61" s="7"/>
      <c r="R61" s="7"/>
      <c r="S61" s="8"/>
      <c r="Y61" s="27"/>
      <c r="Z61" s="7"/>
      <c r="AA61" s="27"/>
      <c r="AB61" s="27"/>
      <c r="AC61" s="27"/>
      <c r="AD61" s="7"/>
      <c r="AE61" s="7"/>
      <c r="AF61" s="7"/>
      <c r="AG61" s="8"/>
      <c r="AH61" s="7"/>
      <c r="AI61" s="7"/>
      <c r="AJ61" s="7"/>
      <c r="AK61" s="7"/>
      <c r="AL61" s="7"/>
      <c r="AM61" s="7"/>
      <c r="AN61" s="7"/>
      <c r="AO61" s="7"/>
      <c r="AP61" s="7"/>
      <c r="AQ61" s="7"/>
      <c r="AR61" s="14"/>
      <c r="AS61" s="7"/>
      <c r="AT61" s="7"/>
      <c r="AU61" s="14"/>
      <c r="AX61" s="7"/>
      <c r="AY61" s="7"/>
      <c r="AZ61" s="7"/>
      <c r="BB61" s="7"/>
      <c r="BC61" s="7"/>
      <c r="BE61" s="7"/>
      <c r="BG61" s="7"/>
      <c r="BN61" s="1"/>
      <c r="BV61" s="9"/>
    </row>
    <row r="62" customFormat="false" ht="11.25" hidden="false" customHeight="false" outlineLevel="0" collapsed="false">
      <c r="A62" s="6" t="n">
        <f aca="false">+A61+365/12</f>
        <v>37482.75</v>
      </c>
      <c r="B62" s="6"/>
      <c r="C62" s="6"/>
      <c r="E62" s="8"/>
      <c r="F62" s="8"/>
      <c r="G62" s="8"/>
      <c r="H62" s="8"/>
      <c r="I62" s="8"/>
      <c r="J62" s="8"/>
      <c r="K62" s="8"/>
      <c r="N62" s="7"/>
      <c r="O62" s="7"/>
      <c r="P62" s="7"/>
      <c r="Q62" s="7"/>
      <c r="R62" s="7"/>
      <c r="S62" s="8"/>
      <c r="Y62" s="27"/>
      <c r="Z62" s="7"/>
      <c r="AA62" s="27"/>
      <c r="AB62" s="27"/>
      <c r="AC62" s="27"/>
      <c r="AD62" s="7"/>
      <c r="AE62" s="7"/>
      <c r="AF62" s="7"/>
      <c r="AG62" s="8"/>
      <c r="AH62" s="7"/>
      <c r="AI62" s="7"/>
      <c r="AJ62" s="7"/>
      <c r="AK62" s="7"/>
      <c r="AL62" s="7"/>
      <c r="AM62" s="7"/>
      <c r="AN62" s="7"/>
      <c r="AO62" s="7"/>
      <c r="AP62" s="7"/>
      <c r="AQ62" s="7"/>
      <c r="AR62" s="14"/>
      <c r="AS62" s="7"/>
      <c r="AT62" s="7"/>
      <c r="AU62" s="14"/>
      <c r="AX62" s="7"/>
      <c r="AY62" s="7"/>
      <c r="AZ62" s="7"/>
      <c r="BB62" s="7"/>
      <c r="BC62" s="7"/>
      <c r="BE62" s="7"/>
      <c r="BG62" s="7"/>
      <c r="BN62" s="1"/>
      <c r="BV62" s="9"/>
    </row>
    <row r="63" customFormat="false" ht="11.25" hidden="false" customHeight="false" outlineLevel="0" collapsed="false">
      <c r="A63" s="6" t="n">
        <f aca="false">+A62+365/12</f>
        <v>37513.1666666667</v>
      </c>
      <c r="B63" s="6"/>
      <c r="C63" s="6"/>
      <c r="E63" s="8"/>
      <c r="F63" s="8"/>
      <c r="G63" s="8"/>
      <c r="H63" s="8"/>
      <c r="I63" s="8"/>
      <c r="J63" s="8"/>
      <c r="K63" s="8"/>
      <c r="N63" s="7"/>
      <c r="O63" s="7"/>
      <c r="P63" s="7"/>
      <c r="Q63" s="7"/>
      <c r="R63" s="7"/>
      <c r="S63" s="8"/>
      <c r="Y63" s="27"/>
      <c r="Z63" s="7"/>
      <c r="AA63" s="27"/>
      <c r="AB63" s="27"/>
      <c r="AC63" s="27"/>
      <c r="AD63" s="7"/>
      <c r="AE63" s="7"/>
      <c r="AF63" s="7"/>
      <c r="AG63" s="8"/>
      <c r="AH63" s="7"/>
      <c r="AI63" s="7"/>
      <c r="AJ63" s="7"/>
      <c r="AK63" s="7"/>
      <c r="AL63" s="7"/>
      <c r="AM63" s="7"/>
      <c r="AN63" s="7"/>
      <c r="AO63" s="7"/>
      <c r="AP63" s="7"/>
      <c r="AQ63" s="7"/>
      <c r="AR63" s="14"/>
      <c r="AS63" s="7"/>
      <c r="AT63" s="7"/>
      <c r="AU63" s="14"/>
      <c r="AX63" s="7"/>
      <c r="AY63" s="7"/>
      <c r="AZ63" s="7"/>
      <c r="BB63" s="7"/>
      <c r="BC63" s="7"/>
      <c r="BE63" s="7"/>
      <c r="BG63" s="7"/>
      <c r="BN63" s="1"/>
      <c r="BV63" s="9"/>
    </row>
    <row r="64" customFormat="false" ht="11.25" hidden="false" customHeight="false" outlineLevel="0" collapsed="false">
      <c r="A64" s="6" t="n">
        <f aca="false">+A63+365/12</f>
        <v>37543.5833333333</v>
      </c>
      <c r="B64" s="6"/>
      <c r="C64" s="6"/>
      <c r="E64" s="8"/>
      <c r="F64" s="8"/>
      <c r="G64" s="8"/>
      <c r="H64" s="8"/>
      <c r="I64" s="8"/>
      <c r="J64" s="8"/>
      <c r="K64" s="8"/>
      <c r="N64" s="7"/>
      <c r="O64" s="7"/>
      <c r="P64" s="7"/>
      <c r="Q64" s="7"/>
      <c r="R64" s="7"/>
      <c r="S64" s="8"/>
      <c r="Y64" s="27"/>
      <c r="Z64" s="7"/>
      <c r="AA64" s="27"/>
      <c r="AB64" s="27"/>
      <c r="AC64" s="27"/>
      <c r="AD64" s="7"/>
      <c r="AE64" s="7"/>
      <c r="AF64" s="7"/>
      <c r="AG64" s="8"/>
      <c r="AH64" s="7"/>
      <c r="AI64" s="7"/>
      <c r="AJ64" s="7"/>
      <c r="AK64" s="7"/>
      <c r="AL64" s="7"/>
      <c r="AM64" s="7"/>
      <c r="AN64" s="7"/>
      <c r="AO64" s="7"/>
      <c r="AP64" s="7"/>
      <c r="AQ64" s="7"/>
      <c r="AR64" s="14"/>
      <c r="AS64" s="7"/>
      <c r="AT64" s="7"/>
      <c r="AU64" s="14"/>
      <c r="AX64" s="7"/>
      <c r="AY64" s="7"/>
      <c r="AZ64" s="7"/>
      <c r="BB64" s="7"/>
      <c r="BC64" s="7"/>
      <c r="BE64" s="7"/>
      <c r="BG64" s="7"/>
      <c r="BN64" s="1"/>
      <c r="BV64" s="9"/>
    </row>
    <row r="65" customFormat="false" ht="11.25" hidden="false" customHeight="false" outlineLevel="0" collapsed="false">
      <c r="A65" s="6" t="n">
        <f aca="false">+A64+365/12</f>
        <v>37574</v>
      </c>
      <c r="B65" s="6"/>
      <c r="C65" s="6"/>
      <c r="E65" s="8"/>
      <c r="F65" s="8"/>
      <c r="G65" s="8"/>
      <c r="H65" s="8"/>
      <c r="I65" s="8"/>
      <c r="J65" s="8"/>
      <c r="K65" s="8"/>
      <c r="N65" s="7"/>
      <c r="O65" s="7"/>
      <c r="P65" s="7"/>
      <c r="Q65" s="7"/>
      <c r="R65" s="7"/>
      <c r="S65" s="8"/>
      <c r="Y65" s="27"/>
      <c r="Z65" s="7"/>
      <c r="AA65" s="27"/>
      <c r="AB65" s="27"/>
      <c r="AC65" s="27"/>
      <c r="AD65" s="7"/>
      <c r="AE65" s="7"/>
      <c r="AF65" s="7"/>
      <c r="AG65" s="8"/>
      <c r="AH65" s="7"/>
      <c r="AI65" s="7"/>
      <c r="AJ65" s="7"/>
      <c r="AK65" s="7"/>
      <c r="AL65" s="7"/>
      <c r="AM65" s="7"/>
      <c r="AN65" s="7"/>
      <c r="AO65" s="7"/>
      <c r="AP65" s="7"/>
      <c r="AQ65" s="7"/>
      <c r="AR65" s="14"/>
      <c r="AS65" s="7"/>
      <c r="AT65" s="7"/>
      <c r="AU65" s="14"/>
      <c r="AX65" s="7"/>
      <c r="AY65" s="7"/>
      <c r="AZ65" s="7"/>
      <c r="BB65" s="7"/>
      <c r="BC65" s="7"/>
      <c r="BE65" s="7"/>
      <c r="BG65" s="7"/>
      <c r="BN65" s="1"/>
      <c r="BV65" s="9"/>
    </row>
    <row r="66" customFormat="false" ht="11.25" hidden="false" customHeight="false" outlineLevel="0" collapsed="false">
      <c r="A66" s="6" t="n">
        <f aca="false">+A65+365/12</f>
        <v>37604.4166666667</v>
      </c>
      <c r="B66" s="6"/>
      <c r="C66" s="6"/>
      <c r="E66" s="8"/>
      <c r="F66" s="8"/>
      <c r="G66" s="8"/>
      <c r="H66" s="8"/>
      <c r="I66" s="8"/>
      <c r="J66" s="8"/>
      <c r="K66" s="8"/>
      <c r="N66" s="7"/>
      <c r="O66" s="7"/>
      <c r="P66" s="7"/>
      <c r="Q66" s="7"/>
      <c r="R66" s="7"/>
      <c r="S66" s="8"/>
      <c r="Z66" s="7"/>
      <c r="AD66" s="7"/>
      <c r="AE66" s="7"/>
      <c r="AF66" s="7"/>
      <c r="AG66" s="8"/>
      <c r="AH66" s="7"/>
      <c r="AI66" s="7"/>
      <c r="AJ66" s="7"/>
      <c r="AK66" s="7"/>
      <c r="AL66" s="7"/>
      <c r="AM66" s="7"/>
      <c r="AN66" s="7"/>
      <c r="AO66" s="7"/>
      <c r="AP66" s="7"/>
      <c r="AQ66" s="7"/>
      <c r="AR66" s="14"/>
      <c r="AS66" s="7"/>
      <c r="AT66" s="7"/>
      <c r="AU66" s="14"/>
      <c r="AX66" s="7"/>
      <c r="AY66" s="7"/>
      <c r="AZ66" s="7"/>
      <c r="BB66" s="7"/>
      <c r="BC66" s="7"/>
      <c r="BE66" s="7"/>
      <c r="BG66" s="7"/>
      <c r="BN66" s="1"/>
      <c r="BV66" s="9"/>
    </row>
    <row r="67" customFormat="false" ht="11.25" hidden="false" customHeight="false" outlineLevel="0" collapsed="false">
      <c r="A67" s="6" t="n">
        <f aca="false">+A66+365/12</f>
        <v>37634.8333333333</v>
      </c>
      <c r="B67" s="6"/>
      <c r="C67" s="6"/>
      <c r="E67" s="8"/>
      <c r="F67" s="8"/>
      <c r="G67" s="8"/>
      <c r="H67" s="8"/>
      <c r="I67" s="8"/>
      <c r="J67" s="8"/>
      <c r="K67" s="8"/>
      <c r="N67" s="7"/>
      <c r="O67" s="7"/>
      <c r="P67" s="7"/>
      <c r="Q67" s="7"/>
      <c r="R67" s="7"/>
      <c r="S67" s="8"/>
      <c r="Z67" s="7"/>
      <c r="AD67" s="7"/>
      <c r="AE67" s="7"/>
      <c r="AF67" s="7"/>
      <c r="AG67" s="8"/>
      <c r="AH67" s="7"/>
      <c r="AI67" s="7"/>
      <c r="AJ67" s="7"/>
      <c r="AK67" s="7"/>
      <c r="AL67" s="7"/>
      <c r="AM67" s="7"/>
      <c r="AN67" s="7"/>
      <c r="AO67" s="7"/>
      <c r="AP67" s="7"/>
      <c r="AQ67" s="7"/>
      <c r="AR67" s="14"/>
      <c r="AS67" s="7"/>
      <c r="AT67" s="7"/>
      <c r="AU67" s="14"/>
      <c r="AX67" s="7"/>
      <c r="AY67" s="7"/>
      <c r="AZ67" s="7"/>
      <c r="BB67" s="7"/>
      <c r="BC67" s="7"/>
      <c r="BE67" s="7"/>
      <c r="BG67" s="7"/>
      <c r="BN67" s="1"/>
      <c r="BV67" s="9"/>
    </row>
    <row r="68" customFormat="false" ht="11.25" hidden="false" customHeight="false" outlineLevel="0" collapsed="false">
      <c r="A68" s="6" t="n">
        <f aca="false">+A67+365/12</f>
        <v>37665.25</v>
      </c>
      <c r="B68" s="6"/>
      <c r="C68" s="6"/>
      <c r="N68" s="7"/>
      <c r="O68" s="7"/>
      <c r="P68" s="7"/>
      <c r="Q68" s="7"/>
      <c r="R68" s="7"/>
      <c r="S68" s="7"/>
      <c r="Z68" s="7"/>
      <c r="AD68" s="7"/>
      <c r="AE68" s="7"/>
      <c r="AF68" s="7"/>
      <c r="AG68" s="8"/>
      <c r="AH68" s="7"/>
      <c r="AI68" s="7"/>
      <c r="AJ68" s="7"/>
      <c r="AK68" s="7"/>
      <c r="AL68" s="7"/>
      <c r="AM68" s="7"/>
      <c r="AN68" s="7"/>
      <c r="AO68" s="7"/>
      <c r="AP68" s="7"/>
      <c r="AQ68" s="7"/>
      <c r="AR68" s="14"/>
      <c r="AS68" s="7"/>
      <c r="AT68" s="7"/>
      <c r="AU68" s="14"/>
      <c r="AX68" s="7"/>
      <c r="AY68" s="7"/>
      <c r="AZ68" s="7"/>
      <c r="BB68" s="7"/>
      <c r="BC68" s="7"/>
      <c r="BE68" s="7"/>
      <c r="BG68" s="7"/>
      <c r="BN68" s="1"/>
      <c r="BV68" s="9"/>
    </row>
    <row r="69" customFormat="false" ht="11.25" hidden="false" customHeight="false" outlineLevel="0" collapsed="false">
      <c r="A69" s="6" t="n">
        <f aca="false">+A68+365/12</f>
        <v>37695.6666666667</v>
      </c>
      <c r="B69" s="6"/>
      <c r="C69" s="6"/>
      <c r="N69" s="7"/>
      <c r="O69" s="7"/>
      <c r="P69" s="7"/>
      <c r="Q69" s="7"/>
      <c r="R69" s="7"/>
      <c r="S69" s="7"/>
      <c r="Z69" s="7"/>
      <c r="AD69" s="7"/>
      <c r="AE69" s="7"/>
      <c r="AF69" s="7"/>
      <c r="AG69" s="8"/>
      <c r="AH69" s="7"/>
      <c r="AI69" s="7"/>
      <c r="AJ69" s="7"/>
      <c r="AK69" s="7"/>
      <c r="AL69" s="7"/>
      <c r="AM69" s="7"/>
      <c r="AN69" s="7"/>
      <c r="AO69" s="7"/>
      <c r="AP69" s="7"/>
      <c r="AQ69" s="7"/>
      <c r="AR69" s="14"/>
      <c r="AS69" s="7"/>
      <c r="AT69" s="7"/>
      <c r="AU69" s="14"/>
      <c r="AX69" s="7"/>
      <c r="AY69" s="7"/>
      <c r="AZ69" s="7"/>
      <c r="BB69" s="7"/>
      <c r="BC69" s="7"/>
      <c r="BE69" s="7"/>
      <c r="BG69" s="7"/>
      <c r="BN69" s="1"/>
      <c r="BV69" s="9"/>
    </row>
    <row r="70" customFormat="false" ht="11.25" hidden="false" customHeight="false" outlineLevel="0" collapsed="false">
      <c r="A70" s="6" t="n">
        <f aca="false">+A69+365/12</f>
        <v>37726.0833333333</v>
      </c>
      <c r="B70" s="6"/>
      <c r="C70" s="6"/>
      <c r="N70" s="7"/>
      <c r="O70" s="7"/>
      <c r="P70" s="7"/>
      <c r="Q70" s="7"/>
      <c r="R70" s="7"/>
      <c r="S70" s="7"/>
      <c r="Z70" s="7"/>
      <c r="AD70" s="7"/>
      <c r="AE70" s="7"/>
      <c r="AF70" s="7"/>
      <c r="AG70" s="8"/>
      <c r="AH70" s="7"/>
      <c r="AI70" s="7"/>
      <c r="AJ70" s="7"/>
      <c r="AK70" s="7"/>
      <c r="AL70" s="7"/>
      <c r="AM70" s="7"/>
      <c r="AN70" s="7"/>
      <c r="AO70" s="7"/>
      <c r="AP70" s="7"/>
      <c r="AQ70" s="7"/>
      <c r="AR70" s="14"/>
      <c r="AS70" s="7"/>
      <c r="AT70" s="7"/>
      <c r="AU70" s="14"/>
      <c r="AX70" s="7"/>
      <c r="AY70" s="7"/>
      <c r="AZ70" s="7"/>
      <c r="BB70" s="7"/>
      <c r="BC70" s="7"/>
      <c r="BE70" s="7"/>
      <c r="BG70" s="7"/>
      <c r="BN70" s="1"/>
      <c r="BV70" s="9"/>
    </row>
    <row r="71" customFormat="false" ht="11.25" hidden="false" customHeight="false" outlineLevel="0" collapsed="false">
      <c r="A71" s="6" t="n">
        <f aca="false">+A70+365/12</f>
        <v>37756.5</v>
      </c>
      <c r="B71" s="6"/>
      <c r="C71" s="6"/>
      <c r="N71" s="7"/>
      <c r="O71" s="7"/>
      <c r="P71" s="7"/>
      <c r="Q71" s="7"/>
      <c r="R71" s="7"/>
      <c r="S71" s="7"/>
      <c r="Z71" s="7"/>
      <c r="AD71" s="7"/>
      <c r="AE71" s="7"/>
      <c r="AF71" s="7"/>
      <c r="AG71" s="8"/>
      <c r="AH71" s="7"/>
      <c r="AI71" s="7"/>
      <c r="AJ71" s="7"/>
      <c r="AK71" s="7"/>
      <c r="AL71" s="7"/>
      <c r="AM71" s="7"/>
      <c r="AN71" s="7"/>
      <c r="AO71" s="7"/>
      <c r="AP71" s="7"/>
      <c r="AQ71" s="7"/>
      <c r="AR71" s="14"/>
      <c r="AS71" s="7"/>
      <c r="AT71" s="7"/>
      <c r="AU71" s="14"/>
      <c r="AX71" s="7"/>
      <c r="AY71" s="7"/>
      <c r="AZ71" s="7"/>
      <c r="BB71" s="7"/>
      <c r="BC71" s="7"/>
      <c r="BE71" s="7"/>
      <c r="BG71" s="7"/>
      <c r="BN71" s="1"/>
      <c r="BV71" s="9"/>
    </row>
    <row r="72" customFormat="false" ht="11.25" hidden="false" customHeight="false" outlineLevel="0" collapsed="false">
      <c r="A72" s="6" t="n">
        <f aca="false">+A71+365/12</f>
        <v>37786.9166666667</v>
      </c>
      <c r="B72" s="6"/>
      <c r="C72" s="6"/>
      <c r="N72" s="7"/>
      <c r="O72" s="7"/>
      <c r="P72" s="7"/>
      <c r="Q72" s="7"/>
      <c r="R72" s="7"/>
      <c r="S72" s="7"/>
      <c r="Z72" s="7"/>
      <c r="AD72" s="7"/>
      <c r="AE72" s="7"/>
      <c r="AF72" s="7"/>
      <c r="AG72" s="8"/>
      <c r="AH72" s="7"/>
      <c r="AI72" s="7"/>
      <c r="AJ72" s="7"/>
      <c r="AK72" s="7"/>
      <c r="AL72" s="7"/>
      <c r="AM72" s="7"/>
      <c r="AN72" s="7"/>
      <c r="AO72" s="7"/>
      <c r="AP72" s="7"/>
      <c r="AQ72" s="7"/>
      <c r="AR72" s="14"/>
      <c r="AS72" s="7"/>
      <c r="AT72" s="7"/>
      <c r="AU72" s="14"/>
      <c r="AX72" s="7"/>
      <c r="AY72" s="7"/>
      <c r="AZ72" s="7"/>
      <c r="BB72" s="7"/>
      <c r="BC72" s="7"/>
      <c r="BE72" s="7"/>
      <c r="BG72" s="7"/>
      <c r="BN72" s="1"/>
      <c r="BV72" s="9"/>
    </row>
    <row r="73" customFormat="false" ht="11.25" hidden="false" customHeight="false" outlineLevel="0" collapsed="false">
      <c r="A73" s="6" t="n">
        <f aca="false">+A72+365/12</f>
        <v>37817.3333333333</v>
      </c>
      <c r="B73" s="6"/>
      <c r="C73" s="6"/>
      <c r="N73" s="7"/>
      <c r="O73" s="7"/>
      <c r="P73" s="7"/>
      <c r="Q73" s="7"/>
      <c r="R73" s="7"/>
      <c r="S73" s="7"/>
      <c r="Z73" s="7"/>
      <c r="AD73" s="7"/>
      <c r="AE73" s="7"/>
      <c r="AF73" s="7"/>
      <c r="AG73" s="8"/>
      <c r="AH73" s="7"/>
      <c r="AI73" s="7"/>
      <c r="AJ73" s="7"/>
      <c r="AK73" s="7"/>
      <c r="AL73" s="7"/>
      <c r="AM73" s="7"/>
      <c r="AN73" s="7"/>
      <c r="AO73" s="7"/>
      <c r="AP73" s="7"/>
      <c r="AQ73" s="7"/>
      <c r="AR73" s="14"/>
      <c r="AS73" s="7"/>
      <c r="AT73" s="7"/>
      <c r="AU73" s="14"/>
      <c r="AX73" s="7"/>
      <c r="AY73" s="7"/>
      <c r="AZ73" s="7"/>
      <c r="BB73" s="7"/>
      <c r="BC73" s="7"/>
      <c r="BE73" s="7"/>
      <c r="BG73" s="7"/>
      <c r="BN73" s="1"/>
      <c r="BV73" s="9"/>
    </row>
    <row r="74" customFormat="false" ht="11.25" hidden="false" customHeight="false" outlineLevel="0" collapsed="false">
      <c r="A74" s="6" t="n">
        <f aca="false">+A73+365/12</f>
        <v>37847.75</v>
      </c>
      <c r="B74" s="6"/>
      <c r="C74" s="6"/>
      <c r="N74" s="7"/>
      <c r="O74" s="7"/>
      <c r="P74" s="7"/>
      <c r="Q74" s="7"/>
      <c r="R74" s="7"/>
      <c r="S74" s="7"/>
      <c r="Z74" s="7"/>
      <c r="AD74" s="7"/>
      <c r="AE74" s="7"/>
      <c r="AF74" s="7"/>
      <c r="AG74" s="8"/>
      <c r="AH74" s="7"/>
      <c r="AI74" s="7"/>
      <c r="AJ74" s="7"/>
      <c r="AK74" s="7"/>
      <c r="AL74" s="7"/>
      <c r="AM74" s="7"/>
      <c r="AN74" s="7"/>
      <c r="AO74" s="7"/>
      <c r="AP74" s="7"/>
      <c r="AQ74" s="7"/>
      <c r="AR74" s="14"/>
      <c r="AS74" s="7"/>
      <c r="AT74" s="7"/>
      <c r="AU74" s="14"/>
      <c r="AX74" s="7"/>
      <c r="AY74" s="7"/>
      <c r="AZ74" s="7"/>
      <c r="BB74" s="7"/>
      <c r="BC74" s="7"/>
      <c r="BE74" s="7"/>
      <c r="BG74" s="7"/>
      <c r="BN74" s="1"/>
      <c r="BV74" s="9"/>
    </row>
    <row r="75" customFormat="false" ht="11.25" hidden="false" customHeight="false" outlineLevel="0" collapsed="false">
      <c r="A75" s="6" t="n">
        <f aca="false">+A74+365/12</f>
        <v>37878.1666666667</v>
      </c>
      <c r="B75" s="6"/>
      <c r="C75" s="6"/>
      <c r="N75" s="7"/>
      <c r="O75" s="7"/>
      <c r="P75" s="7"/>
      <c r="Q75" s="7"/>
      <c r="R75" s="7"/>
      <c r="S75" s="7"/>
      <c r="Z75" s="7"/>
      <c r="AD75" s="7"/>
      <c r="AE75" s="7"/>
      <c r="AF75" s="7"/>
      <c r="AG75" s="8"/>
      <c r="AH75" s="7"/>
      <c r="AI75" s="7"/>
      <c r="AJ75" s="7"/>
      <c r="AK75" s="7"/>
      <c r="AL75" s="7"/>
      <c r="AM75" s="7"/>
      <c r="AN75" s="7"/>
      <c r="AO75" s="7"/>
      <c r="AP75" s="7"/>
      <c r="AQ75" s="7"/>
      <c r="AR75" s="14"/>
      <c r="AS75" s="7"/>
      <c r="AT75" s="7"/>
      <c r="AU75" s="14"/>
      <c r="AX75" s="7"/>
      <c r="AY75" s="7"/>
      <c r="AZ75" s="7"/>
      <c r="BB75" s="7"/>
      <c r="BC75" s="7"/>
      <c r="BE75" s="7"/>
      <c r="BG75" s="7"/>
      <c r="BN75" s="1"/>
      <c r="BV75" s="9"/>
    </row>
    <row r="76" customFormat="false" ht="11.25" hidden="false" customHeight="false" outlineLevel="0" collapsed="false">
      <c r="A76" s="6" t="n">
        <f aca="false">+A75+365/12</f>
        <v>37908.5833333333</v>
      </c>
      <c r="B76" s="6"/>
      <c r="C76" s="6"/>
      <c r="N76" s="7"/>
      <c r="O76" s="7"/>
      <c r="P76" s="7"/>
      <c r="Q76" s="7"/>
      <c r="R76" s="7"/>
      <c r="S76" s="7"/>
      <c r="Z76" s="7"/>
      <c r="AD76" s="7"/>
      <c r="AE76" s="7"/>
      <c r="AF76" s="7"/>
      <c r="AG76" s="8"/>
      <c r="AH76" s="7"/>
      <c r="AI76" s="7"/>
      <c r="AJ76" s="7"/>
      <c r="AK76" s="7"/>
      <c r="AL76" s="7"/>
      <c r="AM76" s="7"/>
      <c r="AN76" s="7"/>
      <c r="AO76" s="7"/>
      <c r="AP76" s="7"/>
      <c r="AQ76" s="7"/>
      <c r="AR76" s="14"/>
      <c r="AS76" s="7"/>
      <c r="AT76" s="7"/>
      <c r="AU76" s="14"/>
      <c r="AX76" s="7"/>
      <c r="AY76" s="7"/>
      <c r="AZ76" s="7"/>
      <c r="BB76" s="7"/>
      <c r="BC76" s="7"/>
      <c r="BE76" s="7"/>
      <c r="BG76" s="7"/>
      <c r="BN76" s="1"/>
      <c r="BV76" s="9"/>
    </row>
    <row r="77" customFormat="false" ht="11.25" hidden="false" customHeight="false" outlineLevel="0" collapsed="false">
      <c r="A77" s="6" t="n">
        <f aca="false">+A76+365/12</f>
        <v>37939</v>
      </c>
      <c r="B77" s="6"/>
      <c r="C77" s="6"/>
      <c r="N77" s="7"/>
      <c r="O77" s="7"/>
      <c r="P77" s="7"/>
      <c r="Q77" s="7"/>
      <c r="R77" s="7"/>
      <c r="S77" s="7"/>
      <c r="Z77" s="7"/>
      <c r="AD77" s="7"/>
      <c r="AE77" s="7"/>
      <c r="AF77" s="7"/>
      <c r="AG77" s="8"/>
      <c r="AH77" s="7"/>
      <c r="AI77" s="7"/>
      <c r="AJ77" s="7"/>
      <c r="AK77" s="7"/>
      <c r="AL77" s="7"/>
      <c r="AM77" s="7"/>
      <c r="AN77" s="7"/>
      <c r="AO77" s="7"/>
      <c r="AP77" s="7"/>
      <c r="AQ77" s="7"/>
      <c r="AR77" s="14"/>
      <c r="AS77" s="7"/>
      <c r="AT77" s="7"/>
      <c r="AU77" s="14"/>
      <c r="AX77" s="7"/>
      <c r="AY77" s="7"/>
      <c r="AZ77" s="7"/>
      <c r="BB77" s="7"/>
      <c r="BC77" s="7"/>
      <c r="BE77" s="7"/>
      <c r="BG77" s="7"/>
      <c r="BN77" s="1"/>
      <c r="BV77" s="9"/>
    </row>
    <row r="78" customFormat="false" ht="11.25" hidden="false" customHeight="false" outlineLevel="0" collapsed="false">
      <c r="A78" s="6" t="n">
        <f aca="false">+A77+365/12</f>
        <v>37969.4166666667</v>
      </c>
      <c r="B78" s="6"/>
      <c r="C78" s="6"/>
      <c r="N78" s="7"/>
      <c r="O78" s="7"/>
      <c r="P78" s="7"/>
      <c r="Q78" s="7"/>
      <c r="R78" s="7"/>
      <c r="S78" s="7"/>
      <c r="Z78" s="7"/>
      <c r="AD78" s="7"/>
      <c r="AE78" s="7"/>
      <c r="AF78" s="7"/>
      <c r="AG78" s="8"/>
      <c r="AH78" s="7"/>
      <c r="AI78" s="7"/>
      <c r="AJ78" s="7"/>
      <c r="AK78" s="7"/>
      <c r="AL78" s="7"/>
      <c r="AM78" s="7"/>
      <c r="AN78" s="7"/>
      <c r="AO78" s="7"/>
      <c r="AP78" s="7"/>
      <c r="AQ78" s="7"/>
      <c r="AR78" s="14"/>
      <c r="AS78" s="7"/>
      <c r="AT78" s="7"/>
      <c r="AU78" s="14"/>
      <c r="AX78" s="7"/>
      <c r="AY78" s="7"/>
      <c r="AZ78" s="7"/>
      <c r="BB78" s="7"/>
      <c r="BC78" s="7"/>
      <c r="BE78" s="7"/>
      <c r="BG78" s="7"/>
      <c r="BN78" s="1"/>
      <c r="BV78" s="9"/>
    </row>
    <row r="79" customFormat="false" ht="11.25" hidden="false" customHeight="false" outlineLevel="0" collapsed="false">
      <c r="A79" s="6" t="n">
        <f aca="false">+A78+365/12</f>
        <v>37999.8333333333</v>
      </c>
      <c r="B79" s="6"/>
      <c r="C79" s="6"/>
      <c r="N79" s="7"/>
      <c r="O79" s="7"/>
      <c r="P79" s="7"/>
      <c r="Q79" s="7"/>
      <c r="R79" s="7"/>
      <c r="S79" s="7"/>
      <c r="Z79" s="7"/>
      <c r="AD79" s="7"/>
      <c r="AE79" s="7"/>
      <c r="AF79" s="7"/>
      <c r="AG79" s="8"/>
      <c r="AH79" s="7"/>
      <c r="AI79" s="7"/>
      <c r="AJ79" s="7"/>
      <c r="AK79" s="7"/>
      <c r="AL79" s="7"/>
      <c r="AM79" s="7"/>
      <c r="AN79" s="7"/>
      <c r="AO79" s="7"/>
      <c r="AP79" s="7"/>
      <c r="AQ79" s="7"/>
      <c r="AR79" s="14"/>
      <c r="AS79" s="7"/>
      <c r="AT79" s="7"/>
      <c r="AU79" s="14"/>
      <c r="AX79" s="7"/>
      <c r="AY79" s="7"/>
      <c r="AZ79" s="7"/>
      <c r="BB79" s="7"/>
      <c r="BC79" s="7"/>
      <c r="BE79" s="7"/>
      <c r="BG79" s="7"/>
      <c r="BN79" s="1"/>
      <c r="BV79" s="9"/>
    </row>
    <row r="80" customFormat="false" ht="11.25" hidden="false" customHeight="false" outlineLevel="0" collapsed="false">
      <c r="A80" s="6" t="n">
        <f aca="false">+A79+365/12</f>
        <v>38030.25</v>
      </c>
      <c r="B80" s="6"/>
      <c r="C80" s="6"/>
      <c r="N80" s="7"/>
      <c r="O80" s="7"/>
      <c r="P80" s="7"/>
      <c r="Q80" s="7"/>
      <c r="R80" s="7"/>
      <c r="S80" s="7"/>
      <c r="Z80" s="7"/>
      <c r="AD80" s="7"/>
      <c r="AE80" s="7"/>
      <c r="AF80" s="7"/>
      <c r="AG80" s="8"/>
      <c r="AH80" s="7"/>
      <c r="AI80" s="7"/>
      <c r="AJ80" s="7"/>
      <c r="AK80" s="7"/>
      <c r="AL80" s="7"/>
      <c r="AM80" s="7"/>
      <c r="AN80" s="7"/>
      <c r="AO80" s="7"/>
      <c r="AP80" s="7"/>
      <c r="AQ80" s="7"/>
      <c r="AR80" s="14"/>
      <c r="AS80" s="7"/>
      <c r="AT80" s="7"/>
      <c r="AU80" s="14"/>
      <c r="AX80" s="7"/>
      <c r="AY80" s="7"/>
      <c r="AZ80" s="7"/>
      <c r="BB80" s="7"/>
      <c r="BC80" s="7"/>
      <c r="BE80" s="7"/>
      <c r="BG80" s="7"/>
      <c r="BN80" s="1"/>
      <c r="BV80" s="9"/>
    </row>
    <row r="81" customFormat="false" ht="11.25" hidden="false" customHeight="false" outlineLevel="0" collapsed="false">
      <c r="A81" s="6" t="n">
        <f aca="false">+A80+365/12</f>
        <v>38060.6666666667</v>
      </c>
      <c r="B81" s="6"/>
      <c r="C81" s="6"/>
      <c r="N81" s="7"/>
      <c r="O81" s="7"/>
      <c r="P81" s="7"/>
      <c r="Q81" s="7"/>
      <c r="R81" s="7"/>
      <c r="S81" s="7"/>
      <c r="Z81" s="7"/>
      <c r="AD81" s="7"/>
      <c r="AE81" s="7"/>
      <c r="AF81" s="7"/>
      <c r="AG81" s="8"/>
      <c r="AH81" s="7"/>
      <c r="AI81" s="7"/>
      <c r="AJ81" s="7"/>
      <c r="AK81" s="7"/>
      <c r="AL81" s="7"/>
      <c r="AM81" s="7"/>
      <c r="AN81" s="7"/>
      <c r="AO81" s="7"/>
      <c r="AP81" s="7"/>
      <c r="AQ81" s="7"/>
      <c r="AR81" s="14"/>
      <c r="AS81" s="7"/>
      <c r="AT81" s="7"/>
      <c r="AU81" s="14"/>
      <c r="AX81" s="7"/>
      <c r="AY81" s="7"/>
      <c r="AZ81" s="7"/>
      <c r="BB81" s="7"/>
      <c r="BC81" s="7"/>
      <c r="BE81" s="7"/>
      <c r="BG81" s="7"/>
      <c r="BN81" s="1"/>
      <c r="BV81" s="9"/>
    </row>
    <row r="82" customFormat="false" ht="11.25" hidden="false" customHeight="false" outlineLevel="0" collapsed="false">
      <c r="A82" s="6" t="n">
        <f aca="false">+A81+365/12</f>
        <v>38091.0833333333</v>
      </c>
      <c r="B82" s="6"/>
      <c r="C82" s="6"/>
      <c r="N82" s="7"/>
      <c r="O82" s="7"/>
      <c r="P82" s="7"/>
      <c r="Q82" s="7"/>
      <c r="R82" s="7"/>
      <c r="S82" s="7"/>
      <c r="Z82" s="7"/>
      <c r="AD82" s="7"/>
      <c r="AE82" s="7"/>
      <c r="AF82" s="7"/>
      <c r="AG82" s="8"/>
      <c r="AH82" s="7"/>
      <c r="AI82" s="7"/>
      <c r="AJ82" s="7"/>
      <c r="AK82" s="7"/>
      <c r="AL82" s="7"/>
      <c r="AM82" s="7"/>
      <c r="AN82" s="7"/>
      <c r="AO82" s="7"/>
      <c r="AP82" s="7"/>
      <c r="AQ82" s="7"/>
      <c r="AR82" s="14"/>
      <c r="AS82" s="7"/>
      <c r="AT82" s="7"/>
      <c r="AU82" s="14"/>
      <c r="AX82" s="7"/>
      <c r="AY82" s="7"/>
      <c r="AZ82" s="7"/>
      <c r="BB82" s="7"/>
      <c r="BC82" s="7"/>
      <c r="BE82" s="7"/>
      <c r="BG82" s="7"/>
      <c r="BN82" s="1"/>
      <c r="BV82" s="9"/>
    </row>
    <row r="83" customFormat="false" ht="11.25" hidden="false" customHeight="false" outlineLevel="0" collapsed="false">
      <c r="A83" s="6" t="n">
        <f aca="false">+A82+365/12</f>
        <v>38121.5</v>
      </c>
      <c r="B83" s="6"/>
      <c r="C83" s="6"/>
      <c r="N83" s="7"/>
      <c r="O83" s="7"/>
      <c r="P83" s="7"/>
      <c r="Q83" s="7"/>
      <c r="R83" s="7"/>
      <c r="S83" s="7"/>
      <c r="Z83" s="7"/>
      <c r="AD83" s="7"/>
      <c r="AE83" s="7"/>
      <c r="AF83" s="7"/>
      <c r="AG83" s="8"/>
      <c r="AH83" s="7"/>
      <c r="AI83" s="7"/>
      <c r="AJ83" s="7"/>
      <c r="AK83" s="7"/>
      <c r="AL83" s="7"/>
      <c r="AM83" s="7"/>
      <c r="AN83" s="7"/>
      <c r="AO83" s="7"/>
      <c r="AP83" s="7"/>
      <c r="AQ83" s="7"/>
      <c r="AR83" s="14"/>
      <c r="AS83" s="7"/>
      <c r="AT83" s="7"/>
      <c r="AU83" s="14"/>
      <c r="AX83" s="7"/>
      <c r="AY83" s="7"/>
      <c r="AZ83" s="7"/>
      <c r="BB83" s="7"/>
      <c r="BC83" s="7"/>
      <c r="BE83" s="7"/>
      <c r="BG83" s="7"/>
      <c r="BN83" s="1"/>
      <c r="BV83" s="9"/>
    </row>
    <row r="84" customFormat="false" ht="11.25" hidden="false" customHeight="false" outlineLevel="0" collapsed="false">
      <c r="A84" s="6" t="n">
        <f aca="false">+A83+365/12</f>
        <v>38151.9166666667</v>
      </c>
      <c r="B84" s="6"/>
      <c r="C84" s="6"/>
      <c r="N84" s="7"/>
      <c r="O84" s="7"/>
      <c r="P84" s="7"/>
      <c r="Q84" s="7"/>
      <c r="R84" s="7"/>
      <c r="S84" s="7"/>
      <c r="Z84" s="7"/>
      <c r="AD84" s="7"/>
      <c r="AE84" s="7"/>
      <c r="AF84" s="7"/>
      <c r="AG84" s="8"/>
      <c r="AH84" s="7"/>
      <c r="AI84" s="7"/>
      <c r="AJ84" s="7"/>
      <c r="AK84" s="7"/>
      <c r="AL84" s="7"/>
      <c r="AM84" s="7"/>
      <c r="AN84" s="7"/>
      <c r="AO84" s="7"/>
      <c r="AP84" s="7"/>
      <c r="AQ84" s="7"/>
      <c r="AR84" s="14"/>
      <c r="AS84" s="7"/>
      <c r="AT84" s="7"/>
      <c r="AU84" s="14"/>
      <c r="AX84" s="7"/>
      <c r="AY84" s="7"/>
      <c r="AZ84" s="7"/>
      <c r="BB84" s="7"/>
      <c r="BC84" s="7"/>
      <c r="BE84" s="7"/>
      <c r="BG84" s="7"/>
      <c r="BN84" s="1"/>
      <c r="BV84" s="9"/>
    </row>
    <row r="85" customFormat="false" ht="11.25" hidden="false" customHeight="false" outlineLevel="0" collapsed="false">
      <c r="A85" s="6" t="n">
        <f aca="false">+A84+365/12</f>
        <v>38182.3333333333</v>
      </c>
      <c r="B85" s="6"/>
      <c r="C85" s="6"/>
      <c r="N85" s="7"/>
      <c r="O85" s="7"/>
      <c r="P85" s="7"/>
      <c r="Q85" s="7"/>
      <c r="R85" s="7"/>
      <c r="S85" s="7"/>
      <c r="Z85" s="7"/>
      <c r="AD85" s="7"/>
      <c r="AE85" s="7"/>
      <c r="AF85" s="7"/>
      <c r="AG85" s="8"/>
      <c r="AH85" s="7"/>
      <c r="AI85" s="7"/>
      <c r="AJ85" s="7"/>
      <c r="AK85" s="7"/>
      <c r="AL85" s="7"/>
      <c r="AM85" s="7"/>
      <c r="AN85" s="7"/>
      <c r="AO85" s="7"/>
      <c r="AP85" s="7"/>
      <c r="AQ85" s="7"/>
      <c r="AR85" s="14"/>
      <c r="AS85" s="7"/>
      <c r="AT85" s="7"/>
      <c r="AU85" s="14"/>
      <c r="AX85" s="7"/>
      <c r="AY85" s="7"/>
      <c r="AZ85" s="7"/>
      <c r="BB85" s="7"/>
      <c r="BC85" s="7"/>
      <c r="BE85" s="7"/>
      <c r="BG85" s="7"/>
      <c r="BN85" s="1"/>
      <c r="BV85" s="9"/>
    </row>
    <row r="86" customFormat="false" ht="11.25" hidden="false" customHeight="false" outlineLevel="0" collapsed="false">
      <c r="A86" s="6" t="n">
        <f aca="false">+A85+365/12</f>
        <v>38212.75</v>
      </c>
      <c r="B86" s="6"/>
      <c r="C86" s="6"/>
      <c r="N86" s="7"/>
      <c r="O86" s="7"/>
      <c r="P86" s="7"/>
      <c r="Q86" s="7"/>
      <c r="R86" s="7"/>
      <c r="S86" s="7"/>
      <c r="Z86" s="7"/>
      <c r="AD86" s="7"/>
      <c r="AE86" s="7"/>
      <c r="AF86" s="7"/>
      <c r="AG86" s="8"/>
      <c r="AH86" s="7"/>
      <c r="AI86" s="7"/>
      <c r="AJ86" s="7"/>
      <c r="AK86" s="7"/>
      <c r="AL86" s="7"/>
      <c r="AM86" s="7"/>
      <c r="AN86" s="7"/>
      <c r="AO86" s="7"/>
      <c r="AP86" s="7"/>
      <c r="AQ86" s="7"/>
      <c r="AR86" s="14"/>
      <c r="AS86" s="7"/>
      <c r="AT86" s="7"/>
      <c r="AU86" s="14"/>
      <c r="AX86" s="7"/>
      <c r="AY86" s="7"/>
      <c r="AZ86" s="7"/>
      <c r="BB86" s="7"/>
      <c r="BC86" s="7"/>
      <c r="BE86" s="7"/>
      <c r="BG86" s="7"/>
      <c r="BN86" s="1"/>
      <c r="BV86" s="9"/>
    </row>
    <row r="87" customFormat="false" ht="11.25" hidden="false" customHeight="false" outlineLevel="0" collapsed="false">
      <c r="A87" s="6" t="n">
        <f aca="false">+A86+365/12</f>
        <v>38243.1666666667</v>
      </c>
      <c r="B87" s="6"/>
      <c r="C87" s="6"/>
      <c r="N87" s="7"/>
      <c r="O87" s="7"/>
      <c r="P87" s="7"/>
      <c r="Q87" s="7"/>
      <c r="R87" s="7"/>
      <c r="S87" s="7"/>
      <c r="Z87" s="7"/>
      <c r="AD87" s="7"/>
      <c r="AE87" s="7"/>
      <c r="AF87" s="7"/>
      <c r="AG87" s="8"/>
      <c r="AH87" s="7"/>
      <c r="AI87" s="7"/>
      <c r="AJ87" s="7"/>
      <c r="AK87" s="7"/>
      <c r="AL87" s="7"/>
      <c r="AM87" s="7"/>
      <c r="AN87" s="7"/>
      <c r="AO87" s="7"/>
      <c r="AP87" s="7"/>
      <c r="AQ87" s="7"/>
      <c r="AR87" s="14"/>
      <c r="AS87" s="7"/>
      <c r="AT87" s="7"/>
      <c r="AU87" s="14"/>
      <c r="AX87" s="7"/>
      <c r="AY87" s="7"/>
      <c r="AZ87" s="7"/>
      <c r="BB87" s="7"/>
      <c r="BC87" s="7"/>
      <c r="BE87" s="7"/>
      <c r="BG87" s="7"/>
      <c r="BN87" s="1"/>
      <c r="BV87" s="9"/>
    </row>
    <row r="88" customFormat="false" ht="11.25" hidden="false" customHeight="false" outlineLevel="0" collapsed="false">
      <c r="A88" s="6" t="n">
        <f aca="false">+A87+365/12</f>
        <v>38273.5833333333</v>
      </c>
      <c r="B88" s="6"/>
      <c r="C88" s="6"/>
      <c r="N88" s="7"/>
      <c r="O88" s="7"/>
      <c r="P88" s="7"/>
      <c r="Q88" s="7"/>
      <c r="R88" s="7"/>
      <c r="S88" s="7"/>
      <c r="Z88" s="7"/>
      <c r="AD88" s="7"/>
      <c r="AE88" s="7"/>
      <c r="AF88" s="7"/>
      <c r="AG88" s="8"/>
      <c r="AH88" s="7"/>
      <c r="AI88" s="7"/>
      <c r="AJ88" s="7"/>
      <c r="AK88" s="7"/>
      <c r="AL88" s="7"/>
      <c r="AM88" s="7"/>
      <c r="AN88" s="7"/>
      <c r="AO88" s="7"/>
      <c r="AP88" s="7"/>
      <c r="AQ88" s="7"/>
      <c r="AR88" s="14"/>
      <c r="AS88" s="7"/>
      <c r="AT88" s="7"/>
      <c r="AU88" s="14"/>
      <c r="AX88" s="7"/>
      <c r="AY88" s="7"/>
      <c r="AZ88" s="7"/>
      <c r="BB88" s="7"/>
      <c r="BC88" s="7"/>
      <c r="BE88" s="7"/>
      <c r="BG88" s="7"/>
      <c r="BN88" s="1"/>
      <c r="BV88" s="9"/>
    </row>
    <row r="89" customFormat="false" ht="11.25" hidden="false" customHeight="false" outlineLevel="0" collapsed="false">
      <c r="A89" s="6" t="n">
        <f aca="false">+A88+365/12</f>
        <v>38304</v>
      </c>
      <c r="B89" s="6"/>
      <c r="C89" s="6"/>
      <c r="N89" s="7"/>
      <c r="O89" s="7"/>
      <c r="P89" s="7"/>
      <c r="Q89" s="7"/>
      <c r="R89" s="7"/>
      <c r="S89" s="7"/>
      <c r="Z89" s="7"/>
      <c r="AD89" s="7"/>
      <c r="AE89" s="7"/>
      <c r="AF89" s="7"/>
      <c r="AG89" s="8"/>
      <c r="AH89" s="7"/>
      <c r="AI89" s="7"/>
      <c r="AJ89" s="7"/>
      <c r="AK89" s="7"/>
      <c r="AL89" s="7"/>
      <c r="AM89" s="7"/>
      <c r="AN89" s="7"/>
      <c r="AO89" s="7"/>
      <c r="AP89" s="7"/>
      <c r="AQ89" s="7"/>
      <c r="AR89" s="14"/>
      <c r="AS89" s="7"/>
      <c r="AT89" s="7"/>
      <c r="AU89" s="14"/>
      <c r="AX89" s="7"/>
      <c r="AY89" s="7"/>
      <c r="AZ89" s="7"/>
      <c r="BB89" s="7"/>
      <c r="BC89" s="7"/>
      <c r="BE89" s="7"/>
      <c r="BG89" s="7"/>
      <c r="BN89" s="1"/>
      <c r="BV89" s="9"/>
    </row>
    <row r="90" customFormat="false" ht="11.25" hidden="false" customHeight="false" outlineLevel="0" collapsed="false">
      <c r="A90" s="6" t="n">
        <f aca="false">+A89+365/12</f>
        <v>38334.4166666667</v>
      </c>
      <c r="B90" s="6"/>
      <c r="C90" s="6"/>
      <c r="N90" s="7"/>
      <c r="O90" s="7"/>
      <c r="P90" s="7"/>
      <c r="Q90" s="7"/>
      <c r="R90" s="7"/>
      <c r="S90" s="7"/>
      <c r="Z90" s="7"/>
      <c r="AD90" s="7"/>
      <c r="AE90" s="7"/>
      <c r="AF90" s="7"/>
      <c r="AG90" s="8"/>
      <c r="AH90" s="7"/>
      <c r="AI90" s="7"/>
      <c r="AJ90" s="7"/>
      <c r="AK90" s="7"/>
      <c r="AL90" s="7"/>
      <c r="AM90" s="7"/>
      <c r="AN90" s="7"/>
      <c r="AO90" s="7"/>
      <c r="AP90" s="7"/>
      <c r="AQ90" s="7"/>
      <c r="AR90" s="14"/>
      <c r="AS90" s="7"/>
      <c r="AT90" s="7"/>
      <c r="AU90" s="14"/>
      <c r="AX90" s="7"/>
      <c r="AY90" s="7"/>
      <c r="AZ90" s="7"/>
      <c r="BB90" s="7"/>
      <c r="BC90" s="7"/>
      <c r="BE90" s="7"/>
      <c r="BG90" s="7"/>
      <c r="BN90" s="1"/>
      <c r="BV90" s="9"/>
    </row>
    <row r="91" customFormat="false" ht="11.25" hidden="false" customHeight="false" outlineLevel="0" collapsed="false">
      <c r="A91" s="6" t="n">
        <f aca="false">+A90+365/12</f>
        <v>38364.8333333333</v>
      </c>
      <c r="B91" s="6"/>
      <c r="C91" s="6"/>
      <c r="N91" s="7"/>
      <c r="O91" s="7"/>
      <c r="P91" s="7"/>
      <c r="Q91" s="7"/>
      <c r="R91" s="7"/>
      <c r="S91" s="7"/>
      <c r="Z91" s="7"/>
      <c r="AD91" s="7"/>
      <c r="AE91" s="7"/>
      <c r="AF91" s="7"/>
      <c r="AG91" s="8"/>
      <c r="AH91" s="7"/>
      <c r="AI91" s="7"/>
      <c r="AJ91" s="7"/>
      <c r="AK91" s="7"/>
      <c r="AL91" s="7"/>
      <c r="AM91" s="7"/>
      <c r="AN91" s="7"/>
      <c r="AO91" s="7"/>
      <c r="AP91" s="7"/>
      <c r="AQ91" s="7"/>
      <c r="AR91" s="14"/>
      <c r="AS91" s="7"/>
      <c r="AT91" s="7"/>
      <c r="AU91" s="14"/>
      <c r="AX91" s="7"/>
      <c r="AY91" s="7"/>
      <c r="AZ91" s="7"/>
      <c r="BB91" s="7"/>
      <c r="BC91" s="7"/>
      <c r="BE91" s="7"/>
      <c r="BG91" s="7"/>
      <c r="BN91" s="1"/>
      <c r="BV91" s="9"/>
    </row>
    <row r="92" customFormat="false" ht="11.25" hidden="false" customHeight="false" outlineLevel="0" collapsed="false">
      <c r="A92" s="6" t="n">
        <f aca="false">+A91+365/12</f>
        <v>38395.25</v>
      </c>
      <c r="B92" s="6"/>
      <c r="C92" s="6"/>
      <c r="N92" s="7"/>
      <c r="O92" s="7"/>
      <c r="P92" s="7"/>
      <c r="Q92" s="7"/>
      <c r="R92" s="7"/>
      <c r="S92" s="7"/>
      <c r="Z92" s="7"/>
      <c r="AD92" s="7"/>
      <c r="AE92" s="7"/>
      <c r="AF92" s="7"/>
      <c r="AG92" s="8"/>
      <c r="AH92" s="7"/>
      <c r="AI92" s="7"/>
      <c r="AJ92" s="7"/>
      <c r="AK92" s="7"/>
      <c r="AL92" s="7"/>
      <c r="AM92" s="7"/>
      <c r="AN92" s="7"/>
      <c r="AO92" s="7"/>
      <c r="AP92" s="7"/>
      <c r="AQ92" s="7"/>
      <c r="AR92" s="14"/>
      <c r="AS92" s="7"/>
      <c r="AT92" s="7"/>
      <c r="AU92" s="14"/>
      <c r="AX92" s="7"/>
      <c r="AY92" s="7"/>
      <c r="AZ92" s="7"/>
      <c r="BB92" s="7"/>
      <c r="BC92" s="7"/>
      <c r="BE92" s="7"/>
      <c r="BG92" s="7"/>
      <c r="BN92" s="1"/>
      <c r="BV92" s="9"/>
    </row>
    <row r="93" customFormat="false" ht="11.25" hidden="false" customHeight="false" outlineLevel="0" collapsed="false">
      <c r="A93" s="6" t="n">
        <f aca="false">+A92+365/12</f>
        <v>38425.6666666667</v>
      </c>
      <c r="B93" s="6"/>
      <c r="C93" s="6"/>
      <c r="N93" s="7"/>
      <c r="O93" s="7"/>
      <c r="P93" s="7"/>
      <c r="Q93" s="7"/>
      <c r="R93" s="7"/>
      <c r="S93" s="7"/>
      <c r="Z93" s="7"/>
      <c r="AD93" s="7"/>
      <c r="AE93" s="7"/>
      <c r="AF93" s="7"/>
      <c r="AG93" s="8"/>
      <c r="AH93" s="7"/>
      <c r="AI93" s="7"/>
      <c r="AJ93" s="7"/>
      <c r="AK93" s="7"/>
      <c r="AL93" s="7"/>
      <c r="AM93" s="7"/>
      <c r="AN93" s="7"/>
      <c r="AO93" s="7"/>
      <c r="AP93" s="7"/>
      <c r="AQ93" s="7"/>
      <c r="AR93" s="14"/>
      <c r="AS93" s="7"/>
      <c r="AT93" s="7"/>
      <c r="AU93" s="14"/>
      <c r="AX93" s="7"/>
      <c r="AY93" s="7"/>
      <c r="AZ93" s="7"/>
      <c r="BB93" s="7"/>
      <c r="BC93" s="7"/>
      <c r="BE93" s="7"/>
      <c r="BG93" s="7"/>
      <c r="BN93" s="1"/>
      <c r="BV93" s="9"/>
    </row>
    <row r="94" customFormat="false" ht="11.25" hidden="false" customHeight="false" outlineLevel="0" collapsed="false">
      <c r="A94" s="6" t="n">
        <f aca="false">+A93+365/12</f>
        <v>38456.0833333333</v>
      </c>
      <c r="B94" s="6"/>
      <c r="C94" s="6"/>
      <c r="N94" s="7"/>
      <c r="O94" s="7"/>
      <c r="P94" s="7"/>
      <c r="Q94" s="7"/>
      <c r="R94" s="7"/>
      <c r="S94" s="7"/>
      <c r="Z94" s="7"/>
      <c r="AD94" s="7"/>
      <c r="AE94" s="7"/>
      <c r="AF94" s="7"/>
      <c r="AG94" s="8"/>
      <c r="AH94" s="7"/>
      <c r="AI94" s="7"/>
      <c r="AJ94" s="7"/>
      <c r="AK94" s="7"/>
      <c r="AL94" s="7"/>
      <c r="AM94" s="7"/>
      <c r="AN94" s="7"/>
      <c r="AO94" s="7"/>
      <c r="AP94" s="7"/>
      <c r="AQ94" s="7"/>
      <c r="AR94" s="14"/>
      <c r="AS94" s="7"/>
      <c r="AT94" s="7"/>
      <c r="AU94" s="14"/>
      <c r="AX94" s="7"/>
      <c r="AY94" s="7"/>
      <c r="AZ94" s="7"/>
      <c r="BB94" s="7"/>
      <c r="BC94" s="7"/>
      <c r="BE94" s="7"/>
      <c r="BG94" s="7"/>
      <c r="BN94" s="1"/>
      <c r="BV94" s="9"/>
    </row>
    <row r="95" customFormat="false" ht="11.25" hidden="false" customHeight="false" outlineLevel="0" collapsed="false">
      <c r="A95" s="6" t="n">
        <f aca="false">+A94+365/12</f>
        <v>38486.5</v>
      </c>
      <c r="B95" s="6"/>
      <c r="C95" s="6"/>
      <c r="N95" s="7"/>
      <c r="O95" s="7"/>
      <c r="P95" s="7"/>
      <c r="Q95" s="7"/>
      <c r="R95" s="7"/>
      <c r="S95" s="7"/>
      <c r="Z95" s="7"/>
      <c r="AD95" s="7"/>
      <c r="AE95" s="7"/>
      <c r="AF95" s="7"/>
      <c r="AG95" s="8"/>
      <c r="AH95" s="7"/>
      <c r="AI95" s="7"/>
      <c r="AJ95" s="7"/>
      <c r="AK95" s="7"/>
      <c r="AL95" s="7"/>
      <c r="AM95" s="7"/>
      <c r="AN95" s="7"/>
      <c r="AO95" s="7"/>
      <c r="AP95" s="7"/>
      <c r="AQ95" s="7"/>
      <c r="AR95" s="14"/>
      <c r="AS95" s="7"/>
      <c r="AT95" s="7"/>
      <c r="AU95" s="14"/>
      <c r="AX95" s="7"/>
      <c r="AY95" s="7"/>
      <c r="AZ95" s="7"/>
      <c r="BB95" s="7"/>
      <c r="BC95" s="7"/>
      <c r="BE95" s="7"/>
      <c r="BG95" s="7"/>
      <c r="BN95" s="1"/>
      <c r="BV95" s="9"/>
    </row>
    <row r="96" customFormat="false" ht="11.25" hidden="false" customHeight="false" outlineLevel="0" collapsed="false">
      <c r="A96" s="6" t="n">
        <f aca="false">+A95+365/12</f>
        <v>38516.9166666667</v>
      </c>
      <c r="B96" s="6"/>
      <c r="C96" s="6"/>
      <c r="N96" s="7"/>
      <c r="O96" s="7"/>
      <c r="P96" s="7"/>
      <c r="Q96" s="7"/>
      <c r="R96" s="7"/>
      <c r="S96" s="7"/>
      <c r="Z96" s="7"/>
      <c r="AD96" s="7"/>
      <c r="AE96" s="7"/>
      <c r="AF96" s="7"/>
      <c r="AG96" s="8"/>
      <c r="AH96" s="7"/>
      <c r="AI96" s="7"/>
      <c r="AJ96" s="7"/>
      <c r="AK96" s="7"/>
      <c r="AL96" s="7"/>
      <c r="AM96" s="7"/>
      <c r="AN96" s="7"/>
      <c r="AO96" s="7"/>
      <c r="AP96" s="7"/>
      <c r="AQ96" s="7"/>
      <c r="AR96" s="14"/>
      <c r="AS96" s="7"/>
      <c r="AT96" s="7"/>
      <c r="AU96" s="14"/>
      <c r="AX96" s="7"/>
      <c r="AY96" s="7"/>
      <c r="AZ96" s="7"/>
      <c r="BB96" s="7"/>
      <c r="BC96" s="7"/>
      <c r="BE96" s="7"/>
      <c r="BG96" s="7"/>
      <c r="BN96" s="1"/>
      <c r="BV96" s="9"/>
    </row>
    <row r="97" customFormat="false" ht="11.25" hidden="false" customHeight="false" outlineLevel="0" collapsed="false">
      <c r="A97" s="6" t="n">
        <f aca="false">+A96+365/12</f>
        <v>38547.3333333333</v>
      </c>
      <c r="B97" s="6"/>
      <c r="C97" s="6"/>
      <c r="N97" s="7"/>
      <c r="O97" s="7"/>
      <c r="P97" s="7"/>
      <c r="Q97" s="7"/>
      <c r="R97" s="7"/>
      <c r="S97" s="7"/>
      <c r="Z97" s="7"/>
      <c r="AD97" s="7"/>
      <c r="AE97" s="7"/>
      <c r="AF97" s="7"/>
      <c r="AG97" s="8"/>
      <c r="AH97" s="7"/>
      <c r="AI97" s="7"/>
      <c r="AJ97" s="7"/>
      <c r="AK97" s="7"/>
      <c r="AL97" s="7"/>
      <c r="AM97" s="7"/>
      <c r="AN97" s="7"/>
      <c r="AO97" s="7"/>
      <c r="AP97" s="7"/>
      <c r="AQ97" s="7"/>
      <c r="AR97" s="14"/>
      <c r="AS97" s="7"/>
      <c r="AT97" s="7"/>
      <c r="AU97" s="14"/>
      <c r="AX97" s="7"/>
      <c r="AY97" s="7"/>
      <c r="AZ97" s="7"/>
      <c r="BB97" s="7"/>
      <c r="BC97" s="7"/>
      <c r="BE97" s="7"/>
      <c r="BG97" s="7"/>
      <c r="BN97" s="1"/>
      <c r="BV97" s="9"/>
    </row>
    <row r="98" customFormat="false" ht="11.25" hidden="false" customHeight="false" outlineLevel="0" collapsed="false">
      <c r="A98" s="6" t="n">
        <f aca="false">+A97+365/12</f>
        <v>38577.75</v>
      </c>
      <c r="B98" s="6"/>
      <c r="C98" s="6"/>
      <c r="N98" s="7"/>
      <c r="O98" s="7"/>
      <c r="P98" s="7"/>
      <c r="Q98" s="7"/>
      <c r="R98" s="7"/>
      <c r="S98" s="7"/>
      <c r="Z98" s="7"/>
      <c r="AD98" s="7"/>
      <c r="AE98" s="7"/>
      <c r="AF98" s="7"/>
      <c r="AG98" s="8"/>
      <c r="AH98" s="7"/>
      <c r="AI98" s="7"/>
      <c r="AJ98" s="7"/>
      <c r="AK98" s="7"/>
      <c r="AL98" s="7"/>
      <c r="AM98" s="7"/>
      <c r="AN98" s="7"/>
      <c r="AO98" s="7"/>
      <c r="AP98" s="7"/>
      <c r="AQ98" s="7"/>
      <c r="AR98" s="14"/>
      <c r="AS98" s="7"/>
      <c r="AT98" s="7"/>
      <c r="AU98" s="14"/>
      <c r="AX98" s="7"/>
      <c r="AY98" s="7"/>
      <c r="AZ98" s="7"/>
      <c r="BB98" s="7"/>
      <c r="BC98" s="7"/>
      <c r="BE98" s="7"/>
      <c r="BG98" s="7"/>
      <c r="BN98" s="1"/>
      <c r="BV98" s="9"/>
    </row>
    <row r="99" customFormat="false" ht="11.25" hidden="false" customHeight="false" outlineLevel="0" collapsed="false">
      <c r="A99" s="6" t="n">
        <f aca="false">+A98+365/12</f>
        <v>38608.1666666667</v>
      </c>
      <c r="B99" s="6"/>
      <c r="C99" s="6"/>
      <c r="N99" s="7"/>
      <c r="O99" s="7"/>
      <c r="P99" s="7"/>
      <c r="Q99" s="7"/>
      <c r="R99" s="7"/>
      <c r="S99" s="7"/>
      <c r="Z99" s="7"/>
      <c r="AD99" s="7"/>
      <c r="AE99" s="7"/>
      <c r="AF99" s="7"/>
      <c r="AG99" s="8"/>
      <c r="AH99" s="7"/>
      <c r="AI99" s="7"/>
      <c r="AJ99" s="7"/>
      <c r="AK99" s="7"/>
      <c r="AL99" s="7"/>
      <c r="AM99" s="7"/>
      <c r="AN99" s="7"/>
      <c r="AO99" s="7"/>
      <c r="AP99" s="7"/>
      <c r="AQ99" s="7"/>
      <c r="AR99" s="14"/>
      <c r="AS99" s="7"/>
      <c r="AT99" s="7"/>
      <c r="AU99" s="14"/>
      <c r="AX99" s="7"/>
      <c r="AY99" s="7"/>
      <c r="AZ99" s="7"/>
      <c r="BB99" s="7"/>
      <c r="BC99" s="7"/>
      <c r="BE99" s="7"/>
      <c r="BG99" s="7"/>
      <c r="BN99" s="1"/>
      <c r="BV99" s="9"/>
    </row>
    <row r="100" customFormat="false" ht="11.25" hidden="false" customHeight="false" outlineLevel="0" collapsed="false">
      <c r="A100" s="6" t="n">
        <f aca="false">+A99+365/12</f>
        <v>38638.5833333333</v>
      </c>
      <c r="B100" s="6"/>
      <c r="C100" s="6"/>
      <c r="N100" s="7"/>
      <c r="O100" s="7"/>
      <c r="P100" s="7"/>
      <c r="Q100" s="7"/>
      <c r="R100" s="7"/>
      <c r="S100" s="7"/>
      <c r="Z100" s="7"/>
      <c r="AD100" s="7"/>
      <c r="AE100" s="7"/>
      <c r="AF100" s="7"/>
      <c r="AG100" s="8"/>
      <c r="AH100" s="7"/>
      <c r="AI100" s="7"/>
      <c r="AJ100" s="7"/>
      <c r="AK100" s="7"/>
      <c r="AL100" s="7"/>
      <c r="AM100" s="7"/>
      <c r="AN100" s="7"/>
      <c r="AO100" s="7"/>
      <c r="AP100" s="7"/>
      <c r="AQ100" s="7"/>
      <c r="AR100" s="14"/>
      <c r="AS100" s="7"/>
      <c r="AT100" s="7"/>
      <c r="AU100" s="14"/>
      <c r="AX100" s="7"/>
      <c r="AY100" s="7"/>
      <c r="AZ100" s="7"/>
      <c r="BB100" s="7"/>
      <c r="BE100" s="7"/>
      <c r="BG100" s="7"/>
      <c r="BN100" s="1"/>
      <c r="BV100" s="9"/>
    </row>
    <row r="101" customFormat="false" ht="11.25" hidden="false" customHeight="false" outlineLevel="0" collapsed="false">
      <c r="A101" s="6" t="n">
        <f aca="false">+A100+365/12</f>
        <v>38669</v>
      </c>
      <c r="B101" s="6"/>
      <c r="C101" s="6"/>
      <c r="N101" s="7"/>
      <c r="O101" s="7"/>
      <c r="P101" s="7"/>
      <c r="Q101" s="7"/>
      <c r="R101" s="7"/>
      <c r="S101" s="7"/>
      <c r="Z101" s="7"/>
      <c r="AD101" s="7"/>
      <c r="AE101" s="7"/>
      <c r="AF101" s="7"/>
      <c r="AG101" s="8"/>
      <c r="AH101" s="7"/>
      <c r="AI101" s="7"/>
      <c r="AJ101" s="7"/>
      <c r="AK101" s="7"/>
      <c r="AL101" s="7"/>
      <c r="AM101" s="7"/>
      <c r="AN101" s="7"/>
      <c r="AO101" s="7"/>
      <c r="AP101" s="7"/>
      <c r="AQ101" s="7"/>
      <c r="AR101" s="14"/>
      <c r="AS101" s="7"/>
      <c r="AT101" s="7"/>
      <c r="AU101" s="14"/>
      <c r="AX101" s="7"/>
      <c r="AY101" s="7"/>
      <c r="AZ101" s="7"/>
      <c r="BB101" s="7"/>
      <c r="BE101" s="7"/>
      <c r="BG101" s="7"/>
      <c r="BN101" s="1"/>
      <c r="BV101" s="9"/>
    </row>
    <row r="102" customFormat="false" ht="11.25" hidden="false" customHeight="false" outlineLevel="0" collapsed="false">
      <c r="A102" s="6" t="n">
        <f aca="false">+A101+365/12</f>
        <v>38699.4166666667</v>
      </c>
      <c r="B102" s="6"/>
      <c r="C102" s="6"/>
      <c r="N102" s="7"/>
      <c r="O102" s="7"/>
      <c r="P102" s="7"/>
      <c r="Q102" s="7"/>
      <c r="R102" s="7"/>
      <c r="S102" s="7"/>
      <c r="Z102" s="7"/>
      <c r="AD102" s="7"/>
      <c r="AE102" s="7"/>
      <c r="AF102" s="7"/>
      <c r="AG102" s="8"/>
      <c r="AH102" s="7"/>
      <c r="AI102" s="7"/>
      <c r="AJ102" s="7"/>
      <c r="AK102" s="7"/>
      <c r="AL102" s="7"/>
      <c r="AM102" s="7"/>
      <c r="AN102" s="7"/>
      <c r="AO102" s="7"/>
      <c r="AP102" s="7"/>
      <c r="AQ102" s="7"/>
      <c r="AR102" s="14"/>
      <c r="AS102" s="7"/>
      <c r="AT102" s="7"/>
      <c r="AU102" s="14"/>
      <c r="AX102" s="7"/>
      <c r="AY102" s="7"/>
      <c r="AZ102" s="7"/>
      <c r="BB102" s="7"/>
      <c r="BE102" s="7"/>
      <c r="BG102" s="7"/>
      <c r="BN102" s="1"/>
      <c r="BV102" s="9"/>
    </row>
    <row r="103" customFormat="false" ht="11.25" hidden="false" customHeight="false" outlineLevel="0" collapsed="false">
      <c r="A103" s="6" t="n">
        <f aca="false">+A102+365/12</f>
        <v>38729.8333333333</v>
      </c>
      <c r="B103" s="6"/>
      <c r="C103" s="6"/>
      <c r="N103" s="7"/>
      <c r="O103" s="7"/>
      <c r="P103" s="7"/>
      <c r="Q103" s="7"/>
      <c r="R103" s="7"/>
      <c r="S103" s="7"/>
      <c r="Z103" s="7"/>
      <c r="AD103" s="7"/>
      <c r="AE103" s="7"/>
      <c r="AF103" s="7"/>
      <c r="AG103" s="8"/>
      <c r="AH103" s="7"/>
      <c r="AI103" s="7"/>
      <c r="AJ103" s="7"/>
      <c r="AK103" s="7"/>
      <c r="AL103" s="7"/>
      <c r="AM103" s="7"/>
      <c r="AN103" s="7"/>
      <c r="AO103" s="7"/>
      <c r="AP103" s="7"/>
      <c r="AQ103" s="7"/>
      <c r="AR103" s="14"/>
      <c r="AS103" s="7"/>
      <c r="AT103" s="7"/>
      <c r="AU103" s="14"/>
      <c r="AX103" s="7"/>
      <c r="AY103" s="7"/>
      <c r="AZ103" s="7"/>
      <c r="BB103" s="7"/>
      <c r="BE103" s="7"/>
      <c r="BG103" s="7"/>
      <c r="BN103" s="1"/>
      <c r="BV103" s="9"/>
    </row>
    <row r="104" customFormat="false" ht="11.25" hidden="false" customHeight="false" outlineLevel="0" collapsed="false">
      <c r="A104" s="6" t="n">
        <f aca="false">+A103+365/12</f>
        <v>38760.25</v>
      </c>
      <c r="B104" s="6"/>
      <c r="C104" s="6"/>
      <c r="N104" s="7"/>
      <c r="O104" s="7"/>
      <c r="P104" s="7"/>
      <c r="Q104" s="7"/>
      <c r="R104" s="7"/>
      <c r="S104" s="7"/>
      <c r="Z104" s="7"/>
      <c r="AD104" s="7"/>
      <c r="AE104" s="7"/>
      <c r="AF104" s="7"/>
      <c r="AG104" s="8"/>
      <c r="AH104" s="7"/>
      <c r="AI104" s="7"/>
      <c r="AJ104" s="7"/>
      <c r="AK104" s="7"/>
      <c r="AL104" s="7"/>
      <c r="AM104" s="7"/>
      <c r="AN104" s="7"/>
      <c r="AO104" s="7"/>
      <c r="AP104" s="7"/>
      <c r="AQ104" s="7"/>
      <c r="AR104" s="14"/>
      <c r="AS104" s="7"/>
      <c r="AT104" s="7"/>
      <c r="AU104" s="14"/>
      <c r="AX104" s="7"/>
      <c r="AY104" s="7"/>
      <c r="AZ104" s="7"/>
      <c r="BB104" s="7"/>
      <c r="BE104" s="7"/>
      <c r="BG104" s="7"/>
      <c r="BN104" s="1"/>
      <c r="BV104" s="9"/>
    </row>
    <row r="105" customFormat="false" ht="11.25" hidden="false" customHeight="false" outlineLevel="0" collapsed="false">
      <c r="A105" s="6" t="n">
        <f aca="false">+A104+365/12</f>
        <v>38790.6666666667</v>
      </c>
      <c r="B105" s="6"/>
      <c r="C105" s="6"/>
      <c r="N105" s="7"/>
      <c r="O105" s="7"/>
      <c r="P105" s="7"/>
      <c r="Q105" s="7"/>
      <c r="R105" s="7"/>
      <c r="S105" s="7"/>
      <c r="Z105" s="7"/>
      <c r="AD105" s="7"/>
      <c r="AE105" s="7"/>
      <c r="AF105" s="7"/>
      <c r="AG105" s="8"/>
      <c r="AH105" s="7"/>
      <c r="AI105" s="7"/>
      <c r="AJ105" s="7"/>
      <c r="AK105" s="7"/>
      <c r="AL105" s="7"/>
      <c r="AM105" s="7"/>
      <c r="AN105" s="7"/>
      <c r="AO105" s="7"/>
      <c r="AP105" s="7"/>
      <c r="AQ105" s="7"/>
      <c r="AR105" s="14"/>
      <c r="AS105" s="7"/>
      <c r="AT105" s="7"/>
      <c r="AU105" s="14"/>
      <c r="AX105" s="7"/>
      <c r="AY105" s="7"/>
      <c r="AZ105" s="7"/>
      <c r="BB105" s="7"/>
      <c r="BE105" s="7"/>
      <c r="BG105" s="7"/>
      <c r="BN105" s="1"/>
      <c r="BV105" s="9"/>
    </row>
    <row r="106" customFormat="false" ht="11.25" hidden="false" customHeight="false" outlineLevel="0" collapsed="false">
      <c r="A106" s="6" t="n">
        <f aca="false">+A105+365/12</f>
        <v>38821.0833333333</v>
      </c>
      <c r="B106" s="6"/>
      <c r="C106" s="6"/>
      <c r="N106" s="7"/>
      <c r="O106" s="7"/>
      <c r="P106" s="7"/>
      <c r="Q106" s="7"/>
      <c r="R106" s="7"/>
      <c r="S106" s="7"/>
      <c r="Z106" s="7"/>
      <c r="AD106" s="7"/>
      <c r="AE106" s="7"/>
      <c r="AF106" s="7"/>
      <c r="AG106" s="8"/>
      <c r="AH106" s="7"/>
      <c r="AI106" s="7"/>
      <c r="AJ106" s="7"/>
      <c r="AK106" s="7"/>
      <c r="AL106" s="7"/>
      <c r="AM106" s="7"/>
      <c r="AN106" s="7"/>
      <c r="AO106" s="7"/>
      <c r="AP106" s="7"/>
      <c r="AQ106" s="7"/>
      <c r="AR106" s="14"/>
      <c r="AS106" s="7"/>
      <c r="AT106" s="7"/>
      <c r="AU106" s="14"/>
      <c r="AX106" s="7"/>
      <c r="AY106" s="7"/>
      <c r="AZ106" s="7"/>
      <c r="BB106" s="7"/>
      <c r="BE106" s="7"/>
      <c r="BG106" s="7"/>
      <c r="BN106" s="1"/>
      <c r="BV106" s="9"/>
    </row>
    <row r="107" customFormat="false" ht="11.25" hidden="false" customHeight="false" outlineLevel="0" collapsed="false">
      <c r="A107" s="6" t="n">
        <f aca="false">+A106+365/12</f>
        <v>38851.5</v>
      </c>
      <c r="B107" s="6"/>
      <c r="C107" s="6"/>
      <c r="N107" s="7"/>
      <c r="O107" s="7"/>
      <c r="P107" s="7"/>
      <c r="Q107" s="7"/>
      <c r="R107" s="7"/>
      <c r="S107" s="7"/>
      <c r="Z107" s="7"/>
      <c r="AD107" s="7"/>
      <c r="AE107" s="7"/>
      <c r="AF107" s="7"/>
      <c r="AG107" s="8"/>
      <c r="AH107" s="7"/>
      <c r="AI107" s="7"/>
      <c r="AJ107" s="7"/>
      <c r="AK107" s="7"/>
      <c r="AL107" s="7"/>
      <c r="AM107" s="7"/>
      <c r="AN107" s="7"/>
      <c r="AO107" s="7"/>
      <c r="AP107" s="7"/>
      <c r="AQ107" s="7"/>
      <c r="AR107" s="14"/>
      <c r="AS107" s="7"/>
      <c r="AT107" s="7"/>
      <c r="AU107" s="14"/>
      <c r="AX107" s="7"/>
      <c r="AY107" s="7"/>
      <c r="AZ107" s="7"/>
      <c r="BB107" s="7"/>
      <c r="BE107" s="7"/>
      <c r="BG107" s="7"/>
      <c r="BN107" s="1"/>
      <c r="BV107" s="9"/>
    </row>
    <row r="108" customFormat="false" ht="11.25" hidden="false" customHeight="false" outlineLevel="0" collapsed="false">
      <c r="A108" s="6" t="n">
        <f aca="false">+A107+365/12</f>
        <v>38881.9166666667</v>
      </c>
      <c r="B108" s="6"/>
      <c r="C108" s="6"/>
      <c r="N108" s="7"/>
      <c r="O108" s="7"/>
      <c r="P108" s="7"/>
      <c r="Q108" s="7"/>
      <c r="R108" s="7"/>
      <c r="S108" s="7"/>
      <c r="Z108" s="7"/>
      <c r="AD108" s="7"/>
      <c r="AE108" s="7"/>
      <c r="AF108" s="7"/>
      <c r="AG108" s="8"/>
      <c r="AH108" s="7"/>
      <c r="AI108" s="7"/>
      <c r="AJ108" s="7"/>
      <c r="AK108" s="7"/>
      <c r="AL108" s="7"/>
      <c r="AM108" s="7"/>
      <c r="AN108" s="7"/>
      <c r="AO108" s="7"/>
      <c r="AP108" s="7"/>
      <c r="AQ108" s="7"/>
      <c r="AR108" s="14"/>
      <c r="AS108" s="7"/>
      <c r="AT108" s="7"/>
      <c r="AU108" s="14"/>
      <c r="AX108" s="7"/>
      <c r="AY108" s="7"/>
      <c r="AZ108" s="7"/>
      <c r="BB108" s="7"/>
      <c r="BE108" s="7"/>
      <c r="BG108" s="7"/>
      <c r="BN108" s="1"/>
      <c r="BV108" s="9"/>
    </row>
    <row r="109" customFormat="false" ht="11.25" hidden="false" customHeight="false" outlineLevel="0" collapsed="false">
      <c r="A109" s="6" t="n">
        <f aca="false">+A108+365/12</f>
        <v>38912.3333333333</v>
      </c>
      <c r="B109" s="6"/>
      <c r="C109" s="6"/>
      <c r="N109" s="7"/>
      <c r="O109" s="7"/>
      <c r="P109" s="7"/>
      <c r="Q109" s="7"/>
      <c r="R109" s="7"/>
      <c r="S109" s="7"/>
      <c r="Z109" s="7"/>
      <c r="AD109" s="7"/>
      <c r="AE109" s="7"/>
      <c r="AF109" s="7"/>
      <c r="AG109" s="8"/>
      <c r="AH109" s="7"/>
      <c r="AI109" s="7"/>
      <c r="AJ109" s="7"/>
      <c r="AK109" s="7"/>
      <c r="AL109" s="7"/>
      <c r="AM109" s="7"/>
      <c r="AN109" s="7"/>
      <c r="AO109" s="7"/>
      <c r="AP109" s="7"/>
      <c r="AQ109" s="7"/>
      <c r="AR109" s="14"/>
      <c r="AS109" s="7"/>
      <c r="AT109" s="7"/>
      <c r="AU109" s="14"/>
      <c r="AX109" s="7"/>
      <c r="AY109" s="7"/>
      <c r="AZ109" s="7"/>
      <c r="BB109" s="7"/>
      <c r="BE109" s="7"/>
      <c r="BG109" s="7"/>
      <c r="BN109" s="1"/>
      <c r="BV109" s="9"/>
    </row>
    <row r="110" customFormat="false" ht="11.25" hidden="false" customHeight="false" outlineLevel="0" collapsed="false">
      <c r="A110" s="6" t="n">
        <f aca="false">+A109+365/12</f>
        <v>38942.75</v>
      </c>
      <c r="B110" s="6"/>
      <c r="C110" s="6"/>
      <c r="N110" s="7"/>
      <c r="O110" s="7"/>
      <c r="P110" s="7"/>
      <c r="Q110" s="7"/>
      <c r="R110" s="7"/>
      <c r="S110" s="7"/>
      <c r="Z110" s="7"/>
      <c r="AD110" s="7"/>
      <c r="AE110" s="7"/>
      <c r="AF110" s="7"/>
      <c r="AG110" s="8"/>
      <c r="AH110" s="7"/>
      <c r="AI110" s="7"/>
      <c r="AJ110" s="7"/>
      <c r="AK110" s="7"/>
      <c r="AL110" s="7"/>
      <c r="AM110" s="7"/>
      <c r="AN110" s="7"/>
      <c r="AO110" s="7"/>
      <c r="AP110" s="7"/>
      <c r="AQ110" s="7"/>
      <c r="AR110" s="14"/>
      <c r="AS110" s="7"/>
      <c r="AT110" s="7"/>
      <c r="AU110" s="14"/>
      <c r="AX110" s="7"/>
      <c r="AY110" s="7"/>
      <c r="AZ110" s="7"/>
      <c r="BB110" s="7"/>
      <c r="BE110" s="7"/>
      <c r="BG110" s="7"/>
      <c r="BN110" s="1"/>
      <c r="BV110" s="9"/>
    </row>
    <row r="111" customFormat="false" ht="11.25" hidden="false" customHeight="false" outlineLevel="0" collapsed="false">
      <c r="A111" s="6" t="n">
        <f aca="false">+A110+365/12</f>
        <v>38973.1666666667</v>
      </c>
      <c r="B111" s="6"/>
      <c r="C111" s="6"/>
      <c r="N111" s="7"/>
      <c r="O111" s="7"/>
      <c r="P111" s="7"/>
      <c r="Q111" s="7"/>
      <c r="R111" s="7"/>
      <c r="S111" s="7"/>
      <c r="Z111" s="7"/>
      <c r="AD111" s="7"/>
      <c r="AE111" s="7"/>
      <c r="AF111" s="7"/>
      <c r="AG111" s="8"/>
      <c r="AH111" s="7"/>
      <c r="AI111" s="7"/>
      <c r="AJ111" s="7"/>
      <c r="AK111" s="7"/>
      <c r="AL111" s="7"/>
      <c r="AM111" s="7"/>
      <c r="AN111" s="7"/>
      <c r="AO111" s="7"/>
      <c r="AP111" s="7"/>
      <c r="AQ111" s="7"/>
      <c r="AR111" s="14"/>
      <c r="AS111" s="7"/>
      <c r="AT111" s="7"/>
      <c r="AU111" s="14"/>
      <c r="AX111" s="7"/>
      <c r="AY111" s="7"/>
      <c r="AZ111" s="7"/>
      <c r="BB111" s="7"/>
      <c r="BE111" s="7"/>
      <c r="BG111" s="7"/>
      <c r="BN111" s="1"/>
      <c r="BV111" s="9"/>
    </row>
    <row r="112" customFormat="false" ht="11.25" hidden="false" customHeight="false" outlineLevel="0" collapsed="false">
      <c r="A112" s="6" t="n">
        <f aca="false">+A111+365/12</f>
        <v>39003.5833333333</v>
      </c>
      <c r="B112" s="6"/>
      <c r="C112" s="6"/>
      <c r="N112" s="7"/>
      <c r="O112" s="7"/>
      <c r="P112" s="7"/>
      <c r="Q112" s="7"/>
      <c r="R112" s="7"/>
      <c r="S112" s="7"/>
      <c r="Z112" s="7"/>
      <c r="AD112" s="7"/>
      <c r="AE112" s="7"/>
      <c r="AF112" s="7"/>
      <c r="AG112" s="8"/>
      <c r="AH112" s="7"/>
      <c r="AI112" s="7"/>
      <c r="AJ112" s="7"/>
      <c r="AK112" s="7"/>
      <c r="AL112" s="7"/>
      <c r="AM112" s="7"/>
      <c r="AN112" s="7"/>
      <c r="AO112" s="7"/>
      <c r="AP112" s="7"/>
      <c r="AQ112" s="7"/>
      <c r="AR112" s="14"/>
      <c r="AS112" s="7"/>
      <c r="AT112" s="7"/>
      <c r="AU112" s="14"/>
      <c r="AX112" s="7"/>
      <c r="AY112" s="7"/>
      <c r="AZ112" s="7"/>
      <c r="BB112" s="7"/>
      <c r="BE112" s="7"/>
      <c r="BG112" s="7"/>
      <c r="BN112" s="1"/>
      <c r="BV112" s="9"/>
    </row>
    <row r="113" customFormat="false" ht="11.25" hidden="false" customHeight="false" outlineLevel="0" collapsed="false">
      <c r="A113" s="6" t="n">
        <f aca="false">+A112+365/12</f>
        <v>39034</v>
      </c>
      <c r="B113" s="6"/>
      <c r="C113" s="6"/>
      <c r="N113" s="7"/>
      <c r="O113" s="7"/>
      <c r="P113" s="7"/>
      <c r="Q113" s="7"/>
      <c r="R113" s="7"/>
      <c r="S113" s="7"/>
      <c r="Z113" s="7"/>
      <c r="AD113" s="7"/>
      <c r="AE113" s="7"/>
      <c r="AF113" s="7"/>
      <c r="AG113" s="8"/>
      <c r="AH113" s="7"/>
      <c r="AI113" s="7"/>
      <c r="AJ113" s="7"/>
      <c r="AK113" s="7"/>
      <c r="AL113" s="7"/>
      <c r="AM113" s="7"/>
      <c r="AN113" s="7"/>
      <c r="AO113" s="7"/>
      <c r="AP113" s="7"/>
      <c r="AQ113" s="7"/>
      <c r="AR113" s="14"/>
      <c r="AS113" s="7"/>
      <c r="AT113" s="7"/>
      <c r="AU113" s="14"/>
      <c r="AX113" s="7"/>
      <c r="AY113" s="7"/>
      <c r="AZ113" s="7"/>
      <c r="BB113" s="7"/>
      <c r="BE113" s="7"/>
      <c r="BG113" s="7"/>
      <c r="BN113" s="1"/>
      <c r="BV113" s="9"/>
    </row>
    <row r="114" customFormat="false" ht="11.25" hidden="false" customHeight="false" outlineLevel="0" collapsed="false">
      <c r="A114" s="6" t="n">
        <f aca="false">+A113+365/12</f>
        <v>39064.4166666667</v>
      </c>
      <c r="B114" s="6"/>
      <c r="C114" s="6"/>
      <c r="N114" s="7"/>
      <c r="O114" s="7"/>
      <c r="P114" s="7"/>
      <c r="Q114" s="7"/>
      <c r="R114" s="7"/>
      <c r="S114" s="7"/>
      <c r="Z114" s="7"/>
      <c r="AD114" s="7"/>
      <c r="AE114" s="7"/>
      <c r="AF114" s="7"/>
      <c r="AG114" s="8"/>
      <c r="AH114" s="7"/>
      <c r="AI114" s="7"/>
      <c r="AJ114" s="7"/>
      <c r="AK114" s="7"/>
      <c r="AL114" s="7"/>
      <c r="AM114" s="7"/>
      <c r="AN114" s="7"/>
      <c r="AO114" s="7"/>
      <c r="AP114" s="7"/>
      <c r="AQ114" s="7"/>
      <c r="AR114" s="14"/>
      <c r="AS114" s="7"/>
      <c r="AT114" s="7"/>
      <c r="AU114" s="14"/>
      <c r="AX114" s="7"/>
      <c r="AY114" s="7"/>
      <c r="AZ114" s="7"/>
      <c r="BB114" s="7"/>
      <c r="BE114" s="7"/>
      <c r="BG114" s="7"/>
      <c r="BN114" s="1"/>
      <c r="BV114" s="9"/>
    </row>
    <row r="115" customFormat="false" ht="11.25" hidden="false" customHeight="false" outlineLevel="0" collapsed="false">
      <c r="A115" s="6" t="n">
        <f aca="false">+A114+365/12</f>
        <v>39094.8333333333</v>
      </c>
      <c r="B115" s="6"/>
      <c r="C115" s="6"/>
      <c r="N115" s="7"/>
      <c r="O115" s="7"/>
      <c r="P115" s="7"/>
      <c r="Q115" s="7"/>
      <c r="R115" s="7"/>
      <c r="S115" s="7"/>
      <c r="Z115" s="7"/>
      <c r="AD115" s="7"/>
      <c r="AE115" s="7"/>
      <c r="AF115" s="7"/>
      <c r="AG115" s="8"/>
      <c r="AH115" s="7"/>
      <c r="AI115" s="7"/>
      <c r="AJ115" s="7"/>
      <c r="AK115" s="7"/>
      <c r="AL115" s="7"/>
      <c r="AM115" s="7"/>
      <c r="AN115" s="7"/>
      <c r="AO115" s="7"/>
      <c r="AP115" s="7"/>
      <c r="AQ115" s="7"/>
      <c r="AR115" s="14"/>
      <c r="AS115" s="7"/>
      <c r="AT115" s="7"/>
      <c r="AU115" s="14"/>
      <c r="AX115" s="7"/>
      <c r="AY115" s="7"/>
      <c r="AZ115" s="7"/>
      <c r="BB115" s="7"/>
      <c r="BE115" s="7"/>
      <c r="BG115" s="7"/>
      <c r="BN115" s="1"/>
      <c r="BV115" s="9"/>
    </row>
    <row r="116" customFormat="false" ht="11.25" hidden="false" customHeight="false" outlineLevel="0" collapsed="false">
      <c r="A116" s="6" t="n">
        <f aca="false">+A115+365/12</f>
        <v>39125.25</v>
      </c>
      <c r="B116" s="6"/>
      <c r="C116" s="6"/>
      <c r="N116" s="7"/>
      <c r="O116" s="7"/>
      <c r="P116" s="7"/>
      <c r="Q116" s="7"/>
      <c r="R116" s="7"/>
      <c r="S116" s="7"/>
      <c r="Z116" s="7"/>
      <c r="AD116" s="7"/>
      <c r="AE116" s="7"/>
      <c r="AF116" s="7"/>
      <c r="AG116" s="8"/>
      <c r="AH116" s="7"/>
      <c r="AI116" s="7"/>
      <c r="AJ116" s="7"/>
      <c r="AK116" s="7"/>
      <c r="AL116" s="7"/>
      <c r="AM116" s="7"/>
      <c r="AN116" s="7"/>
      <c r="AO116" s="7"/>
      <c r="AP116" s="7"/>
      <c r="AQ116" s="7"/>
      <c r="AR116" s="14"/>
      <c r="AS116" s="7"/>
      <c r="AT116" s="7"/>
      <c r="AU116" s="14"/>
      <c r="AX116" s="7"/>
      <c r="AY116" s="7"/>
      <c r="AZ116" s="7"/>
      <c r="BB116" s="7"/>
      <c r="BE116" s="7"/>
      <c r="BG116" s="7"/>
      <c r="BN116" s="1"/>
      <c r="BV116" s="9"/>
    </row>
    <row r="117" customFormat="false" ht="11.25" hidden="false" customHeight="false" outlineLevel="0" collapsed="false">
      <c r="A117" s="6" t="n">
        <f aca="false">+A116+365/12</f>
        <v>39155.6666666667</v>
      </c>
      <c r="B117" s="6"/>
      <c r="C117" s="6"/>
      <c r="N117" s="7"/>
      <c r="O117" s="7"/>
      <c r="P117" s="7"/>
      <c r="Q117" s="7"/>
      <c r="R117" s="7"/>
      <c r="S117" s="7"/>
      <c r="Z117" s="7"/>
      <c r="AD117" s="7"/>
      <c r="AE117" s="7"/>
      <c r="AF117" s="7"/>
      <c r="AG117" s="8"/>
      <c r="AH117" s="7"/>
      <c r="AI117" s="7"/>
      <c r="AJ117" s="7"/>
      <c r="AK117" s="7"/>
      <c r="AL117" s="7"/>
      <c r="AM117" s="7"/>
      <c r="AN117" s="7"/>
      <c r="AO117" s="7"/>
      <c r="AP117" s="7"/>
      <c r="AQ117" s="7"/>
      <c r="AR117" s="14"/>
      <c r="AS117" s="7"/>
      <c r="AT117" s="7"/>
      <c r="AU117" s="14"/>
      <c r="AX117" s="7"/>
      <c r="AY117" s="7"/>
      <c r="AZ117" s="7"/>
      <c r="BB117" s="7"/>
      <c r="BE117" s="7"/>
      <c r="BG117" s="7"/>
      <c r="BN117" s="1"/>
      <c r="BV117" s="9"/>
    </row>
    <row r="118" customFormat="false" ht="11.25" hidden="false" customHeight="false" outlineLevel="0" collapsed="false">
      <c r="A118" s="6" t="n">
        <f aca="false">+A117+365/12</f>
        <v>39186.0833333333</v>
      </c>
      <c r="B118" s="6"/>
      <c r="C118" s="6"/>
      <c r="N118" s="7"/>
      <c r="O118" s="7"/>
      <c r="P118" s="7"/>
      <c r="Q118" s="7"/>
      <c r="R118" s="7"/>
      <c r="S118" s="7"/>
      <c r="Z118" s="7"/>
      <c r="AD118" s="7"/>
      <c r="AE118" s="7"/>
      <c r="AF118" s="7"/>
      <c r="AG118" s="8"/>
      <c r="AH118" s="7"/>
      <c r="AI118" s="7"/>
      <c r="AJ118" s="7"/>
      <c r="AK118" s="7"/>
      <c r="AL118" s="7"/>
      <c r="AM118" s="7"/>
      <c r="AN118" s="7"/>
      <c r="AO118" s="7"/>
      <c r="AP118" s="7"/>
      <c r="AQ118" s="7"/>
      <c r="AR118" s="14"/>
      <c r="AS118" s="7"/>
      <c r="AT118" s="7"/>
      <c r="AU118" s="14"/>
      <c r="AX118" s="7"/>
      <c r="AY118" s="7"/>
      <c r="AZ118" s="7"/>
      <c r="BB118" s="7"/>
      <c r="BE118" s="7"/>
      <c r="BG118" s="7"/>
      <c r="BN118" s="1"/>
      <c r="BV118" s="9"/>
    </row>
    <row r="119" customFormat="false" ht="11.25" hidden="false" customHeight="false" outlineLevel="0" collapsed="false">
      <c r="A119" s="6" t="n">
        <f aca="false">+A118+365/12</f>
        <v>39216.5</v>
      </c>
      <c r="B119" s="6"/>
      <c r="C119" s="6"/>
      <c r="N119" s="7"/>
      <c r="O119" s="7"/>
      <c r="P119" s="7"/>
      <c r="Q119" s="7"/>
      <c r="R119" s="7"/>
      <c r="S119" s="7"/>
      <c r="Z119" s="7"/>
      <c r="AD119" s="7"/>
      <c r="AE119" s="7"/>
      <c r="AF119" s="7"/>
      <c r="AG119" s="8"/>
      <c r="AH119" s="7"/>
      <c r="AI119" s="7"/>
      <c r="AJ119" s="7"/>
      <c r="AK119" s="7"/>
      <c r="AL119" s="7"/>
      <c r="AM119" s="7"/>
      <c r="AN119" s="7"/>
      <c r="AO119" s="7"/>
      <c r="AP119" s="7"/>
      <c r="AQ119" s="7"/>
      <c r="AR119" s="14"/>
      <c r="AS119" s="7"/>
      <c r="AT119" s="7"/>
      <c r="AU119" s="14"/>
      <c r="AX119" s="7"/>
      <c r="AY119" s="7"/>
      <c r="AZ119" s="7"/>
      <c r="BB119" s="7"/>
      <c r="BE119" s="7"/>
      <c r="BG119" s="7"/>
      <c r="BN119" s="1"/>
      <c r="BV119" s="9"/>
    </row>
    <row r="120" customFormat="false" ht="11.25" hidden="false" customHeight="false" outlineLevel="0" collapsed="false">
      <c r="A120" s="6" t="n">
        <f aca="false">+A119+365/12</f>
        <v>39246.9166666667</v>
      </c>
      <c r="B120" s="6"/>
      <c r="C120" s="6"/>
      <c r="N120" s="7"/>
      <c r="O120" s="7"/>
      <c r="P120" s="7"/>
      <c r="Q120" s="7"/>
      <c r="R120" s="7"/>
      <c r="S120" s="7"/>
      <c r="Z120" s="7"/>
      <c r="AD120" s="7"/>
      <c r="AE120" s="7"/>
      <c r="AF120" s="7"/>
      <c r="AG120" s="8"/>
      <c r="AH120" s="7"/>
      <c r="AI120" s="7"/>
      <c r="AJ120" s="7"/>
      <c r="AK120" s="7"/>
      <c r="AL120" s="7"/>
      <c r="AM120" s="7"/>
      <c r="AN120" s="7"/>
      <c r="AO120" s="7"/>
      <c r="AP120" s="7"/>
      <c r="AQ120" s="7"/>
      <c r="AR120" s="14"/>
      <c r="AS120" s="7"/>
      <c r="AT120" s="7"/>
      <c r="AU120" s="14"/>
      <c r="AX120" s="7"/>
      <c r="AY120" s="7"/>
      <c r="AZ120" s="7"/>
      <c r="BB120" s="7"/>
      <c r="BE120" s="7"/>
      <c r="BG120" s="7"/>
      <c r="BN120" s="1"/>
      <c r="BV120" s="9"/>
    </row>
    <row r="121" customFormat="false" ht="11.25" hidden="false" customHeight="false" outlineLevel="0" collapsed="false">
      <c r="A121" s="6" t="n">
        <f aca="false">+A120+365/12</f>
        <v>39277.3333333333</v>
      </c>
      <c r="B121" s="6"/>
      <c r="C121" s="6"/>
      <c r="N121" s="7"/>
      <c r="O121" s="7"/>
      <c r="P121" s="7"/>
      <c r="Q121" s="7"/>
      <c r="R121" s="7"/>
      <c r="S121" s="7"/>
      <c r="Z121" s="7"/>
      <c r="AD121" s="7"/>
      <c r="AE121" s="7"/>
      <c r="AF121" s="7"/>
      <c r="AG121" s="8"/>
      <c r="AH121" s="7"/>
      <c r="AI121" s="7"/>
      <c r="AJ121" s="7"/>
      <c r="AK121" s="7"/>
      <c r="AL121" s="7"/>
      <c r="AM121" s="7"/>
      <c r="AN121" s="7"/>
      <c r="AO121" s="7"/>
      <c r="AP121" s="7"/>
      <c r="AQ121" s="7"/>
      <c r="AR121" s="14"/>
      <c r="AS121" s="7"/>
      <c r="AT121" s="7"/>
      <c r="AU121" s="14"/>
      <c r="AX121" s="7"/>
      <c r="AY121" s="7"/>
      <c r="AZ121" s="7"/>
      <c r="BB121" s="7"/>
      <c r="BE121" s="7"/>
      <c r="BG121" s="7"/>
      <c r="BN121" s="1"/>
      <c r="BV121" s="9"/>
    </row>
    <row r="122" customFormat="false" ht="11.25" hidden="false" customHeight="false" outlineLevel="0" collapsed="false">
      <c r="A122" s="6" t="n">
        <f aca="false">+A121+365/12</f>
        <v>39307.75</v>
      </c>
      <c r="B122" s="6"/>
      <c r="C122" s="6"/>
      <c r="N122" s="7"/>
      <c r="O122" s="7"/>
      <c r="P122" s="7"/>
      <c r="Q122" s="7"/>
      <c r="R122" s="7"/>
      <c r="S122" s="7"/>
      <c r="Z122" s="7"/>
      <c r="AD122" s="7"/>
      <c r="AE122" s="7"/>
      <c r="AF122" s="7"/>
      <c r="AG122" s="8"/>
      <c r="AH122" s="7"/>
      <c r="AI122" s="7"/>
      <c r="AJ122" s="7"/>
      <c r="AK122" s="7"/>
      <c r="AL122" s="7"/>
      <c r="AM122" s="7"/>
      <c r="AN122" s="7"/>
      <c r="AO122" s="7"/>
      <c r="AP122" s="7"/>
      <c r="AQ122" s="7"/>
      <c r="AR122" s="14"/>
      <c r="AS122" s="7"/>
      <c r="AT122" s="7"/>
      <c r="AU122" s="14"/>
      <c r="AX122" s="7"/>
      <c r="AY122" s="7"/>
      <c r="AZ122" s="7"/>
      <c r="BB122" s="7"/>
      <c r="BE122" s="7"/>
      <c r="BG122" s="7"/>
      <c r="BN122" s="1"/>
      <c r="BV122" s="9"/>
    </row>
    <row r="123" customFormat="false" ht="11.25" hidden="false" customHeight="false" outlineLevel="0" collapsed="false">
      <c r="A123" s="6" t="n">
        <f aca="false">+A122+365/12</f>
        <v>39338.1666666667</v>
      </c>
      <c r="B123" s="6"/>
      <c r="C123" s="6"/>
      <c r="N123" s="7"/>
      <c r="O123" s="7"/>
      <c r="P123" s="7"/>
      <c r="Q123" s="7"/>
      <c r="R123" s="7"/>
      <c r="S123" s="7"/>
      <c r="Z123" s="7"/>
      <c r="AD123" s="7"/>
      <c r="AE123" s="7"/>
      <c r="AF123" s="7"/>
      <c r="AG123" s="8"/>
      <c r="AH123" s="7"/>
      <c r="AI123" s="7"/>
      <c r="AJ123" s="7"/>
      <c r="AK123" s="7"/>
      <c r="AL123" s="7"/>
      <c r="AM123" s="7"/>
      <c r="AN123" s="7"/>
      <c r="AO123" s="7"/>
      <c r="AP123" s="7"/>
      <c r="AQ123" s="7"/>
      <c r="AR123" s="14"/>
      <c r="AS123" s="7"/>
      <c r="AT123" s="7"/>
      <c r="AU123" s="14"/>
      <c r="AX123" s="7"/>
      <c r="AY123" s="7"/>
      <c r="AZ123" s="7"/>
      <c r="BB123" s="7"/>
      <c r="BE123" s="7"/>
      <c r="BG123" s="7"/>
      <c r="BN123" s="1"/>
      <c r="BV123" s="9"/>
    </row>
    <row r="124" customFormat="false" ht="11.25" hidden="false" customHeight="false" outlineLevel="0" collapsed="false">
      <c r="A124" s="6" t="n">
        <f aca="false">+A123+365/12</f>
        <v>39368.5833333333</v>
      </c>
      <c r="B124" s="6"/>
      <c r="C124" s="6"/>
      <c r="N124" s="7"/>
      <c r="O124" s="7"/>
      <c r="P124" s="7"/>
      <c r="Q124" s="7"/>
      <c r="R124" s="7"/>
      <c r="S124" s="7"/>
      <c r="Z124" s="7"/>
      <c r="AD124" s="7"/>
      <c r="AE124" s="7"/>
      <c r="AF124" s="7"/>
      <c r="AG124" s="8"/>
      <c r="AH124" s="7"/>
      <c r="AI124" s="7"/>
      <c r="AJ124" s="7"/>
      <c r="AK124" s="7"/>
      <c r="AL124" s="7"/>
      <c r="AM124" s="7"/>
      <c r="AN124" s="7"/>
      <c r="AO124" s="7"/>
      <c r="AP124" s="7"/>
      <c r="AQ124" s="7"/>
      <c r="AR124" s="14"/>
      <c r="AS124" s="7"/>
      <c r="AT124" s="7"/>
      <c r="AU124" s="14"/>
      <c r="AX124" s="7"/>
      <c r="AY124" s="7"/>
      <c r="AZ124" s="7"/>
      <c r="BB124" s="7"/>
      <c r="BE124" s="7"/>
      <c r="BG124" s="7"/>
      <c r="BN124" s="1"/>
      <c r="BV124" s="9"/>
    </row>
    <row r="125" customFormat="false" ht="11.25" hidden="false" customHeight="false" outlineLevel="0" collapsed="false">
      <c r="A125" s="6" t="n">
        <f aca="false">+A124+365/12</f>
        <v>39399</v>
      </c>
      <c r="B125" s="6"/>
      <c r="C125" s="6"/>
      <c r="N125" s="7"/>
      <c r="O125" s="7"/>
      <c r="P125" s="7"/>
      <c r="Q125" s="7"/>
      <c r="R125" s="7"/>
      <c r="S125" s="7"/>
      <c r="Z125" s="7"/>
      <c r="AD125" s="7"/>
      <c r="AE125" s="7"/>
      <c r="AF125" s="7"/>
      <c r="AG125" s="8"/>
      <c r="AH125" s="7"/>
      <c r="AI125" s="7"/>
      <c r="AJ125" s="7"/>
      <c r="AK125" s="7"/>
      <c r="AL125" s="7"/>
      <c r="AM125" s="7"/>
      <c r="AN125" s="7"/>
      <c r="AO125" s="7"/>
      <c r="AP125" s="7"/>
      <c r="AQ125" s="7"/>
      <c r="AR125" s="14"/>
      <c r="AS125" s="7"/>
      <c r="AT125" s="7"/>
      <c r="AU125" s="14"/>
      <c r="AX125" s="7"/>
      <c r="AY125" s="7"/>
      <c r="AZ125" s="7"/>
      <c r="BB125" s="7"/>
      <c r="BE125" s="7"/>
      <c r="BG125" s="7"/>
      <c r="BN125" s="1"/>
      <c r="BV125" s="9"/>
    </row>
    <row r="126" customFormat="false" ht="11.25" hidden="false" customHeight="false" outlineLevel="0" collapsed="false">
      <c r="A126" s="6" t="n">
        <f aca="false">+A125+365/12</f>
        <v>39429.4166666667</v>
      </c>
      <c r="B126" s="6"/>
      <c r="C126" s="6"/>
      <c r="N126" s="7"/>
      <c r="O126" s="7"/>
      <c r="P126" s="7"/>
      <c r="Q126" s="7"/>
      <c r="R126" s="7"/>
      <c r="S126" s="7"/>
      <c r="Z126" s="7"/>
      <c r="AD126" s="7"/>
      <c r="AE126" s="7"/>
      <c r="AF126" s="7"/>
      <c r="AG126" s="8"/>
      <c r="AH126" s="7"/>
      <c r="AI126" s="7"/>
      <c r="AJ126" s="7"/>
      <c r="AK126" s="7"/>
      <c r="AL126" s="7"/>
      <c r="AM126" s="7"/>
      <c r="AN126" s="7"/>
      <c r="AO126" s="7"/>
      <c r="AP126" s="7"/>
      <c r="AQ126" s="7"/>
      <c r="AR126" s="14"/>
      <c r="AS126" s="7"/>
      <c r="AT126" s="7"/>
      <c r="AU126" s="14"/>
      <c r="AX126" s="7"/>
      <c r="AY126" s="7"/>
      <c r="AZ126" s="7"/>
      <c r="BB126" s="7"/>
      <c r="BE126" s="7"/>
      <c r="BG126" s="7"/>
      <c r="BN126" s="1"/>
      <c r="BV126" s="9"/>
    </row>
    <row r="127" customFormat="false" ht="11.25" hidden="false" customHeight="false" outlineLevel="0" collapsed="false">
      <c r="A127" s="6" t="n">
        <f aca="false">+A126+365/12</f>
        <v>39459.8333333333</v>
      </c>
      <c r="B127" s="6"/>
      <c r="C127" s="6"/>
      <c r="N127" s="7"/>
      <c r="O127" s="7"/>
      <c r="P127" s="7"/>
      <c r="Q127" s="7"/>
      <c r="R127" s="7"/>
      <c r="S127" s="7"/>
      <c r="Z127" s="7"/>
      <c r="AD127" s="7"/>
      <c r="AE127" s="7"/>
      <c r="AF127" s="7"/>
      <c r="AG127" s="8"/>
      <c r="AH127" s="7"/>
      <c r="AI127" s="7"/>
      <c r="AJ127" s="7"/>
      <c r="AK127" s="7"/>
      <c r="AL127" s="7"/>
      <c r="AM127" s="7"/>
      <c r="AN127" s="7"/>
      <c r="AO127" s="7"/>
      <c r="AP127" s="7"/>
      <c r="AQ127" s="7"/>
      <c r="AR127" s="14"/>
      <c r="AS127" s="7"/>
      <c r="AT127" s="7"/>
      <c r="AU127" s="14"/>
      <c r="AX127" s="7"/>
      <c r="AY127" s="7"/>
      <c r="AZ127" s="7"/>
      <c r="BB127" s="7"/>
      <c r="BE127" s="7"/>
      <c r="BG127" s="7"/>
      <c r="BN127" s="1"/>
      <c r="BV127" s="9"/>
    </row>
    <row r="128" customFormat="false" ht="11.25" hidden="false" customHeight="false" outlineLevel="0" collapsed="false">
      <c r="A128" s="6" t="n">
        <f aca="false">+A127+365/12</f>
        <v>39490.25</v>
      </c>
      <c r="B128" s="6"/>
      <c r="C128" s="6"/>
      <c r="N128" s="7"/>
      <c r="O128" s="7"/>
      <c r="P128" s="7"/>
      <c r="Q128" s="7"/>
      <c r="R128" s="7"/>
      <c r="S128" s="7"/>
      <c r="Z128" s="7"/>
      <c r="AD128" s="7"/>
      <c r="AE128" s="7"/>
      <c r="AF128" s="7"/>
      <c r="AG128" s="8"/>
      <c r="AH128" s="7"/>
      <c r="AI128" s="7"/>
      <c r="AJ128" s="7"/>
      <c r="AK128" s="7"/>
      <c r="AL128" s="7"/>
      <c r="AM128" s="7"/>
      <c r="AN128" s="7"/>
      <c r="AO128" s="7"/>
      <c r="AP128" s="7"/>
      <c r="AQ128" s="7"/>
      <c r="AR128" s="14"/>
      <c r="AS128" s="7"/>
      <c r="AT128" s="7"/>
      <c r="AU128" s="14"/>
      <c r="AX128" s="7"/>
      <c r="AY128" s="7"/>
      <c r="AZ128" s="7"/>
      <c r="BB128" s="7"/>
      <c r="BE128" s="7"/>
      <c r="BG128" s="7"/>
      <c r="BN128" s="1"/>
      <c r="BV128" s="9"/>
    </row>
    <row r="129" customFormat="false" ht="11.25" hidden="false" customHeight="false" outlineLevel="0" collapsed="false">
      <c r="A129" s="6" t="n">
        <f aca="false">+A128+365/12</f>
        <v>39520.6666666667</v>
      </c>
      <c r="B129" s="6"/>
      <c r="C129" s="6"/>
      <c r="N129" s="7"/>
      <c r="O129" s="7"/>
      <c r="P129" s="7"/>
      <c r="Q129" s="7"/>
      <c r="R129" s="7"/>
      <c r="S129" s="7"/>
      <c r="Z129" s="7"/>
      <c r="AD129" s="7"/>
      <c r="AE129" s="7"/>
      <c r="AF129" s="7"/>
      <c r="AG129" s="8"/>
      <c r="AH129" s="7"/>
      <c r="AI129" s="7"/>
      <c r="AJ129" s="7"/>
      <c r="AK129" s="7"/>
      <c r="AL129" s="7"/>
      <c r="AM129" s="7"/>
      <c r="AN129" s="7"/>
      <c r="AO129" s="7"/>
      <c r="AP129" s="7"/>
      <c r="AQ129" s="7"/>
      <c r="AR129" s="14"/>
      <c r="AS129" s="7"/>
      <c r="AT129" s="7"/>
      <c r="AU129" s="14"/>
      <c r="AX129" s="7"/>
      <c r="AY129" s="7"/>
      <c r="AZ129" s="7"/>
      <c r="BB129" s="7"/>
      <c r="BE129" s="7"/>
      <c r="BG129" s="7"/>
      <c r="BN129" s="1"/>
      <c r="BV129" s="9"/>
    </row>
    <row r="130" customFormat="false" ht="11.25" hidden="false" customHeight="false" outlineLevel="0" collapsed="false">
      <c r="A130" s="6" t="n">
        <f aca="false">+A129+365/12</f>
        <v>39551.0833333333</v>
      </c>
      <c r="B130" s="6"/>
      <c r="C130" s="6"/>
      <c r="N130" s="7"/>
      <c r="O130" s="7"/>
      <c r="P130" s="7"/>
      <c r="Q130" s="7"/>
      <c r="R130" s="7"/>
      <c r="S130" s="7"/>
      <c r="Z130" s="7"/>
      <c r="AD130" s="7"/>
      <c r="AE130" s="7"/>
      <c r="AF130" s="7"/>
      <c r="AG130" s="8"/>
      <c r="AH130" s="7"/>
      <c r="AI130" s="7"/>
      <c r="AJ130" s="7"/>
      <c r="AK130" s="7"/>
      <c r="AL130" s="7"/>
      <c r="AM130" s="7"/>
      <c r="AN130" s="7"/>
      <c r="AO130" s="7"/>
      <c r="AP130" s="7"/>
      <c r="AQ130" s="7"/>
      <c r="AR130" s="14"/>
      <c r="AS130" s="7"/>
      <c r="AT130" s="7"/>
      <c r="AU130" s="14"/>
      <c r="AX130" s="7"/>
      <c r="AY130" s="7"/>
      <c r="AZ130" s="7"/>
      <c r="BB130" s="7"/>
      <c r="BE130" s="7"/>
      <c r="BG130" s="7"/>
      <c r="BN130" s="1"/>
      <c r="BV130" s="9"/>
    </row>
    <row r="131" customFormat="false" ht="11.25" hidden="false" customHeight="false" outlineLevel="0" collapsed="false">
      <c r="A131" s="6" t="n">
        <f aca="false">+A130+365/12</f>
        <v>39581.5</v>
      </c>
      <c r="B131" s="6"/>
      <c r="C131" s="6"/>
      <c r="N131" s="7"/>
      <c r="O131" s="7"/>
      <c r="P131" s="7"/>
      <c r="Q131" s="7"/>
      <c r="R131" s="7"/>
      <c r="S131" s="7"/>
      <c r="Z131" s="7"/>
      <c r="AD131" s="7"/>
      <c r="AE131" s="7"/>
      <c r="AF131" s="7"/>
      <c r="AG131" s="8"/>
      <c r="AH131" s="7"/>
      <c r="AI131" s="7"/>
      <c r="AJ131" s="7"/>
      <c r="AK131" s="7"/>
      <c r="AL131" s="7"/>
      <c r="AM131" s="7"/>
      <c r="AN131" s="7"/>
      <c r="AO131" s="7"/>
      <c r="AP131" s="7"/>
      <c r="AQ131" s="7"/>
      <c r="AR131" s="14"/>
      <c r="AS131" s="7"/>
      <c r="AT131" s="7"/>
      <c r="AU131" s="14"/>
      <c r="AX131" s="7"/>
      <c r="AY131" s="7"/>
      <c r="AZ131" s="7"/>
      <c r="BB131" s="7"/>
      <c r="BE131" s="7"/>
      <c r="BG131" s="7"/>
      <c r="BN131" s="1"/>
      <c r="BV131" s="9"/>
    </row>
    <row r="132" customFormat="false" ht="11.25" hidden="false" customHeight="false" outlineLevel="0" collapsed="false">
      <c r="A132" s="6" t="n">
        <f aca="false">+A131+365/12</f>
        <v>39611.9166666667</v>
      </c>
      <c r="B132" s="6"/>
      <c r="C132" s="6"/>
      <c r="N132" s="7"/>
      <c r="O132" s="7"/>
      <c r="P132" s="7"/>
      <c r="Q132" s="7"/>
      <c r="R132" s="7"/>
      <c r="S132" s="7"/>
      <c r="Z132" s="7"/>
      <c r="AD132" s="7"/>
      <c r="AE132" s="7"/>
      <c r="AF132" s="7"/>
      <c r="AG132" s="8"/>
      <c r="AH132" s="7"/>
      <c r="AI132" s="7"/>
      <c r="AJ132" s="7"/>
      <c r="AK132" s="7"/>
      <c r="AL132" s="7"/>
      <c r="AM132" s="7"/>
      <c r="AN132" s="7"/>
      <c r="AO132" s="7"/>
      <c r="AP132" s="7"/>
      <c r="AQ132" s="7"/>
      <c r="AR132" s="14"/>
      <c r="AS132" s="7"/>
      <c r="AT132" s="7"/>
      <c r="AU132" s="14"/>
      <c r="AX132" s="7"/>
      <c r="AY132" s="7"/>
      <c r="AZ132" s="7"/>
      <c r="BB132" s="7"/>
      <c r="BE132" s="7"/>
      <c r="BG132" s="7"/>
      <c r="BN132" s="1"/>
      <c r="BV132" s="9"/>
    </row>
    <row r="133" customFormat="false" ht="11.25" hidden="false" customHeight="false" outlineLevel="0" collapsed="false">
      <c r="A133" s="6" t="n">
        <f aca="false">+A132+365/12</f>
        <v>39642.3333333333</v>
      </c>
      <c r="B133" s="6"/>
      <c r="C133" s="6"/>
      <c r="N133" s="7"/>
      <c r="O133" s="7"/>
      <c r="P133" s="7"/>
      <c r="Q133" s="7"/>
      <c r="R133" s="7"/>
      <c r="S133" s="7"/>
      <c r="Z133" s="7"/>
      <c r="AD133" s="7"/>
      <c r="AE133" s="7"/>
      <c r="AF133" s="7"/>
      <c r="AG133" s="8"/>
      <c r="AH133" s="7"/>
      <c r="AI133" s="7"/>
      <c r="AJ133" s="7"/>
      <c r="AK133" s="7"/>
      <c r="AL133" s="7"/>
      <c r="AM133" s="7"/>
      <c r="AN133" s="7"/>
      <c r="AO133" s="7"/>
      <c r="AP133" s="7"/>
      <c r="AQ133" s="7"/>
      <c r="AR133" s="14"/>
      <c r="AS133" s="7"/>
      <c r="AT133" s="7"/>
      <c r="AU133" s="14"/>
      <c r="AX133" s="7"/>
      <c r="AY133" s="7"/>
      <c r="AZ133" s="7"/>
      <c r="BB133" s="7"/>
      <c r="BE133" s="7"/>
      <c r="BG133" s="7"/>
      <c r="BN133" s="1"/>
      <c r="BV133" s="9"/>
    </row>
    <row r="134" customFormat="false" ht="11.25" hidden="false" customHeight="false" outlineLevel="0" collapsed="false">
      <c r="A134" s="6" t="n">
        <f aca="false">+A133+365/12</f>
        <v>39672.75</v>
      </c>
      <c r="B134" s="6"/>
      <c r="C134" s="6"/>
      <c r="N134" s="7"/>
      <c r="O134" s="7"/>
      <c r="P134" s="7"/>
      <c r="Q134" s="7"/>
      <c r="R134" s="7"/>
      <c r="S134" s="7"/>
      <c r="Z134" s="7"/>
      <c r="AD134" s="7"/>
      <c r="AE134" s="7"/>
      <c r="AF134" s="7"/>
      <c r="AG134" s="8"/>
      <c r="AH134" s="7"/>
      <c r="AI134" s="7"/>
      <c r="AJ134" s="7"/>
      <c r="AK134" s="7"/>
      <c r="AL134" s="7"/>
      <c r="AM134" s="7"/>
      <c r="AN134" s="7"/>
      <c r="AO134" s="7"/>
      <c r="AP134" s="7"/>
      <c r="AQ134" s="7"/>
      <c r="AR134" s="14"/>
      <c r="AS134" s="7"/>
      <c r="AT134" s="7"/>
      <c r="AU134" s="14"/>
      <c r="AX134" s="7"/>
      <c r="AY134" s="7"/>
      <c r="AZ134" s="7"/>
      <c r="BB134" s="7"/>
      <c r="BE134" s="7"/>
      <c r="BG134" s="7"/>
      <c r="BN134" s="1"/>
      <c r="BV134" s="9"/>
    </row>
    <row r="135" customFormat="false" ht="11.25" hidden="false" customHeight="false" outlineLevel="0" collapsed="false">
      <c r="A135" s="6" t="n">
        <f aca="false">+A134+365/12</f>
        <v>39703.1666666667</v>
      </c>
      <c r="B135" s="6"/>
      <c r="C135" s="6"/>
      <c r="N135" s="7"/>
      <c r="O135" s="7"/>
      <c r="P135" s="7"/>
      <c r="Q135" s="7"/>
      <c r="R135" s="7"/>
      <c r="S135" s="7"/>
      <c r="Z135" s="7"/>
      <c r="AD135" s="7"/>
      <c r="AE135" s="7"/>
      <c r="AF135" s="7"/>
      <c r="AG135" s="8"/>
      <c r="AH135" s="7"/>
      <c r="AI135" s="7"/>
      <c r="AJ135" s="7"/>
      <c r="AK135" s="7"/>
      <c r="AL135" s="7"/>
      <c r="AM135" s="7"/>
      <c r="AN135" s="7"/>
      <c r="AO135" s="7"/>
      <c r="AP135" s="7"/>
      <c r="AQ135" s="7"/>
      <c r="AR135" s="14"/>
      <c r="AS135" s="7"/>
      <c r="AT135" s="7"/>
      <c r="AU135" s="14"/>
      <c r="AX135" s="7"/>
      <c r="AY135" s="7"/>
      <c r="AZ135" s="7"/>
      <c r="BB135" s="7"/>
      <c r="BE135" s="7"/>
      <c r="BG135" s="7"/>
      <c r="BN135" s="1"/>
      <c r="BV135" s="9"/>
    </row>
    <row r="136" customFormat="false" ht="11.25" hidden="false" customHeight="false" outlineLevel="0" collapsed="false">
      <c r="A136" s="6" t="n">
        <f aca="false">+A135+365/12</f>
        <v>39733.5833333333</v>
      </c>
      <c r="B136" s="6"/>
      <c r="C136" s="6"/>
      <c r="N136" s="7"/>
      <c r="O136" s="7"/>
      <c r="P136" s="7"/>
      <c r="Q136" s="7"/>
      <c r="R136" s="7"/>
      <c r="S136" s="7"/>
      <c r="Z136" s="7"/>
      <c r="AD136" s="7"/>
      <c r="AE136" s="7"/>
      <c r="AF136" s="7"/>
      <c r="AG136" s="8"/>
      <c r="AH136" s="7"/>
      <c r="AI136" s="7"/>
      <c r="AJ136" s="7"/>
      <c r="AK136" s="7"/>
      <c r="AL136" s="7"/>
      <c r="AM136" s="7"/>
      <c r="AN136" s="7"/>
      <c r="AO136" s="7"/>
      <c r="AP136" s="7"/>
      <c r="AQ136" s="7"/>
      <c r="AR136" s="14"/>
      <c r="AS136" s="7"/>
      <c r="AT136" s="7"/>
      <c r="AU136" s="14"/>
      <c r="AX136" s="7"/>
      <c r="AY136" s="7"/>
      <c r="AZ136" s="7"/>
      <c r="BB136" s="7"/>
      <c r="BE136" s="7"/>
      <c r="BG136" s="7"/>
      <c r="BN136" s="1"/>
      <c r="BV136" s="9"/>
    </row>
    <row r="137" customFormat="false" ht="11.25" hidden="false" customHeight="false" outlineLevel="0" collapsed="false">
      <c r="A137" s="6" t="n">
        <f aca="false">+A136+365/12</f>
        <v>39764</v>
      </c>
      <c r="B137" s="6"/>
      <c r="C137" s="6"/>
      <c r="N137" s="7"/>
      <c r="O137" s="7"/>
      <c r="P137" s="7"/>
      <c r="Q137" s="7"/>
      <c r="R137" s="7"/>
      <c r="S137" s="7"/>
      <c r="Z137" s="7"/>
      <c r="AD137" s="7"/>
      <c r="AE137" s="7"/>
      <c r="AF137" s="7"/>
      <c r="AG137" s="8"/>
      <c r="AH137" s="7"/>
      <c r="AI137" s="7"/>
      <c r="AJ137" s="7"/>
      <c r="AK137" s="7"/>
      <c r="AL137" s="7"/>
      <c r="AM137" s="7"/>
      <c r="AN137" s="7"/>
      <c r="AO137" s="7"/>
      <c r="AP137" s="7"/>
      <c r="AQ137" s="7"/>
      <c r="AR137" s="14"/>
      <c r="AS137" s="7"/>
      <c r="AT137" s="7"/>
      <c r="AU137" s="14"/>
      <c r="AX137" s="7"/>
      <c r="AY137" s="7"/>
      <c r="AZ137" s="7"/>
      <c r="BB137" s="7"/>
      <c r="BE137" s="7"/>
      <c r="BG137" s="7"/>
      <c r="BN137" s="1"/>
      <c r="BV137" s="9"/>
    </row>
    <row r="138" customFormat="false" ht="11.25" hidden="false" customHeight="false" outlineLevel="0" collapsed="false">
      <c r="A138" s="6" t="n">
        <f aca="false">+A137+365/12</f>
        <v>39794.4166666667</v>
      </c>
      <c r="B138" s="6"/>
      <c r="C138" s="6"/>
      <c r="N138" s="7"/>
      <c r="O138" s="7"/>
      <c r="P138" s="7"/>
      <c r="Q138" s="7"/>
      <c r="R138" s="7"/>
      <c r="S138" s="7"/>
      <c r="Z138" s="7"/>
      <c r="AD138" s="7"/>
      <c r="AE138" s="7"/>
      <c r="AF138" s="7"/>
      <c r="AG138" s="8"/>
      <c r="AH138" s="7"/>
      <c r="AI138" s="7"/>
      <c r="AJ138" s="7"/>
      <c r="AK138" s="7"/>
      <c r="AL138" s="7"/>
      <c r="AM138" s="7"/>
      <c r="AN138" s="7"/>
      <c r="AO138" s="7"/>
      <c r="AP138" s="7"/>
      <c r="AQ138" s="7"/>
      <c r="AR138" s="14"/>
      <c r="AS138" s="7"/>
      <c r="AT138" s="7"/>
      <c r="AU138" s="14"/>
      <c r="AX138" s="7"/>
      <c r="AY138" s="7"/>
      <c r="AZ138" s="7"/>
      <c r="BB138" s="7"/>
      <c r="BE138" s="7"/>
      <c r="BG138" s="7"/>
      <c r="BN138" s="1"/>
      <c r="BV138" s="9"/>
    </row>
    <row r="139" customFormat="false" ht="11.25" hidden="false" customHeight="false" outlineLevel="0" collapsed="false">
      <c r="A139" s="6" t="n">
        <f aca="false">+A138+365/12</f>
        <v>39824.8333333333</v>
      </c>
      <c r="B139" s="6"/>
      <c r="C139" s="6"/>
      <c r="N139" s="7"/>
      <c r="O139" s="7"/>
      <c r="P139" s="7"/>
      <c r="Q139" s="7"/>
      <c r="R139" s="7"/>
      <c r="S139" s="7"/>
      <c r="Z139" s="7"/>
      <c r="AD139" s="7"/>
      <c r="AE139" s="7"/>
      <c r="AF139" s="7"/>
      <c r="AG139" s="8"/>
      <c r="AH139" s="7"/>
      <c r="AI139" s="7"/>
      <c r="AJ139" s="7"/>
      <c r="AK139" s="7"/>
      <c r="AL139" s="7"/>
      <c r="AM139" s="7"/>
      <c r="AN139" s="7"/>
      <c r="AO139" s="7"/>
      <c r="AP139" s="7"/>
      <c r="AQ139" s="7"/>
      <c r="AR139" s="14"/>
      <c r="AS139" s="7"/>
      <c r="AT139" s="7"/>
      <c r="AU139" s="14"/>
      <c r="AX139" s="7"/>
      <c r="AY139" s="7"/>
      <c r="AZ139" s="7"/>
      <c r="BB139" s="7"/>
      <c r="BE139" s="7"/>
      <c r="BG139" s="7"/>
      <c r="BN139" s="1"/>
      <c r="BV139" s="9"/>
    </row>
    <row r="140" customFormat="false" ht="11.25" hidden="false" customHeight="false" outlineLevel="0" collapsed="false">
      <c r="A140" s="6" t="n">
        <f aca="false">+A139+365/12</f>
        <v>39855.25</v>
      </c>
      <c r="B140" s="6"/>
      <c r="C140" s="6"/>
      <c r="N140" s="7"/>
      <c r="O140" s="7"/>
      <c r="P140" s="7"/>
      <c r="Q140" s="7"/>
      <c r="R140" s="7"/>
      <c r="S140" s="7"/>
      <c r="Z140" s="7"/>
      <c r="AD140" s="7"/>
      <c r="AE140" s="7"/>
      <c r="AF140" s="7"/>
      <c r="AG140" s="8"/>
      <c r="AH140" s="7"/>
      <c r="AI140" s="7"/>
      <c r="AJ140" s="7"/>
      <c r="AK140" s="7"/>
      <c r="AL140" s="7"/>
      <c r="AM140" s="7"/>
      <c r="AN140" s="7"/>
      <c r="AO140" s="7"/>
      <c r="AP140" s="7"/>
      <c r="AQ140" s="7"/>
      <c r="AR140" s="14"/>
      <c r="AS140" s="7"/>
      <c r="AT140" s="7"/>
      <c r="AU140" s="14"/>
      <c r="AX140" s="7"/>
      <c r="AY140" s="7"/>
      <c r="AZ140" s="7"/>
      <c r="BB140" s="7"/>
      <c r="BE140" s="7"/>
      <c r="BG140" s="7"/>
      <c r="BN140" s="1"/>
      <c r="BV140" s="9"/>
    </row>
    <row r="141" customFormat="false" ht="11.25" hidden="false" customHeight="false" outlineLevel="0" collapsed="false">
      <c r="A141" s="6" t="n">
        <f aca="false">+A140+365/12</f>
        <v>39885.6666666667</v>
      </c>
      <c r="B141" s="6"/>
      <c r="C141" s="6"/>
      <c r="N141" s="7"/>
      <c r="O141" s="7"/>
      <c r="P141" s="7"/>
      <c r="Q141" s="7"/>
      <c r="R141" s="7"/>
      <c r="S141" s="7"/>
      <c r="Z141" s="7"/>
      <c r="AD141" s="7"/>
      <c r="AE141" s="7"/>
      <c r="AF141" s="7"/>
      <c r="AG141" s="8"/>
      <c r="AH141" s="7"/>
      <c r="AI141" s="7"/>
      <c r="AJ141" s="7"/>
      <c r="AK141" s="7"/>
      <c r="AL141" s="7"/>
      <c r="AM141" s="7"/>
      <c r="AN141" s="7"/>
      <c r="AO141" s="7"/>
      <c r="AP141" s="7"/>
      <c r="AQ141" s="7"/>
      <c r="AR141" s="14"/>
      <c r="AS141" s="7"/>
      <c r="AT141" s="7"/>
      <c r="AU141" s="14"/>
      <c r="AX141" s="7"/>
      <c r="AY141" s="7"/>
      <c r="AZ141" s="7"/>
      <c r="BB141" s="7"/>
      <c r="BE141" s="7"/>
      <c r="BG141" s="7"/>
      <c r="BN141" s="1"/>
      <c r="BV141" s="9"/>
    </row>
    <row r="142" customFormat="false" ht="11.25" hidden="false" customHeight="false" outlineLevel="0" collapsed="false">
      <c r="A142" s="6" t="n">
        <f aca="false">+A141+365/12</f>
        <v>39916.0833333333</v>
      </c>
      <c r="B142" s="6"/>
      <c r="C142" s="6"/>
      <c r="N142" s="7"/>
      <c r="O142" s="7"/>
      <c r="P142" s="7"/>
      <c r="Q142" s="7"/>
      <c r="R142" s="7"/>
      <c r="S142" s="7"/>
      <c r="Z142" s="7"/>
      <c r="AD142" s="7"/>
      <c r="AE142" s="7"/>
      <c r="AF142" s="7"/>
      <c r="AG142" s="8"/>
      <c r="AH142" s="7"/>
      <c r="AI142" s="7"/>
      <c r="AJ142" s="7"/>
      <c r="AK142" s="7"/>
      <c r="AL142" s="7"/>
      <c r="AM142" s="7"/>
      <c r="AN142" s="7"/>
      <c r="AO142" s="7"/>
      <c r="AP142" s="7"/>
      <c r="AQ142" s="7"/>
      <c r="AR142" s="14"/>
      <c r="AS142" s="7"/>
      <c r="AT142" s="7"/>
      <c r="AU142" s="14"/>
      <c r="AX142" s="7"/>
      <c r="AY142" s="7"/>
      <c r="AZ142" s="7"/>
      <c r="BB142" s="7"/>
      <c r="BE142" s="7"/>
      <c r="BG142" s="7"/>
      <c r="BN142" s="1"/>
      <c r="BV142" s="9"/>
    </row>
    <row r="143" customFormat="false" ht="11.25" hidden="false" customHeight="false" outlineLevel="0" collapsed="false">
      <c r="A143" s="6" t="n">
        <f aca="false">+A142+365/12</f>
        <v>39946.5</v>
      </c>
      <c r="B143" s="6"/>
      <c r="C143" s="6"/>
      <c r="N143" s="7"/>
      <c r="O143" s="7"/>
      <c r="P143" s="7"/>
      <c r="Q143" s="7"/>
      <c r="R143" s="7"/>
      <c r="S143" s="7"/>
      <c r="Z143" s="7"/>
      <c r="AD143" s="7"/>
      <c r="AE143" s="7"/>
      <c r="AF143" s="7"/>
      <c r="AG143" s="8"/>
      <c r="AH143" s="7"/>
      <c r="AI143" s="7"/>
      <c r="AJ143" s="7"/>
      <c r="AK143" s="7"/>
      <c r="AL143" s="7"/>
      <c r="AM143" s="7"/>
      <c r="AN143" s="7"/>
      <c r="AO143" s="7"/>
      <c r="AP143" s="7"/>
      <c r="AQ143" s="7"/>
      <c r="AR143" s="14"/>
      <c r="AS143" s="7"/>
      <c r="AT143" s="7"/>
      <c r="AU143" s="14"/>
      <c r="AX143" s="7"/>
      <c r="AY143" s="7"/>
      <c r="AZ143" s="7"/>
      <c r="BB143" s="7"/>
      <c r="BE143" s="7"/>
      <c r="BG143" s="7"/>
      <c r="BN143" s="1"/>
      <c r="BV143" s="9"/>
    </row>
    <row r="144" customFormat="false" ht="11.25" hidden="false" customHeight="false" outlineLevel="0" collapsed="false">
      <c r="A144" s="6" t="n">
        <f aca="false">+A143+365/12</f>
        <v>39976.9166666667</v>
      </c>
      <c r="B144" s="6"/>
      <c r="C144" s="6"/>
      <c r="N144" s="7"/>
      <c r="O144" s="7"/>
      <c r="P144" s="7"/>
      <c r="Q144" s="7"/>
      <c r="R144" s="7"/>
      <c r="S144" s="7"/>
      <c r="Z144" s="7"/>
      <c r="AD144" s="7"/>
      <c r="AE144" s="7"/>
      <c r="AF144" s="7"/>
      <c r="AG144" s="8"/>
      <c r="AH144" s="7"/>
      <c r="AI144" s="7"/>
      <c r="AJ144" s="7"/>
      <c r="AK144" s="7"/>
      <c r="AL144" s="7"/>
      <c r="AM144" s="7"/>
      <c r="AN144" s="7"/>
      <c r="AO144" s="7"/>
      <c r="AP144" s="7"/>
      <c r="AQ144" s="7"/>
      <c r="AR144" s="14"/>
      <c r="AS144" s="7"/>
      <c r="AT144" s="7"/>
      <c r="AU144" s="14"/>
      <c r="AX144" s="7"/>
      <c r="AY144" s="7"/>
      <c r="AZ144" s="7"/>
      <c r="BB144" s="7"/>
      <c r="BE144" s="7"/>
      <c r="BG144" s="7"/>
      <c r="BN144" s="1"/>
      <c r="BV144" s="9"/>
    </row>
    <row r="145" customFormat="false" ht="11.25" hidden="false" customHeight="false" outlineLevel="0" collapsed="false">
      <c r="A145" s="6" t="n">
        <f aca="false">+A144+365/12</f>
        <v>40007.3333333333</v>
      </c>
      <c r="B145" s="6"/>
      <c r="C145" s="6"/>
      <c r="N145" s="7"/>
      <c r="O145" s="7"/>
      <c r="P145" s="7"/>
      <c r="Q145" s="7"/>
      <c r="R145" s="7"/>
      <c r="S145" s="7"/>
      <c r="Z145" s="7"/>
      <c r="AD145" s="7"/>
      <c r="AE145" s="7"/>
      <c r="AF145" s="7"/>
      <c r="AG145" s="8"/>
      <c r="AH145" s="7"/>
      <c r="AI145" s="7"/>
      <c r="AJ145" s="7"/>
      <c r="AK145" s="7"/>
      <c r="AL145" s="7"/>
      <c r="AM145" s="7"/>
      <c r="AN145" s="7"/>
      <c r="AO145" s="7"/>
      <c r="AP145" s="7"/>
      <c r="AQ145" s="7"/>
      <c r="AR145" s="14"/>
      <c r="AS145" s="7"/>
      <c r="AT145" s="7"/>
      <c r="AU145" s="14"/>
      <c r="AX145" s="7"/>
      <c r="AY145" s="7"/>
      <c r="AZ145" s="7"/>
      <c r="BB145" s="7"/>
      <c r="BE145" s="7"/>
      <c r="BG145" s="7"/>
      <c r="BN145" s="1"/>
      <c r="BV145" s="9"/>
    </row>
    <row r="146" customFormat="false" ht="11.25" hidden="false" customHeight="false" outlineLevel="0" collapsed="false">
      <c r="A146" s="6" t="n">
        <f aca="false">+A145+365/12</f>
        <v>40037.75</v>
      </c>
      <c r="B146" s="6"/>
      <c r="C146" s="6"/>
      <c r="N146" s="7"/>
      <c r="O146" s="7"/>
      <c r="P146" s="7"/>
      <c r="Q146" s="7"/>
      <c r="R146" s="7"/>
      <c r="S146" s="7"/>
      <c r="Z146" s="7"/>
      <c r="AD146" s="7"/>
      <c r="AE146" s="7"/>
      <c r="AF146" s="7"/>
      <c r="AG146" s="8"/>
      <c r="AH146" s="7"/>
      <c r="AI146" s="7"/>
      <c r="AJ146" s="7"/>
      <c r="AK146" s="7"/>
      <c r="AL146" s="7"/>
      <c r="AM146" s="7"/>
      <c r="AN146" s="7"/>
      <c r="AO146" s="7"/>
      <c r="AP146" s="7"/>
      <c r="AQ146" s="7"/>
      <c r="AR146" s="14"/>
      <c r="AS146" s="7"/>
      <c r="AT146" s="7"/>
      <c r="AU146" s="14"/>
      <c r="AX146" s="7"/>
      <c r="AY146" s="7"/>
      <c r="AZ146" s="7"/>
      <c r="BB146" s="7"/>
      <c r="BE146" s="7"/>
      <c r="BG146" s="7"/>
      <c r="BN146" s="1"/>
      <c r="BV146" s="9"/>
    </row>
    <row r="147" customFormat="false" ht="11.25" hidden="false" customHeight="false" outlineLevel="0" collapsed="false">
      <c r="A147" s="6" t="n">
        <f aca="false">+A146+365/12</f>
        <v>40068.1666666667</v>
      </c>
      <c r="B147" s="6"/>
      <c r="C147" s="6"/>
      <c r="N147" s="7"/>
      <c r="O147" s="7"/>
      <c r="P147" s="7"/>
      <c r="Q147" s="7"/>
      <c r="R147" s="7"/>
      <c r="S147" s="7"/>
      <c r="Z147" s="7"/>
      <c r="AD147" s="7"/>
      <c r="AE147" s="7"/>
      <c r="AF147" s="7"/>
      <c r="AG147" s="8"/>
      <c r="AH147" s="7"/>
      <c r="AI147" s="7"/>
      <c r="AJ147" s="7"/>
      <c r="AK147" s="7"/>
      <c r="AL147" s="7"/>
      <c r="AM147" s="7"/>
      <c r="AN147" s="7"/>
      <c r="AO147" s="7"/>
      <c r="AP147" s="7"/>
      <c r="AQ147" s="7"/>
      <c r="AR147" s="14"/>
      <c r="AS147" s="7"/>
      <c r="AT147" s="7"/>
      <c r="AU147" s="14"/>
      <c r="AX147" s="7"/>
      <c r="AY147" s="7"/>
      <c r="AZ147" s="7"/>
      <c r="BB147" s="7"/>
      <c r="BE147" s="7"/>
      <c r="BG147" s="7"/>
      <c r="BN147" s="1"/>
      <c r="BV147" s="9"/>
    </row>
    <row r="148" customFormat="false" ht="11.25" hidden="false" customHeight="false" outlineLevel="0" collapsed="false">
      <c r="A148" s="6" t="n">
        <f aca="false">+A147+365/12</f>
        <v>40098.5833333333</v>
      </c>
      <c r="B148" s="6"/>
      <c r="C148" s="6"/>
      <c r="N148" s="7"/>
      <c r="O148" s="7"/>
      <c r="P148" s="7"/>
      <c r="Q148" s="7"/>
      <c r="R148" s="7"/>
      <c r="S148" s="7"/>
      <c r="Z148" s="7"/>
      <c r="AD148" s="7"/>
      <c r="AE148" s="7"/>
      <c r="AF148" s="7"/>
      <c r="AG148" s="8"/>
      <c r="AH148" s="7"/>
      <c r="AI148" s="7"/>
      <c r="AJ148" s="7"/>
      <c r="AK148" s="7"/>
      <c r="AL148" s="7"/>
      <c r="AM148" s="7"/>
      <c r="AN148" s="7"/>
      <c r="AO148" s="7"/>
      <c r="AP148" s="7"/>
      <c r="AQ148" s="7"/>
      <c r="AR148" s="14"/>
      <c r="AS148" s="7"/>
      <c r="AT148" s="7"/>
      <c r="AU148" s="14"/>
      <c r="AX148" s="7"/>
      <c r="AY148" s="7"/>
      <c r="AZ148" s="7"/>
      <c r="BB148" s="7"/>
      <c r="BE148" s="7"/>
      <c r="BG148" s="7"/>
      <c r="BN148" s="1"/>
      <c r="BV148" s="9"/>
    </row>
    <row r="149" customFormat="false" ht="11.25" hidden="false" customHeight="false" outlineLevel="0" collapsed="false">
      <c r="A149" s="6" t="n">
        <f aca="false">+A148+365/12</f>
        <v>40129</v>
      </c>
      <c r="B149" s="6"/>
      <c r="C149" s="6"/>
      <c r="N149" s="7"/>
      <c r="O149" s="7"/>
      <c r="P149" s="7"/>
      <c r="Q149" s="7"/>
      <c r="R149" s="7"/>
      <c r="S149" s="7"/>
      <c r="Z149" s="7"/>
      <c r="AD149" s="7"/>
      <c r="AE149" s="7"/>
      <c r="AF149" s="7"/>
      <c r="AG149" s="8"/>
      <c r="AH149" s="7"/>
      <c r="AI149" s="7"/>
      <c r="AJ149" s="7"/>
      <c r="AK149" s="7"/>
      <c r="AL149" s="7"/>
      <c r="AM149" s="7"/>
      <c r="AN149" s="7"/>
      <c r="AO149" s="7"/>
      <c r="AP149" s="7"/>
      <c r="AQ149" s="7"/>
      <c r="AR149" s="14"/>
      <c r="AS149" s="7"/>
      <c r="AT149" s="7"/>
      <c r="AU149" s="14"/>
      <c r="AX149" s="7"/>
      <c r="AY149" s="7"/>
      <c r="AZ149" s="7"/>
      <c r="BB149" s="7"/>
      <c r="BE149" s="7"/>
      <c r="BG149" s="7"/>
      <c r="BN149" s="1"/>
      <c r="BV149" s="9"/>
    </row>
    <row r="150" customFormat="false" ht="11.25" hidden="false" customHeight="false" outlineLevel="0" collapsed="false">
      <c r="A150" s="6" t="n">
        <f aca="false">+A149+365/12</f>
        <v>40159.4166666667</v>
      </c>
      <c r="B150" s="6"/>
      <c r="C150" s="6"/>
      <c r="N150" s="7"/>
      <c r="O150" s="7"/>
      <c r="P150" s="7"/>
      <c r="Q150" s="7"/>
      <c r="R150" s="7"/>
      <c r="S150" s="7"/>
      <c r="Z150" s="7"/>
      <c r="AD150" s="7"/>
      <c r="AE150" s="7"/>
      <c r="AF150" s="7"/>
      <c r="AG150" s="8"/>
      <c r="AH150" s="7"/>
      <c r="AI150" s="7"/>
      <c r="AJ150" s="7"/>
      <c r="AK150" s="7"/>
      <c r="AL150" s="7"/>
      <c r="AM150" s="7"/>
      <c r="AN150" s="7"/>
      <c r="AO150" s="7"/>
      <c r="AP150" s="7"/>
      <c r="AQ150" s="7"/>
      <c r="AR150" s="14"/>
      <c r="AS150" s="7"/>
      <c r="AT150" s="7"/>
      <c r="AU150" s="14"/>
      <c r="AX150" s="7"/>
      <c r="AY150" s="7"/>
      <c r="AZ150" s="7"/>
      <c r="BB150" s="7"/>
      <c r="BE150" s="7"/>
      <c r="BG150" s="7"/>
      <c r="BN150" s="1"/>
      <c r="BV150" s="9"/>
    </row>
    <row r="151" customFormat="false" ht="11.25" hidden="false" customHeight="false" outlineLevel="0" collapsed="false">
      <c r="A151" s="6" t="n">
        <f aca="false">+A150+365/12</f>
        <v>40189.8333333333</v>
      </c>
      <c r="B151" s="6"/>
      <c r="C151" s="6"/>
      <c r="N151" s="7"/>
      <c r="O151" s="7"/>
      <c r="P151" s="7"/>
      <c r="Q151" s="7"/>
      <c r="R151" s="7"/>
      <c r="S151" s="7"/>
      <c r="Z151" s="7"/>
      <c r="AD151" s="7"/>
      <c r="AE151" s="7"/>
      <c r="AF151" s="7"/>
      <c r="AG151" s="8"/>
      <c r="AH151" s="7"/>
      <c r="AI151" s="7"/>
      <c r="AJ151" s="7"/>
      <c r="AK151" s="7"/>
      <c r="AL151" s="7"/>
      <c r="AM151" s="7"/>
      <c r="AN151" s="7"/>
      <c r="AO151" s="7"/>
      <c r="AP151" s="7"/>
      <c r="AQ151" s="7"/>
      <c r="AR151" s="14"/>
      <c r="AS151" s="7"/>
      <c r="AT151" s="7"/>
      <c r="AU151" s="14"/>
      <c r="AX151" s="7"/>
      <c r="AY151" s="7"/>
      <c r="AZ151" s="7"/>
      <c r="BB151" s="7"/>
      <c r="BE151" s="7"/>
      <c r="BG151" s="7"/>
      <c r="BN151" s="1"/>
      <c r="BV151" s="9"/>
    </row>
    <row r="152" customFormat="false" ht="11.25" hidden="false" customHeight="false" outlineLevel="0" collapsed="false">
      <c r="A152" s="6" t="n">
        <f aca="false">+A151+365/12</f>
        <v>40220.25</v>
      </c>
      <c r="B152" s="6"/>
      <c r="C152" s="6"/>
      <c r="N152" s="7"/>
      <c r="O152" s="7"/>
      <c r="P152" s="7"/>
      <c r="Q152" s="7"/>
      <c r="R152" s="7"/>
      <c r="S152" s="7"/>
      <c r="Z152" s="7"/>
      <c r="AD152" s="7"/>
      <c r="AE152" s="7"/>
      <c r="AF152" s="7"/>
      <c r="AG152" s="8"/>
      <c r="AH152" s="7"/>
      <c r="AI152" s="7"/>
      <c r="AJ152" s="7"/>
      <c r="AK152" s="7"/>
      <c r="AL152" s="7"/>
      <c r="AM152" s="7"/>
      <c r="AN152" s="7"/>
      <c r="AO152" s="7"/>
      <c r="AP152" s="7"/>
      <c r="AQ152" s="7"/>
      <c r="AR152" s="14"/>
      <c r="AS152" s="7"/>
      <c r="AT152" s="7"/>
      <c r="AU152" s="14"/>
      <c r="AX152" s="7"/>
      <c r="AY152" s="7"/>
      <c r="AZ152" s="7"/>
      <c r="BB152" s="7"/>
      <c r="BE152" s="7"/>
      <c r="BG152" s="7"/>
      <c r="BN152" s="1"/>
      <c r="BV152" s="9"/>
    </row>
    <row r="153" customFormat="false" ht="11.25" hidden="false" customHeight="false" outlineLevel="0" collapsed="false">
      <c r="A153" s="6" t="n">
        <f aca="false">+A152+365/12</f>
        <v>40250.6666666667</v>
      </c>
      <c r="B153" s="6"/>
      <c r="C153" s="6"/>
      <c r="N153" s="7"/>
      <c r="O153" s="7"/>
      <c r="P153" s="7"/>
      <c r="Q153" s="7"/>
      <c r="R153" s="7"/>
      <c r="S153" s="7"/>
      <c r="Z153" s="7"/>
      <c r="AD153" s="7"/>
      <c r="AE153" s="7"/>
      <c r="AF153" s="7"/>
      <c r="AG153" s="8"/>
      <c r="AH153" s="7"/>
      <c r="AI153" s="7"/>
      <c r="AJ153" s="7"/>
      <c r="AK153" s="7"/>
      <c r="AL153" s="7"/>
      <c r="AM153" s="7"/>
      <c r="AN153" s="7"/>
      <c r="AO153" s="7"/>
      <c r="AP153" s="7"/>
      <c r="AQ153" s="7"/>
      <c r="AR153" s="14"/>
      <c r="AS153" s="7"/>
      <c r="AT153" s="7"/>
      <c r="AU153" s="14"/>
      <c r="AX153" s="7"/>
      <c r="AY153" s="7"/>
      <c r="AZ153" s="7"/>
      <c r="BB153" s="7"/>
      <c r="BE153" s="7"/>
      <c r="BG153" s="7"/>
      <c r="BN153" s="1"/>
      <c r="BV153" s="9"/>
    </row>
    <row r="154" customFormat="false" ht="11.25" hidden="false" customHeight="false" outlineLevel="0" collapsed="false">
      <c r="A154" s="6" t="n">
        <f aca="false">+A153+365/12</f>
        <v>40281.0833333333</v>
      </c>
      <c r="B154" s="6"/>
      <c r="C154" s="6"/>
      <c r="N154" s="7"/>
      <c r="O154" s="7"/>
      <c r="P154" s="7"/>
      <c r="Q154" s="7"/>
      <c r="R154" s="7"/>
      <c r="S154" s="7"/>
      <c r="Z154" s="7"/>
      <c r="AD154" s="7"/>
      <c r="AE154" s="7"/>
      <c r="AF154" s="7"/>
      <c r="AG154" s="8"/>
      <c r="AH154" s="7"/>
      <c r="AI154" s="7"/>
      <c r="AJ154" s="7"/>
      <c r="AK154" s="7"/>
      <c r="AL154" s="7"/>
      <c r="AM154" s="7"/>
      <c r="AN154" s="7"/>
      <c r="AO154" s="7"/>
      <c r="AP154" s="7"/>
      <c r="AQ154" s="7"/>
      <c r="AR154" s="14"/>
      <c r="AS154" s="7"/>
      <c r="AT154" s="7"/>
      <c r="AU154" s="14"/>
      <c r="BN154" s="1"/>
      <c r="BV154" s="9"/>
    </row>
    <row r="155" customFormat="false" ht="11.25" hidden="false" customHeight="false" outlineLevel="0" collapsed="false">
      <c r="A155" s="6" t="n">
        <f aca="false">+A154+365/12</f>
        <v>40311.5</v>
      </c>
      <c r="B155" s="6"/>
      <c r="C155" s="6"/>
      <c r="N155" s="7"/>
      <c r="O155" s="7"/>
      <c r="P155" s="7"/>
      <c r="Q155" s="7"/>
      <c r="R155" s="7"/>
      <c r="S155" s="7"/>
      <c r="Z155" s="7"/>
      <c r="AD155" s="7"/>
      <c r="AE155" s="7"/>
      <c r="AF155" s="7"/>
      <c r="AG155" s="8"/>
      <c r="AH155" s="7"/>
      <c r="AI155" s="7"/>
      <c r="AJ155" s="7"/>
      <c r="AK155" s="7"/>
      <c r="AL155" s="7"/>
      <c r="AM155" s="7"/>
      <c r="AN155" s="7"/>
      <c r="AO155" s="7"/>
      <c r="AP155" s="7"/>
      <c r="AQ155" s="7"/>
      <c r="AR155" s="14"/>
      <c r="AS155" s="7"/>
      <c r="AT155" s="7"/>
      <c r="AU155" s="14"/>
      <c r="BN155" s="1"/>
      <c r="BV155" s="9"/>
    </row>
    <row r="156" customFormat="false" ht="11.25" hidden="false" customHeight="false" outlineLevel="0" collapsed="false">
      <c r="A156" s="6" t="n">
        <f aca="false">+A155+365/12</f>
        <v>40341.9166666667</v>
      </c>
      <c r="B156" s="6"/>
      <c r="C156" s="6"/>
      <c r="N156" s="7"/>
      <c r="O156" s="7"/>
      <c r="P156" s="7"/>
      <c r="Q156" s="7"/>
      <c r="R156" s="7"/>
      <c r="S156" s="7"/>
      <c r="Z156" s="7"/>
      <c r="AD156" s="7"/>
      <c r="AE156" s="7"/>
      <c r="AF156" s="7"/>
      <c r="AG156" s="8"/>
      <c r="AH156" s="7"/>
      <c r="AI156" s="7"/>
      <c r="AJ156" s="7"/>
      <c r="AK156" s="7"/>
      <c r="AL156" s="7"/>
      <c r="AM156" s="7"/>
      <c r="AN156" s="7"/>
      <c r="AO156" s="7"/>
      <c r="AP156" s="7"/>
      <c r="AQ156" s="7"/>
      <c r="AR156" s="14"/>
      <c r="AS156" s="7"/>
      <c r="AT156" s="7"/>
      <c r="AU156" s="14"/>
      <c r="BN156" s="1"/>
      <c r="BV156" s="9"/>
    </row>
    <row r="157" customFormat="false" ht="11.25" hidden="false" customHeight="false" outlineLevel="0" collapsed="false">
      <c r="A157" s="6" t="n">
        <f aca="false">+A156+365/12</f>
        <v>40372.3333333333</v>
      </c>
      <c r="B157" s="6"/>
      <c r="C157" s="6"/>
      <c r="N157" s="7"/>
      <c r="O157" s="7"/>
      <c r="P157" s="7"/>
      <c r="Q157" s="7"/>
      <c r="R157" s="7"/>
      <c r="S157" s="7"/>
      <c r="Z157" s="7"/>
      <c r="AD157" s="7"/>
      <c r="AE157" s="7"/>
      <c r="AF157" s="7"/>
      <c r="AG157" s="8"/>
      <c r="AH157" s="7"/>
      <c r="AI157" s="7"/>
      <c r="AJ157" s="7"/>
      <c r="AK157" s="7"/>
      <c r="AL157" s="7"/>
      <c r="AM157" s="7"/>
      <c r="AN157" s="7"/>
      <c r="AO157" s="7"/>
      <c r="AP157" s="7"/>
      <c r="AQ157" s="7"/>
      <c r="AR157" s="14"/>
      <c r="AS157" s="7"/>
      <c r="AT157" s="7"/>
      <c r="AU157" s="14"/>
      <c r="BN157" s="1"/>
      <c r="BV157" s="9"/>
    </row>
    <row r="158" customFormat="false" ht="11.25" hidden="false" customHeight="false" outlineLevel="0" collapsed="false">
      <c r="A158" s="6" t="n">
        <f aca="false">+A157+365/12</f>
        <v>40402.75</v>
      </c>
      <c r="B158" s="6"/>
      <c r="C158" s="6"/>
      <c r="N158" s="7"/>
      <c r="O158" s="7"/>
      <c r="P158" s="7"/>
      <c r="Q158" s="7"/>
      <c r="R158" s="7"/>
      <c r="S158" s="7"/>
      <c r="Z158" s="7"/>
      <c r="AD158" s="7"/>
      <c r="AE158" s="7"/>
      <c r="AF158" s="7"/>
      <c r="AG158" s="8"/>
      <c r="AH158" s="7"/>
      <c r="AI158" s="7"/>
      <c r="AJ158" s="7"/>
      <c r="AK158" s="7"/>
      <c r="AL158" s="7"/>
      <c r="AM158" s="7"/>
      <c r="AN158" s="7"/>
      <c r="AO158" s="7"/>
      <c r="AP158" s="7"/>
      <c r="AQ158" s="7"/>
      <c r="AR158" s="14"/>
      <c r="AS158" s="7"/>
      <c r="AT158" s="7"/>
      <c r="AU158" s="14"/>
      <c r="BN158" s="1"/>
      <c r="BV158" s="9"/>
    </row>
    <row r="159" customFormat="false" ht="11.25" hidden="false" customHeight="false" outlineLevel="0" collapsed="false">
      <c r="A159" s="6" t="n">
        <f aca="false">+A158+365/12</f>
        <v>40433.1666666667</v>
      </c>
      <c r="B159" s="6"/>
      <c r="C159" s="6"/>
      <c r="N159" s="7"/>
      <c r="O159" s="7"/>
      <c r="P159" s="7"/>
      <c r="Q159" s="7"/>
      <c r="R159" s="7"/>
      <c r="S159" s="7"/>
      <c r="Z159" s="7"/>
      <c r="AD159" s="7"/>
      <c r="AE159" s="7"/>
      <c r="AF159" s="7"/>
      <c r="AG159" s="8"/>
      <c r="AH159" s="7"/>
      <c r="AI159" s="7"/>
      <c r="AJ159" s="7"/>
      <c r="AK159" s="7"/>
      <c r="AL159" s="7"/>
      <c r="AM159" s="7"/>
      <c r="AN159" s="7"/>
      <c r="AO159" s="7"/>
      <c r="AP159" s="7"/>
      <c r="AQ159" s="7"/>
      <c r="AR159" s="14"/>
      <c r="AS159" s="7"/>
      <c r="AT159" s="7"/>
      <c r="AU159" s="14"/>
      <c r="BN159" s="1"/>
      <c r="BV159" s="9"/>
    </row>
    <row r="160" customFormat="false" ht="11.25" hidden="false" customHeight="false" outlineLevel="0" collapsed="false">
      <c r="A160" s="6" t="n">
        <f aca="false">+A159+365/12</f>
        <v>40463.5833333333</v>
      </c>
      <c r="B160" s="6"/>
      <c r="C160" s="6"/>
      <c r="N160" s="7"/>
      <c r="O160" s="7"/>
      <c r="P160" s="7"/>
      <c r="Q160" s="7"/>
      <c r="R160" s="7"/>
      <c r="S160" s="7"/>
      <c r="Z160" s="7"/>
      <c r="AD160" s="7"/>
      <c r="AE160" s="7"/>
      <c r="AF160" s="7"/>
      <c r="AG160" s="8"/>
      <c r="AH160" s="7"/>
      <c r="AI160" s="7"/>
      <c r="AJ160" s="7"/>
      <c r="AK160" s="7"/>
      <c r="AL160" s="7"/>
      <c r="AM160" s="7"/>
      <c r="AN160" s="7"/>
      <c r="AO160" s="7"/>
      <c r="AP160" s="7"/>
      <c r="AQ160" s="7"/>
      <c r="AR160" s="14"/>
      <c r="AS160" s="7"/>
      <c r="AT160" s="7"/>
      <c r="AU160" s="14"/>
      <c r="BN160" s="1"/>
      <c r="BV160" s="9"/>
    </row>
    <row r="161" customFormat="false" ht="11.25" hidden="false" customHeight="false" outlineLevel="0" collapsed="false">
      <c r="A161" s="6" t="n">
        <f aca="false">+A160+365/12</f>
        <v>40494</v>
      </c>
      <c r="B161" s="6"/>
      <c r="C161" s="6"/>
      <c r="N161" s="7"/>
      <c r="O161" s="7"/>
      <c r="P161" s="7"/>
      <c r="Q161" s="7"/>
      <c r="R161" s="7"/>
      <c r="S161" s="7"/>
      <c r="Z161" s="7"/>
      <c r="AD161" s="7"/>
      <c r="AE161" s="7"/>
      <c r="AF161" s="7"/>
      <c r="AG161" s="8"/>
      <c r="AH161" s="7"/>
      <c r="AI161" s="7"/>
      <c r="AJ161" s="7"/>
      <c r="AK161" s="7"/>
      <c r="AL161" s="7"/>
      <c r="AM161" s="7"/>
      <c r="AN161" s="7"/>
      <c r="AO161" s="7"/>
      <c r="AP161" s="7"/>
      <c r="AQ161" s="7"/>
      <c r="AR161" s="14"/>
      <c r="AS161" s="7"/>
      <c r="AT161" s="7"/>
      <c r="AU161" s="14"/>
      <c r="BN161" s="1"/>
      <c r="BV161" s="9"/>
    </row>
    <row r="162" customFormat="false" ht="12.75" hidden="false" customHeight="false" outlineLevel="0" collapsed="false">
      <c r="A162" s="0"/>
      <c r="B162" s="0"/>
      <c r="C162" s="0"/>
      <c r="D162" s="0"/>
      <c r="E162" s="0"/>
      <c r="F162" s="0"/>
      <c r="G162" s="0"/>
      <c r="H162" s="0"/>
      <c r="I162" s="0"/>
      <c r="J162" s="0"/>
      <c r="K162" s="0"/>
      <c r="L162" s="0"/>
      <c r="M162" s="0"/>
      <c r="N162" s="0"/>
      <c r="O162" s="0"/>
      <c r="P162" s="0"/>
      <c r="Q162" s="0"/>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25"/>
      <c r="AV162" s="11"/>
      <c r="AW162" s="11"/>
      <c r="AX162" s="0"/>
      <c r="AY162" s="0"/>
      <c r="AZ162" s="0"/>
      <c r="BA162" s="0"/>
      <c r="BB162" s="0"/>
      <c r="BC162" s="0"/>
      <c r="BD162" s="0"/>
      <c r="BE162" s="0"/>
      <c r="BF162" s="0"/>
      <c r="BG162" s="0"/>
      <c r="BH162" s="0"/>
      <c r="BI162" s="0"/>
      <c r="BJ162" s="0"/>
      <c r="BK162" s="0"/>
      <c r="BL162" s="0"/>
      <c r="BM162" s="0"/>
      <c r="BN162" s="0"/>
      <c r="BO162" s="0"/>
      <c r="BP162" s="0"/>
      <c r="BQ162" s="0"/>
      <c r="BR162" s="0"/>
      <c r="BS162" s="0"/>
      <c r="BT162" s="0"/>
      <c r="BU162" s="0"/>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0"/>
      <c r="DT162" s="0"/>
      <c r="DU162" s="0"/>
      <c r="DV162" s="0"/>
      <c r="DW162" s="0"/>
      <c r="DX162" s="0"/>
      <c r="DY162" s="0"/>
      <c r="DZ162" s="0"/>
      <c r="EA162" s="0"/>
      <c r="EB162" s="0"/>
      <c r="EC162" s="0"/>
      <c r="ED162" s="0"/>
      <c r="EE162" s="0"/>
      <c r="EF162" s="0"/>
      <c r="EG162" s="0"/>
      <c r="EH162" s="0"/>
      <c r="EI162" s="0"/>
      <c r="EJ162" s="0"/>
      <c r="EK162" s="0"/>
      <c r="EL162" s="0"/>
      <c r="EM162" s="0"/>
      <c r="EN162" s="0"/>
      <c r="EO162" s="0"/>
      <c r="EP162" s="0"/>
      <c r="EQ162" s="0"/>
      <c r="ER162" s="0"/>
      <c r="ES162" s="0"/>
      <c r="ET162" s="0"/>
      <c r="EU162" s="0"/>
      <c r="EV162" s="0"/>
      <c r="EW162" s="0"/>
      <c r="EX162" s="0"/>
      <c r="EY162" s="0"/>
      <c r="EZ162" s="0"/>
      <c r="FA162" s="0"/>
      <c r="FB162" s="0"/>
      <c r="FC162" s="0"/>
      <c r="FD162" s="0"/>
      <c r="FE162" s="0"/>
      <c r="FF162" s="0"/>
      <c r="FG162" s="0"/>
      <c r="FH162" s="0"/>
      <c r="FI162" s="0"/>
      <c r="FJ162" s="0"/>
      <c r="FK162" s="0"/>
      <c r="FL162" s="0"/>
      <c r="FM162" s="0"/>
      <c r="FN162" s="0"/>
      <c r="FO162" s="0"/>
      <c r="FP162" s="0"/>
      <c r="FQ162" s="0"/>
      <c r="FR162" s="0"/>
      <c r="FS162" s="0"/>
      <c r="FT162" s="0"/>
      <c r="FU162" s="0"/>
      <c r="FV162" s="0"/>
      <c r="FW162" s="0"/>
      <c r="FX162" s="0"/>
      <c r="FY162" s="0"/>
      <c r="FZ162" s="0"/>
      <c r="GA162" s="0"/>
      <c r="GB162" s="0"/>
      <c r="GC162" s="0"/>
      <c r="GD162" s="0"/>
      <c r="GE162" s="0"/>
      <c r="GF162" s="0"/>
      <c r="GG162" s="0"/>
      <c r="GH162" s="0"/>
      <c r="GI162" s="0"/>
      <c r="GJ162" s="0"/>
      <c r="GK162" s="0"/>
      <c r="GL162" s="0"/>
      <c r="GM162" s="0"/>
      <c r="GN162" s="0"/>
      <c r="GO162" s="0"/>
      <c r="GP162" s="0"/>
      <c r="GQ162" s="0"/>
      <c r="GR162" s="0"/>
      <c r="GS162" s="0"/>
      <c r="GT162" s="0"/>
      <c r="GU162" s="0"/>
      <c r="GV162" s="0"/>
      <c r="GW162" s="0"/>
      <c r="GX162" s="0"/>
      <c r="GY162" s="0"/>
      <c r="GZ162" s="0"/>
      <c r="HA162" s="0"/>
      <c r="HB162" s="0"/>
      <c r="HC162" s="0"/>
      <c r="HD162" s="0"/>
      <c r="HE162" s="0"/>
      <c r="HF162" s="0"/>
      <c r="HG162" s="0"/>
      <c r="HH162" s="0"/>
      <c r="HI162" s="0"/>
      <c r="HJ162" s="0"/>
      <c r="HK162" s="0"/>
      <c r="HL162" s="0"/>
      <c r="HM162" s="0"/>
      <c r="HN162" s="0"/>
      <c r="HO162" s="0"/>
      <c r="HP162" s="0"/>
      <c r="HQ162" s="0"/>
      <c r="HR162" s="0"/>
      <c r="HS162" s="0"/>
      <c r="HT162" s="0"/>
      <c r="HU162" s="0"/>
      <c r="HV162" s="0"/>
      <c r="HW162" s="0"/>
      <c r="HX162" s="0"/>
      <c r="HY162" s="0"/>
      <c r="HZ162" s="0"/>
      <c r="IA162" s="0"/>
      <c r="IB162" s="0"/>
      <c r="IC162" s="0"/>
      <c r="ID162" s="0"/>
      <c r="IE162" s="0"/>
      <c r="IF162" s="0"/>
      <c r="IG162" s="0"/>
      <c r="IH162" s="0"/>
      <c r="II162" s="0"/>
      <c r="IJ162" s="0"/>
      <c r="IK162" s="0"/>
      <c r="IL162" s="0"/>
      <c r="IM162" s="0"/>
      <c r="IN162" s="0"/>
      <c r="IO162" s="0"/>
      <c r="IP162" s="0"/>
      <c r="IQ162" s="0"/>
      <c r="IR162" s="0"/>
      <c r="IS162" s="0"/>
      <c r="IT162" s="0"/>
      <c r="IU162" s="0"/>
      <c r="IV162" s="0"/>
      <c r="IW162" s="0"/>
    </row>
    <row r="163" customFormat="false" ht="12.75" hidden="false" customHeight="false" outlineLevel="0" collapsed="false">
      <c r="A163" s="0"/>
      <c r="B163" s="0"/>
      <c r="C163" s="0"/>
      <c r="D163" s="0"/>
      <c r="E163" s="0"/>
      <c r="F163" s="0"/>
      <c r="G163" s="0"/>
      <c r="H163" s="0"/>
      <c r="I163" s="0"/>
      <c r="J163" s="0"/>
      <c r="K163" s="0"/>
      <c r="L163" s="0"/>
      <c r="M163" s="0"/>
      <c r="N163" s="0"/>
      <c r="O163" s="0"/>
      <c r="P163" s="0"/>
      <c r="Q163" s="0"/>
      <c r="R163" s="0"/>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11"/>
      <c r="AW163" s="11"/>
      <c r="AX163" s="0"/>
      <c r="AY163" s="0"/>
      <c r="AZ163" s="0"/>
      <c r="BA163" s="0"/>
      <c r="BB163" s="0"/>
      <c r="BC163" s="0"/>
      <c r="BD163" s="0"/>
      <c r="BE163" s="0"/>
      <c r="BF163" s="0"/>
      <c r="BG163" s="0"/>
      <c r="BH163" s="0"/>
      <c r="BI163" s="0"/>
      <c r="BJ163" s="0"/>
      <c r="BK163" s="0"/>
      <c r="BL163" s="0"/>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c r="IW163" s="0"/>
    </row>
    <row r="164" customFormat="false" ht="12.75" hidden="false" customHeight="false" outlineLevel="0" collapsed="false">
      <c r="A164" s="0"/>
      <c r="B164" s="0"/>
      <c r="C164" s="0"/>
      <c r="D164" s="0"/>
      <c r="E164" s="0"/>
      <c r="F164" s="0"/>
      <c r="G164" s="0"/>
      <c r="H164" s="0"/>
      <c r="I164" s="0"/>
      <c r="J164" s="0"/>
      <c r="K164" s="0"/>
      <c r="L164" s="0"/>
      <c r="M164" s="0"/>
      <c r="N164" s="0"/>
      <c r="O164" s="0"/>
      <c r="P164" s="0"/>
      <c r="Q164" s="0"/>
      <c r="R164" s="0"/>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11"/>
      <c r="AW164" s="11"/>
      <c r="AX164" s="0"/>
      <c r="AY164" s="0"/>
      <c r="AZ164" s="0"/>
      <c r="BA164" s="0"/>
      <c r="BB164" s="0"/>
      <c r="BC164" s="0"/>
      <c r="BD164" s="0"/>
      <c r="BE164" s="0"/>
      <c r="BF164" s="0"/>
      <c r="BG164" s="0"/>
      <c r="BH164" s="0"/>
      <c r="BI164" s="0"/>
      <c r="BJ164" s="0"/>
      <c r="BK164" s="0"/>
      <c r="BL164" s="0"/>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c r="IW164" s="0"/>
    </row>
    <row r="165" customFormat="false" ht="12.75" hidden="false" customHeight="false" outlineLevel="0" collapsed="false">
      <c r="A165" s="0"/>
      <c r="B165" s="0"/>
      <c r="C165" s="0"/>
      <c r="D165" s="0"/>
      <c r="E165" s="0"/>
      <c r="F165" s="0"/>
      <c r="G165" s="0"/>
      <c r="H165" s="0"/>
      <c r="I165" s="0"/>
      <c r="J165" s="0"/>
      <c r="K165" s="0"/>
      <c r="L165" s="0"/>
      <c r="M165" s="0"/>
      <c r="N165" s="0"/>
      <c r="O165" s="0"/>
      <c r="P165" s="0"/>
      <c r="Q165" s="0"/>
      <c r="R165" s="0"/>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11"/>
      <c r="AW165" s="11"/>
      <c r="AX165" s="0"/>
      <c r="AY165" s="0"/>
      <c r="AZ165" s="0"/>
      <c r="BA165" s="0"/>
      <c r="BB165" s="0"/>
      <c r="BC165" s="0"/>
      <c r="BD165" s="0"/>
      <c r="BE165" s="0"/>
      <c r="BF165" s="0"/>
      <c r="BG165" s="0"/>
      <c r="BH165" s="0"/>
      <c r="BI165" s="0"/>
      <c r="BJ165" s="0"/>
      <c r="BK165" s="0"/>
      <c r="BL165" s="0"/>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c r="IW165" s="0"/>
    </row>
    <row r="166" customFormat="false" ht="12.75" hidden="false" customHeight="false" outlineLevel="0" collapsed="false">
      <c r="A166" s="0"/>
      <c r="B166" s="0"/>
      <c r="C166" s="0"/>
      <c r="D166" s="0"/>
      <c r="E166" s="0"/>
      <c r="F166" s="0"/>
      <c r="G166" s="0"/>
      <c r="H166" s="0"/>
      <c r="I166" s="0"/>
      <c r="J166" s="0"/>
      <c r="K166" s="0"/>
      <c r="L166" s="0"/>
      <c r="M166" s="0"/>
      <c r="N166" s="0"/>
      <c r="O166" s="0"/>
      <c r="P166" s="0"/>
      <c r="Q166" s="0"/>
      <c r="R166" s="0"/>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11"/>
      <c r="AW166" s="11"/>
      <c r="AX166" s="0"/>
      <c r="AY166" s="0"/>
      <c r="AZ166" s="0"/>
      <c r="BA166" s="0"/>
      <c r="BB166" s="0"/>
      <c r="BC166" s="0"/>
      <c r="BD166" s="0"/>
      <c r="BE166" s="0"/>
      <c r="BF166" s="0"/>
      <c r="BG166" s="0"/>
      <c r="BH166" s="0"/>
      <c r="BI166" s="0"/>
      <c r="BJ166" s="0"/>
      <c r="BK166" s="0"/>
      <c r="BL166" s="0"/>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c r="IW166" s="0"/>
    </row>
    <row r="167" customFormat="false" ht="12.75" hidden="false" customHeight="false" outlineLevel="0" collapsed="false">
      <c r="A167" s="0"/>
      <c r="B167" s="0"/>
      <c r="C167" s="0"/>
      <c r="D167" s="0"/>
      <c r="E167" s="0"/>
      <c r="F167" s="0"/>
      <c r="G167" s="0"/>
      <c r="H167" s="0"/>
      <c r="I167" s="0"/>
      <c r="J167" s="0"/>
      <c r="K167" s="0"/>
      <c r="L167" s="0"/>
      <c r="M167" s="0"/>
      <c r="N167" s="0"/>
      <c r="O167" s="0"/>
      <c r="P167" s="0"/>
      <c r="Q167" s="0"/>
      <c r="R167" s="0"/>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11"/>
      <c r="AW167" s="11"/>
      <c r="AX167" s="0"/>
      <c r="AY167" s="0"/>
      <c r="AZ167" s="0"/>
      <c r="BA167" s="0"/>
      <c r="BB167" s="0"/>
      <c r="BC167" s="0"/>
      <c r="BD167" s="0"/>
      <c r="BE167" s="0"/>
      <c r="BF167" s="0"/>
      <c r="BG167" s="0"/>
      <c r="BH167" s="0"/>
      <c r="BI167" s="0"/>
      <c r="BJ167" s="0"/>
      <c r="BK167" s="0"/>
      <c r="BL167" s="0"/>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c r="IW167" s="0"/>
    </row>
    <row r="168" customFormat="false" ht="12.75" hidden="false" customHeight="false" outlineLevel="0" collapsed="false">
      <c r="A168" s="0"/>
      <c r="B168" s="0"/>
      <c r="C168" s="0"/>
      <c r="D168" s="0"/>
      <c r="E168" s="0"/>
      <c r="F168" s="0"/>
      <c r="G168" s="0"/>
      <c r="H168" s="0"/>
      <c r="I168" s="0"/>
      <c r="J168" s="0"/>
      <c r="K168" s="0"/>
      <c r="L168" s="0"/>
      <c r="M168" s="0"/>
      <c r="N168" s="0"/>
      <c r="O168" s="0"/>
      <c r="P168" s="0"/>
      <c r="Q168" s="0"/>
      <c r="R168" s="0"/>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11"/>
      <c r="AW168" s="11"/>
      <c r="AX168" s="0"/>
      <c r="AY168" s="0"/>
      <c r="AZ168" s="0"/>
      <c r="BA168" s="0"/>
      <c r="BB168" s="0"/>
      <c r="BC168" s="0"/>
      <c r="BD168" s="0"/>
      <c r="BE168" s="0"/>
      <c r="BF168" s="0"/>
      <c r="BG168" s="0"/>
      <c r="BH168" s="0"/>
      <c r="BI168" s="0"/>
      <c r="BJ168" s="0"/>
      <c r="BK168" s="0"/>
      <c r="BL168" s="0"/>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c r="IW168" s="0"/>
    </row>
    <row r="169" customFormat="false" ht="12.75" hidden="false" customHeight="false" outlineLevel="0" collapsed="false">
      <c r="A169" s="0"/>
      <c r="B169" s="0"/>
      <c r="C169" s="0"/>
      <c r="D169" s="0"/>
      <c r="E169" s="0"/>
      <c r="F169" s="0"/>
      <c r="G169" s="0"/>
      <c r="H169" s="0"/>
      <c r="I169" s="0"/>
      <c r="J169" s="0"/>
      <c r="K169" s="0"/>
      <c r="L169" s="0"/>
      <c r="M169" s="0"/>
      <c r="N169" s="0"/>
      <c r="O169" s="0"/>
      <c r="P169" s="0"/>
      <c r="Q169" s="0"/>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11"/>
      <c r="AW169" s="11"/>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c r="IW169" s="0"/>
    </row>
    <row r="170" customFormat="false" ht="12.75" hidden="false" customHeight="false" outlineLevel="0" collapsed="false">
      <c r="A170" s="0"/>
      <c r="B170" s="0"/>
      <c r="C170" s="0"/>
      <c r="D170" s="0"/>
      <c r="E170" s="0"/>
      <c r="F170" s="0"/>
      <c r="G170" s="0"/>
      <c r="H170" s="0"/>
      <c r="I170" s="0"/>
      <c r="J170" s="0"/>
      <c r="K170" s="0"/>
      <c r="L170" s="0"/>
      <c r="M170" s="0"/>
      <c r="N170" s="0"/>
      <c r="O170" s="0"/>
      <c r="P170" s="0"/>
      <c r="Q170" s="0"/>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11"/>
      <c r="AW170" s="11"/>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c r="IW170" s="0"/>
    </row>
    <row r="171" customFormat="false" ht="12.75" hidden="false" customHeight="false" outlineLevel="0" collapsed="false">
      <c r="A171" s="0"/>
      <c r="B171" s="0"/>
      <c r="C171" s="0"/>
      <c r="D171" s="0"/>
      <c r="E171" s="0"/>
      <c r="F171" s="0"/>
      <c r="G171" s="0"/>
      <c r="H171" s="0"/>
      <c r="I171" s="0"/>
      <c r="J171" s="0"/>
      <c r="K171" s="0"/>
      <c r="L171" s="0"/>
      <c r="M171" s="0"/>
      <c r="N171" s="0"/>
      <c r="O171" s="0"/>
      <c r="P171" s="0"/>
      <c r="Q171" s="0"/>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11"/>
      <c r="AW171" s="11"/>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c r="IW171" s="0"/>
    </row>
    <row r="172" customFormat="false" ht="12.75" hidden="false" customHeight="false" outlineLevel="0" collapsed="false">
      <c r="A172" s="0"/>
      <c r="B172" s="0"/>
      <c r="C172" s="0"/>
      <c r="D172" s="0"/>
      <c r="E172" s="0"/>
      <c r="F172" s="0"/>
      <c r="G172" s="0"/>
      <c r="H172" s="0"/>
      <c r="I172" s="0"/>
      <c r="J172" s="0"/>
      <c r="K172" s="0"/>
      <c r="L172" s="0"/>
      <c r="M172" s="0"/>
      <c r="N172" s="0"/>
      <c r="O172" s="0"/>
      <c r="P172" s="0"/>
      <c r="Q172" s="0"/>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11"/>
      <c r="AW172" s="11"/>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c r="IW172" s="0"/>
    </row>
    <row r="173" customFormat="false" ht="12.75" hidden="false" customHeight="false" outlineLevel="0" collapsed="false">
      <c r="A173" s="0"/>
      <c r="B173" s="0"/>
      <c r="C173" s="0"/>
      <c r="D173" s="0"/>
      <c r="E173" s="0"/>
      <c r="F173" s="0"/>
      <c r="G173" s="0"/>
      <c r="H173" s="0"/>
      <c r="I173" s="0"/>
      <c r="J173" s="0"/>
      <c r="K173" s="0"/>
      <c r="L173" s="0"/>
      <c r="M173" s="0"/>
      <c r="N173" s="0"/>
      <c r="O173" s="0"/>
      <c r="P173" s="0"/>
      <c r="Q173" s="0"/>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11"/>
      <c r="AW173" s="11"/>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c r="IW173" s="0"/>
    </row>
    <row r="174" customFormat="false" ht="12.75" hidden="false" customHeight="false" outlineLevel="0" collapsed="false">
      <c r="A174" s="0"/>
      <c r="B174" s="0"/>
      <c r="C174" s="0"/>
      <c r="D174" s="0"/>
      <c r="E174" s="0"/>
      <c r="F174" s="0"/>
      <c r="G174" s="0"/>
      <c r="H174" s="0"/>
      <c r="I174" s="0"/>
      <c r="J174" s="0"/>
      <c r="K174" s="0"/>
      <c r="L174" s="0"/>
      <c r="M174" s="0"/>
      <c r="N174" s="0"/>
      <c r="O174" s="0"/>
      <c r="P174" s="0"/>
      <c r="Q174" s="0"/>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11"/>
      <c r="AW174" s="11"/>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c r="IW174" s="0"/>
    </row>
    <row r="175" customFormat="false" ht="12.75" hidden="false" customHeight="false" outlineLevel="0" collapsed="false">
      <c r="A175" s="0"/>
      <c r="B175" s="0"/>
      <c r="C175" s="0"/>
      <c r="D175" s="0"/>
      <c r="E175" s="0"/>
      <c r="F175" s="0"/>
      <c r="G175" s="0"/>
      <c r="H175" s="0"/>
      <c r="I175" s="0"/>
      <c r="J175" s="0"/>
      <c r="K175" s="0"/>
      <c r="L175" s="0"/>
      <c r="M175" s="0"/>
      <c r="N175" s="0"/>
      <c r="O175" s="0"/>
      <c r="P175" s="0"/>
      <c r="Q175" s="0"/>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11"/>
      <c r="AW175" s="11"/>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c r="IW175" s="0"/>
    </row>
    <row r="176" customFormat="false" ht="12.75" hidden="false" customHeight="false" outlineLevel="0" collapsed="false">
      <c r="A176" s="0"/>
      <c r="B176" s="0"/>
      <c r="C176" s="0"/>
      <c r="D176" s="0"/>
      <c r="E176" s="0"/>
      <c r="F176" s="0"/>
      <c r="G176" s="0"/>
      <c r="H176" s="0"/>
      <c r="I176" s="0"/>
      <c r="J176" s="0"/>
      <c r="K176" s="0"/>
      <c r="L176" s="0"/>
      <c r="M176" s="0"/>
      <c r="N176" s="0"/>
      <c r="O176" s="0"/>
      <c r="P176" s="0"/>
      <c r="Q176" s="0"/>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11"/>
      <c r="AW176" s="11"/>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c r="IW176" s="0"/>
    </row>
    <row r="177" customFormat="false" ht="12.75" hidden="false" customHeight="false" outlineLevel="0" collapsed="false">
      <c r="A177" s="0"/>
      <c r="B177" s="0"/>
      <c r="C177" s="0"/>
      <c r="D177" s="0"/>
      <c r="E177" s="0"/>
      <c r="F177" s="0"/>
      <c r="G177" s="0"/>
      <c r="H177" s="0"/>
      <c r="I177" s="0"/>
      <c r="J177" s="0"/>
      <c r="K177" s="0"/>
      <c r="L177" s="0"/>
      <c r="M177" s="0"/>
      <c r="N177" s="0"/>
      <c r="O177" s="0"/>
      <c r="P177" s="0"/>
      <c r="Q177" s="0"/>
      <c r="R177" s="0"/>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11"/>
      <c r="AW177" s="11"/>
      <c r="AX177" s="0"/>
      <c r="AY177" s="0"/>
      <c r="AZ177" s="0"/>
      <c r="BA177" s="0"/>
      <c r="BB177" s="0"/>
      <c r="BC177" s="0"/>
      <c r="BD177" s="0"/>
      <c r="BE177" s="0"/>
      <c r="BF177" s="0"/>
      <c r="BG177" s="0"/>
      <c r="BH177" s="0"/>
      <c r="BI177" s="0"/>
      <c r="BJ177" s="0"/>
      <c r="BK177" s="0"/>
      <c r="BL177" s="0"/>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c r="IW177" s="0"/>
    </row>
    <row r="178" customFormat="false" ht="12.75" hidden="false" customHeight="false" outlineLevel="0" collapsed="false">
      <c r="A178" s="0"/>
      <c r="B178" s="0"/>
      <c r="C178" s="0"/>
      <c r="D178" s="0"/>
      <c r="E178" s="0"/>
      <c r="F178" s="0"/>
      <c r="G178" s="0"/>
      <c r="H178" s="0"/>
      <c r="I178" s="0"/>
      <c r="J178" s="0"/>
      <c r="K178" s="0"/>
      <c r="L178" s="0"/>
      <c r="M178" s="0"/>
      <c r="N178" s="0"/>
      <c r="O178" s="0"/>
      <c r="P178" s="0"/>
      <c r="Q178" s="0"/>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11"/>
      <c r="AW178" s="11"/>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c r="IW178" s="0"/>
    </row>
    <row r="179" customFormat="false" ht="12.75" hidden="false" customHeight="false" outlineLevel="0" collapsed="false">
      <c r="A179" s="0"/>
      <c r="B179" s="0"/>
      <c r="C179" s="0"/>
      <c r="D179" s="0"/>
      <c r="E179" s="0"/>
      <c r="F179" s="0"/>
      <c r="G179" s="0"/>
      <c r="H179" s="0"/>
      <c r="I179" s="0"/>
      <c r="J179" s="0"/>
      <c r="K179" s="0"/>
      <c r="L179" s="0"/>
      <c r="M179" s="0"/>
      <c r="N179" s="0"/>
      <c r="O179" s="0"/>
      <c r="P179" s="0"/>
      <c r="Q179" s="0"/>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11"/>
      <c r="AW179" s="11"/>
      <c r="AX179" s="0"/>
      <c r="AY179" s="0"/>
      <c r="AZ179" s="0"/>
      <c r="BA179" s="0"/>
      <c r="BB179" s="0"/>
      <c r="BC179" s="0"/>
      <c r="BD179" s="0"/>
      <c r="BE179" s="0"/>
      <c r="BF179" s="0"/>
      <c r="BG179" s="0"/>
      <c r="BH179" s="0"/>
      <c r="BI179" s="0"/>
      <c r="BJ179" s="0"/>
      <c r="BK179" s="0"/>
      <c r="BL179" s="0"/>
      <c r="BM179" s="0"/>
      <c r="BN179" s="0"/>
      <c r="BO179" s="0"/>
      <c r="BP179" s="0"/>
      <c r="BQ179" s="0"/>
      <c r="BR179" s="0"/>
      <c r="BS179" s="0"/>
      <c r="BT179" s="0"/>
      <c r="BU179" s="0"/>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0"/>
      <c r="DT179" s="0"/>
      <c r="DU179" s="0"/>
      <c r="DV179" s="0"/>
      <c r="DW179" s="0"/>
      <c r="DX179" s="0"/>
      <c r="DY179" s="0"/>
      <c r="DZ179" s="0"/>
      <c r="EA179" s="0"/>
      <c r="EB179" s="0"/>
      <c r="EC179" s="0"/>
      <c r="ED179" s="0"/>
      <c r="EE179" s="0"/>
      <c r="EF179" s="0"/>
      <c r="EG179" s="0"/>
      <c r="EH179" s="0"/>
      <c r="EI179" s="0"/>
      <c r="EJ179" s="0"/>
      <c r="EK179" s="0"/>
      <c r="EL179" s="0"/>
      <c r="EM179" s="0"/>
      <c r="EN179" s="0"/>
      <c r="EO179" s="0"/>
      <c r="EP179" s="0"/>
      <c r="EQ179" s="0"/>
      <c r="ER179" s="0"/>
      <c r="ES179" s="0"/>
      <c r="ET179" s="0"/>
      <c r="EU179" s="0"/>
      <c r="EV179" s="0"/>
      <c r="EW179" s="0"/>
      <c r="EX179" s="0"/>
      <c r="EY179" s="0"/>
      <c r="EZ179" s="0"/>
      <c r="FA179" s="0"/>
      <c r="FB179" s="0"/>
      <c r="FC179" s="0"/>
      <c r="FD179" s="0"/>
      <c r="FE179" s="0"/>
      <c r="FF179" s="0"/>
      <c r="FG179" s="0"/>
      <c r="FH179" s="0"/>
      <c r="FI179" s="0"/>
      <c r="FJ179" s="0"/>
      <c r="FK179" s="0"/>
      <c r="FL179" s="0"/>
      <c r="FM179" s="0"/>
      <c r="FN179" s="0"/>
      <c r="FO179" s="0"/>
      <c r="FP179" s="0"/>
      <c r="FQ179" s="0"/>
      <c r="FR179" s="0"/>
      <c r="FS179" s="0"/>
      <c r="FT179" s="0"/>
      <c r="FU179" s="0"/>
      <c r="FV179" s="0"/>
      <c r="FW179" s="0"/>
      <c r="FX179" s="0"/>
      <c r="FY179" s="0"/>
      <c r="FZ179" s="0"/>
      <c r="GA179" s="0"/>
      <c r="GB179" s="0"/>
      <c r="GC179" s="0"/>
      <c r="GD179" s="0"/>
      <c r="GE179" s="0"/>
      <c r="GF179" s="0"/>
      <c r="GG179" s="0"/>
      <c r="GH179" s="0"/>
      <c r="GI179" s="0"/>
      <c r="GJ179" s="0"/>
      <c r="GK179" s="0"/>
      <c r="GL179" s="0"/>
      <c r="GM179" s="0"/>
      <c r="GN179" s="0"/>
      <c r="GO179" s="0"/>
      <c r="GP179" s="0"/>
      <c r="GQ179" s="0"/>
      <c r="GR179" s="0"/>
      <c r="GS179" s="0"/>
      <c r="GT179" s="0"/>
      <c r="GU179" s="0"/>
      <c r="GV179" s="0"/>
      <c r="GW179" s="0"/>
      <c r="GX179" s="0"/>
      <c r="GY179" s="0"/>
      <c r="GZ179" s="0"/>
      <c r="HA179" s="0"/>
      <c r="HB179" s="0"/>
      <c r="HC179" s="0"/>
      <c r="HD179" s="0"/>
      <c r="HE179" s="0"/>
      <c r="HF179" s="0"/>
      <c r="HG179" s="0"/>
      <c r="HH179" s="0"/>
      <c r="HI179" s="0"/>
      <c r="HJ179" s="0"/>
      <c r="HK179" s="0"/>
      <c r="HL179" s="0"/>
      <c r="HM179" s="0"/>
      <c r="HN179" s="0"/>
      <c r="HO179" s="0"/>
      <c r="HP179" s="0"/>
      <c r="HQ179" s="0"/>
      <c r="HR179" s="0"/>
      <c r="HS179" s="0"/>
      <c r="HT179" s="0"/>
      <c r="HU179" s="0"/>
      <c r="HV179" s="0"/>
      <c r="HW179" s="0"/>
      <c r="HX179" s="0"/>
      <c r="HY179" s="0"/>
      <c r="HZ179" s="0"/>
      <c r="IA179" s="0"/>
      <c r="IB179" s="0"/>
      <c r="IC179" s="0"/>
      <c r="ID179" s="0"/>
      <c r="IE179" s="0"/>
      <c r="IF179" s="0"/>
      <c r="IG179" s="0"/>
      <c r="IH179" s="0"/>
      <c r="II179" s="0"/>
      <c r="IJ179" s="0"/>
      <c r="IK179" s="0"/>
      <c r="IL179" s="0"/>
      <c r="IM179" s="0"/>
      <c r="IN179" s="0"/>
      <c r="IO179" s="0"/>
      <c r="IP179" s="0"/>
      <c r="IQ179" s="0"/>
      <c r="IR179" s="0"/>
      <c r="IS179" s="0"/>
      <c r="IT179" s="0"/>
      <c r="IU179" s="0"/>
      <c r="IV179" s="0"/>
      <c r="IW179" s="0"/>
    </row>
    <row r="180" customFormat="false" ht="12.75" hidden="false" customHeight="false" outlineLevel="0" collapsed="false">
      <c r="A180" s="0"/>
      <c r="B180" s="0"/>
      <c r="C180" s="0"/>
      <c r="D180" s="0"/>
      <c r="E180" s="0"/>
      <c r="F180" s="0"/>
      <c r="G180" s="0"/>
      <c r="H180" s="0"/>
      <c r="I180" s="0"/>
      <c r="J180" s="0"/>
      <c r="K180" s="0"/>
      <c r="L180" s="0"/>
      <c r="M180" s="0"/>
      <c r="N180" s="0"/>
      <c r="O180" s="0"/>
      <c r="P180" s="0"/>
      <c r="Q180" s="0"/>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11"/>
      <c r="AW180" s="11"/>
      <c r="AX180" s="0"/>
      <c r="AY180" s="0"/>
      <c r="AZ180" s="0"/>
      <c r="BA180" s="0"/>
      <c r="BB180" s="0"/>
      <c r="BC180" s="0"/>
      <c r="BD180" s="0"/>
      <c r="BE180" s="0"/>
      <c r="BF180" s="0"/>
      <c r="BG180" s="0"/>
      <c r="BH180" s="0"/>
      <c r="BI180" s="0"/>
      <c r="BJ180" s="0"/>
      <c r="BK180" s="0"/>
      <c r="BL180" s="0"/>
      <c r="BM180" s="0"/>
      <c r="BN180" s="0"/>
      <c r="BO180" s="0"/>
      <c r="BP180" s="0"/>
      <c r="BQ180" s="0"/>
      <c r="BR180" s="0"/>
      <c r="BS180" s="0"/>
      <c r="BT180" s="0"/>
      <c r="BU180" s="0"/>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0"/>
      <c r="DT180" s="0"/>
      <c r="DU180" s="0"/>
      <c r="DV180" s="0"/>
      <c r="DW180" s="0"/>
      <c r="DX180" s="0"/>
      <c r="DY180" s="0"/>
      <c r="DZ180" s="0"/>
      <c r="EA180" s="0"/>
      <c r="EB180" s="0"/>
      <c r="EC180" s="0"/>
      <c r="ED180" s="0"/>
      <c r="EE180" s="0"/>
      <c r="EF180" s="0"/>
      <c r="EG180" s="0"/>
      <c r="EH180" s="0"/>
      <c r="EI180" s="0"/>
      <c r="EJ180" s="0"/>
      <c r="EK180" s="0"/>
      <c r="EL180" s="0"/>
      <c r="EM180" s="0"/>
      <c r="EN180" s="0"/>
      <c r="EO180" s="0"/>
      <c r="EP180" s="0"/>
      <c r="EQ180" s="0"/>
      <c r="ER180" s="0"/>
      <c r="ES180" s="0"/>
      <c r="ET180" s="0"/>
      <c r="EU180" s="0"/>
      <c r="EV180" s="0"/>
      <c r="EW180" s="0"/>
      <c r="EX180" s="0"/>
      <c r="EY180" s="0"/>
      <c r="EZ180" s="0"/>
      <c r="FA180" s="0"/>
      <c r="FB180" s="0"/>
      <c r="FC180" s="0"/>
      <c r="FD180" s="0"/>
      <c r="FE180" s="0"/>
      <c r="FF180" s="0"/>
      <c r="FG180" s="0"/>
      <c r="FH180" s="0"/>
      <c r="FI180" s="0"/>
      <c r="FJ180" s="0"/>
      <c r="FK180" s="0"/>
      <c r="FL180" s="0"/>
      <c r="FM180" s="0"/>
      <c r="FN180" s="0"/>
      <c r="FO180" s="0"/>
      <c r="FP180" s="0"/>
      <c r="FQ180" s="0"/>
      <c r="FR180" s="0"/>
      <c r="FS180" s="0"/>
      <c r="FT180" s="0"/>
      <c r="FU180" s="0"/>
      <c r="FV180" s="0"/>
      <c r="FW180" s="0"/>
      <c r="FX180" s="0"/>
      <c r="FY180" s="0"/>
      <c r="FZ180" s="0"/>
      <c r="GA180" s="0"/>
      <c r="GB180" s="0"/>
      <c r="GC180" s="0"/>
      <c r="GD180" s="0"/>
      <c r="GE180" s="0"/>
      <c r="GF180" s="0"/>
      <c r="GG180" s="0"/>
      <c r="GH180" s="0"/>
      <c r="GI180" s="0"/>
      <c r="GJ180" s="0"/>
      <c r="GK180" s="0"/>
      <c r="GL180" s="0"/>
      <c r="GM180" s="0"/>
      <c r="GN180" s="0"/>
      <c r="GO180" s="0"/>
      <c r="GP180" s="0"/>
      <c r="GQ180" s="0"/>
      <c r="GR180" s="0"/>
      <c r="GS180" s="0"/>
      <c r="GT180" s="0"/>
      <c r="GU180" s="0"/>
      <c r="GV180" s="0"/>
      <c r="GW180" s="0"/>
      <c r="GX180" s="0"/>
      <c r="GY180" s="0"/>
      <c r="GZ180" s="0"/>
      <c r="HA180" s="0"/>
      <c r="HB180" s="0"/>
      <c r="HC180" s="0"/>
      <c r="HD180" s="0"/>
      <c r="HE180" s="0"/>
      <c r="HF180" s="0"/>
      <c r="HG180" s="0"/>
      <c r="HH180" s="0"/>
      <c r="HI180" s="0"/>
      <c r="HJ180" s="0"/>
      <c r="HK180" s="0"/>
      <c r="HL180" s="0"/>
      <c r="HM180" s="0"/>
      <c r="HN180" s="0"/>
      <c r="HO180" s="0"/>
      <c r="HP180" s="0"/>
      <c r="HQ180" s="0"/>
      <c r="HR180" s="0"/>
      <c r="HS180" s="0"/>
      <c r="HT180" s="0"/>
      <c r="HU180" s="0"/>
      <c r="HV180" s="0"/>
      <c r="HW180" s="0"/>
      <c r="HX180" s="0"/>
      <c r="HY180" s="0"/>
      <c r="HZ180" s="0"/>
      <c r="IA180" s="0"/>
      <c r="IB180" s="0"/>
      <c r="IC180" s="0"/>
      <c r="ID180" s="0"/>
      <c r="IE180" s="0"/>
      <c r="IF180" s="0"/>
      <c r="IG180" s="0"/>
      <c r="IH180" s="0"/>
      <c r="II180" s="0"/>
      <c r="IJ180" s="0"/>
      <c r="IK180" s="0"/>
      <c r="IL180" s="0"/>
      <c r="IM180" s="0"/>
      <c r="IN180" s="0"/>
      <c r="IO180" s="0"/>
      <c r="IP180" s="0"/>
      <c r="IQ180" s="0"/>
      <c r="IR180" s="0"/>
      <c r="IS180" s="0"/>
      <c r="IT180" s="0"/>
      <c r="IU180" s="0"/>
      <c r="IV180" s="0"/>
      <c r="IW180" s="0"/>
    </row>
    <row r="181" customFormat="false" ht="12.75" hidden="false" customHeight="false" outlineLevel="0" collapsed="false">
      <c r="A181" s="0"/>
      <c r="B181" s="0"/>
      <c r="C181" s="0"/>
      <c r="D181" s="0"/>
      <c r="E181" s="0"/>
      <c r="F181" s="0"/>
      <c r="G181" s="0"/>
      <c r="H181" s="0"/>
      <c r="I181" s="0"/>
      <c r="J181" s="0"/>
      <c r="K181" s="0"/>
      <c r="L181" s="0"/>
      <c r="M181" s="0"/>
      <c r="N181" s="0"/>
      <c r="O181" s="0"/>
      <c r="P181" s="0"/>
      <c r="Q181" s="0"/>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11"/>
      <c r="AW181" s="11"/>
      <c r="AX181" s="0"/>
      <c r="AY181" s="0"/>
      <c r="AZ181" s="0"/>
      <c r="BA181" s="0"/>
      <c r="BB181" s="0"/>
      <c r="BC181" s="0"/>
      <c r="BD181" s="0"/>
      <c r="BE181" s="0"/>
      <c r="BF181" s="0"/>
      <c r="BG181" s="0"/>
      <c r="BH181" s="0"/>
      <c r="BI181" s="0"/>
      <c r="BJ181" s="0"/>
      <c r="BK181" s="0"/>
      <c r="BL181" s="0"/>
      <c r="BM181" s="0"/>
      <c r="BN181" s="0"/>
      <c r="BO181" s="0"/>
      <c r="BP181" s="0"/>
      <c r="BQ181" s="0"/>
      <c r="BR181" s="0"/>
      <c r="BS181" s="0"/>
      <c r="BT181" s="0"/>
      <c r="BU181" s="0"/>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0"/>
      <c r="DT181" s="0"/>
      <c r="DU181" s="0"/>
      <c r="DV181" s="0"/>
      <c r="DW181" s="0"/>
      <c r="DX181" s="0"/>
      <c r="DY181" s="0"/>
      <c r="DZ181" s="0"/>
      <c r="EA181" s="0"/>
      <c r="EB181" s="0"/>
      <c r="EC181" s="0"/>
      <c r="ED181" s="0"/>
      <c r="EE181" s="0"/>
      <c r="EF181" s="0"/>
      <c r="EG181" s="0"/>
      <c r="EH181" s="0"/>
      <c r="EI181" s="0"/>
      <c r="EJ181" s="0"/>
      <c r="EK181" s="0"/>
      <c r="EL181" s="0"/>
      <c r="EM181" s="0"/>
      <c r="EN181" s="0"/>
      <c r="EO181" s="0"/>
      <c r="EP181" s="0"/>
      <c r="EQ181" s="0"/>
      <c r="ER181" s="0"/>
      <c r="ES181" s="0"/>
      <c r="ET181" s="0"/>
      <c r="EU181" s="0"/>
      <c r="EV181" s="0"/>
      <c r="EW181" s="0"/>
      <c r="EX181" s="0"/>
      <c r="EY181" s="0"/>
      <c r="EZ181" s="0"/>
      <c r="FA181" s="0"/>
      <c r="FB181" s="0"/>
      <c r="FC181" s="0"/>
      <c r="FD181" s="0"/>
      <c r="FE181" s="0"/>
      <c r="FF181" s="0"/>
      <c r="FG181" s="0"/>
      <c r="FH181" s="0"/>
      <c r="FI181" s="0"/>
      <c r="FJ181" s="0"/>
      <c r="FK181" s="0"/>
      <c r="FL181" s="0"/>
      <c r="FM181" s="0"/>
      <c r="FN181" s="0"/>
      <c r="FO181" s="0"/>
      <c r="FP181" s="0"/>
      <c r="FQ181" s="0"/>
      <c r="FR181" s="0"/>
      <c r="FS181" s="0"/>
      <c r="FT181" s="0"/>
      <c r="FU181" s="0"/>
      <c r="FV181" s="0"/>
      <c r="FW181" s="0"/>
      <c r="FX181" s="0"/>
      <c r="FY181" s="0"/>
      <c r="FZ181" s="0"/>
      <c r="GA181" s="0"/>
      <c r="GB181" s="0"/>
      <c r="GC181" s="0"/>
      <c r="GD181" s="0"/>
      <c r="GE181" s="0"/>
      <c r="GF181" s="0"/>
      <c r="GG181" s="0"/>
      <c r="GH181" s="0"/>
      <c r="GI181" s="0"/>
      <c r="GJ181" s="0"/>
      <c r="GK181" s="0"/>
      <c r="GL181" s="0"/>
      <c r="GM181" s="0"/>
      <c r="GN181" s="0"/>
      <c r="GO181" s="0"/>
      <c r="GP181" s="0"/>
      <c r="GQ181" s="0"/>
      <c r="GR181" s="0"/>
      <c r="GS181" s="0"/>
      <c r="GT181" s="0"/>
      <c r="GU181" s="0"/>
      <c r="GV181" s="0"/>
      <c r="GW181" s="0"/>
      <c r="GX181" s="0"/>
      <c r="GY181" s="0"/>
      <c r="GZ181" s="0"/>
      <c r="HA181" s="0"/>
      <c r="HB181" s="0"/>
      <c r="HC181" s="0"/>
      <c r="HD181" s="0"/>
      <c r="HE181" s="0"/>
      <c r="HF181" s="0"/>
      <c r="HG181" s="0"/>
      <c r="HH181" s="0"/>
      <c r="HI181" s="0"/>
      <c r="HJ181" s="0"/>
      <c r="HK181" s="0"/>
      <c r="HL181" s="0"/>
      <c r="HM181" s="0"/>
      <c r="HN181" s="0"/>
      <c r="HO181" s="0"/>
      <c r="HP181" s="0"/>
      <c r="HQ181" s="0"/>
      <c r="HR181" s="0"/>
      <c r="HS181" s="0"/>
      <c r="HT181" s="0"/>
      <c r="HU181" s="0"/>
      <c r="HV181" s="0"/>
      <c r="HW181" s="0"/>
      <c r="HX181" s="0"/>
      <c r="HY181" s="0"/>
      <c r="HZ181" s="0"/>
      <c r="IA181" s="0"/>
      <c r="IB181" s="0"/>
      <c r="IC181" s="0"/>
      <c r="ID181" s="0"/>
      <c r="IE181" s="0"/>
      <c r="IF181" s="0"/>
      <c r="IG181" s="0"/>
      <c r="IH181" s="0"/>
      <c r="II181" s="0"/>
      <c r="IJ181" s="0"/>
      <c r="IK181" s="0"/>
      <c r="IL181" s="0"/>
      <c r="IM181" s="0"/>
      <c r="IN181" s="0"/>
      <c r="IO181" s="0"/>
      <c r="IP181" s="0"/>
      <c r="IQ181" s="0"/>
      <c r="IR181" s="0"/>
      <c r="IS181" s="0"/>
      <c r="IT181" s="0"/>
      <c r="IU181" s="0"/>
      <c r="IV181" s="0"/>
      <c r="IW181" s="0"/>
    </row>
    <row r="182" customFormat="false" ht="12.75" hidden="false" customHeight="false" outlineLevel="0" collapsed="false">
      <c r="A182" s="0"/>
      <c r="B182" s="0"/>
      <c r="C182" s="0"/>
      <c r="D182" s="0"/>
      <c r="E182" s="0"/>
      <c r="F182" s="0"/>
      <c r="G182" s="0"/>
      <c r="H182" s="0"/>
      <c r="I182" s="0"/>
      <c r="J182" s="0"/>
      <c r="K182" s="0"/>
      <c r="L182" s="0"/>
      <c r="M182" s="0"/>
      <c r="N182" s="0"/>
      <c r="O182" s="0"/>
      <c r="P182" s="0"/>
      <c r="Q182" s="0"/>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11"/>
      <c r="AW182" s="11"/>
      <c r="AX182" s="0"/>
      <c r="AY182" s="0"/>
      <c r="AZ182" s="0"/>
      <c r="BA182" s="0"/>
      <c r="BB182" s="0"/>
      <c r="BC182" s="0"/>
      <c r="BD182" s="0"/>
      <c r="BE182" s="0"/>
      <c r="BF182" s="0"/>
      <c r="BG182" s="0"/>
      <c r="BH182" s="0"/>
      <c r="BI182" s="0"/>
      <c r="BJ182" s="0"/>
      <c r="BK182" s="0"/>
      <c r="BL182" s="0"/>
      <c r="BM182" s="0"/>
      <c r="BN182" s="0"/>
      <c r="BO182" s="0"/>
      <c r="BP182" s="0"/>
      <c r="BQ182" s="0"/>
      <c r="BR182" s="0"/>
      <c r="BS182" s="0"/>
      <c r="BT182" s="0"/>
      <c r="BU182" s="0"/>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0"/>
      <c r="DT182" s="0"/>
      <c r="DU182" s="0"/>
      <c r="DV182" s="0"/>
      <c r="DW182" s="0"/>
      <c r="DX182" s="0"/>
      <c r="DY182" s="0"/>
      <c r="DZ182" s="0"/>
      <c r="EA182" s="0"/>
      <c r="EB182" s="0"/>
      <c r="EC182" s="0"/>
      <c r="ED182" s="0"/>
      <c r="EE182" s="0"/>
      <c r="EF182" s="0"/>
      <c r="EG182" s="0"/>
      <c r="EH182" s="0"/>
      <c r="EI182" s="0"/>
      <c r="EJ182" s="0"/>
      <c r="EK182" s="0"/>
      <c r="EL182" s="0"/>
      <c r="EM182" s="0"/>
      <c r="EN182" s="0"/>
      <c r="EO182" s="0"/>
      <c r="EP182" s="0"/>
      <c r="EQ182" s="0"/>
      <c r="ER182" s="0"/>
      <c r="ES182" s="0"/>
      <c r="ET182" s="0"/>
      <c r="EU182" s="0"/>
      <c r="EV182" s="0"/>
      <c r="EW182" s="0"/>
      <c r="EX182" s="0"/>
      <c r="EY182" s="0"/>
      <c r="EZ182" s="0"/>
      <c r="FA182" s="0"/>
      <c r="FB182" s="0"/>
      <c r="FC182" s="0"/>
      <c r="FD182" s="0"/>
      <c r="FE182" s="0"/>
      <c r="FF182" s="0"/>
      <c r="FG182" s="0"/>
      <c r="FH182" s="0"/>
      <c r="FI182" s="0"/>
      <c r="FJ182" s="0"/>
      <c r="FK182" s="0"/>
      <c r="FL182" s="0"/>
      <c r="FM182" s="0"/>
      <c r="FN182" s="0"/>
      <c r="FO182" s="0"/>
      <c r="FP182" s="0"/>
      <c r="FQ182" s="0"/>
      <c r="FR182" s="0"/>
      <c r="FS182" s="0"/>
      <c r="FT182" s="0"/>
      <c r="FU182" s="0"/>
      <c r="FV182" s="0"/>
      <c r="FW182" s="0"/>
      <c r="FX182" s="0"/>
      <c r="FY182" s="0"/>
      <c r="FZ182" s="0"/>
      <c r="GA182" s="0"/>
      <c r="GB182" s="0"/>
      <c r="GC182" s="0"/>
      <c r="GD182" s="0"/>
      <c r="GE182" s="0"/>
      <c r="GF182" s="0"/>
      <c r="GG182" s="0"/>
      <c r="GH182" s="0"/>
      <c r="GI182" s="0"/>
      <c r="GJ182" s="0"/>
      <c r="GK182" s="0"/>
      <c r="GL182" s="0"/>
      <c r="GM182" s="0"/>
      <c r="GN182" s="0"/>
      <c r="GO182" s="0"/>
      <c r="GP182" s="0"/>
      <c r="GQ182" s="0"/>
      <c r="GR182" s="0"/>
      <c r="GS182" s="0"/>
      <c r="GT182" s="0"/>
      <c r="GU182" s="0"/>
      <c r="GV182" s="0"/>
      <c r="GW182" s="0"/>
      <c r="GX182" s="0"/>
      <c r="GY182" s="0"/>
      <c r="GZ182" s="0"/>
      <c r="HA182" s="0"/>
      <c r="HB182" s="0"/>
      <c r="HC182" s="0"/>
      <c r="HD182" s="0"/>
      <c r="HE182" s="0"/>
      <c r="HF182" s="0"/>
      <c r="HG182" s="0"/>
      <c r="HH182" s="0"/>
      <c r="HI182" s="0"/>
      <c r="HJ182" s="0"/>
      <c r="HK182" s="0"/>
      <c r="HL182" s="0"/>
      <c r="HM182" s="0"/>
      <c r="HN182" s="0"/>
      <c r="HO182" s="0"/>
      <c r="HP182" s="0"/>
      <c r="HQ182" s="0"/>
      <c r="HR182" s="0"/>
      <c r="HS182" s="0"/>
      <c r="HT182" s="0"/>
      <c r="HU182" s="0"/>
      <c r="HV182" s="0"/>
      <c r="HW182" s="0"/>
      <c r="HX182" s="0"/>
      <c r="HY182" s="0"/>
      <c r="HZ182" s="0"/>
      <c r="IA182" s="0"/>
      <c r="IB182" s="0"/>
      <c r="IC182" s="0"/>
      <c r="ID182" s="0"/>
      <c r="IE182" s="0"/>
      <c r="IF182" s="0"/>
      <c r="IG182" s="0"/>
      <c r="IH182" s="0"/>
      <c r="II182" s="0"/>
      <c r="IJ182" s="0"/>
      <c r="IK182" s="0"/>
      <c r="IL182" s="0"/>
      <c r="IM182" s="0"/>
      <c r="IN182" s="0"/>
      <c r="IO182" s="0"/>
      <c r="IP182" s="0"/>
      <c r="IQ182" s="0"/>
      <c r="IR182" s="0"/>
      <c r="IS182" s="0"/>
      <c r="IT182" s="0"/>
      <c r="IU182" s="0"/>
      <c r="IV182" s="0"/>
      <c r="IW182" s="0"/>
    </row>
    <row r="183" customFormat="false" ht="12.75" hidden="false" customHeight="false" outlineLevel="0" collapsed="false">
      <c r="A183" s="0"/>
      <c r="B183" s="0"/>
      <c r="C183" s="0"/>
      <c r="D183" s="0"/>
      <c r="E183" s="0"/>
      <c r="F183" s="0"/>
      <c r="G183" s="0"/>
      <c r="H183" s="0"/>
      <c r="I183" s="0"/>
      <c r="J183" s="0"/>
      <c r="K183" s="0"/>
      <c r="L183" s="0"/>
      <c r="M183" s="0"/>
      <c r="N183" s="0"/>
      <c r="O183" s="0"/>
      <c r="P183" s="0"/>
      <c r="Q183" s="0"/>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11"/>
      <c r="AW183" s="11"/>
      <c r="AX183" s="0"/>
      <c r="AY183" s="0"/>
      <c r="AZ183" s="0"/>
      <c r="BA183" s="0"/>
      <c r="BB183" s="0"/>
      <c r="BC183" s="0"/>
      <c r="BD183" s="0"/>
      <c r="BE183" s="0"/>
      <c r="BF183" s="0"/>
      <c r="BG183" s="0"/>
      <c r="BH183" s="0"/>
      <c r="BI183" s="0"/>
      <c r="BJ183" s="0"/>
      <c r="BK183" s="0"/>
      <c r="BL183" s="0"/>
      <c r="BM183" s="0"/>
      <c r="BN183" s="0"/>
      <c r="BO183" s="0"/>
      <c r="BP183" s="0"/>
      <c r="BQ183" s="0"/>
      <c r="BR183" s="0"/>
      <c r="BS183" s="0"/>
      <c r="BT183" s="0"/>
      <c r="BU183" s="0"/>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0"/>
      <c r="DT183" s="0"/>
      <c r="DU183" s="0"/>
      <c r="DV183" s="0"/>
      <c r="DW183" s="0"/>
      <c r="DX183" s="0"/>
      <c r="DY183" s="0"/>
      <c r="DZ183" s="0"/>
      <c r="EA183" s="0"/>
      <c r="EB183" s="0"/>
      <c r="EC183" s="0"/>
      <c r="ED183" s="0"/>
      <c r="EE183" s="0"/>
      <c r="EF183" s="0"/>
      <c r="EG183" s="0"/>
      <c r="EH183" s="0"/>
      <c r="EI183" s="0"/>
      <c r="EJ183" s="0"/>
      <c r="EK183" s="0"/>
      <c r="EL183" s="0"/>
      <c r="EM183" s="0"/>
      <c r="EN183" s="0"/>
      <c r="EO183" s="0"/>
      <c r="EP183" s="0"/>
      <c r="EQ183" s="0"/>
      <c r="ER183" s="0"/>
      <c r="ES183" s="0"/>
      <c r="ET183" s="0"/>
      <c r="EU183" s="0"/>
      <c r="EV183" s="0"/>
      <c r="EW183" s="0"/>
      <c r="EX183" s="0"/>
      <c r="EY183" s="0"/>
      <c r="EZ183" s="0"/>
      <c r="FA183" s="0"/>
      <c r="FB183" s="0"/>
      <c r="FC183" s="0"/>
      <c r="FD183" s="0"/>
      <c r="FE183" s="0"/>
      <c r="FF183" s="0"/>
      <c r="FG183" s="0"/>
      <c r="FH183" s="0"/>
      <c r="FI183" s="0"/>
      <c r="FJ183" s="0"/>
      <c r="FK183" s="0"/>
      <c r="FL183" s="0"/>
      <c r="FM183" s="0"/>
      <c r="FN183" s="0"/>
      <c r="FO183" s="0"/>
      <c r="FP183" s="0"/>
      <c r="FQ183" s="0"/>
      <c r="FR183" s="0"/>
      <c r="FS183" s="0"/>
      <c r="FT183" s="0"/>
      <c r="FU183" s="0"/>
      <c r="FV183" s="0"/>
      <c r="FW183" s="0"/>
      <c r="FX183" s="0"/>
      <c r="FY183" s="0"/>
      <c r="FZ183" s="0"/>
      <c r="GA183" s="0"/>
      <c r="GB183" s="0"/>
      <c r="GC183" s="0"/>
      <c r="GD183" s="0"/>
      <c r="GE183" s="0"/>
      <c r="GF183" s="0"/>
      <c r="GG183" s="0"/>
      <c r="GH183" s="0"/>
      <c r="GI183" s="0"/>
      <c r="GJ183" s="0"/>
      <c r="GK183" s="0"/>
      <c r="GL183" s="0"/>
      <c r="GM183" s="0"/>
      <c r="GN183" s="0"/>
      <c r="GO183" s="0"/>
      <c r="GP183" s="0"/>
      <c r="GQ183" s="0"/>
      <c r="GR183" s="0"/>
      <c r="GS183" s="0"/>
      <c r="GT183" s="0"/>
      <c r="GU183" s="0"/>
      <c r="GV183" s="0"/>
      <c r="GW183" s="0"/>
      <c r="GX183" s="0"/>
      <c r="GY183" s="0"/>
      <c r="GZ183" s="0"/>
      <c r="HA183" s="0"/>
      <c r="HB183" s="0"/>
      <c r="HC183" s="0"/>
      <c r="HD183" s="0"/>
      <c r="HE183" s="0"/>
      <c r="HF183" s="0"/>
      <c r="HG183" s="0"/>
      <c r="HH183" s="0"/>
      <c r="HI183" s="0"/>
      <c r="HJ183" s="0"/>
      <c r="HK183" s="0"/>
      <c r="HL183" s="0"/>
      <c r="HM183" s="0"/>
      <c r="HN183" s="0"/>
      <c r="HO183" s="0"/>
      <c r="HP183" s="0"/>
      <c r="HQ183" s="0"/>
      <c r="HR183" s="0"/>
      <c r="HS183" s="0"/>
      <c r="HT183" s="0"/>
      <c r="HU183" s="0"/>
      <c r="HV183" s="0"/>
      <c r="HW183" s="0"/>
      <c r="HX183" s="0"/>
      <c r="HY183" s="0"/>
      <c r="HZ183" s="0"/>
      <c r="IA183" s="0"/>
      <c r="IB183" s="0"/>
      <c r="IC183" s="0"/>
      <c r="ID183" s="0"/>
      <c r="IE183" s="0"/>
      <c r="IF183" s="0"/>
      <c r="IG183" s="0"/>
      <c r="IH183" s="0"/>
      <c r="II183" s="0"/>
      <c r="IJ183" s="0"/>
      <c r="IK183" s="0"/>
      <c r="IL183" s="0"/>
      <c r="IM183" s="0"/>
      <c r="IN183" s="0"/>
      <c r="IO183" s="0"/>
      <c r="IP183" s="0"/>
      <c r="IQ183" s="0"/>
      <c r="IR183" s="0"/>
      <c r="IS183" s="0"/>
      <c r="IT183" s="0"/>
      <c r="IU183" s="0"/>
      <c r="IV183" s="0"/>
      <c r="IW183" s="0"/>
    </row>
    <row r="184" customFormat="false" ht="12.75" hidden="false" customHeight="false" outlineLevel="0" collapsed="false">
      <c r="A184" s="0"/>
      <c r="B184" s="0"/>
      <c r="C184" s="0"/>
      <c r="D184" s="0"/>
      <c r="E184" s="0"/>
      <c r="F184" s="0"/>
      <c r="G184" s="0"/>
      <c r="H184" s="0"/>
      <c r="I184" s="0"/>
      <c r="J184" s="0"/>
      <c r="K184" s="0"/>
      <c r="L184" s="0"/>
      <c r="M184" s="0"/>
      <c r="N184" s="0"/>
      <c r="O184" s="0"/>
      <c r="P184" s="0"/>
      <c r="Q184" s="0"/>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11"/>
      <c r="AW184" s="11"/>
      <c r="AX184" s="0"/>
      <c r="AY184" s="0"/>
      <c r="AZ184" s="0"/>
      <c r="BA184" s="0"/>
      <c r="BB184" s="0"/>
      <c r="BC184" s="0"/>
      <c r="BD184" s="0"/>
      <c r="BE184" s="0"/>
      <c r="BF184" s="0"/>
      <c r="BG184" s="0"/>
      <c r="BH184" s="0"/>
      <c r="BI184" s="0"/>
      <c r="BJ184" s="0"/>
      <c r="BK184" s="0"/>
      <c r="BL184" s="0"/>
      <c r="BM184" s="0"/>
      <c r="BN184" s="0"/>
      <c r="BO184" s="0"/>
      <c r="BP184" s="0"/>
      <c r="BQ184" s="0"/>
      <c r="BR184" s="0"/>
      <c r="BS184" s="0"/>
      <c r="BT184" s="0"/>
      <c r="BU184" s="0"/>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0"/>
      <c r="DT184" s="0"/>
      <c r="DU184" s="0"/>
      <c r="DV184" s="0"/>
      <c r="DW184" s="0"/>
      <c r="DX184" s="0"/>
      <c r="DY184" s="0"/>
      <c r="DZ184" s="0"/>
      <c r="EA184" s="0"/>
      <c r="EB184" s="0"/>
      <c r="EC184" s="0"/>
      <c r="ED184" s="0"/>
      <c r="EE184" s="0"/>
      <c r="EF184" s="0"/>
      <c r="EG184" s="0"/>
      <c r="EH184" s="0"/>
      <c r="EI184" s="0"/>
      <c r="EJ184" s="0"/>
      <c r="EK184" s="0"/>
      <c r="EL184" s="0"/>
      <c r="EM184" s="0"/>
      <c r="EN184" s="0"/>
      <c r="EO184" s="0"/>
      <c r="EP184" s="0"/>
      <c r="EQ184" s="0"/>
      <c r="ER184" s="0"/>
      <c r="ES184" s="0"/>
      <c r="ET184" s="0"/>
      <c r="EU184" s="0"/>
      <c r="EV184" s="0"/>
      <c r="EW184" s="0"/>
      <c r="EX184" s="0"/>
      <c r="EY184" s="0"/>
      <c r="EZ184" s="0"/>
      <c r="FA184" s="0"/>
      <c r="FB184" s="0"/>
      <c r="FC184" s="0"/>
      <c r="FD184" s="0"/>
      <c r="FE184" s="0"/>
      <c r="FF184" s="0"/>
      <c r="FG184" s="0"/>
      <c r="FH184" s="0"/>
      <c r="FI184" s="0"/>
      <c r="FJ184" s="0"/>
      <c r="FK184" s="0"/>
      <c r="FL184" s="0"/>
      <c r="FM184" s="0"/>
      <c r="FN184" s="0"/>
      <c r="FO184" s="0"/>
      <c r="FP184" s="0"/>
      <c r="FQ184" s="0"/>
      <c r="FR184" s="0"/>
      <c r="FS184" s="0"/>
      <c r="FT184" s="0"/>
      <c r="FU184" s="0"/>
      <c r="FV184" s="0"/>
      <c r="FW184" s="0"/>
      <c r="FX184" s="0"/>
      <c r="FY184" s="0"/>
      <c r="FZ184" s="0"/>
      <c r="GA184" s="0"/>
      <c r="GB184" s="0"/>
      <c r="GC184" s="0"/>
      <c r="GD184" s="0"/>
      <c r="GE184" s="0"/>
      <c r="GF184" s="0"/>
      <c r="GG184" s="0"/>
      <c r="GH184" s="0"/>
      <c r="GI184" s="0"/>
      <c r="GJ184" s="0"/>
      <c r="GK184" s="0"/>
      <c r="GL184" s="0"/>
      <c r="GM184" s="0"/>
      <c r="GN184" s="0"/>
      <c r="GO184" s="0"/>
      <c r="GP184" s="0"/>
      <c r="GQ184" s="0"/>
      <c r="GR184" s="0"/>
      <c r="GS184" s="0"/>
      <c r="GT184" s="0"/>
      <c r="GU184" s="0"/>
      <c r="GV184" s="0"/>
      <c r="GW184" s="0"/>
      <c r="GX184" s="0"/>
      <c r="GY184" s="0"/>
      <c r="GZ184" s="0"/>
      <c r="HA184" s="0"/>
      <c r="HB184" s="0"/>
      <c r="HC184" s="0"/>
      <c r="HD184" s="0"/>
      <c r="HE184" s="0"/>
      <c r="HF184" s="0"/>
      <c r="HG184" s="0"/>
      <c r="HH184" s="0"/>
      <c r="HI184" s="0"/>
      <c r="HJ184" s="0"/>
      <c r="HK184" s="0"/>
      <c r="HL184" s="0"/>
      <c r="HM184" s="0"/>
      <c r="HN184" s="0"/>
      <c r="HO184" s="0"/>
      <c r="HP184" s="0"/>
      <c r="HQ184" s="0"/>
      <c r="HR184" s="0"/>
      <c r="HS184" s="0"/>
      <c r="HT184" s="0"/>
      <c r="HU184" s="0"/>
      <c r="HV184" s="0"/>
      <c r="HW184" s="0"/>
      <c r="HX184" s="0"/>
      <c r="HY184" s="0"/>
      <c r="HZ184" s="0"/>
      <c r="IA184" s="0"/>
      <c r="IB184" s="0"/>
      <c r="IC184" s="0"/>
      <c r="ID184" s="0"/>
      <c r="IE184" s="0"/>
      <c r="IF184" s="0"/>
      <c r="IG184" s="0"/>
      <c r="IH184" s="0"/>
      <c r="II184" s="0"/>
      <c r="IJ184" s="0"/>
      <c r="IK184" s="0"/>
      <c r="IL184" s="0"/>
      <c r="IM184" s="0"/>
      <c r="IN184" s="0"/>
      <c r="IO184" s="0"/>
      <c r="IP184" s="0"/>
      <c r="IQ184" s="0"/>
      <c r="IR184" s="0"/>
      <c r="IS184" s="0"/>
      <c r="IT184" s="0"/>
      <c r="IU184" s="0"/>
      <c r="IV184" s="0"/>
      <c r="IW184" s="0"/>
    </row>
    <row r="185" customFormat="false" ht="12.75" hidden="false" customHeight="false" outlineLevel="0" collapsed="false">
      <c r="A185" s="0"/>
      <c r="B185" s="0"/>
      <c r="C185" s="0"/>
      <c r="D185" s="0"/>
      <c r="E185" s="0"/>
      <c r="F185" s="0"/>
      <c r="G185" s="0"/>
      <c r="H185" s="0"/>
      <c r="I185" s="0"/>
      <c r="J185" s="0"/>
      <c r="K185" s="0"/>
      <c r="L185" s="0"/>
      <c r="M185" s="0"/>
      <c r="N185" s="0"/>
      <c r="O185" s="0"/>
      <c r="P185" s="0"/>
      <c r="Q185" s="0"/>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11"/>
      <c r="AW185" s="11"/>
      <c r="AX185" s="0"/>
      <c r="AY185" s="0"/>
      <c r="AZ185" s="0"/>
      <c r="BA185" s="0"/>
      <c r="BB185" s="0"/>
      <c r="BC185" s="0"/>
      <c r="BD185" s="0"/>
      <c r="BE185" s="0"/>
      <c r="BF185" s="0"/>
      <c r="BG185" s="0"/>
      <c r="BH185" s="0"/>
      <c r="BI185" s="0"/>
      <c r="BJ185" s="0"/>
      <c r="BK185" s="0"/>
      <c r="BL185" s="0"/>
      <c r="BM185" s="0"/>
      <c r="BN185" s="0"/>
      <c r="BO185" s="0"/>
      <c r="BP185" s="0"/>
      <c r="BQ185" s="0"/>
      <c r="BR185" s="0"/>
      <c r="BS185" s="0"/>
      <c r="BT185" s="0"/>
      <c r="BU185" s="0"/>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0"/>
      <c r="DT185" s="0"/>
      <c r="DU185" s="0"/>
      <c r="DV185" s="0"/>
      <c r="DW185" s="0"/>
      <c r="DX185" s="0"/>
      <c r="DY185" s="0"/>
      <c r="DZ185" s="0"/>
      <c r="EA185" s="0"/>
      <c r="EB185" s="0"/>
      <c r="EC185" s="0"/>
      <c r="ED185" s="0"/>
      <c r="EE185" s="0"/>
      <c r="EF185" s="0"/>
      <c r="EG185" s="0"/>
      <c r="EH185" s="0"/>
      <c r="EI185" s="0"/>
      <c r="EJ185" s="0"/>
      <c r="EK185" s="0"/>
      <c r="EL185" s="0"/>
      <c r="EM185" s="0"/>
      <c r="EN185" s="0"/>
      <c r="EO185" s="0"/>
      <c r="EP185" s="0"/>
      <c r="EQ185" s="0"/>
      <c r="ER185" s="0"/>
      <c r="ES185" s="0"/>
      <c r="ET185" s="0"/>
      <c r="EU185" s="0"/>
      <c r="EV185" s="0"/>
      <c r="EW185" s="0"/>
      <c r="EX185" s="0"/>
      <c r="EY185" s="0"/>
      <c r="EZ185" s="0"/>
      <c r="FA185" s="0"/>
      <c r="FB185" s="0"/>
      <c r="FC185" s="0"/>
      <c r="FD185" s="0"/>
      <c r="FE185" s="0"/>
      <c r="FF185" s="0"/>
      <c r="FG185" s="0"/>
      <c r="FH185" s="0"/>
      <c r="FI185" s="0"/>
      <c r="FJ185" s="0"/>
      <c r="FK185" s="0"/>
      <c r="FL185" s="0"/>
      <c r="FM185" s="0"/>
      <c r="FN185" s="0"/>
      <c r="FO185" s="0"/>
      <c r="FP185" s="0"/>
      <c r="FQ185" s="0"/>
      <c r="FR185" s="0"/>
      <c r="FS185" s="0"/>
      <c r="FT185" s="0"/>
      <c r="FU185" s="0"/>
      <c r="FV185" s="0"/>
      <c r="FW185" s="0"/>
      <c r="FX185" s="0"/>
      <c r="FY185" s="0"/>
      <c r="FZ185" s="0"/>
      <c r="GA185" s="0"/>
      <c r="GB185" s="0"/>
      <c r="GC185" s="0"/>
      <c r="GD185" s="0"/>
      <c r="GE185" s="0"/>
      <c r="GF185" s="0"/>
      <c r="GG185" s="0"/>
      <c r="GH185" s="0"/>
      <c r="GI185" s="0"/>
      <c r="GJ185" s="0"/>
      <c r="GK185" s="0"/>
      <c r="GL185" s="0"/>
      <c r="GM185" s="0"/>
      <c r="GN185" s="0"/>
      <c r="GO185" s="0"/>
      <c r="GP185" s="0"/>
      <c r="GQ185" s="0"/>
      <c r="GR185" s="0"/>
      <c r="GS185" s="0"/>
      <c r="GT185" s="0"/>
      <c r="GU185" s="0"/>
      <c r="GV185" s="0"/>
      <c r="GW185" s="0"/>
      <c r="GX185" s="0"/>
      <c r="GY185" s="0"/>
      <c r="GZ185" s="0"/>
      <c r="HA185" s="0"/>
      <c r="HB185" s="0"/>
      <c r="HC185" s="0"/>
      <c r="HD185" s="0"/>
      <c r="HE185" s="0"/>
      <c r="HF185" s="0"/>
      <c r="HG185" s="0"/>
      <c r="HH185" s="0"/>
      <c r="HI185" s="0"/>
      <c r="HJ185" s="0"/>
      <c r="HK185" s="0"/>
      <c r="HL185" s="0"/>
      <c r="HM185" s="0"/>
      <c r="HN185" s="0"/>
      <c r="HO185" s="0"/>
      <c r="HP185" s="0"/>
      <c r="HQ185" s="0"/>
      <c r="HR185" s="0"/>
      <c r="HS185" s="0"/>
      <c r="HT185" s="0"/>
      <c r="HU185" s="0"/>
      <c r="HV185" s="0"/>
      <c r="HW185" s="0"/>
      <c r="HX185" s="0"/>
      <c r="HY185" s="0"/>
      <c r="HZ185" s="0"/>
      <c r="IA185" s="0"/>
      <c r="IB185" s="0"/>
      <c r="IC185" s="0"/>
      <c r="ID185" s="0"/>
      <c r="IE185" s="0"/>
      <c r="IF185" s="0"/>
      <c r="IG185" s="0"/>
      <c r="IH185" s="0"/>
      <c r="II185" s="0"/>
      <c r="IJ185" s="0"/>
      <c r="IK185" s="0"/>
      <c r="IL185" s="0"/>
      <c r="IM185" s="0"/>
      <c r="IN185" s="0"/>
      <c r="IO185" s="0"/>
      <c r="IP185" s="0"/>
      <c r="IQ185" s="0"/>
      <c r="IR185" s="0"/>
      <c r="IS185" s="0"/>
      <c r="IT185" s="0"/>
      <c r="IU185" s="0"/>
      <c r="IV185" s="0"/>
      <c r="IW185" s="0"/>
    </row>
    <row r="186" customFormat="false" ht="12.75" hidden="false" customHeight="false" outlineLevel="0" collapsed="false">
      <c r="A186" s="0"/>
      <c r="B186" s="0"/>
      <c r="C186" s="0"/>
      <c r="D186" s="0"/>
      <c r="E186" s="0"/>
      <c r="F186" s="0"/>
      <c r="G186" s="0"/>
      <c r="H186" s="0"/>
      <c r="I186" s="0"/>
      <c r="J186" s="0"/>
      <c r="K186" s="0"/>
      <c r="L186" s="0"/>
      <c r="M186" s="0"/>
      <c r="N186" s="0"/>
      <c r="O186" s="0"/>
      <c r="P186" s="0"/>
      <c r="Q186" s="0"/>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11"/>
      <c r="AW186" s="11"/>
      <c r="AX186" s="0"/>
      <c r="AY186" s="0"/>
      <c r="AZ186" s="0"/>
      <c r="BA186" s="0"/>
      <c r="BB186" s="0"/>
      <c r="BC186" s="0"/>
      <c r="BD186" s="0"/>
      <c r="BE186" s="0"/>
      <c r="BF186" s="0"/>
      <c r="BG186" s="0"/>
      <c r="BH186" s="0"/>
      <c r="BI186" s="0"/>
      <c r="BJ186" s="0"/>
      <c r="BK186" s="0"/>
      <c r="BL186" s="0"/>
      <c r="BM186" s="0"/>
      <c r="BN186" s="0"/>
      <c r="BO186" s="0"/>
      <c r="BP186" s="0"/>
      <c r="BQ186" s="0"/>
      <c r="BR186" s="0"/>
      <c r="BS186" s="0"/>
      <c r="BT186" s="0"/>
      <c r="BU186" s="0"/>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0"/>
      <c r="DT186" s="0"/>
      <c r="DU186" s="0"/>
      <c r="DV186" s="0"/>
      <c r="DW186" s="0"/>
      <c r="DX186" s="0"/>
      <c r="DY186" s="0"/>
      <c r="DZ186" s="0"/>
      <c r="EA186" s="0"/>
      <c r="EB186" s="0"/>
      <c r="EC186" s="0"/>
      <c r="ED186" s="0"/>
      <c r="EE186" s="0"/>
      <c r="EF186" s="0"/>
      <c r="EG186" s="0"/>
      <c r="EH186" s="0"/>
      <c r="EI186" s="0"/>
      <c r="EJ186" s="0"/>
      <c r="EK186" s="0"/>
      <c r="EL186" s="0"/>
      <c r="EM186" s="0"/>
      <c r="EN186" s="0"/>
      <c r="EO186" s="0"/>
      <c r="EP186" s="0"/>
      <c r="EQ186" s="0"/>
      <c r="ER186" s="0"/>
      <c r="ES186" s="0"/>
      <c r="ET186" s="0"/>
      <c r="EU186" s="0"/>
      <c r="EV186" s="0"/>
      <c r="EW186" s="0"/>
      <c r="EX186" s="0"/>
      <c r="EY186" s="0"/>
      <c r="EZ186" s="0"/>
      <c r="FA186" s="0"/>
      <c r="FB186" s="0"/>
      <c r="FC186" s="0"/>
      <c r="FD186" s="0"/>
      <c r="FE186" s="0"/>
      <c r="FF186" s="0"/>
      <c r="FG186" s="0"/>
      <c r="FH186" s="0"/>
      <c r="FI186" s="0"/>
      <c r="FJ186" s="0"/>
      <c r="FK186" s="0"/>
      <c r="FL186" s="0"/>
      <c r="FM186" s="0"/>
      <c r="FN186" s="0"/>
      <c r="FO186" s="0"/>
      <c r="FP186" s="0"/>
      <c r="FQ186" s="0"/>
      <c r="FR186" s="0"/>
      <c r="FS186" s="0"/>
      <c r="FT186" s="0"/>
      <c r="FU186" s="0"/>
      <c r="FV186" s="0"/>
      <c r="FW186" s="0"/>
      <c r="FX186" s="0"/>
      <c r="FY186" s="0"/>
      <c r="FZ186" s="0"/>
      <c r="GA186" s="0"/>
      <c r="GB186" s="0"/>
      <c r="GC186" s="0"/>
      <c r="GD186" s="0"/>
      <c r="GE186" s="0"/>
      <c r="GF186" s="0"/>
      <c r="GG186" s="0"/>
      <c r="GH186" s="0"/>
      <c r="GI186" s="0"/>
      <c r="GJ186" s="0"/>
      <c r="GK186" s="0"/>
      <c r="GL186" s="0"/>
      <c r="GM186" s="0"/>
      <c r="GN186" s="0"/>
      <c r="GO186" s="0"/>
      <c r="GP186" s="0"/>
      <c r="GQ186" s="0"/>
      <c r="GR186" s="0"/>
      <c r="GS186" s="0"/>
      <c r="GT186" s="0"/>
      <c r="GU186" s="0"/>
      <c r="GV186" s="0"/>
      <c r="GW186" s="0"/>
      <c r="GX186" s="0"/>
      <c r="GY186" s="0"/>
      <c r="GZ186" s="0"/>
      <c r="HA186" s="0"/>
      <c r="HB186" s="0"/>
      <c r="HC186" s="0"/>
      <c r="HD186" s="0"/>
      <c r="HE186" s="0"/>
      <c r="HF186" s="0"/>
      <c r="HG186" s="0"/>
      <c r="HH186" s="0"/>
      <c r="HI186" s="0"/>
      <c r="HJ186" s="0"/>
      <c r="HK186" s="0"/>
      <c r="HL186" s="0"/>
      <c r="HM186" s="0"/>
      <c r="HN186" s="0"/>
      <c r="HO186" s="0"/>
      <c r="HP186" s="0"/>
      <c r="HQ186" s="0"/>
      <c r="HR186" s="0"/>
      <c r="HS186" s="0"/>
      <c r="HT186" s="0"/>
      <c r="HU186" s="0"/>
      <c r="HV186" s="0"/>
      <c r="HW186" s="0"/>
      <c r="HX186" s="0"/>
      <c r="HY186" s="0"/>
      <c r="HZ186" s="0"/>
      <c r="IA186" s="0"/>
      <c r="IB186" s="0"/>
      <c r="IC186" s="0"/>
      <c r="ID186" s="0"/>
      <c r="IE186" s="0"/>
      <c r="IF186" s="0"/>
      <c r="IG186" s="0"/>
      <c r="IH186" s="0"/>
      <c r="II186" s="0"/>
      <c r="IJ186" s="0"/>
      <c r="IK186" s="0"/>
      <c r="IL186" s="0"/>
      <c r="IM186" s="0"/>
      <c r="IN186" s="0"/>
      <c r="IO186" s="0"/>
      <c r="IP186" s="0"/>
      <c r="IQ186" s="0"/>
      <c r="IR186" s="0"/>
      <c r="IS186" s="0"/>
      <c r="IT186" s="0"/>
      <c r="IU186" s="0"/>
      <c r="IV186" s="0"/>
      <c r="IW186" s="0"/>
    </row>
    <row r="187" customFormat="false" ht="12.75" hidden="false" customHeight="false" outlineLevel="0" collapsed="false">
      <c r="A187" s="0"/>
      <c r="B187" s="0"/>
      <c r="C187" s="0"/>
      <c r="D187" s="0"/>
      <c r="E187" s="0"/>
      <c r="F187" s="0"/>
      <c r="G187" s="0"/>
      <c r="H187" s="0"/>
      <c r="I187" s="0"/>
      <c r="J187" s="0"/>
      <c r="K187" s="0"/>
      <c r="L187" s="0"/>
      <c r="M187" s="0"/>
      <c r="N187" s="0"/>
      <c r="O187" s="0"/>
      <c r="P187" s="0"/>
      <c r="Q187" s="0"/>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11"/>
      <c r="AW187" s="11"/>
      <c r="AX187" s="0"/>
      <c r="AY187" s="0"/>
      <c r="AZ187" s="0"/>
      <c r="BA187" s="0"/>
      <c r="BB187" s="0"/>
      <c r="BC187" s="0"/>
      <c r="BD187" s="0"/>
      <c r="BE187" s="0"/>
      <c r="BF187" s="0"/>
      <c r="BG187" s="0"/>
      <c r="BH187" s="0"/>
      <c r="BI187" s="0"/>
      <c r="BJ187" s="0"/>
      <c r="BK187" s="0"/>
      <c r="BL187" s="0"/>
      <c r="BM187" s="0"/>
      <c r="BN187" s="0"/>
      <c r="BO187" s="0"/>
      <c r="BP187" s="0"/>
      <c r="BQ187" s="0"/>
      <c r="BR187" s="0"/>
      <c r="BS187" s="0"/>
      <c r="BT187" s="0"/>
      <c r="BU187" s="0"/>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0"/>
      <c r="DT187" s="0"/>
      <c r="DU187" s="0"/>
      <c r="DV187" s="0"/>
      <c r="DW187" s="0"/>
      <c r="DX187" s="0"/>
      <c r="DY187" s="0"/>
      <c r="DZ187" s="0"/>
      <c r="EA187" s="0"/>
      <c r="EB187" s="0"/>
      <c r="EC187" s="0"/>
      <c r="ED187" s="0"/>
      <c r="EE187" s="0"/>
      <c r="EF187" s="0"/>
      <c r="EG187" s="0"/>
      <c r="EH187" s="0"/>
      <c r="EI187" s="0"/>
      <c r="EJ187" s="0"/>
      <c r="EK187" s="0"/>
      <c r="EL187" s="0"/>
      <c r="EM187" s="0"/>
      <c r="EN187" s="0"/>
      <c r="EO187" s="0"/>
      <c r="EP187" s="0"/>
      <c r="EQ187" s="0"/>
      <c r="ER187" s="0"/>
      <c r="ES187" s="0"/>
      <c r="ET187" s="0"/>
      <c r="EU187" s="0"/>
      <c r="EV187" s="0"/>
      <c r="EW187" s="0"/>
      <c r="EX187" s="0"/>
      <c r="EY187" s="0"/>
      <c r="EZ187" s="0"/>
      <c r="FA187" s="0"/>
      <c r="FB187" s="0"/>
      <c r="FC187" s="0"/>
      <c r="FD187" s="0"/>
      <c r="FE187" s="0"/>
      <c r="FF187" s="0"/>
      <c r="FG187" s="0"/>
      <c r="FH187" s="0"/>
      <c r="FI187" s="0"/>
      <c r="FJ187" s="0"/>
      <c r="FK187" s="0"/>
      <c r="FL187" s="0"/>
      <c r="FM187" s="0"/>
      <c r="FN187" s="0"/>
      <c r="FO187" s="0"/>
      <c r="FP187" s="0"/>
      <c r="FQ187" s="0"/>
      <c r="FR187" s="0"/>
      <c r="FS187" s="0"/>
      <c r="FT187" s="0"/>
      <c r="FU187" s="0"/>
      <c r="FV187" s="0"/>
      <c r="FW187" s="0"/>
      <c r="FX187" s="0"/>
      <c r="FY187" s="0"/>
      <c r="FZ187" s="0"/>
      <c r="GA187" s="0"/>
      <c r="GB187" s="0"/>
      <c r="GC187" s="0"/>
      <c r="GD187" s="0"/>
      <c r="GE187" s="0"/>
      <c r="GF187" s="0"/>
      <c r="GG187" s="0"/>
      <c r="GH187" s="0"/>
      <c r="GI187" s="0"/>
      <c r="GJ187" s="0"/>
      <c r="GK187" s="0"/>
      <c r="GL187" s="0"/>
      <c r="GM187" s="0"/>
      <c r="GN187" s="0"/>
      <c r="GO187" s="0"/>
      <c r="GP187" s="0"/>
      <c r="GQ187" s="0"/>
      <c r="GR187" s="0"/>
      <c r="GS187" s="0"/>
      <c r="GT187" s="0"/>
      <c r="GU187" s="0"/>
      <c r="GV187" s="0"/>
      <c r="GW187" s="0"/>
      <c r="GX187" s="0"/>
      <c r="GY187" s="0"/>
      <c r="GZ187" s="0"/>
      <c r="HA187" s="0"/>
      <c r="HB187" s="0"/>
      <c r="HC187" s="0"/>
      <c r="HD187" s="0"/>
      <c r="HE187" s="0"/>
      <c r="HF187" s="0"/>
      <c r="HG187" s="0"/>
      <c r="HH187" s="0"/>
      <c r="HI187" s="0"/>
      <c r="HJ187" s="0"/>
      <c r="HK187" s="0"/>
      <c r="HL187" s="0"/>
      <c r="HM187" s="0"/>
      <c r="HN187" s="0"/>
      <c r="HO187" s="0"/>
      <c r="HP187" s="0"/>
      <c r="HQ187" s="0"/>
      <c r="HR187" s="0"/>
      <c r="HS187" s="0"/>
      <c r="HT187" s="0"/>
      <c r="HU187" s="0"/>
      <c r="HV187" s="0"/>
      <c r="HW187" s="0"/>
      <c r="HX187" s="0"/>
      <c r="HY187" s="0"/>
      <c r="HZ187" s="0"/>
      <c r="IA187" s="0"/>
      <c r="IB187" s="0"/>
      <c r="IC187" s="0"/>
      <c r="ID187" s="0"/>
      <c r="IE187" s="0"/>
      <c r="IF187" s="0"/>
      <c r="IG187" s="0"/>
      <c r="IH187" s="0"/>
      <c r="II187" s="0"/>
      <c r="IJ187" s="0"/>
      <c r="IK187" s="0"/>
      <c r="IL187" s="0"/>
      <c r="IM187" s="0"/>
      <c r="IN187" s="0"/>
      <c r="IO187" s="0"/>
      <c r="IP187" s="0"/>
      <c r="IQ187" s="0"/>
      <c r="IR187" s="0"/>
      <c r="IS187" s="0"/>
      <c r="IT187" s="0"/>
      <c r="IU187" s="0"/>
      <c r="IV187" s="0"/>
      <c r="IW187" s="0"/>
    </row>
    <row r="188" customFormat="false" ht="12.75" hidden="false" customHeight="false" outlineLevel="0" collapsed="false">
      <c r="A188" s="0"/>
      <c r="B188" s="0"/>
      <c r="C188" s="0"/>
      <c r="D188" s="0"/>
      <c r="E188" s="0"/>
      <c r="F188" s="0"/>
      <c r="G188" s="0"/>
      <c r="H188" s="0"/>
      <c r="I188" s="0"/>
      <c r="J188" s="0"/>
      <c r="K188" s="0"/>
      <c r="L188" s="0"/>
      <c r="M188" s="0"/>
      <c r="N188" s="0"/>
      <c r="O188" s="0"/>
      <c r="P188" s="0"/>
      <c r="Q188" s="0"/>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11"/>
      <c r="AW188" s="11"/>
      <c r="AX188" s="0"/>
      <c r="AY188" s="0"/>
      <c r="AZ188" s="0"/>
      <c r="BA188" s="0"/>
      <c r="BB188" s="0"/>
      <c r="BC188" s="0"/>
      <c r="BD188" s="0"/>
      <c r="BE188" s="0"/>
      <c r="BF188" s="0"/>
      <c r="BG188" s="0"/>
      <c r="BH188" s="0"/>
      <c r="BI188" s="0"/>
      <c r="BJ188" s="0"/>
      <c r="BK188" s="0"/>
      <c r="BL188" s="0"/>
      <c r="BM188" s="0"/>
      <c r="BN188" s="0"/>
      <c r="BO188" s="0"/>
      <c r="BP188" s="0"/>
      <c r="BQ188" s="0"/>
      <c r="BR188" s="0"/>
      <c r="BS188" s="0"/>
      <c r="BT188" s="0"/>
      <c r="BU188" s="0"/>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0"/>
      <c r="DT188" s="0"/>
      <c r="DU188" s="0"/>
      <c r="DV188" s="0"/>
      <c r="DW188" s="0"/>
      <c r="DX188" s="0"/>
      <c r="DY188" s="0"/>
      <c r="DZ188" s="0"/>
      <c r="EA188" s="0"/>
      <c r="EB188" s="0"/>
      <c r="EC188" s="0"/>
      <c r="ED188" s="0"/>
      <c r="EE188" s="0"/>
      <c r="EF188" s="0"/>
      <c r="EG188" s="0"/>
      <c r="EH188" s="0"/>
      <c r="EI188" s="0"/>
      <c r="EJ188" s="0"/>
      <c r="EK188" s="0"/>
      <c r="EL188" s="0"/>
      <c r="EM188" s="0"/>
      <c r="EN188" s="0"/>
      <c r="EO188" s="0"/>
      <c r="EP188" s="0"/>
      <c r="EQ188" s="0"/>
      <c r="ER188" s="0"/>
      <c r="ES188" s="0"/>
      <c r="ET188" s="0"/>
      <c r="EU188" s="0"/>
      <c r="EV188" s="0"/>
      <c r="EW188" s="0"/>
      <c r="EX188" s="0"/>
      <c r="EY188" s="0"/>
      <c r="EZ188" s="0"/>
      <c r="FA188" s="0"/>
      <c r="FB188" s="0"/>
      <c r="FC188" s="0"/>
      <c r="FD188" s="0"/>
      <c r="FE188" s="0"/>
      <c r="FF188" s="0"/>
      <c r="FG188" s="0"/>
      <c r="FH188" s="0"/>
      <c r="FI188" s="0"/>
      <c r="FJ188" s="0"/>
      <c r="FK188" s="0"/>
      <c r="FL188" s="0"/>
      <c r="FM188" s="0"/>
      <c r="FN188" s="0"/>
      <c r="FO188" s="0"/>
      <c r="FP188" s="0"/>
      <c r="FQ188" s="0"/>
      <c r="FR188" s="0"/>
      <c r="FS188" s="0"/>
      <c r="FT188" s="0"/>
      <c r="FU188" s="0"/>
      <c r="FV188" s="0"/>
      <c r="FW188" s="0"/>
      <c r="FX188" s="0"/>
      <c r="FY188" s="0"/>
      <c r="FZ188" s="0"/>
      <c r="GA188" s="0"/>
      <c r="GB188" s="0"/>
      <c r="GC188" s="0"/>
      <c r="GD188" s="0"/>
      <c r="GE188" s="0"/>
      <c r="GF188" s="0"/>
      <c r="GG188" s="0"/>
      <c r="GH188" s="0"/>
      <c r="GI188" s="0"/>
      <c r="GJ188" s="0"/>
      <c r="GK188" s="0"/>
      <c r="GL188" s="0"/>
      <c r="GM188" s="0"/>
      <c r="GN188" s="0"/>
      <c r="GO188" s="0"/>
      <c r="GP188" s="0"/>
      <c r="GQ188" s="0"/>
      <c r="GR188" s="0"/>
      <c r="GS188" s="0"/>
      <c r="GT188" s="0"/>
      <c r="GU188" s="0"/>
      <c r="GV188" s="0"/>
      <c r="GW188" s="0"/>
      <c r="GX188" s="0"/>
      <c r="GY188" s="0"/>
      <c r="GZ188" s="0"/>
      <c r="HA188" s="0"/>
      <c r="HB188" s="0"/>
      <c r="HC188" s="0"/>
      <c r="HD188" s="0"/>
      <c r="HE188" s="0"/>
      <c r="HF188" s="0"/>
      <c r="HG188" s="0"/>
      <c r="HH188" s="0"/>
      <c r="HI188" s="0"/>
      <c r="HJ188" s="0"/>
      <c r="HK188" s="0"/>
      <c r="HL188" s="0"/>
      <c r="HM188" s="0"/>
      <c r="HN188" s="0"/>
      <c r="HO188" s="0"/>
      <c r="HP188" s="0"/>
      <c r="HQ188" s="0"/>
      <c r="HR188" s="0"/>
      <c r="HS188" s="0"/>
      <c r="HT188" s="0"/>
      <c r="HU188" s="0"/>
      <c r="HV188" s="0"/>
      <c r="HW188" s="0"/>
      <c r="HX188" s="0"/>
      <c r="HY188" s="0"/>
      <c r="HZ188" s="0"/>
      <c r="IA188" s="0"/>
      <c r="IB188" s="0"/>
      <c r="IC188" s="0"/>
      <c r="ID188" s="0"/>
      <c r="IE188" s="0"/>
      <c r="IF188" s="0"/>
      <c r="IG188" s="0"/>
      <c r="IH188" s="0"/>
      <c r="II188" s="0"/>
      <c r="IJ188" s="0"/>
      <c r="IK188" s="0"/>
      <c r="IL188" s="0"/>
      <c r="IM188" s="0"/>
      <c r="IN188" s="0"/>
      <c r="IO188" s="0"/>
      <c r="IP188" s="0"/>
      <c r="IQ188" s="0"/>
      <c r="IR188" s="0"/>
      <c r="IS188" s="0"/>
      <c r="IT188" s="0"/>
      <c r="IU188" s="0"/>
      <c r="IV188" s="0"/>
      <c r="IW188" s="0"/>
    </row>
    <row r="189" customFormat="false" ht="12.75" hidden="false" customHeight="false" outlineLevel="0" collapsed="false">
      <c r="A189" s="0"/>
      <c r="B189" s="0"/>
      <c r="C189" s="0"/>
      <c r="D189" s="0"/>
      <c r="E189" s="0"/>
      <c r="F189" s="0"/>
      <c r="G189" s="0"/>
      <c r="H189" s="0"/>
      <c r="I189" s="0"/>
      <c r="J189" s="0"/>
      <c r="K189" s="0"/>
      <c r="L189" s="0"/>
      <c r="M189" s="0"/>
      <c r="N189" s="0"/>
      <c r="O189" s="0"/>
      <c r="P189" s="0"/>
      <c r="Q189" s="0"/>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11"/>
      <c r="AW189" s="11"/>
      <c r="AX189" s="0"/>
      <c r="AY189" s="0"/>
      <c r="AZ189" s="0"/>
      <c r="BA189" s="0"/>
      <c r="BB189" s="0"/>
      <c r="BC189" s="0"/>
      <c r="BD189" s="0"/>
      <c r="BE189" s="0"/>
      <c r="BF189" s="0"/>
      <c r="BG189" s="0"/>
      <c r="BH189" s="0"/>
      <c r="BI189" s="0"/>
      <c r="BJ189" s="0"/>
      <c r="BK189" s="0"/>
      <c r="BL189" s="0"/>
      <c r="BM189" s="0"/>
      <c r="BN189" s="0"/>
      <c r="BO189" s="0"/>
      <c r="BP189" s="0"/>
      <c r="BQ189" s="0"/>
      <c r="BR189" s="0"/>
      <c r="BS189" s="0"/>
      <c r="BT189" s="0"/>
      <c r="BU189" s="0"/>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c r="DS189" s="0"/>
      <c r="DT189" s="0"/>
      <c r="DU189" s="0"/>
      <c r="DV189" s="0"/>
      <c r="DW189" s="0"/>
      <c r="DX189" s="0"/>
      <c r="DY189" s="0"/>
      <c r="DZ189" s="0"/>
      <c r="EA189" s="0"/>
      <c r="EB189" s="0"/>
      <c r="EC189" s="0"/>
      <c r="ED189" s="0"/>
      <c r="EE189" s="0"/>
      <c r="EF189" s="0"/>
      <c r="EG189" s="0"/>
      <c r="EH189" s="0"/>
      <c r="EI189" s="0"/>
      <c r="EJ189" s="0"/>
      <c r="EK189" s="0"/>
      <c r="EL189" s="0"/>
      <c r="EM189" s="0"/>
      <c r="EN189" s="0"/>
      <c r="EO189" s="0"/>
      <c r="EP189" s="0"/>
      <c r="EQ189" s="0"/>
      <c r="ER189" s="0"/>
      <c r="ES189" s="0"/>
      <c r="ET189" s="0"/>
      <c r="EU189" s="0"/>
      <c r="EV189" s="0"/>
      <c r="EW189" s="0"/>
      <c r="EX189" s="0"/>
      <c r="EY189" s="0"/>
      <c r="EZ189" s="0"/>
      <c r="FA189" s="0"/>
      <c r="FB189" s="0"/>
      <c r="FC189" s="0"/>
      <c r="FD189" s="0"/>
      <c r="FE189" s="0"/>
      <c r="FF189" s="0"/>
      <c r="FG189" s="0"/>
      <c r="FH189" s="0"/>
      <c r="FI189" s="0"/>
      <c r="FJ189" s="0"/>
      <c r="FK189" s="0"/>
      <c r="FL189" s="0"/>
      <c r="FM189" s="0"/>
      <c r="FN189" s="0"/>
      <c r="FO189" s="0"/>
      <c r="FP189" s="0"/>
      <c r="FQ189" s="0"/>
      <c r="FR189" s="0"/>
      <c r="FS189" s="0"/>
      <c r="FT189" s="0"/>
      <c r="FU189" s="0"/>
      <c r="FV189" s="0"/>
      <c r="FW189" s="0"/>
      <c r="FX189" s="0"/>
      <c r="FY189" s="0"/>
      <c r="FZ189" s="0"/>
      <c r="GA189" s="0"/>
      <c r="GB189" s="0"/>
      <c r="GC189" s="0"/>
      <c r="GD189" s="0"/>
      <c r="GE189" s="0"/>
      <c r="GF189" s="0"/>
      <c r="GG189" s="0"/>
      <c r="GH189" s="0"/>
      <c r="GI189" s="0"/>
      <c r="GJ189" s="0"/>
      <c r="GK189" s="0"/>
      <c r="GL189" s="0"/>
      <c r="GM189" s="0"/>
      <c r="GN189" s="0"/>
      <c r="GO189" s="0"/>
      <c r="GP189" s="0"/>
      <c r="GQ189" s="0"/>
      <c r="GR189" s="0"/>
      <c r="GS189" s="0"/>
      <c r="GT189" s="0"/>
      <c r="GU189" s="0"/>
      <c r="GV189" s="0"/>
      <c r="GW189" s="0"/>
      <c r="GX189" s="0"/>
      <c r="GY189" s="0"/>
      <c r="GZ189" s="0"/>
      <c r="HA189" s="0"/>
      <c r="HB189" s="0"/>
      <c r="HC189" s="0"/>
      <c r="HD189" s="0"/>
      <c r="HE189" s="0"/>
      <c r="HF189" s="0"/>
      <c r="HG189" s="0"/>
      <c r="HH189" s="0"/>
      <c r="HI189" s="0"/>
      <c r="HJ189" s="0"/>
      <c r="HK189" s="0"/>
      <c r="HL189" s="0"/>
      <c r="HM189" s="0"/>
      <c r="HN189" s="0"/>
      <c r="HO189" s="0"/>
      <c r="HP189" s="0"/>
      <c r="HQ189" s="0"/>
      <c r="HR189" s="0"/>
      <c r="HS189" s="0"/>
      <c r="HT189" s="0"/>
      <c r="HU189" s="0"/>
      <c r="HV189" s="0"/>
      <c r="HW189" s="0"/>
      <c r="HX189" s="0"/>
      <c r="HY189" s="0"/>
      <c r="HZ189" s="0"/>
      <c r="IA189" s="0"/>
      <c r="IB189" s="0"/>
      <c r="IC189" s="0"/>
      <c r="ID189" s="0"/>
      <c r="IE189" s="0"/>
      <c r="IF189" s="0"/>
      <c r="IG189" s="0"/>
      <c r="IH189" s="0"/>
      <c r="II189" s="0"/>
      <c r="IJ189" s="0"/>
      <c r="IK189" s="0"/>
      <c r="IL189" s="0"/>
      <c r="IM189" s="0"/>
      <c r="IN189" s="0"/>
      <c r="IO189" s="0"/>
      <c r="IP189" s="0"/>
      <c r="IQ189" s="0"/>
      <c r="IR189" s="0"/>
      <c r="IS189" s="0"/>
      <c r="IT189" s="0"/>
      <c r="IU189" s="0"/>
      <c r="IV189" s="0"/>
      <c r="IW189" s="0"/>
    </row>
    <row r="190" customFormat="false" ht="12.75" hidden="false" customHeight="false" outlineLevel="0" collapsed="false">
      <c r="A190" s="0"/>
      <c r="B190" s="0"/>
      <c r="C190" s="0"/>
      <c r="D190" s="0"/>
      <c r="E190" s="0"/>
      <c r="F190" s="0"/>
      <c r="G190" s="0"/>
      <c r="H190" s="0"/>
      <c r="I190" s="0"/>
      <c r="J190" s="0"/>
      <c r="K190" s="0"/>
      <c r="L190" s="0"/>
      <c r="M190" s="0"/>
      <c r="N190" s="0"/>
      <c r="O190" s="0"/>
      <c r="P190" s="0"/>
      <c r="Q190" s="0"/>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11"/>
      <c r="AW190" s="11"/>
      <c r="AX190" s="0"/>
      <c r="AY190" s="0"/>
      <c r="AZ190" s="0"/>
      <c r="BA190" s="0"/>
      <c r="BB190" s="0"/>
      <c r="BC190" s="0"/>
      <c r="BD190" s="0"/>
      <c r="BE190" s="0"/>
      <c r="BF190" s="0"/>
      <c r="BG190" s="0"/>
      <c r="BH190" s="0"/>
      <c r="BI190" s="0"/>
      <c r="BJ190" s="0"/>
      <c r="BK190" s="0"/>
      <c r="BL190" s="0"/>
      <c r="BM190" s="0"/>
      <c r="BN190" s="0"/>
      <c r="BO190" s="0"/>
      <c r="BP190" s="0"/>
      <c r="BQ190" s="0"/>
      <c r="BR190" s="0"/>
      <c r="BS190" s="0"/>
      <c r="BT190" s="0"/>
      <c r="BU190" s="0"/>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0"/>
      <c r="DV190" s="0"/>
      <c r="DW190" s="0"/>
      <c r="DX190" s="0"/>
      <c r="DY190" s="0"/>
      <c r="DZ190" s="0"/>
      <c r="EA190" s="0"/>
      <c r="EB190" s="0"/>
      <c r="EC190" s="0"/>
      <c r="ED190" s="0"/>
      <c r="EE190" s="0"/>
      <c r="EF190" s="0"/>
      <c r="EG190" s="0"/>
      <c r="EH190" s="0"/>
      <c r="EI190" s="0"/>
      <c r="EJ190" s="0"/>
      <c r="EK190" s="0"/>
      <c r="EL190" s="0"/>
      <c r="EM190" s="0"/>
      <c r="EN190" s="0"/>
      <c r="EO190" s="0"/>
      <c r="EP190" s="0"/>
      <c r="EQ190" s="0"/>
      <c r="ER190" s="0"/>
      <c r="ES190" s="0"/>
      <c r="ET190" s="0"/>
      <c r="EU190" s="0"/>
      <c r="EV190" s="0"/>
      <c r="EW190" s="0"/>
      <c r="EX190" s="0"/>
      <c r="EY190" s="0"/>
      <c r="EZ190" s="0"/>
      <c r="FA190" s="0"/>
      <c r="FB190" s="0"/>
      <c r="FC190" s="0"/>
      <c r="FD190" s="0"/>
      <c r="FE190" s="0"/>
      <c r="FF190" s="0"/>
      <c r="FG190" s="0"/>
      <c r="FH190" s="0"/>
      <c r="FI190" s="0"/>
      <c r="FJ190" s="0"/>
      <c r="FK190" s="0"/>
      <c r="FL190" s="0"/>
      <c r="FM190" s="0"/>
      <c r="FN190" s="0"/>
      <c r="FO190" s="0"/>
      <c r="FP190" s="0"/>
      <c r="FQ190" s="0"/>
      <c r="FR190" s="0"/>
      <c r="FS190" s="0"/>
      <c r="FT190" s="0"/>
      <c r="FU190" s="0"/>
      <c r="FV190" s="0"/>
      <c r="FW190" s="0"/>
      <c r="FX190" s="0"/>
      <c r="FY190" s="0"/>
      <c r="FZ190" s="0"/>
      <c r="GA190" s="0"/>
      <c r="GB190" s="0"/>
      <c r="GC190" s="0"/>
      <c r="GD190" s="0"/>
      <c r="GE190" s="0"/>
      <c r="GF190" s="0"/>
      <c r="GG190" s="0"/>
      <c r="GH190" s="0"/>
      <c r="GI190" s="0"/>
      <c r="GJ190" s="0"/>
      <c r="GK190" s="0"/>
      <c r="GL190" s="0"/>
      <c r="GM190" s="0"/>
      <c r="GN190" s="0"/>
      <c r="GO190" s="0"/>
      <c r="GP190" s="0"/>
      <c r="GQ190" s="0"/>
      <c r="GR190" s="0"/>
      <c r="GS190" s="0"/>
      <c r="GT190" s="0"/>
      <c r="GU190" s="0"/>
      <c r="GV190" s="0"/>
      <c r="GW190" s="0"/>
      <c r="GX190" s="0"/>
      <c r="GY190" s="0"/>
      <c r="GZ190" s="0"/>
      <c r="HA190" s="0"/>
      <c r="HB190" s="0"/>
      <c r="HC190" s="0"/>
      <c r="HD190" s="0"/>
      <c r="HE190" s="0"/>
      <c r="HF190" s="0"/>
      <c r="HG190" s="0"/>
      <c r="HH190" s="0"/>
      <c r="HI190" s="0"/>
      <c r="HJ190" s="0"/>
      <c r="HK190" s="0"/>
      <c r="HL190" s="0"/>
      <c r="HM190" s="0"/>
      <c r="HN190" s="0"/>
      <c r="HO190" s="0"/>
      <c r="HP190" s="0"/>
      <c r="HQ190" s="0"/>
      <c r="HR190" s="0"/>
      <c r="HS190" s="0"/>
      <c r="HT190" s="0"/>
      <c r="HU190" s="0"/>
      <c r="HV190" s="0"/>
      <c r="HW190" s="0"/>
      <c r="HX190" s="0"/>
      <c r="HY190" s="0"/>
      <c r="HZ190" s="0"/>
      <c r="IA190" s="0"/>
      <c r="IB190" s="0"/>
      <c r="IC190" s="0"/>
      <c r="ID190" s="0"/>
      <c r="IE190" s="0"/>
      <c r="IF190" s="0"/>
      <c r="IG190" s="0"/>
      <c r="IH190" s="0"/>
      <c r="II190" s="0"/>
      <c r="IJ190" s="0"/>
      <c r="IK190" s="0"/>
      <c r="IL190" s="0"/>
      <c r="IM190" s="0"/>
      <c r="IN190" s="0"/>
      <c r="IO190" s="0"/>
      <c r="IP190" s="0"/>
      <c r="IQ190" s="0"/>
      <c r="IR190" s="0"/>
      <c r="IS190" s="0"/>
      <c r="IT190" s="0"/>
      <c r="IU190" s="0"/>
      <c r="IV190" s="0"/>
      <c r="IW190" s="0"/>
    </row>
    <row r="191" customFormat="false" ht="12.75" hidden="false" customHeight="false" outlineLevel="0" collapsed="false">
      <c r="A191" s="0"/>
      <c r="B191" s="0"/>
      <c r="C191" s="0"/>
      <c r="D191" s="0"/>
      <c r="E191" s="0"/>
      <c r="F191" s="0"/>
      <c r="G191" s="0"/>
      <c r="H191" s="0"/>
      <c r="I191" s="0"/>
      <c r="J191" s="0"/>
      <c r="K191" s="0"/>
      <c r="L191" s="0"/>
      <c r="M191" s="0"/>
      <c r="N191" s="0"/>
      <c r="O191" s="0"/>
      <c r="P191" s="0"/>
      <c r="Q191" s="0"/>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11"/>
      <c r="AW191" s="11"/>
      <c r="AX191" s="0"/>
      <c r="AY191" s="0"/>
      <c r="AZ191" s="0"/>
      <c r="BA191" s="0"/>
      <c r="BB191" s="0"/>
      <c r="BC191" s="0"/>
      <c r="BD191" s="0"/>
      <c r="BE191" s="0"/>
      <c r="BF191" s="0"/>
      <c r="BG191" s="0"/>
      <c r="BH191" s="0"/>
      <c r="BI191" s="0"/>
      <c r="BJ191" s="0"/>
      <c r="BK191" s="0"/>
      <c r="BL191" s="0"/>
      <c r="BM191" s="0"/>
      <c r="BN191" s="0"/>
      <c r="BO191" s="0"/>
      <c r="BP191" s="0"/>
      <c r="BQ191" s="0"/>
      <c r="BR191" s="0"/>
      <c r="BS191" s="0"/>
      <c r="BT191" s="0"/>
      <c r="BU191" s="0"/>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0"/>
      <c r="DV191" s="0"/>
      <c r="DW191" s="0"/>
      <c r="DX191" s="0"/>
      <c r="DY191" s="0"/>
      <c r="DZ191" s="0"/>
      <c r="EA191" s="0"/>
      <c r="EB191" s="0"/>
      <c r="EC191" s="0"/>
      <c r="ED191" s="0"/>
      <c r="EE191" s="0"/>
      <c r="EF191" s="0"/>
      <c r="EG191" s="0"/>
      <c r="EH191" s="0"/>
      <c r="EI191" s="0"/>
      <c r="EJ191" s="0"/>
      <c r="EK191" s="0"/>
      <c r="EL191" s="0"/>
      <c r="EM191" s="0"/>
      <c r="EN191" s="0"/>
      <c r="EO191" s="0"/>
      <c r="EP191" s="0"/>
      <c r="EQ191" s="0"/>
      <c r="ER191" s="0"/>
      <c r="ES191" s="0"/>
      <c r="ET191" s="0"/>
      <c r="EU191" s="0"/>
      <c r="EV191" s="0"/>
      <c r="EW191" s="0"/>
      <c r="EX191" s="0"/>
      <c r="EY191" s="0"/>
      <c r="EZ191" s="0"/>
      <c r="FA191" s="0"/>
      <c r="FB191" s="0"/>
      <c r="FC191" s="0"/>
      <c r="FD191" s="0"/>
      <c r="FE191" s="0"/>
      <c r="FF191" s="0"/>
      <c r="FG191" s="0"/>
      <c r="FH191" s="0"/>
      <c r="FI191" s="0"/>
      <c r="FJ191" s="0"/>
      <c r="FK191" s="0"/>
      <c r="FL191" s="0"/>
      <c r="FM191" s="0"/>
      <c r="FN191" s="0"/>
      <c r="FO191" s="0"/>
      <c r="FP191" s="0"/>
      <c r="FQ191" s="0"/>
      <c r="FR191" s="0"/>
      <c r="FS191" s="0"/>
      <c r="FT191" s="0"/>
      <c r="FU191" s="0"/>
      <c r="FV191" s="0"/>
      <c r="FW191" s="0"/>
      <c r="FX191" s="0"/>
      <c r="FY191" s="0"/>
      <c r="FZ191" s="0"/>
      <c r="GA191" s="0"/>
      <c r="GB191" s="0"/>
      <c r="GC191" s="0"/>
      <c r="GD191" s="0"/>
      <c r="GE191" s="0"/>
      <c r="GF191" s="0"/>
      <c r="GG191" s="0"/>
      <c r="GH191" s="0"/>
      <c r="GI191" s="0"/>
      <c r="GJ191" s="0"/>
      <c r="GK191" s="0"/>
      <c r="GL191" s="0"/>
      <c r="GM191" s="0"/>
      <c r="GN191" s="0"/>
      <c r="GO191" s="0"/>
      <c r="GP191" s="0"/>
      <c r="GQ191" s="0"/>
      <c r="GR191" s="0"/>
      <c r="GS191" s="0"/>
      <c r="GT191" s="0"/>
      <c r="GU191" s="0"/>
      <c r="GV191" s="0"/>
      <c r="GW191" s="0"/>
      <c r="GX191" s="0"/>
      <c r="GY191" s="0"/>
      <c r="GZ191" s="0"/>
      <c r="HA191" s="0"/>
      <c r="HB191" s="0"/>
      <c r="HC191" s="0"/>
      <c r="HD191" s="0"/>
      <c r="HE191" s="0"/>
      <c r="HF191" s="0"/>
      <c r="HG191" s="0"/>
      <c r="HH191" s="0"/>
      <c r="HI191" s="0"/>
      <c r="HJ191" s="0"/>
      <c r="HK191" s="0"/>
      <c r="HL191" s="0"/>
      <c r="HM191" s="0"/>
      <c r="HN191" s="0"/>
      <c r="HO191" s="0"/>
      <c r="HP191" s="0"/>
      <c r="HQ191" s="0"/>
      <c r="HR191" s="0"/>
      <c r="HS191" s="0"/>
      <c r="HT191" s="0"/>
      <c r="HU191" s="0"/>
      <c r="HV191" s="0"/>
      <c r="HW191" s="0"/>
      <c r="HX191" s="0"/>
      <c r="HY191" s="0"/>
      <c r="HZ191" s="0"/>
      <c r="IA191" s="0"/>
      <c r="IB191" s="0"/>
      <c r="IC191" s="0"/>
      <c r="ID191" s="0"/>
      <c r="IE191" s="0"/>
      <c r="IF191" s="0"/>
      <c r="IG191" s="0"/>
      <c r="IH191" s="0"/>
      <c r="II191" s="0"/>
      <c r="IJ191" s="0"/>
      <c r="IK191" s="0"/>
      <c r="IL191" s="0"/>
      <c r="IM191" s="0"/>
      <c r="IN191" s="0"/>
      <c r="IO191" s="0"/>
      <c r="IP191" s="0"/>
      <c r="IQ191" s="0"/>
      <c r="IR191" s="0"/>
      <c r="IS191" s="0"/>
      <c r="IT191" s="0"/>
      <c r="IU191" s="0"/>
      <c r="IV191" s="0"/>
      <c r="IW191" s="0"/>
    </row>
    <row r="192" customFormat="false" ht="12.75" hidden="false" customHeight="false" outlineLevel="0" collapsed="false">
      <c r="A192" s="0"/>
      <c r="B192" s="0"/>
      <c r="C192" s="0"/>
      <c r="D192" s="0"/>
      <c r="E192" s="0"/>
      <c r="F192" s="0"/>
      <c r="G192" s="0"/>
      <c r="H192" s="0"/>
      <c r="I192" s="0"/>
      <c r="J192" s="0"/>
      <c r="K192" s="0"/>
      <c r="L192" s="0"/>
      <c r="M192" s="0"/>
      <c r="N192" s="0"/>
      <c r="O192" s="0"/>
      <c r="P192" s="0"/>
      <c r="Q192" s="0"/>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11"/>
      <c r="AW192" s="11"/>
      <c r="AX192" s="0"/>
      <c r="AY192" s="0"/>
      <c r="AZ192" s="0"/>
      <c r="BA192" s="0"/>
      <c r="BB192" s="0"/>
      <c r="BC192" s="0"/>
      <c r="BD192" s="0"/>
      <c r="BE192" s="0"/>
      <c r="BF192" s="0"/>
      <c r="BG192" s="0"/>
      <c r="BH192" s="0"/>
      <c r="BI192" s="0"/>
      <c r="BJ192" s="0"/>
      <c r="BK192" s="0"/>
      <c r="BL192" s="0"/>
      <c r="BM192" s="0"/>
      <c r="BN192" s="0"/>
      <c r="BO192" s="0"/>
      <c r="BP192" s="0"/>
      <c r="BQ192" s="0"/>
      <c r="BR192" s="0"/>
      <c r="BS192" s="0"/>
      <c r="BT192" s="0"/>
      <c r="BU192" s="0"/>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c r="DU192" s="0"/>
      <c r="DV192" s="0"/>
      <c r="DW192" s="0"/>
      <c r="DX192" s="0"/>
      <c r="DY192" s="0"/>
      <c r="DZ192" s="0"/>
      <c r="EA192" s="0"/>
      <c r="EB192" s="0"/>
      <c r="EC192" s="0"/>
      <c r="ED192" s="0"/>
      <c r="EE192" s="0"/>
      <c r="EF192" s="0"/>
      <c r="EG192" s="0"/>
      <c r="EH192" s="0"/>
      <c r="EI192" s="0"/>
      <c r="EJ192" s="0"/>
      <c r="EK192" s="0"/>
      <c r="EL192" s="0"/>
      <c r="EM192" s="0"/>
      <c r="EN192" s="0"/>
      <c r="EO192" s="0"/>
      <c r="EP192" s="0"/>
      <c r="EQ192" s="0"/>
      <c r="ER192" s="0"/>
      <c r="ES192" s="0"/>
      <c r="ET192" s="0"/>
      <c r="EU192" s="0"/>
      <c r="EV192" s="0"/>
      <c r="EW192" s="0"/>
      <c r="EX192" s="0"/>
      <c r="EY192" s="0"/>
      <c r="EZ192" s="0"/>
      <c r="FA192" s="0"/>
      <c r="FB192" s="0"/>
      <c r="FC192" s="0"/>
      <c r="FD192" s="0"/>
      <c r="FE192" s="0"/>
      <c r="FF192" s="0"/>
      <c r="FG192" s="0"/>
      <c r="FH192" s="0"/>
      <c r="FI192" s="0"/>
      <c r="FJ192" s="0"/>
      <c r="FK192" s="0"/>
      <c r="FL192" s="0"/>
      <c r="FM192" s="0"/>
      <c r="FN192" s="0"/>
      <c r="FO192" s="0"/>
      <c r="FP192" s="0"/>
      <c r="FQ192" s="0"/>
      <c r="FR192" s="0"/>
      <c r="FS192" s="0"/>
      <c r="FT192" s="0"/>
      <c r="FU192" s="0"/>
      <c r="FV192" s="0"/>
      <c r="FW192" s="0"/>
      <c r="FX192" s="0"/>
      <c r="FY192" s="0"/>
      <c r="FZ192" s="0"/>
      <c r="GA192" s="0"/>
      <c r="GB192" s="0"/>
      <c r="GC192" s="0"/>
      <c r="GD192" s="0"/>
      <c r="GE192" s="0"/>
      <c r="GF192" s="0"/>
      <c r="GG192" s="0"/>
      <c r="GH192" s="0"/>
      <c r="GI192" s="0"/>
      <c r="GJ192" s="0"/>
      <c r="GK192" s="0"/>
      <c r="GL192" s="0"/>
      <c r="GM192" s="0"/>
      <c r="GN192" s="0"/>
      <c r="GO192" s="0"/>
      <c r="GP192" s="0"/>
      <c r="GQ192" s="0"/>
      <c r="GR192" s="0"/>
      <c r="GS192" s="0"/>
      <c r="GT192" s="0"/>
      <c r="GU192" s="0"/>
      <c r="GV192" s="0"/>
      <c r="GW192" s="0"/>
      <c r="GX192" s="0"/>
      <c r="GY192" s="0"/>
      <c r="GZ192" s="0"/>
      <c r="HA192" s="0"/>
      <c r="HB192" s="0"/>
      <c r="HC192" s="0"/>
      <c r="HD192" s="0"/>
      <c r="HE192" s="0"/>
      <c r="HF192" s="0"/>
      <c r="HG192" s="0"/>
      <c r="HH192" s="0"/>
      <c r="HI192" s="0"/>
      <c r="HJ192" s="0"/>
      <c r="HK192" s="0"/>
      <c r="HL192" s="0"/>
      <c r="HM192" s="0"/>
      <c r="HN192" s="0"/>
      <c r="HO192" s="0"/>
      <c r="HP192" s="0"/>
      <c r="HQ192" s="0"/>
      <c r="HR192" s="0"/>
      <c r="HS192" s="0"/>
      <c r="HT192" s="0"/>
      <c r="HU192" s="0"/>
      <c r="HV192" s="0"/>
      <c r="HW192" s="0"/>
      <c r="HX192" s="0"/>
      <c r="HY192" s="0"/>
      <c r="HZ192" s="0"/>
      <c r="IA192" s="0"/>
      <c r="IB192" s="0"/>
      <c r="IC192" s="0"/>
      <c r="ID192" s="0"/>
      <c r="IE192" s="0"/>
      <c r="IF192" s="0"/>
      <c r="IG192" s="0"/>
      <c r="IH192" s="0"/>
      <c r="II192" s="0"/>
      <c r="IJ192" s="0"/>
      <c r="IK192" s="0"/>
      <c r="IL192" s="0"/>
      <c r="IM192" s="0"/>
      <c r="IN192" s="0"/>
      <c r="IO192" s="0"/>
      <c r="IP192" s="0"/>
      <c r="IQ192" s="0"/>
      <c r="IR192" s="0"/>
      <c r="IS192" s="0"/>
      <c r="IT192" s="0"/>
      <c r="IU192" s="0"/>
      <c r="IV192" s="0"/>
      <c r="IW192" s="0"/>
    </row>
    <row r="193" customFormat="false" ht="12.75" hidden="false" customHeight="false" outlineLevel="0" collapsed="false">
      <c r="A193" s="0"/>
      <c r="B193" s="0"/>
      <c r="C193" s="0"/>
      <c r="D193" s="0"/>
      <c r="E193" s="0"/>
      <c r="F193" s="0"/>
      <c r="G193" s="0"/>
      <c r="H193" s="0"/>
      <c r="I193" s="0"/>
      <c r="J193" s="0"/>
      <c r="K193" s="0"/>
      <c r="L193" s="0"/>
      <c r="M193" s="0"/>
      <c r="N193" s="0"/>
      <c r="O193" s="0"/>
      <c r="P193" s="0"/>
      <c r="Q193" s="0"/>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11"/>
      <c r="AW193" s="11"/>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2.75" hidden="false" customHeight="false" outlineLevel="0" collapsed="false">
      <c r="A194" s="0"/>
      <c r="B194" s="0"/>
      <c r="C194" s="0"/>
      <c r="D194" s="0"/>
      <c r="E194" s="0"/>
      <c r="F194" s="0"/>
      <c r="G194" s="0"/>
      <c r="H194" s="0"/>
      <c r="I194" s="0"/>
      <c r="J194" s="0"/>
      <c r="K194" s="0"/>
      <c r="L194" s="0"/>
      <c r="M194" s="0"/>
      <c r="N194" s="0"/>
      <c r="O194" s="0"/>
      <c r="P194" s="0"/>
      <c r="Q194" s="0"/>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11"/>
      <c r="AW194" s="11"/>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c r="IW194" s="0"/>
    </row>
    <row r="195" customFormat="false" ht="12.75" hidden="false" customHeight="false" outlineLevel="0" collapsed="false">
      <c r="A195" s="0"/>
      <c r="B195" s="0"/>
      <c r="C195" s="0"/>
      <c r="D195" s="0"/>
      <c r="E195" s="0"/>
      <c r="F195" s="0"/>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11"/>
      <c r="AW195" s="11"/>
      <c r="AX195" s="0"/>
      <c r="AY195" s="0"/>
      <c r="AZ195" s="0"/>
      <c r="BA195" s="0"/>
      <c r="BB195" s="0"/>
      <c r="BC195" s="0"/>
      <c r="BD195" s="0"/>
      <c r="BE195" s="0"/>
      <c r="BF195" s="0"/>
      <c r="BG195" s="0"/>
      <c r="BH195" s="0"/>
      <c r="BI195" s="0"/>
      <c r="BJ195" s="0"/>
      <c r="BK195" s="0"/>
      <c r="BL195" s="0"/>
      <c r="BM195" s="0"/>
      <c r="BN195" s="0"/>
      <c r="BO195" s="0"/>
      <c r="BP195" s="0"/>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c r="IW195" s="0"/>
    </row>
    <row r="196" customFormat="false" ht="12.75" hidden="false" customHeight="false" outlineLevel="0" collapsed="false">
      <c r="A196" s="0"/>
      <c r="B196" s="0"/>
      <c r="C196" s="0"/>
      <c r="D196" s="0"/>
      <c r="E196" s="0"/>
      <c r="F196" s="0"/>
      <c r="G196" s="0"/>
      <c r="H196" s="0"/>
      <c r="I196" s="0"/>
      <c r="J196" s="0"/>
      <c r="K196" s="0"/>
      <c r="L196" s="0"/>
      <c r="M196" s="0"/>
      <c r="N196" s="0"/>
      <c r="O196" s="0"/>
      <c r="P196" s="0"/>
      <c r="Q196" s="0"/>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11"/>
      <c r="AW196" s="11"/>
      <c r="AX196" s="0"/>
      <c r="AY196" s="0"/>
      <c r="AZ196" s="0"/>
      <c r="BA196" s="0"/>
      <c r="BB196" s="0"/>
      <c r="BC196" s="0"/>
      <c r="BD196" s="0"/>
      <c r="BE196" s="0"/>
      <c r="BF196" s="0"/>
      <c r="BG196" s="0"/>
      <c r="BH196" s="0"/>
      <c r="BI196" s="0"/>
      <c r="BJ196" s="0"/>
      <c r="BK196" s="0"/>
      <c r="BL196" s="0"/>
      <c r="BM196" s="0"/>
      <c r="BN196" s="0"/>
      <c r="BO196" s="0"/>
      <c r="BP196" s="0"/>
      <c r="BQ196" s="0"/>
      <c r="BR196" s="0"/>
      <c r="BS196" s="0"/>
      <c r="BT196" s="0"/>
      <c r="BU196" s="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0"/>
      <c r="DV196" s="0"/>
      <c r="DW196" s="0"/>
      <c r="DX196" s="0"/>
      <c r="DY196" s="0"/>
      <c r="DZ196" s="0"/>
      <c r="EA196" s="0"/>
      <c r="EB196" s="0"/>
      <c r="EC196" s="0"/>
      <c r="ED196" s="0"/>
      <c r="EE196" s="0"/>
      <c r="EF196" s="0"/>
      <c r="EG196" s="0"/>
      <c r="EH196" s="0"/>
      <c r="EI196" s="0"/>
      <c r="EJ196" s="0"/>
      <c r="EK196" s="0"/>
      <c r="EL196" s="0"/>
      <c r="EM196" s="0"/>
      <c r="EN196" s="0"/>
      <c r="EO196" s="0"/>
      <c r="EP196" s="0"/>
      <c r="EQ196" s="0"/>
      <c r="ER196" s="0"/>
      <c r="ES196" s="0"/>
      <c r="ET196" s="0"/>
      <c r="EU196" s="0"/>
      <c r="EV196" s="0"/>
      <c r="EW196" s="0"/>
      <c r="EX196" s="0"/>
      <c r="EY196" s="0"/>
      <c r="EZ196" s="0"/>
      <c r="FA196" s="0"/>
      <c r="FB196" s="0"/>
      <c r="FC196" s="0"/>
      <c r="FD196" s="0"/>
      <c r="FE196" s="0"/>
      <c r="FF196" s="0"/>
      <c r="FG196" s="0"/>
      <c r="FH196" s="0"/>
      <c r="FI196" s="0"/>
      <c r="FJ196" s="0"/>
      <c r="FK196" s="0"/>
      <c r="FL196" s="0"/>
      <c r="FM196" s="0"/>
      <c r="FN196" s="0"/>
      <c r="FO196" s="0"/>
      <c r="FP196" s="0"/>
      <c r="FQ196" s="0"/>
      <c r="FR196" s="0"/>
      <c r="FS196" s="0"/>
      <c r="FT196" s="0"/>
      <c r="FU196" s="0"/>
      <c r="FV196" s="0"/>
      <c r="FW196" s="0"/>
      <c r="FX196" s="0"/>
      <c r="FY196" s="0"/>
      <c r="FZ196" s="0"/>
      <c r="GA196" s="0"/>
      <c r="GB196" s="0"/>
      <c r="GC196" s="0"/>
      <c r="GD196" s="0"/>
      <c r="GE196" s="0"/>
      <c r="GF196" s="0"/>
      <c r="GG196" s="0"/>
      <c r="GH196" s="0"/>
      <c r="GI196" s="0"/>
      <c r="GJ196" s="0"/>
      <c r="GK196" s="0"/>
      <c r="GL196" s="0"/>
      <c r="GM196" s="0"/>
      <c r="GN196" s="0"/>
      <c r="GO196" s="0"/>
      <c r="GP196" s="0"/>
      <c r="GQ196" s="0"/>
      <c r="GR196" s="0"/>
      <c r="GS196" s="0"/>
      <c r="GT196" s="0"/>
      <c r="GU196" s="0"/>
      <c r="GV196" s="0"/>
      <c r="GW196" s="0"/>
      <c r="GX196" s="0"/>
      <c r="GY196" s="0"/>
      <c r="GZ196" s="0"/>
      <c r="HA196" s="0"/>
      <c r="HB196" s="0"/>
      <c r="HC196" s="0"/>
      <c r="HD196" s="0"/>
      <c r="HE196" s="0"/>
      <c r="HF196" s="0"/>
      <c r="HG196" s="0"/>
      <c r="HH196" s="0"/>
      <c r="HI196" s="0"/>
      <c r="HJ196" s="0"/>
      <c r="HK196" s="0"/>
      <c r="HL196" s="0"/>
      <c r="HM196" s="0"/>
      <c r="HN196" s="0"/>
      <c r="HO196" s="0"/>
      <c r="HP196" s="0"/>
      <c r="HQ196" s="0"/>
      <c r="HR196" s="0"/>
      <c r="HS196" s="0"/>
      <c r="HT196" s="0"/>
      <c r="HU196" s="0"/>
      <c r="HV196" s="0"/>
      <c r="HW196" s="0"/>
      <c r="HX196" s="0"/>
      <c r="HY196" s="0"/>
      <c r="HZ196" s="0"/>
      <c r="IA196" s="0"/>
      <c r="IB196" s="0"/>
      <c r="IC196" s="0"/>
      <c r="ID196" s="0"/>
      <c r="IE196" s="0"/>
      <c r="IF196" s="0"/>
      <c r="IG196" s="0"/>
      <c r="IH196" s="0"/>
      <c r="II196" s="0"/>
      <c r="IJ196" s="0"/>
      <c r="IK196" s="0"/>
      <c r="IL196" s="0"/>
      <c r="IM196" s="0"/>
      <c r="IN196" s="0"/>
      <c r="IO196" s="0"/>
      <c r="IP196" s="0"/>
      <c r="IQ196" s="0"/>
      <c r="IR196" s="0"/>
      <c r="IS196" s="0"/>
      <c r="IT196" s="0"/>
      <c r="IU196" s="0"/>
      <c r="IV196" s="0"/>
      <c r="IW196" s="0"/>
    </row>
    <row r="197" customFormat="false" ht="12.75" hidden="false" customHeight="false" outlineLevel="0" collapsed="false">
      <c r="A197" s="0"/>
      <c r="B197" s="0"/>
      <c r="C197" s="0"/>
      <c r="D197" s="0"/>
      <c r="E197" s="0"/>
      <c r="F197" s="0"/>
      <c r="G197" s="0"/>
      <c r="H197" s="0"/>
      <c r="I197" s="0"/>
      <c r="J197" s="0"/>
      <c r="K197" s="0"/>
      <c r="L197" s="0"/>
      <c r="M197" s="0"/>
      <c r="N197" s="0"/>
      <c r="O197" s="0"/>
      <c r="P197" s="0"/>
      <c r="Q197" s="0"/>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11"/>
      <c r="AW197" s="11"/>
      <c r="AX197" s="0"/>
      <c r="AY197" s="0"/>
      <c r="AZ197" s="0"/>
      <c r="BA197" s="0"/>
      <c r="BB197" s="0"/>
      <c r="BC197" s="0"/>
      <c r="BD197" s="0"/>
      <c r="BE197" s="0"/>
      <c r="BF197" s="0"/>
      <c r="BG197" s="0"/>
      <c r="BH197" s="0"/>
      <c r="BI197" s="0"/>
      <c r="BJ197" s="0"/>
      <c r="BK197" s="0"/>
      <c r="BL197" s="0"/>
      <c r="BM197" s="0"/>
      <c r="BN197" s="0"/>
      <c r="BO197" s="0"/>
      <c r="BP197" s="0"/>
      <c r="BQ197" s="0"/>
      <c r="BR197" s="0"/>
      <c r="BS197" s="0"/>
      <c r="BT197" s="0"/>
      <c r="BU197" s="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0"/>
      <c r="DV197" s="0"/>
      <c r="DW197" s="0"/>
      <c r="DX197" s="0"/>
      <c r="DY197" s="0"/>
      <c r="DZ197" s="0"/>
      <c r="EA197" s="0"/>
      <c r="EB197" s="0"/>
      <c r="EC197" s="0"/>
      <c r="ED197" s="0"/>
      <c r="EE197" s="0"/>
      <c r="EF197" s="0"/>
      <c r="EG197" s="0"/>
      <c r="EH197" s="0"/>
      <c r="EI197" s="0"/>
      <c r="EJ197" s="0"/>
      <c r="EK197" s="0"/>
      <c r="EL197" s="0"/>
      <c r="EM197" s="0"/>
      <c r="EN197" s="0"/>
      <c r="EO197" s="0"/>
      <c r="EP197" s="0"/>
      <c r="EQ197" s="0"/>
      <c r="ER197" s="0"/>
      <c r="ES197" s="0"/>
      <c r="ET197" s="0"/>
      <c r="EU197" s="0"/>
      <c r="EV197" s="0"/>
      <c r="EW197" s="0"/>
      <c r="EX197" s="0"/>
      <c r="EY197" s="0"/>
      <c r="EZ197" s="0"/>
      <c r="FA197" s="0"/>
      <c r="FB197" s="0"/>
      <c r="FC197" s="0"/>
      <c r="FD197" s="0"/>
      <c r="FE197" s="0"/>
      <c r="FF197" s="0"/>
      <c r="FG197" s="0"/>
      <c r="FH197" s="0"/>
      <c r="FI197" s="0"/>
      <c r="FJ197" s="0"/>
      <c r="FK197" s="0"/>
      <c r="FL197" s="0"/>
      <c r="FM197" s="0"/>
      <c r="FN197" s="0"/>
      <c r="FO197" s="0"/>
      <c r="FP197" s="0"/>
      <c r="FQ197" s="0"/>
      <c r="FR197" s="0"/>
      <c r="FS197" s="0"/>
      <c r="FT197" s="0"/>
      <c r="FU197" s="0"/>
      <c r="FV197" s="0"/>
      <c r="FW197" s="0"/>
      <c r="FX197" s="0"/>
      <c r="FY197" s="0"/>
      <c r="FZ197" s="0"/>
      <c r="GA197" s="0"/>
      <c r="GB197" s="0"/>
      <c r="GC197" s="0"/>
      <c r="GD197" s="0"/>
      <c r="GE197" s="0"/>
      <c r="GF197" s="0"/>
      <c r="GG197" s="0"/>
      <c r="GH197" s="0"/>
      <c r="GI197" s="0"/>
      <c r="GJ197" s="0"/>
      <c r="GK197" s="0"/>
      <c r="GL197" s="0"/>
      <c r="GM197" s="0"/>
      <c r="GN197" s="0"/>
      <c r="GO197" s="0"/>
      <c r="GP197" s="0"/>
      <c r="GQ197" s="0"/>
      <c r="GR197" s="0"/>
      <c r="GS197" s="0"/>
      <c r="GT197" s="0"/>
      <c r="GU197" s="0"/>
      <c r="GV197" s="0"/>
      <c r="GW197" s="0"/>
      <c r="GX197" s="0"/>
      <c r="GY197" s="0"/>
      <c r="GZ197" s="0"/>
      <c r="HA197" s="0"/>
      <c r="HB197" s="0"/>
      <c r="HC197" s="0"/>
      <c r="HD197" s="0"/>
      <c r="HE197" s="0"/>
      <c r="HF197" s="0"/>
      <c r="HG197" s="0"/>
      <c r="HH197" s="0"/>
      <c r="HI197" s="0"/>
      <c r="HJ197" s="0"/>
      <c r="HK197" s="0"/>
      <c r="HL197" s="0"/>
      <c r="HM197" s="0"/>
      <c r="HN197" s="0"/>
      <c r="HO197" s="0"/>
      <c r="HP197" s="0"/>
      <c r="HQ197" s="0"/>
      <c r="HR197" s="0"/>
      <c r="HS197" s="0"/>
      <c r="HT197" s="0"/>
      <c r="HU197" s="0"/>
      <c r="HV197" s="0"/>
      <c r="HW197" s="0"/>
      <c r="HX197" s="0"/>
      <c r="HY197" s="0"/>
      <c r="HZ197" s="0"/>
      <c r="IA197" s="0"/>
      <c r="IB197" s="0"/>
      <c r="IC197" s="0"/>
      <c r="ID197" s="0"/>
      <c r="IE197" s="0"/>
      <c r="IF197" s="0"/>
      <c r="IG197" s="0"/>
      <c r="IH197" s="0"/>
      <c r="II197" s="0"/>
      <c r="IJ197" s="0"/>
      <c r="IK197" s="0"/>
      <c r="IL197" s="0"/>
      <c r="IM197" s="0"/>
      <c r="IN197" s="0"/>
      <c r="IO197" s="0"/>
      <c r="IP197" s="0"/>
      <c r="IQ197" s="0"/>
      <c r="IR197" s="0"/>
      <c r="IS197" s="0"/>
      <c r="IT197" s="0"/>
      <c r="IU197" s="0"/>
      <c r="IV197" s="0"/>
      <c r="IW197" s="0"/>
    </row>
    <row r="198" customFormat="false" ht="12.75" hidden="false" customHeight="false" outlineLevel="0" collapsed="false">
      <c r="A198" s="0"/>
      <c r="B198" s="0"/>
      <c r="C198" s="0"/>
      <c r="D198" s="0"/>
      <c r="E198" s="0"/>
      <c r="F198" s="0"/>
      <c r="G198" s="0"/>
      <c r="H198" s="0"/>
      <c r="I198" s="0"/>
      <c r="J198" s="0"/>
      <c r="K198" s="0"/>
      <c r="L198" s="0"/>
      <c r="M198" s="0"/>
      <c r="N198" s="0"/>
      <c r="O198" s="0"/>
      <c r="P198" s="0"/>
      <c r="Q198" s="0"/>
      <c r="R198" s="0"/>
      <c r="S198" s="0"/>
      <c r="T198" s="0"/>
      <c r="U198" s="0"/>
      <c r="V198" s="0"/>
      <c r="W198" s="0"/>
      <c r="X198" s="0"/>
      <c r="Y198" s="0"/>
      <c r="Z198" s="0"/>
      <c r="AA198" s="0"/>
      <c r="AB198" s="0"/>
      <c r="AC198" s="0"/>
      <c r="AD198" s="0"/>
      <c r="AE198" s="0"/>
      <c r="AF198" s="0"/>
      <c r="AG198" s="0"/>
      <c r="AH198" s="0"/>
      <c r="AI198" s="0"/>
      <c r="AJ198" s="0"/>
      <c r="AK198" s="0"/>
      <c r="AL198" s="0"/>
      <c r="AM198" s="0"/>
      <c r="AN198" s="0"/>
      <c r="AO198" s="0"/>
      <c r="AP198" s="0"/>
      <c r="AQ198" s="0"/>
      <c r="AR198" s="0"/>
      <c r="AS198" s="0"/>
      <c r="AT198" s="0"/>
      <c r="AU198" s="0"/>
      <c r="AV198" s="11"/>
      <c r="AW198" s="11"/>
      <c r="AX198" s="0"/>
      <c r="AY198" s="0"/>
      <c r="AZ198" s="0"/>
      <c r="BA198" s="0"/>
      <c r="BB198" s="0"/>
      <c r="BC198" s="0"/>
      <c r="BD198" s="0"/>
      <c r="BE198" s="0"/>
      <c r="BF198" s="0"/>
      <c r="BG198" s="0"/>
      <c r="BH198" s="0"/>
      <c r="BI198" s="0"/>
      <c r="BJ198" s="0"/>
      <c r="BK198" s="0"/>
      <c r="BL198" s="0"/>
      <c r="BM198" s="0"/>
      <c r="BN198" s="0"/>
      <c r="BO198" s="0"/>
      <c r="BP198" s="0"/>
      <c r="BQ198" s="0"/>
      <c r="BR198" s="0"/>
      <c r="BS198" s="0"/>
      <c r="BT198" s="0"/>
      <c r="BU198" s="0"/>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0"/>
      <c r="DV198" s="0"/>
      <c r="DW198" s="0"/>
      <c r="DX198" s="0"/>
      <c r="DY198" s="0"/>
      <c r="DZ198" s="0"/>
      <c r="EA198" s="0"/>
      <c r="EB198" s="0"/>
      <c r="EC198" s="0"/>
      <c r="ED198" s="0"/>
      <c r="EE198" s="0"/>
      <c r="EF198" s="0"/>
      <c r="EG198" s="0"/>
      <c r="EH198" s="0"/>
      <c r="EI198" s="0"/>
      <c r="EJ198" s="0"/>
      <c r="EK198" s="0"/>
      <c r="EL198" s="0"/>
      <c r="EM198" s="0"/>
      <c r="EN198" s="0"/>
      <c r="EO198" s="0"/>
      <c r="EP198" s="0"/>
      <c r="EQ198" s="0"/>
      <c r="ER198" s="0"/>
      <c r="ES198" s="0"/>
      <c r="ET198" s="0"/>
      <c r="EU198" s="0"/>
      <c r="EV198" s="0"/>
      <c r="EW198" s="0"/>
      <c r="EX198" s="0"/>
      <c r="EY198" s="0"/>
      <c r="EZ198" s="0"/>
      <c r="FA198" s="0"/>
      <c r="FB198" s="0"/>
      <c r="FC198" s="0"/>
      <c r="FD198" s="0"/>
      <c r="FE198" s="0"/>
      <c r="FF198" s="0"/>
      <c r="FG198" s="0"/>
      <c r="FH198" s="0"/>
      <c r="FI198" s="0"/>
      <c r="FJ198" s="0"/>
      <c r="FK198" s="0"/>
      <c r="FL198" s="0"/>
      <c r="FM198" s="0"/>
      <c r="FN198" s="0"/>
      <c r="FO198" s="0"/>
      <c r="FP198" s="0"/>
      <c r="FQ198" s="0"/>
      <c r="FR198" s="0"/>
      <c r="FS198" s="0"/>
      <c r="FT198" s="0"/>
      <c r="FU198" s="0"/>
      <c r="FV198" s="0"/>
      <c r="FW198" s="0"/>
      <c r="FX198" s="0"/>
      <c r="FY198" s="0"/>
      <c r="FZ198" s="0"/>
      <c r="GA198" s="0"/>
      <c r="GB198" s="0"/>
      <c r="GC198" s="0"/>
      <c r="GD198" s="0"/>
      <c r="GE198" s="0"/>
      <c r="GF198" s="0"/>
      <c r="GG198" s="0"/>
      <c r="GH198" s="0"/>
      <c r="GI198" s="0"/>
      <c r="GJ198" s="0"/>
      <c r="GK198" s="0"/>
      <c r="GL198" s="0"/>
      <c r="GM198" s="0"/>
      <c r="GN198" s="0"/>
      <c r="GO198" s="0"/>
      <c r="GP198" s="0"/>
      <c r="GQ198" s="0"/>
      <c r="GR198" s="0"/>
      <c r="GS198" s="0"/>
      <c r="GT198" s="0"/>
      <c r="GU198" s="0"/>
      <c r="GV198" s="0"/>
      <c r="GW198" s="0"/>
      <c r="GX198" s="0"/>
      <c r="GY198" s="0"/>
      <c r="GZ198" s="0"/>
      <c r="HA198" s="0"/>
      <c r="HB198" s="0"/>
      <c r="HC198" s="0"/>
      <c r="HD198" s="0"/>
      <c r="HE198" s="0"/>
      <c r="HF198" s="0"/>
      <c r="HG198" s="0"/>
      <c r="HH198" s="0"/>
      <c r="HI198" s="0"/>
      <c r="HJ198" s="0"/>
      <c r="HK198" s="0"/>
      <c r="HL198" s="0"/>
      <c r="HM198" s="0"/>
      <c r="HN198" s="0"/>
      <c r="HO198" s="0"/>
      <c r="HP198" s="0"/>
      <c r="HQ198" s="0"/>
      <c r="HR198" s="0"/>
      <c r="HS198" s="0"/>
      <c r="HT198" s="0"/>
      <c r="HU198" s="0"/>
      <c r="HV198" s="0"/>
      <c r="HW198" s="0"/>
      <c r="HX198" s="0"/>
      <c r="HY198" s="0"/>
      <c r="HZ198" s="0"/>
      <c r="IA198" s="0"/>
      <c r="IB198" s="0"/>
      <c r="IC198" s="0"/>
      <c r="ID198" s="0"/>
      <c r="IE198" s="0"/>
      <c r="IF198" s="0"/>
      <c r="IG198" s="0"/>
      <c r="IH198" s="0"/>
      <c r="II198" s="0"/>
      <c r="IJ198" s="0"/>
      <c r="IK198" s="0"/>
      <c r="IL198" s="0"/>
      <c r="IM198" s="0"/>
      <c r="IN198" s="0"/>
      <c r="IO198" s="0"/>
      <c r="IP198" s="0"/>
      <c r="IQ198" s="0"/>
      <c r="IR198" s="0"/>
      <c r="IS198" s="0"/>
      <c r="IT198" s="0"/>
      <c r="IU198" s="0"/>
      <c r="IV198" s="0"/>
      <c r="IW198" s="0"/>
    </row>
    <row r="199" customFormat="false" ht="12.75" hidden="false" customHeight="false" outlineLevel="0" collapsed="false">
      <c r="A199" s="0"/>
      <c r="B199" s="0"/>
      <c r="C199" s="0"/>
      <c r="D199" s="0"/>
      <c r="E199" s="0"/>
      <c r="F199" s="0"/>
      <c r="G199" s="0"/>
      <c r="H199" s="0"/>
      <c r="I199" s="0"/>
      <c r="J199" s="0"/>
      <c r="K199" s="0"/>
      <c r="L199" s="0"/>
      <c r="M199" s="0"/>
      <c r="N199" s="0"/>
      <c r="O199" s="0"/>
      <c r="P199" s="0"/>
      <c r="Q199" s="0"/>
      <c r="R199" s="0"/>
      <c r="S199" s="0"/>
      <c r="T199" s="0"/>
      <c r="U199" s="0"/>
      <c r="V199" s="0"/>
      <c r="W199" s="0"/>
      <c r="X199" s="0"/>
      <c r="Y199" s="0"/>
      <c r="Z199" s="0"/>
      <c r="AA199" s="0"/>
      <c r="AB199" s="0"/>
      <c r="AC199" s="0"/>
      <c r="AD199" s="0"/>
      <c r="AE199" s="0"/>
      <c r="AF199" s="0"/>
      <c r="AG199" s="0"/>
      <c r="AH199" s="0"/>
      <c r="AI199" s="0"/>
      <c r="AJ199" s="0"/>
      <c r="AK199" s="0"/>
      <c r="AL199" s="0"/>
      <c r="AM199" s="0"/>
      <c r="AN199" s="0"/>
      <c r="AO199" s="0"/>
      <c r="AP199" s="0"/>
      <c r="AQ199" s="0"/>
      <c r="AR199" s="0"/>
      <c r="AS199" s="0"/>
      <c r="AT199" s="0"/>
      <c r="AU199" s="0"/>
      <c r="AV199" s="11"/>
      <c r="AW199" s="11"/>
      <c r="AX199" s="0"/>
      <c r="AY199" s="0"/>
      <c r="AZ199" s="0"/>
      <c r="BA199" s="0"/>
      <c r="BB199" s="0"/>
      <c r="BC199" s="0"/>
      <c r="BD199" s="0"/>
      <c r="BE199" s="0"/>
      <c r="BF199" s="0"/>
      <c r="BG199" s="0"/>
      <c r="BH199" s="0"/>
      <c r="BI199" s="0"/>
      <c r="BJ199" s="0"/>
      <c r="BK199" s="0"/>
      <c r="BL199" s="0"/>
      <c r="BM199" s="0"/>
      <c r="BN199" s="0"/>
      <c r="BO199" s="0"/>
      <c r="BP199" s="0"/>
      <c r="BQ199" s="0"/>
      <c r="BR199" s="0"/>
      <c r="BS199" s="0"/>
      <c r="BT199" s="0"/>
      <c r="BU199" s="0"/>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0"/>
      <c r="DV199" s="0"/>
      <c r="DW199" s="0"/>
      <c r="DX199" s="0"/>
      <c r="DY199" s="0"/>
      <c r="DZ199" s="0"/>
      <c r="EA199" s="0"/>
      <c r="EB199" s="0"/>
      <c r="EC199" s="0"/>
      <c r="ED199" s="0"/>
      <c r="EE199" s="0"/>
      <c r="EF199" s="0"/>
      <c r="EG199" s="0"/>
      <c r="EH199" s="0"/>
      <c r="EI199" s="0"/>
      <c r="EJ199" s="0"/>
      <c r="EK199" s="0"/>
      <c r="EL199" s="0"/>
      <c r="EM199" s="0"/>
      <c r="EN199" s="0"/>
      <c r="EO199" s="0"/>
      <c r="EP199" s="0"/>
      <c r="EQ199" s="0"/>
      <c r="ER199" s="0"/>
      <c r="ES199" s="0"/>
      <c r="ET199" s="0"/>
      <c r="EU199" s="0"/>
      <c r="EV199" s="0"/>
      <c r="EW199" s="0"/>
      <c r="EX199" s="0"/>
      <c r="EY199" s="0"/>
      <c r="EZ199" s="0"/>
      <c r="FA199" s="0"/>
      <c r="FB199" s="0"/>
      <c r="FC199" s="0"/>
      <c r="FD199" s="0"/>
      <c r="FE199" s="0"/>
      <c r="FF199" s="0"/>
      <c r="FG199" s="0"/>
      <c r="FH199" s="0"/>
      <c r="FI199" s="0"/>
      <c r="FJ199" s="0"/>
      <c r="FK199" s="0"/>
      <c r="FL199" s="0"/>
      <c r="FM199" s="0"/>
      <c r="FN199" s="0"/>
      <c r="FO199" s="0"/>
      <c r="FP199" s="0"/>
      <c r="FQ199" s="0"/>
      <c r="FR199" s="0"/>
      <c r="FS199" s="0"/>
      <c r="FT199" s="0"/>
      <c r="FU199" s="0"/>
      <c r="FV199" s="0"/>
      <c r="FW199" s="0"/>
      <c r="FX199" s="0"/>
      <c r="FY199" s="0"/>
      <c r="FZ199" s="0"/>
      <c r="GA199" s="0"/>
      <c r="GB199" s="0"/>
      <c r="GC199" s="0"/>
      <c r="GD199" s="0"/>
      <c r="GE199" s="0"/>
      <c r="GF199" s="0"/>
      <c r="GG199" s="0"/>
      <c r="GH199" s="0"/>
      <c r="GI199" s="0"/>
      <c r="GJ199" s="0"/>
      <c r="GK199" s="0"/>
      <c r="GL199" s="0"/>
      <c r="GM199" s="0"/>
      <c r="GN199" s="0"/>
      <c r="GO199" s="0"/>
      <c r="GP199" s="0"/>
      <c r="GQ199" s="0"/>
      <c r="GR199" s="0"/>
      <c r="GS199" s="0"/>
      <c r="GT199" s="0"/>
      <c r="GU199" s="0"/>
      <c r="GV199" s="0"/>
      <c r="GW199" s="0"/>
      <c r="GX199" s="0"/>
      <c r="GY199" s="0"/>
      <c r="GZ199" s="0"/>
      <c r="HA199" s="0"/>
      <c r="HB199" s="0"/>
      <c r="HC199" s="0"/>
      <c r="HD199" s="0"/>
      <c r="HE199" s="0"/>
      <c r="HF199" s="0"/>
      <c r="HG199" s="0"/>
      <c r="HH199" s="0"/>
      <c r="HI199" s="0"/>
      <c r="HJ199" s="0"/>
      <c r="HK199" s="0"/>
      <c r="HL199" s="0"/>
      <c r="HM199" s="0"/>
      <c r="HN199" s="0"/>
      <c r="HO199" s="0"/>
      <c r="HP199" s="0"/>
      <c r="HQ199" s="0"/>
      <c r="HR199" s="0"/>
      <c r="HS199" s="0"/>
      <c r="HT199" s="0"/>
      <c r="HU199" s="0"/>
      <c r="HV199" s="0"/>
      <c r="HW199" s="0"/>
      <c r="HX199" s="0"/>
      <c r="HY199" s="0"/>
      <c r="HZ199" s="0"/>
      <c r="IA199" s="0"/>
      <c r="IB199" s="0"/>
      <c r="IC199" s="0"/>
      <c r="ID199" s="0"/>
      <c r="IE199" s="0"/>
      <c r="IF199" s="0"/>
      <c r="IG199" s="0"/>
      <c r="IH199" s="0"/>
      <c r="II199" s="0"/>
      <c r="IJ199" s="0"/>
      <c r="IK199" s="0"/>
      <c r="IL199" s="0"/>
      <c r="IM199" s="0"/>
      <c r="IN199" s="0"/>
      <c r="IO199" s="0"/>
      <c r="IP199" s="0"/>
      <c r="IQ199" s="0"/>
      <c r="IR199" s="0"/>
      <c r="IS199" s="0"/>
      <c r="IT199" s="0"/>
      <c r="IU199" s="0"/>
      <c r="IV199" s="0"/>
      <c r="IW199" s="0"/>
    </row>
    <row r="200" customFormat="false" ht="12.75" hidden="false" customHeight="false" outlineLevel="0" collapsed="false">
      <c r="A200" s="0"/>
      <c r="B200" s="0"/>
      <c r="C200" s="0"/>
      <c r="D200" s="0"/>
      <c r="E200" s="0"/>
      <c r="F200" s="0"/>
      <c r="G200" s="0"/>
      <c r="H200" s="0"/>
      <c r="I200" s="0"/>
      <c r="J200" s="0"/>
      <c r="K200" s="0"/>
      <c r="L200" s="0"/>
      <c r="M200" s="0"/>
      <c r="N200" s="0"/>
      <c r="O200" s="0"/>
      <c r="P200" s="0"/>
      <c r="Q200" s="0"/>
      <c r="R200" s="0"/>
      <c r="S200" s="0"/>
      <c r="T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11"/>
      <c r="AW200" s="11"/>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c r="IW200" s="0"/>
    </row>
    <row r="201" customFormat="false" ht="12.75" hidden="fals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11"/>
      <c r="AW201" s="11"/>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false" customHeight="false" outlineLevel="0" collapsed="false">
      <c r="A202" s="0"/>
      <c r="B202" s="0"/>
      <c r="C202" s="0"/>
      <c r="D202" s="0"/>
      <c r="E202" s="0"/>
      <c r="F202" s="0"/>
      <c r="G202" s="0"/>
      <c r="H202" s="0"/>
      <c r="I202" s="0"/>
      <c r="J202" s="0"/>
      <c r="K202" s="0"/>
      <c r="L202" s="0"/>
      <c r="M202" s="0"/>
      <c r="N202" s="0"/>
      <c r="O202" s="0"/>
      <c r="P202" s="0"/>
      <c r="Q202" s="0"/>
      <c r="R202" s="0"/>
      <c r="S202" s="0"/>
      <c r="T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11"/>
      <c r="AW202" s="11"/>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row>
    <row r="203" customFormat="false" ht="12.75" hidden="false" customHeight="false" outlineLevel="0" collapsed="false">
      <c r="A203" s="0"/>
      <c r="B203" s="0"/>
      <c r="C203" s="0"/>
      <c r="D203" s="0"/>
      <c r="E203" s="0"/>
      <c r="F203" s="0"/>
      <c r="G203" s="0"/>
      <c r="H203" s="0"/>
      <c r="I203" s="0"/>
      <c r="J203" s="0"/>
      <c r="K203" s="0"/>
      <c r="L203" s="0"/>
      <c r="M203" s="0"/>
      <c r="N203" s="0"/>
      <c r="O203" s="0"/>
      <c r="P203" s="0"/>
      <c r="Q203" s="0"/>
      <c r="R203" s="0"/>
      <c r="S203" s="0"/>
      <c r="T203" s="0"/>
      <c r="U203" s="0"/>
      <c r="V203" s="0"/>
      <c r="W203" s="0"/>
      <c r="X203" s="0"/>
      <c r="Y203" s="0"/>
      <c r="Z203" s="0"/>
      <c r="AA203" s="0"/>
      <c r="AB203" s="0"/>
      <c r="AC203" s="0"/>
      <c r="AD203" s="0"/>
      <c r="AE203" s="0"/>
      <c r="AF203" s="0"/>
      <c r="AG203" s="0"/>
      <c r="AH203" s="0"/>
      <c r="AI203" s="0"/>
      <c r="AJ203" s="0"/>
      <c r="AK203" s="0"/>
      <c r="AL203" s="0"/>
      <c r="AM203" s="0"/>
      <c r="AN203" s="0"/>
      <c r="AO203" s="0"/>
      <c r="AP203" s="0"/>
      <c r="AQ203" s="0"/>
      <c r="AR203" s="0"/>
      <c r="AS203" s="0"/>
      <c r="AT203" s="0"/>
      <c r="AU203" s="0"/>
      <c r="AV203" s="11"/>
      <c r="AW203" s="11"/>
      <c r="AX203" s="0"/>
      <c r="AY203" s="0"/>
      <c r="AZ203" s="0"/>
      <c r="BA203" s="0"/>
      <c r="BB203" s="0"/>
      <c r="BC203" s="0"/>
      <c r="BD203" s="0"/>
      <c r="BE203" s="0"/>
      <c r="BF203" s="0"/>
      <c r="BG203" s="0"/>
      <c r="BH203" s="0"/>
      <c r="BI203" s="0"/>
      <c r="BJ203" s="0"/>
      <c r="BK203" s="0"/>
      <c r="BL203" s="0"/>
      <c r="BM203" s="0"/>
      <c r="BN203" s="0"/>
      <c r="BO203" s="0"/>
      <c r="BP203" s="0"/>
      <c r="BQ203" s="0"/>
      <c r="BR203" s="0"/>
      <c r="BS203" s="0"/>
      <c r="BT203" s="0"/>
      <c r="BU203" s="0"/>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0"/>
      <c r="DV203" s="0"/>
      <c r="DW203" s="0"/>
      <c r="DX203" s="0"/>
      <c r="DY203" s="0"/>
      <c r="DZ203" s="0"/>
      <c r="EA203" s="0"/>
      <c r="EB203" s="0"/>
      <c r="EC203" s="0"/>
      <c r="ED203" s="0"/>
      <c r="EE203" s="0"/>
      <c r="EF203" s="0"/>
      <c r="EG203" s="0"/>
      <c r="EH203" s="0"/>
      <c r="EI203" s="0"/>
      <c r="EJ203" s="0"/>
      <c r="EK203" s="0"/>
      <c r="EL203" s="0"/>
      <c r="EM203" s="0"/>
      <c r="EN203" s="0"/>
      <c r="EO203" s="0"/>
      <c r="EP203" s="0"/>
      <c r="EQ203" s="0"/>
      <c r="ER203" s="0"/>
      <c r="ES203" s="0"/>
      <c r="ET203" s="0"/>
      <c r="EU203" s="0"/>
      <c r="EV203" s="0"/>
      <c r="EW203" s="0"/>
      <c r="EX203" s="0"/>
      <c r="EY203" s="0"/>
      <c r="EZ203" s="0"/>
      <c r="FA203" s="0"/>
      <c r="FB203" s="0"/>
      <c r="FC203" s="0"/>
      <c r="FD203" s="0"/>
      <c r="FE203" s="0"/>
      <c r="FF203" s="0"/>
      <c r="FG203" s="0"/>
      <c r="FH203" s="0"/>
      <c r="FI203" s="0"/>
      <c r="FJ203" s="0"/>
      <c r="FK203" s="0"/>
      <c r="FL203" s="0"/>
      <c r="FM203" s="0"/>
      <c r="FN203" s="0"/>
      <c r="FO203" s="0"/>
      <c r="FP203" s="0"/>
      <c r="FQ203" s="0"/>
      <c r="FR203" s="0"/>
      <c r="FS203" s="0"/>
      <c r="FT203" s="0"/>
      <c r="FU203" s="0"/>
      <c r="FV203" s="0"/>
      <c r="FW203" s="0"/>
      <c r="FX203" s="0"/>
      <c r="FY203" s="0"/>
      <c r="FZ203" s="0"/>
      <c r="GA203" s="0"/>
      <c r="GB203" s="0"/>
      <c r="GC203" s="0"/>
      <c r="GD203" s="0"/>
      <c r="GE203" s="0"/>
      <c r="GF203" s="0"/>
      <c r="GG203" s="0"/>
      <c r="GH203" s="0"/>
      <c r="GI203" s="0"/>
      <c r="GJ203" s="0"/>
      <c r="GK203" s="0"/>
      <c r="GL203" s="0"/>
      <c r="GM203" s="0"/>
      <c r="GN203" s="0"/>
      <c r="GO203" s="0"/>
      <c r="GP203" s="0"/>
      <c r="GQ203" s="0"/>
      <c r="GR203" s="0"/>
      <c r="GS203" s="0"/>
      <c r="GT203" s="0"/>
      <c r="GU203" s="0"/>
      <c r="GV203" s="0"/>
      <c r="GW203" s="0"/>
      <c r="GX203" s="0"/>
      <c r="GY203" s="0"/>
      <c r="GZ203" s="0"/>
      <c r="HA203" s="0"/>
      <c r="HB203" s="0"/>
      <c r="HC203" s="0"/>
      <c r="HD203" s="0"/>
      <c r="HE203" s="0"/>
      <c r="HF203" s="0"/>
      <c r="HG203" s="0"/>
      <c r="HH203" s="0"/>
      <c r="HI203" s="0"/>
      <c r="HJ203" s="0"/>
      <c r="HK203" s="0"/>
      <c r="HL203" s="0"/>
      <c r="HM203" s="0"/>
      <c r="HN203" s="0"/>
      <c r="HO203" s="0"/>
      <c r="HP203" s="0"/>
      <c r="HQ203" s="0"/>
      <c r="HR203" s="0"/>
      <c r="HS203" s="0"/>
      <c r="HT203" s="0"/>
      <c r="HU203" s="0"/>
      <c r="HV203" s="0"/>
      <c r="HW203" s="0"/>
      <c r="HX203" s="0"/>
      <c r="HY203" s="0"/>
      <c r="HZ203" s="0"/>
      <c r="IA203" s="0"/>
      <c r="IB203" s="0"/>
      <c r="IC203" s="0"/>
      <c r="ID203" s="0"/>
      <c r="IE203" s="0"/>
      <c r="IF203" s="0"/>
      <c r="IG203" s="0"/>
      <c r="IH203" s="0"/>
      <c r="II203" s="0"/>
      <c r="IJ203" s="0"/>
      <c r="IK203" s="0"/>
      <c r="IL203" s="0"/>
      <c r="IM203" s="0"/>
      <c r="IN203" s="0"/>
      <c r="IO203" s="0"/>
      <c r="IP203" s="0"/>
      <c r="IQ203" s="0"/>
      <c r="IR203" s="0"/>
      <c r="IS203" s="0"/>
      <c r="IT203" s="0"/>
      <c r="IU203" s="0"/>
      <c r="IV203" s="0"/>
      <c r="IW203" s="0"/>
    </row>
    <row r="204" customFormat="false" ht="12.75" hidden="false" customHeight="false" outlineLevel="0" collapsed="false">
      <c r="A204" s="0"/>
      <c r="B204" s="0"/>
      <c r="C204" s="0"/>
      <c r="D204" s="0"/>
      <c r="E204" s="0"/>
      <c r="F204" s="0"/>
      <c r="G204" s="0"/>
      <c r="H204" s="0"/>
      <c r="I204" s="0"/>
      <c r="J204" s="0"/>
      <c r="K204" s="0"/>
      <c r="L204" s="0"/>
      <c r="M204" s="0"/>
      <c r="N204" s="0"/>
      <c r="O204" s="0"/>
      <c r="P204" s="0"/>
      <c r="Q204" s="0"/>
      <c r="R204" s="0"/>
      <c r="S204" s="0"/>
      <c r="T204" s="0"/>
      <c r="U204" s="0"/>
      <c r="V204" s="0"/>
      <c r="W204" s="0"/>
      <c r="X204" s="0"/>
      <c r="Y204" s="0"/>
      <c r="Z204" s="0"/>
      <c r="AA204" s="0"/>
      <c r="AB204" s="0"/>
      <c r="AC204" s="0"/>
      <c r="AD204" s="0"/>
      <c r="AE204" s="0"/>
      <c r="AF204" s="0"/>
      <c r="AG204" s="0"/>
      <c r="AH204" s="0"/>
      <c r="AI204" s="0"/>
      <c r="AJ204" s="0"/>
      <c r="AK204" s="0"/>
      <c r="AL204" s="0"/>
      <c r="AM204" s="0"/>
      <c r="AN204" s="0"/>
      <c r="AO204" s="0"/>
      <c r="AP204" s="0"/>
      <c r="AQ204" s="0"/>
      <c r="AR204" s="0"/>
      <c r="AS204" s="0"/>
      <c r="AT204" s="0"/>
      <c r="AU204" s="0"/>
      <c r="AV204" s="11"/>
      <c r="AW204" s="11"/>
      <c r="AX204" s="0"/>
      <c r="AY204" s="0"/>
      <c r="AZ204" s="0"/>
      <c r="BA204" s="0"/>
      <c r="BB204" s="0"/>
      <c r="BC204" s="0"/>
      <c r="BD204" s="0"/>
      <c r="BE204" s="0"/>
      <c r="BF204" s="0"/>
      <c r="BG204" s="0"/>
      <c r="BH204" s="0"/>
      <c r="BI204" s="0"/>
      <c r="BJ204" s="0"/>
      <c r="BK204" s="0"/>
      <c r="BL204" s="0"/>
      <c r="BM204" s="0"/>
      <c r="BN204" s="0"/>
      <c r="BO204" s="0"/>
      <c r="BP204" s="0"/>
      <c r="BQ204" s="0"/>
      <c r="BR204" s="0"/>
      <c r="BS204" s="0"/>
      <c r="BT204" s="0"/>
      <c r="BU204" s="0"/>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0"/>
      <c r="DV204" s="0"/>
      <c r="DW204" s="0"/>
      <c r="DX204" s="0"/>
      <c r="DY204" s="0"/>
      <c r="DZ204" s="0"/>
      <c r="EA204" s="0"/>
      <c r="EB204" s="0"/>
      <c r="EC204" s="0"/>
      <c r="ED204" s="0"/>
      <c r="EE204" s="0"/>
      <c r="EF204" s="0"/>
      <c r="EG204" s="0"/>
      <c r="EH204" s="0"/>
      <c r="EI204" s="0"/>
      <c r="EJ204" s="0"/>
      <c r="EK204" s="0"/>
      <c r="EL204" s="0"/>
      <c r="EM204" s="0"/>
      <c r="EN204" s="0"/>
      <c r="EO204" s="0"/>
      <c r="EP204" s="0"/>
      <c r="EQ204" s="0"/>
      <c r="ER204" s="0"/>
      <c r="ES204" s="0"/>
      <c r="ET204" s="0"/>
      <c r="EU204" s="0"/>
      <c r="EV204" s="0"/>
      <c r="EW204" s="0"/>
      <c r="EX204" s="0"/>
      <c r="EY204" s="0"/>
      <c r="EZ204" s="0"/>
      <c r="FA204" s="0"/>
      <c r="FB204" s="0"/>
      <c r="FC204" s="0"/>
      <c r="FD204" s="0"/>
      <c r="FE204" s="0"/>
      <c r="FF204" s="0"/>
      <c r="FG204" s="0"/>
      <c r="FH204" s="0"/>
      <c r="FI204" s="0"/>
      <c r="FJ204" s="0"/>
      <c r="FK204" s="0"/>
      <c r="FL204" s="0"/>
      <c r="FM204" s="0"/>
      <c r="FN204" s="0"/>
      <c r="FO204" s="0"/>
      <c r="FP204" s="0"/>
      <c r="FQ204" s="0"/>
      <c r="FR204" s="0"/>
      <c r="FS204" s="0"/>
      <c r="FT204" s="0"/>
      <c r="FU204" s="0"/>
      <c r="FV204" s="0"/>
      <c r="FW204" s="0"/>
      <c r="FX204" s="0"/>
      <c r="FY204" s="0"/>
      <c r="FZ204" s="0"/>
      <c r="GA204" s="0"/>
      <c r="GB204" s="0"/>
      <c r="GC204" s="0"/>
      <c r="GD204" s="0"/>
      <c r="GE204" s="0"/>
      <c r="GF204" s="0"/>
      <c r="GG204" s="0"/>
      <c r="GH204" s="0"/>
      <c r="GI204" s="0"/>
      <c r="GJ204" s="0"/>
      <c r="GK204" s="0"/>
      <c r="GL204" s="0"/>
      <c r="GM204" s="0"/>
      <c r="GN204" s="0"/>
      <c r="GO204" s="0"/>
      <c r="GP204" s="0"/>
      <c r="GQ204" s="0"/>
      <c r="GR204" s="0"/>
      <c r="GS204" s="0"/>
      <c r="GT204" s="0"/>
      <c r="GU204" s="0"/>
      <c r="GV204" s="0"/>
      <c r="GW204" s="0"/>
      <c r="GX204" s="0"/>
      <c r="GY204" s="0"/>
      <c r="GZ204" s="0"/>
      <c r="HA204" s="0"/>
      <c r="HB204" s="0"/>
      <c r="HC204" s="0"/>
      <c r="HD204" s="0"/>
      <c r="HE204" s="0"/>
      <c r="HF204" s="0"/>
      <c r="HG204" s="0"/>
      <c r="HH204" s="0"/>
      <c r="HI204" s="0"/>
      <c r="HJ204" s="0"/>
      <c r="HK204" s="0"/>
      <c r="HL204" s="0"/>
      <c r="HM204" s="0"/>
      <c r="HN204" s="0"/>
      <c r="HO204" s="0"/>
      <c r="HP204" s="0"/>
      <c r="HQ204" s="0"/>
      <c r="HR204" s="0"/>
      <c r="HS204" s="0"/>
      <c r="HT204" s="0"/>
      <c r="HU204" s="0"/>
      <c r="HV204" s="0"/>
      <c r="HW204" s="0"/>
      <c r="HX204" s="0"/>
      <c r="HY204" s="0"/>
      <c r="HZ204" s="0"/>
      <c r="IA204" s="0"/>
      <c r="IB204" s="0"/>
      <c r="IC204" s="0"/>
      <c r="ID204" s="0"/>
      <c r="IE204" s="0"/>
      <c r="IF204" s="0"/>
      <c r="IG204" s="0"/>
      <c r="IH204" s="0"/>
      <c r="II204" s="0"/>
      <c r="IJ204" s="0"/>
      <c r="IK204" s="0"/>
      <c r="IL204" s="0"/>
      <c r="IM204" s="0"/>
      <c r="IN204" s="0"/>
      <c r="IO204" s="0"/>
      <c r="IP204" s="0"/>
      <c r="IQ204" s="0"/>
      <c r="IR204" s="0"/>
      <c r="IS204" s="0"/>
      <c r="IT204" s="0"/>
      <c r="IU204" s="0"/>
      <c r="IV204" s="0"/>
      <c r="IW204" s="0"/>
    </row>
    <row r="205" customFormat="false" ht="11.25" hidden="false" customHeight="false" outlineLevel="0" collapsed="false">
      <c r="BN205" s="9"/>
    </row>
    <row r="206" customFormat="false" ht="11.25" hidden="false" customHeight="false" outlineLevel="0" collapsed="false">
      <c r="BN206" s="9"/>
    </row>
    <row r="207" customFormat="false" ht="11.25" hidden="false" customHeight="false" outlineLevel="0" collapsed="false">
      <c r="BN207" s="9"/>
    </row>
    <row r="208" customFormat="false" ht="11.25" hidden="false" customHeight="false" outlineLevel="0" collapsed="false">
      <c r="BN208" s="9"/>
    </row>
    <row r="209" customFormat="false" ht="11.25" hidden="false" customHeight="false" outlineLevel="0" collapsed="false">
      <c r="BN209" s="9"/>
    </row>
    <row r="210" customFormat="false" ht="11.25" hidden="false" customHeight="false" outlineLevel="0" collapsed="false">
      <c r="BN210" s="1"/>
    </row>
    <row r="211" customFormat="false" ht="11.25" hidden="false" customHeight="false" outlineLevel="0" collapsed="false">
      <c r="BN211" s="1"/>
    </row>
    <row r="212" customFormat="false" ht="11.25" hidden="false" customHeight="false" outlineLevel="0" collapsed="false">
      <c r="BN212" s="1"/>
    </row>
    <row r="213" customFormat="false" ht="11.25" hidden="false" customHeight="false" outlineLevel="0" collapsed="false">
      <c r="BN213" s="1"/>
    </row>
    <row r="214" customFormat="false" ht="11.25" hidden="false" customHeight="false" outlineLevel="0" collapsed="false">
      <c r="BN214" s="1"/>
    </row>
    <row r="215" customFormat="false" ht="11.25" hidden="false" customHeight="false" outlineLevel="0" collapsed="false">
      <c r="BN215" s="1"/>
    </row>
    <row r="216" customFormat="false" ht="11.25" hidden="false" customHeight="false" outlineLevel="0" collapsed="false">
      <c r="BN216" s="1"/>
    </row>
    <row r="217" customFormat="false" ht="11.25" hidden="false" customHeight="false" outlineLevel="0" collapsed="false">
      <c r="BN217" s="1"/>
    </row>
    <row r="218" customFormat="false" ht="11.25" hidden="false" customHeight="false" outlineLevel="0" collapsed="false">
      <c r="BN218" s="1"/>
    </row>
    <row r="219" customFormat="false" ht="11.25" hidden="false" customHeight="false" outlineLevel="0" collapsed="false">
      <c r="BN219" s="1"/>
    </row>
    <row r="220" customFormat="false" ht="11.25" hidden="false" customHeight="false" outlineLevel="0" collapsed="false">
      <c r="BN220" s="1"/>
    </row>
    <row r="221" customFormat="false" ht="11.25" hidden="false" customHeight="false" outlineLevel="0" collapsed="false">
      <c r="BN221" s="1"/>
    </row>
    <row r="222" customFormat="false" ht="11.25" hidden="false" customHeight="false" outlineLevel="0" collapsed="false">
      <c r="BN222" s="1"/>
    </row>
    <row r="223" customFormat="false" ht="11.25" hidden="false" customHeight="false" outlineLevel="0" collapsed="false">
      <c r="BN223" s="1"/>
    </row>
    <row r="224" customFormat="false" ht="11.25" hidden="false" customHeight="false" outlineLevel="0" collapsed="false">
      <c r="BN224" s="1"/>
    </row>
    <row r="225" customFormat="false" ht="11.25" hidden="false" customHeight="false" outlineLevel="0" collapsed="false">
      <c r="BN225" s="1"/>
    </row>
    <row r="226" customFormat="false" ht="11.25" hidden="false" customHeight="false" outlineLevel="0" collapsed="false">
      <c r="BN226" s="1"/>
    </row>
    <row r="227" customFormat="false" ht="11.25" hidden="false" customHeight="false" outlineLevel="0" collapsed="false">
      <c r="BN227" s="1"/>
    </row>
    <row r="228" customFormat="false" ht="11.25" hidden="false" customHeight="false" outlineLevel="0" collapsed="false">
      <c r="BN228" s="1"/>
    </row>
    <row r="229" customFormat="false" ht="11.25" hidden="false" customHeight="false" outlineLevel="0" collapsed="false">
      <c r="BN229" s="1"/>
    </row>
    <row r="230" customFormat="false" ht="11.25" hidden="false" customHeight="false" outlineLevel="0" collapsed="false">
      <c r="BN230" s="1"/>
    </row>
    <row r="231" customFormat="false" ht="11.25" hidden="false" customHeight="false" outlineLevel="0" collapsed="false">
      <c r="BN231" s="1"/>
    </row>
    <row r="232" customFormat="false" ht="11.25" hidden="false" customHeight="false" outlineLevel="0" collapsed="false">
      <c r="BN232" s="1"/>
    </row>
    <row r="233" customFormat="false" ht="11.25" hidden="false" customHeight="false" outlineLevel="0" collapsed="false">
      <c r="BN233" s="1"/>
    </row>
    <row r="234" customFormat="false" ht="11.25" hidden="false" customHeight="false" outlineLevel="0" collapsed="false">
      <c r="BN234" s="1"/>
    </row>
    <row r="235" customFormat="false" ht="11.25" hidden="false" customHeight="false" outlineLevel="0" collapsed="false">
      <c r="BN235" s="1"/>
    </row>
    <row r="236" customFormat="false" ht="11.25" hidden="false" customHeight="false" outlineLevel="0" collapsed="false">
      <c r="BN236" s="1"/>
    </row>
    <row r="237" customFormat="false" ht="11.25" hidden="false" customHeight="false" outlineLevel="0" collapsed="false">
      <c r="BN237" s="1"/>
    </row>
    <row r="238" customFormat="false" ht="11.25" hidden="false" customHeight="false" outlineLevel="0" collapsed="false">
      <c r="BN238" s="1"/>
    </row>
    <row r="239" customFormat="false" ht="11.25" hidden="false" customHeight="false" outlineLevel="0" collapsed="false">
      <c r="BN239" s="1"/>
    </row>
    <row r="240" customFormat="false" ht="11.25" hidden="false" customHeight="false" outlineLevel="0" collapsed="false">
      <c r="BN240" s="1"/>
    </row>
    <row r="241" customFormat="false" ht="11.25" hidden="false" customHeight="false" outlineLevel="0" collapsed="false">
      <c r="BN241" s="1"/>
    </row>
    <row r="242" customFormat="false" ht="11.25" hidden="false" customHeight="false" outlineLevel="0" collapsed="false">
      <c r="BN242" s="1"/>
    </row>
    <row r="243" customFormat="false" ht="11.25" hidden="false" customHeight="false" outlineLevel="0" collapsed="false">
      <c r="BN243" s="1"/>
    </row>
    <row r="244" customFormat="false" ht="11.25" hidden="false" customHeight="false" outlineLevel="0" collapsed="false">
      <c r="BN244" s="1"/>
    </row>
    <row r="245" customFormat="false" ht="11.25" hidden="false" customHeight="false" outlineLevel="0" collapsed="false">
      <c r="BN245" s="1"/>
    </row>
    <row r="246" customFormat="false" ht="11.25" hidden="false" customHeight="false" outlineLevel="0" collapsed="false">
      <c r="BN246" s="1"/>
    </row>
    <row r="247" customFormat="false" ht="11.25" hidden="false" customHeight="false" outlineLevel="0" collapsed="false">
      <c r="BN247" s="1"/>
    </row>
    <row r="248" customFormat="false" ht="11.25" hidden="false" customHeight="false" outlineLevel="0" collapsed="false">
      <c r="BN248" s="1"/>
    </row>
    <row r="249" customFormat="false" ht="11.25" hidden="false" customHeight="false" outlineLevel="0" collapsed="false">
      <c r="BN249" s="1"/>
    </row>
    <row r="250" customFormat="false" ht="11.25" hidden="false" customHeight="false" outlineLevel="0" collapsed="false">
      <c r="BN250" s="1"/>
    </row>
    <row r="251" customFormat="false" ht="11.25" hidden="false" customHeight="false" outlineLevel="0" collapsed="false">
      <c r="BN251" s="1"/>
    </row>
    <row r="252" customFormat="false" ht="11.25" hidden="false" customHeight="false" outlineLevel="0" collapsed="false">
      <c r="BN252" s="1"/>
    </row>
    <row r="253" customFormat="false" ht="11.25" hidden="false" customHeight="false" outlineLevel="0" collapsed="false">
      <c r="BN253" s="1"/>
    </row>
    <row r="254" customFormat="false" ht="11.25" hidden="false" customHeight="false" outlineLevel="0" collapsed="false">
      <c r="BN254" s="1"/>
    </row>
    <row r="255" customFormat="false" ht="11.25" hidden="false" customHeight="false" outlineLevel="0" collapsed="false">
      <c r="BN255" s="1"/>
    </row>
    <row r="256" customFormat="false" ht="11.25" hidden="false" customHeight="false" outlineLevel="0" collapsed="false">
      <c r="BN256" s="1"/>
    </row>
    <row r="257" customFormat="false" ht="11.25" hidden="false" customHeight="false" outlineLevel="0" collapsed="false">
      <c r="BN257" s="1"/>
    </row>
    <row r="258" customFormat="false" ht="11.25" hidden="false" customHeight="false" outlineLevel="0" collapsed="false">
      <c r="BN258" s="1"/>
    </row>
    <row r="259" customFormat="false" ht="11.25" hidden="false" customHeight="false" outlineLevel="0" collapsed="false">
      <c r="BN259" s="1"/>
    </row>
    <row r="260" customFormat="false" ht="11.25" hidden="false" customHeight="false" outlineLevel="0" collapsed="false">
      <c r="BN260" s="1"/>
    </row>
    <row r="261" customFormat="false" ht="11.25" hidden="false" customHeight="false" outlineLevel="0" collapsed="false">
      <c r="BN261" s="1"/>
    </row>
    <row r="262" customFormat="false" ht="11.25" hidden="false" customHeight="false" outlineLevel="0" collapsed="false">
      <c r="BN262" s="1"/>
    </row>
    <row r="263" customFormat="false" ht="11.25" hidden="false" customHeight="false" outlineLevel="0" collapsed="false">
      <c r="BN263" s="1"/>
    </row>
    <row r="264" customFormat="false" ht="11.25" hidden="false" customHeight="false" outlineLevel="0" collapsed="false">
      <c r="BN264" s="1"/>
    </row>
    <row r="265" customFormat="false" ht="11.25" hidden="false" customHeight="false" outlineLevel="0" collapsed="false">
      <c r="BN265" s="1"/>
    </row>
    <row r="266" customFormat="false" ht="11.25" hidden="false" customHeight="false" outlineLevel="0" collapsed="false">
      <c r="BN266" s="1"/>
    </row>
    <row r="267" customFormat="false" ht="11.25" hidden="false" customHeight="false" outlineLevel="0" collapsed="false">
      <c r="BN267" s="1"/>
    </row>
    <row r="268" customFormat="false" ht="11.25" hidden="false" customHeight="false" outlineLevel="0" collapsed="false">
      <c r="BN268" s="1"/>
    </row>
    <row r="269" customFormat="false" ht="11.25" hidden="false" customHeight="false" outlineLevel="0" collapsed="false">
      <c r="BN269" s="1"/>
    </row>
    <row r="270" customFormat="false" ht="11.25" hidden="false" customHeight="false" outlineLevel="0" collapsed="false">
      <c r="BN270" s="1"/>
    </row>
    <row r="271" customFormat="false" ht="11.25" hidden="false" customHeight="false" outlineLevel="0" collapsed="false">
      <c r="BN271" s="1"/>
    </row>
    <row r="272" customFormat="false" ht="11.25" hidden="false" customHeight="false" outlineLevel="0" collapsed="false">
      <c r="BN272" s="1"/>
    </row>
    <row r="273" customFormat="false" ht="11.25" hidden="false" customHeight="false" outlineLevel="0" collapsed="false">
      <c r="BN273" s="1"/>
    </row>
    <row r="274" customFormat="false" ht="11.25" hidden="false" customHeight="false" outlineLevel="0" collapsed="false">
      <c r="BN274" s="1"/>
    </row>
    <row r="275" customFormat="false" ht="11.25" hidden="false" customHeight="false" outlineLevel="0" collapsed="false">
      <c r="BN275" s="1"/>
    </row>
    <row r="276" customFormat="false" ht="11.25" hidden="false" customHeight="false" outlineLevel="0" collapsed="false">
      <c r="BN276" s="1"/>
    </row>
    <row r="277" customFormat="false" ht="11.25" hidden="false" customHeight="false" outlineLevel="0" collapsed="false">
      <c r="BN277" s="1"/>
    </row>
    <row r="278" customFormat="false" ht="11.25" hidden="false" customHeight="false" outlineLevel="0" collapsed="false">
      <c r="BN278" s="1"/>
    </row>
    <row r="279" customFormat="false" ht="11.25" hidden="false" customHeight="false" outlineLevel="0" collapsed="false">
      <c r="BN279" s="1"/>
    </row>
    <row r="280" customFormat="false" ht="11.25" hidden="false" customHeight="false" outlineLevel="0" collapsed="false">
      <c r="BN280" s="1"/>
    </row>
    <row r="281" customFormat="false" ht="11.25" hidden="false" customHeight="false" outlineLevel="0" collapsed="false">
      <c r="BN281" s="1"/>
    </row>
    <row r="282" customFormat="false" ht="11.25" hidden="false" customHeight="false" outlineLevel="0" collapsed="false">
      <c r="BN282" s="1"/>
    </row>
    <row r="283" customFormat="false" ht="11.25" hidden="false" customHeight="false" outlineLevel="0" collapsed="false">
      <c r="BN283" s="1"/>
    </row>
    <row r="284" customFormat="false" ht="11.25" hidden="false" customHeight="false" outlineLevel="0" collapsed="false">
      <c r="BN284" s="1"/>
    </row>
    <row r="285" customFormat="false" ht="11.25" hidden="false" customHeight="false" outlineLevel="0" collapsed="false">
      <c r="BN285" s="1"/>
    </row>
    <row r="286" customFormat="false" ht="11.25" hidden="false" customHeight="false" outlineLevel="0" collapsed="false">
      <c r="BN286" s="1"/>
    </row>
    <row r="287" customFormat="false" ht="11.25" hidden="false" customHeight="false" outlineLevel="0" collapsed="false">
      <c r="BN287" s="1"/>
    </row>
    <row r="288" customFormat="false" ht="11.25" hidden="false" customHeight="false" outlineLevel="0" collapsed="false">
      <c r="BN288" s="1"/>
    </row>
    <row r="289" customFormat="false" ht="11.25" hidden="false" customHeight="false" outlineLevel="0" collapsed="false">
      <c r="BN289" s="1"/>
    </row>
    <row r="290" customFormat="false" ht="11.25" hidden="false" customHeight="false" outlineLevel="0" collapsed="false">
      <c r="BN290" s="1"/>
    </row>
    <row r="291" customFormat="false" ht="11.25" hidden="false" customHeight="false" outlineLevel="0" collapsed="false">
      <c r="BN291" s="1"/>
    </row>
    <row r="292" customFormat="false" ht="11.25" hidden="false" customHeight="false" outlineLevel="0" collapsed="false">
      <c r="BN292" s="1"/>
    </row>
    <row r="293" customFormat="false" ht="11.25" hidden="false" customHeight="false" outlineLevel="0" collapsed="false">
      <c r="BN293" s="1"/>
    </row>
    <row r="294" customFormat="false" ht="11.25" hidden="false" customHeight="false" outlineLevel="0" collapsed="false">
      <c r="BN294" s="1"/>
    </row>
    <row r="295" customFormat="false" ht="11.25" hidden="false" customHeight="false" outlineLevel="0" collapsed="false">
      <c r="BN295" s="1"/>
    </row>
    <row r="296" customFormat="false" ht="11.25" hidden="false" customHeight="false" outlineLevel="0" collapsed="false">
      <c r="BN296" s="1"/>
    </row>
    <row r="297" customFormat="false" ht="11.25" hidden="false" customHeight="false" outlineLevel="0" collapsed="false">
      <c r="BN297" s="1"/>
    </row>
    <row r="298" customFormat="false" ht="11.25" hidden="false" customHeight="false" outlineLevel="0" collapsed="false">
      <c r="BN298" s="1"/>
    </row>
    <row r="299" customFormat="false" ht="11.25" hidden="false" customHeight="false" outlineLevel="0" collapsed="false">
      <c r="BN299" s="1"/>
    </row>
    <row r="300" customFormat="false" ht="11.25" hidden="false" customHeight="false" outlineLevel="0" collapsed="false">
      <c r="BN300" s="1"/>
    </row>
    <row r="301" customFormat="false" ht="11.25" hidden="false" customHeight="false" outlineLevel="0" collapsed="false">
      <c r="BN301" s="1"/>
    </row>
    <row r="302" customFormat="false" ht="11.25" hidden="false" customHeight="false" outlineLevel="0" collapsed="false">
      <c r="BN302" s="1"/>
    </row>
    <row r="303" customFormat="false" ht="11.25" hidden="false" customHeight="false" outlineLevel="0" collapsed="false">
      <c r="BN303" s="1"/>
    </row>
    <row r="304" customFormat="false" ht="11.25" hidden="false" customHeight="false" outlineLevel="0" collapsed="false">
      <c r="BN304" s="1"/>
    </row>
    <row r="305" customFormat="false" ht="11.25" hidden="false" customHeight="false" outlineLevel="0" collapsed="false">
      <c r="BN305" s="1"/>
    </row>
    <row r="306" customFormat="false" ht="11.25" hidden="false" customHeight="false" outlineLevel="0" collapsed="false">
      <c r="BN306" s="1"/>
    </row>
    <row r="307" customFormat="false" ht="11.25" hidden="false" customHeight="false" outlineLevel="0" collapsed="false">
      <c r="BN307" s="1"/>
    </row>
    <row r="308" customFormat="false" ht="11.25" hidden="false" customHeight="false" outlineLevel="0" collapsed="false">
      <c r="BN308" s="1"/>
    </row>
    <row r="309" customFormat="false" ht="11.25" hidden="false" customHeight="false" outlineLevel="0" collapsed="false">
      <c r="BN309" s="1"/>
    </row>
    <row r="310" customFormat="false" ht="11.25" hidden="false" customHeight="false" outlineLevel="0" collapsed="false">
      <c r="BN310" s="1"/>
    </row>
    <row r="311" customFormat="false" ht="11.25" hidden="false" customHeight="false" outlineLevel="0" collapsed="false">
      <c r="BN311" s="1"/>
    </row>
    <row r="312" customFormat="false" ht="11.25" hidden="false" customHeight="false" outlineLevel="0" collapsed="false">
      <c r="BN312" s="1"/>
    </row>
    <row r="313" customFormat="false" ht="11.25" hidden="false" customHeight="false" outlineLevel="0" collapsed="false">
      <c r="BN313" s="1"/>
    </row>
    <row r="314" customFormat="false" ht="11.25" hidden="false" customHeight="false" outlineLevel="0" collapsed="false">
      <c r="BN314" s="1"/>
    </row>
    <row r="315" customFormat="false" ht="11.25" hidden="false" customHeight="false" outlineLevel="0" collapsed="false">
      <c r="BN315" s="1"/>
    </row>
    <row r="316" customFormat="false" ht="11.25" hidden="false" customHeight="false" outlineLevel="0" collapsed="false">
      <c r="BN316" s="1"/>
    </row>
    <row r="317" customFormat="false" ht="11.25" hidden="false" customHeight="false" outlineLevel="0" collapsed="false">
      <c r="BN317" s="1"/>
    </row>
    <row r="318" customFormat="false" ht="11.25" hidden="false" customHeight="false" outlineLevel="0" collapsed="false">
      <c r="BN318" s="1"/>
    </row>
    <row r="319" customFormat="false" ht="11.25" hidden="false" customHeight="false" outlineLevel="0" collapsed="false">
      <c r="BN319" s="1"/>
    </row>
    <row r="320" customFormat="false" ht="11.25" hidden="false" customHeight="false" outlineLevel="0" collapsed="false">
      <c r="BN320" s="1"/>
    </row>
    <row r="321" customFormat="false" ht="11.25" hidden="false" customHeight="false" outlineLevel="0" collapsed="false">
      <c r="BN321" s="1"/>
    </row>
    <row r="322" customFormat="false" ht="11.25" hidden="false" customHeight="false" outlineLevel="0" collapsed="false">
      <c r="BN322" s="1"/>
    </row>
    <row r="323" customFormat="false" ht="11.25" hidden="false" customHeight="false" outlineLevel="0" collapsed="false">
      <c r="BN323" s="1"/>
    </row>
  </sheetData>
  <mergeCells count="10">
    <mergeCell ref="B2:K2"/>
    <mergeCell ref="L2:AC2"/>
    <mergeCell ref="AD2:AL2"/>
    <mergeCell ref="AM2:AQ2"/>
    <mergeCell ref="AR2:AU2"/>
    <mergeCell ref="B3:D3"/>
    <mergeCell ref="F3:H3"/>
    <mergeCell ref="L3:R3"/>
    <mergeCell ref="AD3:AF3"/>
    <mergeCell ref="AK3:AM3"/>
  </mergeCells>
  <printOptions headings="false" gridLines="true" gridLinesSet="true" horizontalCentered="true" verticalCentered="false"/>
  <pageMargins left="0" right="0" top="0.75" bottom="0.25" header="0.511811023622047" footer="0.511811023622047"/>
  <pageSetup paperSize="1" scale="79" fitToWidth="1" fitToHeight="1" pageOrder="downThenOver" orientation="landscape" blackAndWhite="false" draft="false" cellComments="none" horizontalDpi="300" verticalDpi="300" copies="1"/>
  <headerFooter differentFirst="false" differentOddEven="false">
    <oddHeader/>
    <oddFooter/>
  </headerFooter>
  <colBreaks count="3" manualBreakCount="3">
    <brk id="11" man="true" max="65535" min="0"/>
    <brk id="43" man="true" max="65535" min="0"/>
    <brk id="48" man="true" max="65535" min="0"/>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18"/>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N24" activeCellId="0" sqref="N24"/>
    </sheetView>
  </sheetViews>
  <sheetFormatPr defaultColWidth="9.0546875" defaultRowHeight="12.75" customHeight="true" zeroHeight="false" outlineLevelRow="0" outlineLevelCol="0"/>
  <cols>
    <col collapsed="false" customWidth="true" hidden="true" outlineLevel="0" max="2" min="2" style="0" width="8.7"/>
    <col collapsed="false" customWidth="true" hidden="true" outlineLevel="0" max="8" min="3" style="0" width="9.14"/>
    <col collapsed="false" customWidth="true" hidden="true" outlineLevel="0" max="9" min="9" style="0" width="9.99"/>
    <col collapsed="false" customWidth="true" hidden="true" outlineLevel="0" max="10" min="10" style="0" width="8.28"/>
    <col collapsed="false" customWidth="true" hidden="false" outlineLevel="0" max="11" min="11" style="0" width="8.28"/>
    <col collapsed="false" customWidth="true" hidden="false" outlineLevel="0" max="14" min="14" style="0" width="9.28"/>
    <col collapsed="false" customWidth="true" hidden="true" outlineLevel="0" max="15" min="15" style="0" width="9.28"/>
    <col collapsed="false" customWidth="false" hidden="true" outlineLevel="0" max="18" min="16" style="0" width="9.06"/>
    <col collapsed="false" customWidth="true" hidden="false" outlineLevel="0" max="21" min="21" style="0" width="5.71"/>
    <col collapsed="false" customWidth="true" hidden="false" outlineLevel="0" max="22" min="22" style="0" width="9.28"/>
  </cols>
  <sheetData>
    <row r="1" customFormat="false" ht="12.75" hidden="false" customHeight="false" outlineLevel="0" collapsed="false">
      <c r="B1" s="11" t="n">
        <f aca="false">'Long Term Deals'!AF1</f>
        <v>0</v>
      </c>
      <c r="C1" s="11" t="n">
        <f aca="false">'Long Term Deals'!AG1</f>
        <v>0</v>
      </c>
      <c r="D1" s="11" t="n">
        <f aca="false">'Long Term Deals'!AH1</f>
        <v>0</v>
      </c>
      <c r="E1" s="11" t="n">
        <f aca="false">'Long Term Deals'!AI1</f>
        <v>0</v>
      </c>
      <c r="F1" s="11" t="n">
        <f aca="false">'Long Term Deals'!AJ1</f>
        <v>0</v>
      </c>
      <c r="G1" s="11" t="n">
        <f aca="false">'Long Term Deals'!AK1</f>
        <v>0</v>
      </c>
      <c r="H1" s="11" t="n">
        <f aca="false">'Long Term Deals'!AL1</f>
        <v>0</v>
      </c>
    </row>
    <row r="2" customFormat="false" ht="12.75" hidden="false" customHeight="false" outlineLevel="0" collapsed="false">
      <c r="B2" s="11" t="n">
        <f aca="false">'Long Term Deals'!AF2</f>
        <v>0</v>
      </c>
      <c r="C2" s="11" t="n">
        <f aca="false">'Long Term Deals'!AG2</f>
        <v>0</v>
      </c>
      <c r="D2" s="11" t="n">
        <f aca="false">'Long Term Deals'!AH2</f>
        <v>0</v>
      </c>
      <c r="E2" s="11" t="n">
        <f aca="false">'Long Term Deals'!AI2</f>
        <v>0</v>
      </c>
      <c r="F2" s="11" t="n">
        <f aca="false">'Long Term Deals'!AJ2</f>
        <v>0</v>
      </c>
      <c r="G2" s="11" t="n">
        <f aca="false">'Long Term Deals'!AK2</f>
        <v>0</v>
      </c>
      <c r="H2" s="11" t="n">
        <f aca="false">'Long Term Deals'!AL2</f>
        <v>0</v>
      </c>
    </row>
    <row r="3" customFormat="false" ht="12.75" hidden="false" customHeight="false" outlineLevel="0" collapsed="false">
      <c r="B3" s="11" t="str">
        <f aca="false">'Long Term Deals'!AF3</f>
        <v>Florida Power &amp; Light</v>
      </c>
      <c r="C3" s="11" t="n">
        <f aca="false">'Long Term Deals'!AG3</f>
        <v>0</v>
      </c>
      <c r="D3" s="11" t="n">
        <f aca="false">'Long Term Deals'!AH3</f>
        <v>0</v>
      </c>
      <c r="E3" s="11" t="n">
        <f aca="false">'Long Term Deals'!AI3</f>
        <v>0</v>
      </c>
      <c r="F3" s="11" t="n">
        <f aca="false">'Long Term Deals'!AJ3</f>
        <v>0</v>
      </c>
      <c r="G3" s="11" t="n">
        <f aca="false">'Long Term Deals'!AK3</f>
        <v>0</v>
      </c>
      <c r="H3" s="11" t="n">
        <f aca="false">'Long Term Deals'!AL3</f>
        <v>0</v>
      </c>
    </row>
    <row r="4" customFormat="false" ht="51" hidden="false" customHeight="false" outlineLevel="0" collapsed="false">
      <c r="A4" s="22"/>
      <c r="B4" s="57" t="str">
        <f aca="false">'Long Term Deals'!AF4</f>
        <v>Volume per Day Zone 1</v>
      </c>
      <c r="C4" s="57" t="str">
        <f aca="false">'Long Term Deals'!AG4</f>
        <v>Volume per Day Zone 2</v>
      </c>
      <c r="D4" s="57" t="str">
        <f aca="false">'Long Term Deals'!AH4</f>
        <v>Volume per Day Zone 3 Cisco</v>
      </c>
      <c r="E4" s="57" t="str">
        <f aca="false">'Long Term Deals'!AI4</f>
        <v>Flexed-down volumes    Zone 1</v>
      </c>
      <c r="F4" s="57" t="str">
        <f aca="false">'Long Term Deals'!AJ4</f>
        <v>Flexed-down volumes    Zone 2</v>
      </c>
      <c r="G4" s="57" t="str">
        <f aca="false">'Long Term Deals'!AK4</f>
        <v>Flexed-down volumes    Zone 3</v>
      </c>
      <c r="H4" s="57" t="str">
        <f aca="false">'Long Term Deals'!AL4</f>
        <v>Flexed-down volumes</v>
      </c>
      <c r="I4" s="22" t="s">
        <v>124</v>
      </c>
      <c r="J4" s="22" t="s">
        <v>125</v>
      </c>
      <c r="K4" s="22" t="s">
        <v>126</v>
      </c>
      <c r="L4" s="22" t="s">
        <v>127</v>
      </c>
      <c r="M4" s="22" t="s">
        <v>128</v>
      </c>
      <c r="N4" s="22" t="s">
        <v>127</v>
      </c>
      <c r="O4" s="22"/>
      <c r="P4" s="22"/>
      <c r="Q4" s="22"/>
      <c r="R4" s="22"/>
      <c r="S4" s="22"/>
      <c r="T4" s="22"/>
      <c r="U4" s="22"/>
      <c r="V4" s="22"/>
    </row>
    <row r="7" customFormat="false" ht="12.75" hidden="false" customHeight="false" outlineLevel="0" collapsed="false">
      <c r="A7" s="58" t="n">
        <f aca="false">'Long Term Deals'!A7</f>
        <v>35809.8333333333</v>
      </c>
      <c r="B7" s="11" t="n">
        <f aca="false">'Long Term Deals'!AF7</f>
        <v>91879.31923672</v>
      </c>
      <c r="C7" s="11" t="n">
        <f aca="false">'Long Term Deals'!AG7</f>
        <v>25988.6539453326</v>
      </c>
      <c r="D7" s="11" t="n">
        <f aca="false">'Long Term Deals'!AH7</f>
        <v>18284.6828261991</v>
      </c>
      <c r="E7" s="11" t="n">
        <f aca="false">'Long Term Deals'!AI7</f>
        <v>30249.6132026818</v>
      </c>
      <c r="F7" s="11" t="n">
        <f aca="false">'Long Term Deals'!AJ7</f>
        <v>83960.8045384219</v>
      </c>
      <c r="G7" s="11" t="n">
        <f aca="false">'Long Term Deals'!AK7</f>
        <v>59074.780814853</v>
      </c>
      <c r="H7" s="11" t="n">
        <f aca="false">'Long Term Deals'!AL7</f>
        <v>173285.198555957</v>
      </c>
      <c r="I7" s="59" t="n">
        <f aca="false">'Prices&amp;Fuel'!F7</f>
        <v>0.0305</v>
      </c>
      <c r="J7" s="11" t="n">
        <f aca="false">75000/(1-I7)</f>
        <v>77359.4636410521</v>
      </c>
      <c r="K7" s="11" t="n">
        <f aca="false">J7-D7</f>
        <v>59074.780814853</v>
      </c>
      <c r="L7" s="0" t="n">
        <f aca="false">-'Prices&amp;Fuel'!C7+'Prices&amp;Fuel'!D7</f>
        <v>-0.0499999999999998</v>
      </c>
      <c r="M7" s="0" t="n">
        <f aca="false">'Prices&amp;Fuel'!H7</f>
        <v>31</v>
      </c>
      <c r="N7" s="25" t="n">
        <f aca="false">K7*L7*M7</f>
        <v>-91565.9102630219</v>
      </c>
      <c r="O7" s="11" t="n">
        <f aca="false">118404/(1-$I7)</f>
        <v>122128.932439402</v>
      </c>
      <c r="P7" s="11" t="n">
        <f aca="false">106596/(1-$I7)</f>
        <v>109949.458483755</v>
      </c>
      <c r="Q7" s="11" t="n">
        <f aca="false">75000/(1-$I7)</f>
        <v>77359.4636410521</v>
      </c>
      <c r="R7" s="25" t="n">
        <f aca="false">SUM(O7:Q7)</f>
        <v>309437.854564208</v>
      </c>
      <c r="S7" s="11" t="n">
        <f aca="false">(118404-25000)/(1-$I7)</f>
        <v>96342.4445590511</v>
      </c>
      <c r="T7" s="25" t="n">
        <f aca="false">P7</f>
        <v>109949.458483755</v>
      </c>
      <c r="U7" s="60" t="n">
        <f aca="false">S7/(S7+T7)</f>
        <v>0.46702</v>
      </c>
      <c r="V7" s="25" t="n">
        <f aca="false">K7*L7*M7*(1-U7)</f>
        <v>-48802.7988519854</v>
      </c>
    </row>
    <row r="8" customFormat="false" ht="12.75" hidden="false" customHeight="false" outlineLevel="0" collapsed="false">
      <c r="A8" s="58" t="n">
        <f aca="false">'Long Term Deals'!A8</f>
        <v>35840.25</v>
      </c>
      <c r="B8" s="11" t="n">
        <f aca="false">'Long Term Deals'!AF8</f>
        <v>91595.8868894602</v>
      </c>
      <c r="C8" s="11" t="n">
        <f aca="false">'Long Term Deals'!AG8</f>
        <v>25908.4832904884</v>
      </c>
      <c r="D8" s="11" t="n">
        <f aca="false">'Long Term Deals'!AH8</f>
        <v>18228.2776349614</v>
      </c>
      <c r="E8" s="11" t="n">
        <f aca="false">'Long Term Deals'!AI8</f>
        <v>30156.2982005141</v>
      </c>
      <c r="F8" s="11" t="n">
        <f aca="false">'Long Term Deals'!AJ8</f>
        <v>83701.7994858612</v>
      </c>
      <c r="G8" s="11" t="n">
        <f aca="false">'Long Term Deals'!AK8</f>
        <v>58892.5449871465</v>
      </c>
      <c r="H8" s="11" t="n">
        <f aca="false">'Long Term Deals'!AL8</f>
        <v>172750.642673522</v>
      </c>
      <c r="I8" s="59" t="n">
        <f aca="false">'Prices&amp;Fuel'!F8</f>
        <v>0.0275</v>
      </c>
      <c r="J8" s="11" t="n">
        <f aca="false">75000/(1-I8)</f>
        <v>77120.822622108</v>
      </c>
      <c r="K8" s="11" t="n">
        <f aca="false">J8-D8</f>
        <v>58892.5449871465</v>
      </c>
      <c r="L8" s="0" t="n">
        <f aca="false">-'Prices&amp;Fuel'!C8+'Prices&amp;Fuel'!D8</f>
        <v>-0.0600000000000001</v>
      </c>
      <c r="M8" s="0" t="n">
        <f aca="false">'Prices&amp;Fuel'!H8</f>
        <v>28</v>
      </c>
      <c r="N8" s="25" t="n">
        <f aca="false">K8*L8*M8</f>
        <v>-98939.4755784062</v>
      </c>
      <c r="O8" s="11" t="n">
        <f aca="false">118404/(1-$I8)</f>
        <v>121752.185089974</v>
      </c>
      <c r="P8" s="11" t="n">
        <f aca="false">106596/(1-$I8)</f>
        <v>109610.28277635</v>
      </c>
      <c r="Q8" s="11" t="n">
        <f aca="false">75000/(1-$I8)</f>
        <v>77120.822622108</v>
      </c>
      <c r="R8" s="25" t="n">
        <f aca="false">SUM(O8:Q8)</f>
        <v>308483.290488432</v>
      </c>
      <c r="S8" s="11" t="n">
        <f aca="false">(118404-25000)/(1-$I8)</f>
        <v>96045.2442159383</v>
      </c>
      <c r="T8" s="25" t="n">
        <f aca="false">P8</f>
        <v>109610.28277635</v>
      </c>
      <c r="U8" s="60" t="n">
        <f aca="false">S8/(S8+T8)</f>
        <v>0.46702</v>
      </c>
      <c r="V8" s="25" t="n">
        <f aca="false">K8*L8*M8*(1-U8)</f>
        <v>-52732.761693779</v>
      </c>
    </row>
    <row r="9" customFormat="false" ht="12.75" hidden="false" customHeight="false" outlineLevel="0" collapsed="false">
      <c r="A9" s="58" t="n">
        <f aca="false">'Long Term Deals'!A9</f>
        <v>35870.6666666667</v>
      </c>
      <c r="B9" s="11" t="n">
        <f aca="false">'Long Term Deals'!AF9</f>
        <v>91595.8868894602</v>
      </c>
      <c r="C9" s="11" t="n">
        <f aca="false">'Long Term Deals'!AG9</f>
        <v>25908.4832904884</v>
      </c>
      <c r="D9" s="11" t="n">
        <f aca="false">'Long Term Deals'!AH9</f>
        <v>18228.2776349614</v>
      </c>
      <c r="E9" s="11" t="n">
        <f aca="false">'Long Term Deals'!AI9</f>
        <v>30156.2982005141</v>
      </c>
      <c r="F9" s="11" t="n">
        <f aca="false">'Long Term Deals'!AJ9</f>
        <v>83701.7994858612</v>
      </c>
      <c r="G9" s="11" t="n">
        <f aca="false">'Long Term Deals'!AK9</f>
        <v>58892.5449871465</v>
      </c>
      <c r="H9" s="11" t="n">
        <f aca="false">'Long Term Deals'!AL9</f>
        <v>172751</v>
      </c>
      <c r="I9" s="59" t="n">
        <f aca="false">'Prices&amp;Fuel'!F9</f>
        <v>0.0275</v>
      </c>
      <c r="J9" s="11" t="n">
        <f aca="false">75000/(1-I9)</f>
        <v>77120.822622108</v>
      </c>
      <c r="K9" s="11" t="n">
        <f aca="false">J9-D9</f>
        <v>58892.5449871465</v>
      </c>
      <c r="L9" s="0" t="n">
        <f aca="false">-'Prices&amp;Fuel'!C9+'Prices&amp;Fuel'!D9</f>
        <v>-0.0600000000000001</v>
      </c>
      <c r="M9" s="0" t="n">
        <f aca="false">'Prices&amp;Fuel'!H9</f>
        <v>31</v>
      </c>
      <c r="N9" s="25" t="n">
        <f aca="false">K9*L9*M9</f>
        <v>-109540.133676093</v>
      </c>
      <c r="O9" s="11" t="n">
        <f aca="false">118404/(1-$I9)</f>
        <v>121752.185089974</v>
      </c>
      <c r="P9" s="11" t="n">
        <f aca="false">106596/(1-$I9)</f>
        <v>109610.28277635</v>
      </c>
      <c r="Q9" s="11" t="n">
        <f aca="false">75000/(1-$I9)</f>
        <v>77120.822622108</v>
      </c>
      <c r="R9" s="25" t="n">
        <f aca="false">SUM(O9:Q9)</f>
        <v>308483.290488432</v>
      </c>
      <c r="S9" s="11" t="n">
        <f aca="false">(118404-25000)/(1-$I9)</f>
        <v>96045.2442159383</v>
      </c>
      <c r="T9" s="25" t="n">
        <f aca="false">P9</f>
        <v>109610.28277635</v>
      </c>
      <c r="U9" s="60" t="n">
        <f aca="false">S9/(S9+T9)</f>
        <v>0.46702</v>
      </c>
      <c r="V9" s="25" t="n">
        <f aca="false">K9*L9*M9*(1-U9)</f>
        <v>-58382.7004466839</v>
      </c>
    </row>
    <row r="10" customFormat="false" ht="12.75" hidden="false" customHeight="false" outlineLevel="0" collapsed="false">
      <c r="A10" s="58" t="n">
        <f aca="false">'Long Term Deals'!A10</f>
        <v>35901.0833333333</v>
      </c>
      <c r="B10" s="11" t="n">
        <f aca="false">'Long Term Deals'!AF10</f>
        <v>131948.415164699</v>
      </c>
      <c r="C10" s="11" t="n">
        <f aca="false">'Long Term Deals'!AG10</f>
        <v>101115.599751398</v>
      </c>
      <c r="D10" s="11" t="n">
        <f aca="false">'Long Term Deals'!AH10</f>
        <v>77688.0049720323</v>
      </c>
      <c r="E10" s="11" t="n">
        <f aca="false">'Long Term Deals'!AI10</f>
        <v>0</v>
      </c>
      <c r="F10" s="11" t="n">
        <f aca="false">'Long Term Deals'!AJ10</f>
        <v>0</v>
      </c>
      <c r="G10" s="11" t="n">
        <f aca="false">'Long Term Deals'!AK10</f>
        <v>0</v>
      </c>
      <c r="H10" s="11" t="n">
        <f aca="false">'Long Term Deals'!AL10</f>
        <v>0</v>
      </c>
      <c r="I10" s="59" t="n">
        <f aca="false">'Prices&amp;Fuel'!F10</f>
        <v>0.0346</v>
      </c>
      <c r="J10" s="11" t="n">
        <f aca="false">75000/(1-I10)</f>
        <v>77688.0049720323</v>
      </c>
      <c r="K10" s="11" t="n">
        <f aca="false">J10-D10</f>
        <v>0</v>
      </c>
      <c r="L10" s="0" t="n">
        <f aca="false">-'Prices&amp;Fuel'!C10+'Prices&amp;Fuel'!D10</f>
        <v>-0.02</v>
      </c>
      <c r="M10" s="0" t="n">
        <f aca="false">'Prices&amp;Fuel'!H10</f>
        <v>30</v>
      </c>
      <c r="N10" s="25" t="n">
        <f aca="false">K10*L10*M10</f>
        <v>-0</v>
      </c>
      <c r="O10" s="25"/>
      <c r="S10" s="25"/>
      <c r="U10" s="60"/>
      <c r="V10" s="25" t="n">
        <f aca="false">K10*L10*M10*(1-U10)</f>
        <v>-0</v>
      </c>
    </row>
    <row r="11" customFormat="false" ht="12.75" hidden="false" customHeight="false" outlineLevel="0" collapsed="false">
      <c r="A11" s="58" t="n">
        <f aca="false">'Long Term Deals'!A11</f>
        <v>35931.5</v>
      </c>
      <c r="B11" s="11" t="n">
        <f aca="false">'Long Term Deals'!AF11</f>
        <v>125885.51772465</v>
      </c>
      <c r="C11" s="11" t="n">
        <f aca="false">'Long Term Deals'!AG11</f>
        <v>74496.0065952185</v>
      </c>
      <c r="D11" s="11" t="n">
        <f aca="false">'Long Term Deals'!AH11</f>
        <v>32112.7164056059</v>
      </c>
      <c r="E11" s="11" t="n">
        <f aca="false">'Long Term Deals'!AI11</f>
        <v>59909</v>
      </c>
      <c r="F11" s="11" t="n">
        <f aca="false">'Long Term Deals'!AJ11</f>
        <v>105538</v>
      </c>
      <c r="G11" s="11" t="n">
        <f aca="false">'Long Term Deals'!AK11</f>
        <v>45175</v>
      </c>
      <c r="H11" s="11" t="n">
        <f aca="false">'Long Term Deals'!AL11</f>
        <v>210622</v>
      </c>
      <c r="I11" s="59" t="n">
        <f aca="false">'Prices&amp;Fuel'!F11</f>
        <v>0.0296</v>
      </c>
      <c r="J11" s="11" t="n">
        <f aca="false">75000/(1-I11)</f>
        <v>77287.7164056059</v>
      </c>
      <c r="K11" s="11" t="n">
        <f aca="false">J11-D11</f>
        <v>45175</v>
      </c>
      <c r="L11" s="0" t="n">
        <f aca="false">-'Prices&amp;Fuel'!C11+'Prices&amp;Fuel'!D11</f>
        <v>-0.0299999999999998</v>
      </c>
      <c r="M11" s="0" t="n">
        <f aca="false">'Prices&amp;Fuel'!H11</f>
        <v>31</v>
      </c>
      <c r="N11" s="25" t="n">
        <f aca="false">K11*L11*M11</f>
        <v>-42012.7499999997</v>
      </c>
      <c r="O11" s="11" t="n">
        <f aca="false">180295/(1-$I11)</f>
        <v>185794.51772465</v>
      </c>
      <c r="P11" s="11" t="n">
        <f aca="false">174705/(1-$I11)</f>
        <v>180034.006595218</v>
      </c>
      <c r="Q11" s="11" t="n">
        <f aca="false">75000/(1-$I11)</f>
        <v>77287.7164056059</v>
      </c>
      <c r="R11" s="25" t="n">
        <f aca="false">SUM(O11:Q11)</f>
        <v>443116.240725474</v>
      </c>
      <c r="S11" s="11" t="n">
        <f aca="false">(180295-25000)/(1-$I11)</f>
        <v>160031.945589448</v>
      </c>
      <c r="T11" s="25" t="n">
        <f aca="false">P11</f>
        <v>180034.006595218</v>
      </c>
      <c r="U11" s="60" t="n">
        <f aca="false">S11/(S11+T11)</f>
        <v>0.470590909090909</v>
      </c>
      <c r="V11" s="25" t="n">
        <f aca="false">K11*L11*M11*(1-U11)</f>
        <v>-22241.9317840908</v>
      </c>
    </row>
    <row r="12" customFormat="false" ht="12.75" hidden="false" customHeight="false" outlineLevel="0" collapsed="false">
      <c r="A12" s="58" t="n">
        <f aca="false">'Long Term Deals'!A12</f>
        <v>35961.9166666667</v>
      </c>
      <c r="B12" s="11" t="n">
        <f aca="false">'Long Term Deals'!AF12</f>
        <v>125885.51772465</v>
      </c>
      <c r="C12" s="11" t="n">
        <f aca="false">'Long Term Deals'!AG12</f>
        <v>74496.0065952185</v>
      </c>
      <c r="D12" s="11" t="n">
        <f aca="false">'Long Term Deals'!AH12</f>
        <v>32112.7164056059</v>
      </c>
      <c r="E12" s="11" t="n">
        <f aca="false">'Long Term Deals'!AI12</f>
        <v>59909</v>
      </c>
      <c r="F12" s="11" t="n">
        <f aca="false">'Long Term Deals'!AJ12</f>
        <v>105538</v>
      </c>
      <c r="G12" s="11" t="n">
        <f aca="false">'Long Term Deals'!AK12</f>
        <v>45175</v>
      </c>
      <c r="H12" s="11" t="n">
        <f aca="false">'Long Term Deals'!AL12</f>
        <v>210622</v>
      </c>
      <c r="I12" s="59" t="n">
        <f aca="false">'Prices&amp;Fuel'!F12</f>
        <v>0.0296</v>
      </c>
      <c r="J12" s="11" t="n">
        <f aca="false">75000/(1-I12)</f>
        <v>77287.7164056059</v>
      </c>
      <c r="K12" s="11" t="n">
        <f aca="false">J12-D12</f>
        <v>45175</v>
      </c>
      <c r="L12" s="0" t="n">
        <f aca="false">-'Prices&amp;Fuel'!C12+'Prices&amp;Fuel'!D12</f>
        <v>-0.0499999999999998</v>
      </c>
      <c r="M12" s="0" t="n">
        <f aca="false">'Prices&amp;Fuel'!H12</f>
        <v>30</v>
      </c>
      <c r="N12" s="25" t="n">
        <f aca="false">K12*L12*M12</f>
        <v>-67762.4999999998</v>
      </c>
      <c r="O12" s="11" t="n">
        <f aca="false">180295/(1-$I12)</f>
        <v>185794.51772465</v>
      </c>
      <c r="P12" s="11" t="n">
        <f aca="false">174705/(1-$I12)</f>
        <v>180034.006595218</v>
      </c>
      <c r="Q12" s="11" t="n">
        <f aca="false">75000/(1-$I12)</f>
        <v>77287.7164056059</v>
      </c>
      <c r="R12" s="25" t="n">
        <f aca="false">SUM(O12:Q12)</f>
        <v>443116.240725474</v>
      </c>
      <c r="S12" s="11" t="n">
        <f aca="false">(180295-25000)/(1-$I12)</f>
        <v>160031.945589448</v>
      </c>
      <c r="T12" s="25" t="n">
        <f aca="false">P12</f>
        <v>180034.006595218</v>
      </c>
      <c r="U12" s="60" t="n">
        <f aca="false">S12/(S12+T12)</f>
        <v>0.470590909090909</v>
      </c>
      <c r="V12" s="25" t="n">
        <f aca="false">K12*L12*M12*(1-U12)</f>
        <v>-35874.0835227271</v>
      </c>
    </row>
    <row r="13" customFormat="false" ht="12.75" hidden="false" customHeight="false" outlineLevel="0" collapsed="false">
      <c r="A13" s="58" t="n">
        <f aca="false">'Long Term Deals'!A13</f>
        <v>35992.3333333333</v>
      </c>
      <c r="B13" s="11" t="n">
        <f aca="false">'Long Term Deals'!AF13</f>
        <v>125885.51772465</v>
      </c>
      <c r="C13" s="11" t="n">
        <f aca="false">'Long Term Deals'!AG13</f>
        <v>74496.0065952185</v>
      </c>
      <c r="D13" s="11" t="n">
        <f aca="false">'Long Term Deals'!AH13</f>
        <v>32112.7164056059</v>
      </c>
      <c r="E13" s="11" t="n">
        <f aca="false">'Long Term Deals'!AI13</f>
        <v>59909</v>
      </c>
      <c r="F13" s="11" t="n">
        <f aca="false">'Long Term Deals'!AJ13</f>
        <v>105538</v>
      </c>
      <c r="G13" s="11" t="n">
        <f aca="false">'Long Term Deals'!AK13</f>
        <v>45175</v>
      </c>
      <c r="H13" s="11" t="n">
        <f aca="false">'Long Term Deals'!AL13</f>
        <v>210622</v>
      </c>
      <c r="I13" s="59" t="n">
        <f aca="false">'Prices&amp;Fuel'!F13</f>
        <v>0.0296</v>
      </c>
      <c r="J13" s="11" t="n">
        <f aca="false">75000/(1-I13)</f>
        <v>77287.7164056059</v>
      </c>
      <c r="K13" s="11" t="n">
        <f aca="false">J13-D13</f>
        <v>45175</v>
      </c>
      <c r="L13" s="0" t="n">
        <f aca="false">-'Prices&amp;Fuel'!C13+'Prices&amp;Fuel'!D13</f>
        <v>-0.0699999999999998</v>
      </c>
      <c r="M13" s="0" t="n">
        <f aca="false">'Prices&amp;Fuel'!H13</f>
        <v>31</v>
      </c>
      <c r="N13" s="25" t="n">
        <f aca="false">K13*L13*M13</f>
        <v>-98029.7499999998</v>
      </c>
      <c r="O13" s="11" t="n">
        <f aca="false">180295/(1-$I13)</f>
        <v>185794.51772465</v>
      </c>
      <c r="P13" s="11" t="n">
        <f aca="false">174705/(1-$I13)</f>
        <v>180034.006595218</v>
      </c>
      <c r="Q13" s="11" t="n">
        <f aca="false">75000/(1-$I13)</f>
        <v>77287.7164056059</v>
      </c>
      <c r="R13" s="25" t="n">
        <f aca="false">SUM(O13:Q13)</f>
        <v>443116.240725474</v>
      </c>
      <c r="S13" s="11" t="n">
        <f aca="false">(180295-25000)/(1-$I13)</f>
        <v>160031.945589448</v>
      </c>
      <c r="T13" s="25" t="n">
        <f aca="false">P13</f>
        <v>180034.006595218</v>
      </c>
      <c r="U13" s="60" t="n">
        <f aca="false">S13/(S13+T13)</f>
        <v>0.470590909090909</v>
      </c>
      <c r="V13" s="25" t="n">
        <f aca="false">K13*L13*M13*(1-U13)</f>
        <v>-51897.8408295453</v>
      </c>
    </row>
    <row r="14" customFormat="false" ht="12.75" hidden="false" customHeight="false" outlineLevel="0" collapsed="false">
      <c r="A14" s="58" t="n">
        <f aca="false">'Long Term Deals'!A14</f>
        <v>36022.75</v>
      </c>
      <c r="B14" s="11" t="n">
        <f aca="false">'Long Term Deals'!AF14</f>
        <v>116187.970374704</v>
      </c>
      <c r="C14" s="11" t="n">
        <f aca="false">'Long Term Deals'!AG14</f>
        <v>69066.8630162487</v>
      </c>
      <c r="D14" s="11" t="n">
        <f aca="false">'Long Term Deals'!AH14</f>
        <v>30219.8627769061</v>
      </c>
      <c r="E14" s="11" t="n">
        <f aca="false">'Long Term Deals'!AI14</f>
        <v>59909</v>
      </c>
      <c r="F14" s="11" t="n">
        <f aca="false">'Long Term Deals'!AJ14</f>
        <v>105538</v>
      </c>
      <c r="G14" s="11" t="n">
        <f aca="false">'Long Term Deals'!AK14</f>
        <v>45175</v>
      </c>
      <c r="H14" s="11" t="n">
        <f aca="false">'Long Term Deals'!AL14</f>
        <v>210622</v>
      </c>
      <c r="I14" s="59" t="n">
        <f aca="false">'Prices&amp;Fuel'!F14</f>
        <v>0.0296</v>
      </c>
      <c r="J14" s="11" t="n">
        <f aca="false">75000/(1-I14)</f>
        <v>77287.7164056059</v>
      </c>
      <c r="K14" s="11" t="n">
        <f aca="false">J14-D14</f>
        <v>47067.8536286998</v>
      </c>
      <c r="L14" s="0" t="n">
        <f aca="false">-'Prices&amp;Fuel'!C14+'Prices&amp;Fuel'!D14</f>
        <v>-0.0599999999999998</v>
      </c>
      <c r="M14" s="0" t="n">
        <f aca="false">'Prices&amp;Fuel'!H14</f>
        <v>31</v>
      </c>
      <c r="N14" s="25" t="n">
        <f aca="false">K14*L14*M14</f>
        <v>-87546.2077493814</v>
      </c>
      <c r="O14" s="11" t="n">
        <f aca="false">180295/(1-$I14)</f>
        <v>185794.51772465</v>
      </c>
      <c r="P14" s="11" t="n">
        <f aca="false">174705/(1-$I14)</f>
        <v>180034.006595218</v>
      </c>
      <c r="Q14" s="11" t="n">
        <f aca="false">75000/(1-$I14)</f>
        <v>77287.7164056059</v>
      </c>
      <c r="R14" s="25" t="n">
        <f aca="false">SUM(O14:Q14)</f>
        <v>443116.240725474</v>
      </c>
      <c r="S14" s="11" t="n">
        <f aca="false">(180295-25000)/(1-$I14)</f>
        <v>160031.945589448</v>
      </c>
      <c r="T14" s="25" t="n">
        <f aca="false">P14</f>
        <v>180034.006595218</v>
      </c>
      <c r="U14" s="60" t="n">
        <f aca="false">S14/(S14+T14)</f>
        <v>0.470590909090909</v>
      </c>
      <c r="V14" s="25" t="n">
        <f aca="false">K14*L14*M14*(1-U14)</f>
        <v>-46347.7582571384</v>
      </c>
    </row>
    <row r="15" customFormat="false" ht="12.75" hidden="false" customHeight="false" outlineLevel="0" collapsed="false">
      <c r="A15" s="58" t="n">
        <f aca="false">'Long Term Deals'!A15</f>
        <v>36053.1666666667</v>
      </c>
      <c r="B15" s="11" t="n">
        <f aca="false">'Long Term Deals'!AF15</f>
        <v>125885.51772465</v>
      </c>
      <c r="C15" s="11" t="n">
        <f aca="false">'Long Term Deals'!AG15</f>
        <v>74496.0065952185</v>
      </c>
      <c r="D15" s="11" t="n">
        <f aca="false">'Long Term Deals'!AH15</f>
        <v>32112.7164056059</v>
      </c>
      <c r="E15" s="11" t="n">
        <f aca="false">'Long Term Deals'!AI15</f>
        <v>59909</v>
      </c>
      <c r="F15" s="11" t="n">
        <f aca="false">'Long Term Deals'!AJ15</f>
        <v>105538</v>
      </c>
      <c r="G15" s="11" t="n">
        <f aca="false">'Long Term Deals'!AK15</f>
        <v>45175</v>
      </c>
      <c r="H15" s="11" t="n">
        <f aca="false">'Long Term Deals'!AL15</f>
        <v>210622</v>
      </c>
      <c r="I15" s="59" t="n">
        <f aca="false">'Prices&amp;Fuel'!F15</f>
        <v>0.0296</v>
      </c>
      <c r="J15" s="11" t="n">
        <f aca="false">75000/(1-I15)</f>
        <v>77287.7164056059</v>
      </c>
      <c r="K15" s="11" t="n">
        <f aca="false">J15-D15</f>
        <v>45175</v>
      </c>
      <c r="L15" s="0" t="n">
        <f aca="false">-'Prices&amp;Fuel'!C15+'Prices&amp;Fuel'!D15</f>
        <v>-0.04</v>
      </c>
      <c r="M15" s="0" t="n">
        <f aca="false">'Prices&amp;Fuel'!H15</f>
        <v>30</v>
      </c>
      <c r="N15" s="25" t="n">
        <f aca="false">K15*L15*M15</f>
        <v>-54210.0000000001</v>
      </c>
      <c r="O15" s="11" t="n">
        <f aca="false">180295/(1-$I15)</f>
        <v>185794.51772465</v>
      </c>
      <c r="P15" s="11" t="n">
        <f aca="false">174705/(1-$I15)</f>
        <v>180034.006595218</v>
      </c>
      <c r="Q15" s="11" t="n">
        <f aca="false">75000/(1-$I15)</f>
        <v>77287.7164056059</v>
      </c>
      <c r="R15" s="25" t="n">
        <f aca="false">SUM(O15:Q15)</f>
        <v>443116.240725474</v>
      </c>
      <c r="S15" s="11" t="n">
        <f aca="false">(180295-25000)/(1-$I15)</f>
        <v>160031.945589448</v>
      </c>
      <c r="T15" s="25" t="n">
        <f aca="false">P15</f>
        <v>180034.006595218</v>
      </c>
      <c r="U15" s="60" t="n">
        <f aca="false">S15/(S15+T15)</f>
        <v>0.470590909090909</v>
      </c>
      <c r="V15" s="25" t="n">
        <f aca="false">K15*L15*M15*(1-U15)</f>
        <v>-28699.2668181818</v>
      </c>
    </row>
    <row r="16" customFormat="false" ht="12.75" hidden="false" customHeight="false" outlineLevel="0" collapsed="false">
      <c r="A16" s="58" t="n">
        <f aca="false">'Long Term Deals'!A16</f>
        <v>36083.5833333333</v>
      </c>
      <c r="B16" s="11" t="n">
        <f aca="false">'Long Term Deals'!AF16</f>
        <v>107773.149444216</v>
      </c>
      <c r="C16" s="11" t="n">
        <f aca="false">'Long Term Deals'!AG16</f>
        <v>15763.6311239193</v>
      </c>
      <c r="D16" s="11" t="n">
        <f aca="false">'Long Term Deals'!AH16</f>
        <v>12321.2601893783</v>
      </c>
      <c r="E16" s="11" t="n">
        <f aca="false">'Long Term Deals'!AI16</f>
        <v>21880</v>
      </c>
      <c r="F16" s="11" t="n">
        <f aca="false">'Long Term Deals'!AJ16</f>
        <v>86160</v>
      </c>
      <c r="G16" s="11" t="n">
        <f aca="false">'Long Term Deals'!AK16</f>
        <v>64871</v>
      </c>
      <c r="H16" s="11" t="n">
        <f aca="false">'Long Term Deals'!AL16</f>
        <v>172911</v>
      </c>
      <c r="I16" s="59" t="n">
        <f aca="false">'Prices&amp;Fuel'!F16</f>
        <v>0.0284</v>
      </c>
      <c r="J16" s="11" t="n">
        <f aca="false">75000/(1-I16)</f>
        <v>77192.2601893783</v>
      </c>
      <c r="K16" s="11" t="n">
        <f aca="false">J16-D16</f>
        <v>64871</v>
      </c>
      <c r="L16" s="0" t="n">
        <f aca="false">-'Prices&amp;Fuel'!C16+'Prices&amp;Fuel'!D16</f>
        <v>-0.0599999999999998</v>
      </c>
      <c r="M16" s="0" t="n">
        <f aca="false">'Prices&amp;Fuel'!H16</f>
        <v>31</v>
      </c>
      <c r="N16" s="25" t="n">
        <f aca="false">K16*L16*M16</f>
        <v>-120660.06</v>
      </c>
      <c r="O16" s="11" t="n">
        <f aca="false">118404/(1-$I16)</f>
        <v>121864.965006175</v>
      </c>
      <c r="P16" s="11" t="n">
        <f aca="false">106596/(1-$I16)</f>
        <v>109711.81556196</v>
      </c>
      <c r="Q16" s="11" t="n">
        <f aca="false">75000/(1-$I16)</f>
        <v>77192.2601893783</v>
      </c>
      <c r="R16" s="25" t="n">
        <f aca="false">SUM(O16:Q16)</f>
        <v>308769.040757513</v>
      </c>
      <c r="S16" s="11" t="n">
        <f aca="false">(118404-25000)/(1-$I16)</f>
        <v>96134.2116097159</v>
      </c>
      <c r="T16" s="25" t="n">
        <f aca="false">P16</f>
        <v>109711.81556196</v>
      </c>
      <c r="U16" s="60" t="n">
        <f aca="false">S16/(S16+T16)</f>
        <v>0.46702</v>
      </c>
      <c r="V16" s="25" t="n">
        <f aca="false">K16*L16*M16*(1-U16)</f>
        <v>-64309.3987787998</v>
      </c>
    </row>
    <row r="17" customFormat="false" ht="12.75" hidden="false" customHeight="false" outlineLevel="0" collapsed="false">
      <c r="A17" s="58" t="n">
        <f aca="false">'Long Term Deals'!A17</f>
        <v>36114</v>
      </c>
      <c r="B17" s="11" t="n">
        <f aca="false">'Long Term Deals'!AF17</f>
        <v>99984.9650061754</v>
      </c>
      <c r="C17" s="11" t="n">
        <f aca="false">'Long Term Deals'!AG17</f>
        <v>23551.8155619597</v>
      </c>
      <c r="D17" s="11" t="n">
        <f aca="false">'Long Term Deals'!AH17</f>
        <v>12321.2601893783</v>
      </c>
      <c r="E17" s="11" t="n">
        <f aca="false">'Long Term Deals'!AI17</f>
        <v>21880</v>
      </c>
      <c r="F17" s="11" t="n">
        <f aca="false">'Long Term Deals'!AJ17</f>
        <v>86160</v>
      </c>
      <c r="G17" s="11" t="n">
        <f aca="false">'Long Term Deals'!AK17</f>
        <v>64871</v>
      </c>
      <c r="H17" s="11" t="n">
        <f aca="false">'Long Term Deals'!AL17</f>
        <v>172911</v>
      </c>
      <c r="I17" s="59" t="n">
        <f aca="false">'Prices&amp;Fuel'!F17</f>
        <v>0.0284</v>
      </c>
      <c r="J17" s="11" t="n">
        <f aca="false">75000/(1-I17)</f>
        <v>77192.2601893783</v>
      </c>
      <c r="K17" s="11" t="n">
        <f aca="false">J17-D17</f>
        <v>64871</v>
      </c>
      <c r="L17" s="0" t="n">
        <f aca="false">-'Prices&amp;Fuel'!C17+'Prices&amp;Fuel'!D17</f>
        <v>-0.0800000000000001</v>
      </c>
      <c r="M17" s="0" t="n">
        <f aca="false">'Prices&amp;Fuel'!H17</f>
        <v>30</v>
      </c>
      <c r="N17" s="25" t="n">
        <f aca="false">K17*L17*M17</f>
        <v>-155690.4</v>
      </c>
      <c r="O17" s="11" t="n">
        <f aca="false">118404/(1-$I17)</f>
        <v>121864.965006175</v>
      </c>
      <c r="P17" s="11" t="n">
        <f aca="false">106596/(1-$I17)</f>
        <v>109711.81556196</v>
      </c>
      <c r="Q17" s="11" t="n">
        <f aca="false">75000/(1-$I17)</f>
        <v>77192.2601893783</v>
      </c>
      <c r="R17" s="25" t="n">
        <f aca="false">SUM(O17:Q17)</f>
        <v>308769.040757513</v>
      </c>
      <c r="S17" s="11" t="n">
        <f aca="false">(118404-25000)/(1-$I17)</f>
        <v>96134.2116097159</v>
      </c>
      <c r="T17" s="25" t="n">
        <f aca="false">P17</f>
        <v>109711.81556196</v>
      </c>
      <c r="U17" s="60" t="n">
        <f aca="false">S17/(S17+T17)</f>
        <v>0.46702</v>
      </c>
      <c r="V17" s="25" t="n">
        <f aca="false">K17*L17*M17*(1-U17)</f>
        <v>-82979.8693920001</v>
      </c>
    </row>
    <row r="18" customFormat="false" ht="12.75" hidden="false" customHeight="false" outlineLevel="0" collapsed="false">
      <c r="N18" s="25" t="n">
        <f aca="false">SUM(N7:N17)</f>
        <v>-925957.187266901</v>
      </c>
    </row>
  </sheetData>
  <printOptions headings="false" gridLines="false" gridLinesSet="true" horizontalCentered="tru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5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5.85"/>
    <col collapsed="false" customWidth="true" hidden="false" outlineLevel="0" max="2" min="2" style="0" width="11.28"/>
    <col collapsed="false" customWidth="true" hidden="false" outlineLevel="0" max="3" min="3" style="0" width="14.28"/>
  </cols>
  <sheetData>
    <row r="1" customFormat="false" ht="12.75" hidden="false" customHeight="false" outlineLevel="0" collapsed="false">
      <c r="A1" s="0" t="s">
        <v>129</v>
      </c>
    </row>
    <row r="2" customFormat="false" ht="12.75" hidden="false" customHeight="false" outlineLevel="0" collapsed="false">
      <c r="A2" s="0" t="s">
        <v>130</v>
      </c>
      <c r="B2" s="61" t="n">
        <f aca="false">SUM('Long Term Deals'!CQ31:CQ42)</f>
        <v>39283.9150000001</v>
      </c>
    </row>
    <row r="3" customFormat="false" ht="12.75" hidden="false" customHeight="false" outlineLevel="0" collapsed="false">
      <c r="A3" s="0" t="s">
        <v>131</v>
      </c>
      <c r="B3" s="61" t="n">
        <f aca="false">SUM('Long Term Deals'!CR31:CR42)</f>
        <v>372389.260929075</v>
      </c>
    </row>
    <row r="5" customFormat="false" ht="12.75" hidden="false" customHeight="false" outlineLevel="0" collapsed="false">
      <c r="A5" s="0" t="s">
        <v>132</v>
      </c>
      <c r="B5" s="58" t="n">
        <v>36540</v>
      </c>
      <c r="C5" s="11" t="n">
        <f aca="false">(('Long Term Deals'!O31+'Long Term Deals'!P31+'Long Term Deals'!Q31+'Long Term Deals'!X31+'Long Term Deals'!Y31+'Long Term Deals'!BE31+'Long Term Deals'!BF31+'Long Term Deals'!BG31+'Long Term Deals'!BB31+'Long Term Deals'!BC31+'Long Term Deals'!BD31)*0.5+'Long Term Deals'!AR31+'Long Term Deals'!AS31+'Long Term Deals'!AT31)*31</f>
        <v>1848667.14138817</v>
      </c>
    </row>
    <row r="6" customFormat="false" ht="12.75" hidden="false" customHeight="false" outlineLevel="0" collapsed="false">
      <c r="B6" s="58" t="n">
        <f aca="false">B5+365/12</f>
        <v>36570.4166666667</v>
      </c>
      <c r="C6" s="11" t="n">
        <f aca="false">(('Long Term Deals'!O32+'Long Term Deals'!P32+'Long Term Deals'!Q32+'Long Term Deals'!X32+'Long Term Deals'!Y32+'Long Term Deals'!BE32+'Long Term Deals'!BF32+'Long Term Deals'!BG32+'Long Term Deals'!BB32+'Long Term Deals'!BC32+'Long Term Deals'!BD32)*0.5+'Long Term Deals'!AR32+'Long Term Deals'!AS32+'Long Term Deals'!AT32)*29</f>
        <v>1731758.48453608</v>
      </c>
    </row>
    <row r="7" customFormat="false" ht="12.75" hidden="false" customHeight="false" outlineLevel="0" collapsed="false">
      <c r="B7" s="58" t="n">
        <f aca="false">B6+365/12</f>
        <v>36600.8333333333</v>
      </c>
      <c r="C7" s="11" t="n">
        <f aca="false">(('Long Term Deals'!O33+'Long Term Deals'!P33+'Long Term Deals'!Q33+'Long Term Deals'!X33+'Long Term Deals'!Y33+'Long Term Deals'!BE33+'Long Term Deals'!BF33+'Long Term Deals'!BG33+'Long Term Deals'!BB33+'Long Term Deals'!BC33+'Long Term Deals'!BD33)*0.5+'Long Term Deals'!AR33+'Long Term Deals'!AS33+'Long Term Deals'!AT33)*31</f>
        <v>1852068.79381443</v>
      </c>
    </row>
    <row r="8" customFormat="false" ht="12.75" hidden="false" customHeight="false" outlineLevel="0" collapsed="false">
      <c r="B8" s="58" t="n">
        <f aca="false">B7+365/12</f>
        <v>36631.25</v>
      </c>
      <c r="C8" s="11" t="n">
        <f aca="false">(('Long Term Deals'!O34+'Long Term Deals'!P34+'Long Term Deals'!Q34+'Long Term Deals'!X34+'Long Term Deals'!Y34+'Long Term Deals'!BE34+'Long Term Deals'!BF34+'Long Term Deals'!BG34+'Long Term Deals'!BB34+'Long Term Deals'!BC34+'Long Term Deals'!BD34)*0.5+'Long Term Deals'!AR34+'Long Term Deals'!AS34+'Long Term Deals'!AT34)*30</f>
        <v>1796505.40243274</v>
      </c>
    </row>
    <row r="9" customFormat="false" ht="12.75" hidden="false" customHeight="false" outlineLevel="0" collapsed="false">
      <c r="B9" s="58" t="n">
        <f aca="false">B8+365/12</f>
        <v>36661.6666666667</v>
      </c>
      <c r="C9" s="11" t="n">
        <f aca="false">(('Long Term Deals'!O35+'Long Term Deals'!P35+'Long Term Deals'!Q35+'Long Term Deals'!X35+'Long Term Deals'!Y35+'Long Term Deals'!BE35+'Long Term Deals'!BF35+'Long Term Deals'!BG35+'Long Term Deals'!BB35+'Long Term Deals'!BC35+'Long Term Deals'!BD35)*0.5+'Long Term Deals'!AR35+'Long Term Deals'!AS35+'Long Term Deals'!AT35)*31</f>
        <v>3176342.42268042</v>
      </c>
    </row>
    <row r="10" customFormat="false" ht="12.75" hidden="false" customHeight="false" outlineLevel="0" collapsed="false">
      <c r="B10" s="58" t="n">
        <f aca="false">B9+365/12</f>
        <v>36692.0833333333</v>
      </c>
      <c r="C10" s="11" t="n">
        <f aca="false">(('Long Term Deals'!O36+'Long Term Deals'!P36+'Long Term Deals'!Q36+'Long Term Deals'!X36+'Long Term Deals'!Y36+'Long Term Deals'!BE36+'Long Term Deals'!BF36+'Long Term Deals'!BG36+'Long Term Deals'!BB36+'Long Term Deals'!BC36+'Long Term Deals'!BD36)*0.5+'Long Term Deals'!AR36+'Long Term Deals'!AS36+'Long Term Deals'!AT36)*30</f>
        <v>3070883.00216473</v>
      </c>
    </row>
    <row r="11" customFormat="false" ht="12.75" hidden="false" customHeight="false" outlineLevel="0" collapsed="false">
      <c r="B11" s="58" t="n">
        <f aca="false">B10+365/12</f>
        <v>36722.5</v>
      </c>
      <c r="C11" s="11" t="n">
        <f aca="false">(('Long Term Deals'!O37+'Long Term Deals'!P37+'Long Term Deals'!Q37+'Long Term Deals'!X37+'Long Term Deals'!Y37+'Long Term Deals'!BE37+'Long Term Deals'!BF37+'Long Term Deals'!BG37+'Long Term Deals'!BB37+'Long Term Deals'!BC37+'Long Term Deals'!BD37)*0.5+'Long Term Deals'!AR37+'Long Term Deals'!AS37+'Long Term Deals'!AT37)*31</f>
        <v>3178901.30223689</v>
      </c>
    </row>
    <row r="12" customFormat="false" ht="12.75" hidden="false" customHeight="false" outlineLevel="0" collapsed="false">
      <c r="B12" s="58" t="n">
        <f aca="false">B11+365/12</f>
        <v>36752.9166666667</v>
      </c>
      <c r="C12" s="11" t="n">
        <f aca="false">(('Long Term Deals'!O38+'Long Term Deals'!P38+'Long Term Deals'!Q38+'Long Term Deals'!X38+'Long Term Deals'!Y38+'Long Term Deals'!BE38+'Long Term Deals'!BF38+'Long Term Deals'!BG38+'Long Term Deals'!BB38+'Long Term Deals'!BC38+'Long Term Deals'!BD38)*0.5+'Long Term Deals'!AR38+'Long Term Deals'!AS38+'Long Term Deals'!AT38)*31</f>
        <v>3179379.30223689</v>
      </c>
    </row>
    <row r="13" customFormat="false" ht="12.75" hidden="false" customHeight="false" outlineLevel="0" collapsed="false">
      <c r="B13" s="58" t="n">
        <f aca="false">B12+365/12</f>
        <v>36783.3333333333</v>
      </c>
      <c r="C13" s="11" t="n">
        <f aca="false">(('Long Term Deals'!O39+'Long Term Deals'!P39+'Long Term Deals'!Q39+'Long Term Deals'!X39+'Long Term Deals'!Y39+'Long Term Deals'!BE39+'Long Term Deals'!BF39+'Long Term Deals'!BG39+'Long Term Deals'!BB39+'Long Term Deals'!BC39+'Long Term Deals'!BD39)*0.5+'Long Term Deals'!AR39+'Long Term Deals'!AS39+'Long Term Deals'!AT39)*30</f>
        <v>3077361.00216473</v>
      </c>
    </row>
    <row r="14" customFormat="false" ht="12.75" hidden="false" customHeight="false" outlineLevel="0" collapsed="false">
      <c r="B14" s="58" t="n">
        <f aca="false">B13+365/12</f>
        <v>36813.75</v>
      </c>
      <c r="C14" s="11" t="n">
        <f aca="false">(('Long Term Deals'!O40+'Long Term Deals'!P40+'Long Term Deals'!Q40+'Long Term Deals'!X40+'Long Term Deals'!Y40+'Long Term Deals'!BE40+'Long Term Deals'!BF40+'Long Term Deals'!BG40+'Long Term Deals'!BB40+'Long Term Deals'!BC40+'Long Term Deals'!BD40)*0.5+'Long Term Deals'!AR40+'Long Term Deals'!AS40+'Long Term Deals'!AT40)*31</f>
        <v>2033777.7043155</v>
      </c>
    </row>
    <row r="15" customFormat="false" ht="12.75" hidden="false" customHeight="false" outlineLevel="0" collapsed="false">
      <c r="B15" s="58" t="n">
        <f aca="false">B14+365/12</f>
        <v>36844.1666666667</v>
      </c>
      <c r="C15" s="11" t="n">
        <f aca="false">(('Long Term Deals'!O41+'Long Term Deals'!P41+'Long Term Deals'!Q41+'Long Term Deals'!X41+'Long Term Deals'!Y41+'Long Term Deals'!BE41+'Long Term Deals'!BF41+'Long Term Deals'!BG41+'Long Term Deals'!BB41+'Long Term Deals'!BC41+'Long Term Deals'!BD41)*0.5+'Long Term Deals'!AR41+'Long Term Deals'!AS41+'Long Term Deals'!AT41)*30</f>
        <v>1748414.6529563</v>
      </c>
    </row>
    <row r="16" customFormat="false" ht="12.75" hidden="false" customHeight="false" outlineLevel="0" collapsed="false">
      <c r="B16" s="58" t="n">
        <f aca="false">B15+365/12</f>
        <v>36874.5833333333</v>
      </c>
      <c r="C16" s="11" t="n">
        <f aca="false">(('Long Term Deals'!O42+'Long Term Deals'!P42+'Long Term Deals'!Q42+'Long Term Deals'!X42+'Long Term Deals'!Y42+'Long Term Deals'!BE42+'Long Term Deals'!BF42+'Long Term Deals'!BG42+'Long Term Deals'!BB42+'Long Term Deals'!BC42+'Long Term Deals'!BD42)*0.5+'Long Term Deals'!AR42+'Long Term Deals'!AS42+'Long Term Deals'!AT42)*31</f>
        <v>1806695.14138817</v>
      </c>
    </row>
    <row r="17" customFormat="false" ht="12.75" hidden="false" customHeight="false" outlineLevel="0" collapsed="false">
      <c r="B17" s="58"/>
      <c r="C17" s="25" t="n">
        <f aca="false">SUM(C5:C16)</f>
        <v>28500754.3523151</v>
      </c>
    </row>
    <row r="18" customFormat="false" ht="12.75" hidden="false" customHeight="false" outlineLevel="0" collapsed="false">
      <c r="B18" s="58"/>
    </row>
    <row r="19" customFormat="false" ht="12.75" hidden="false" customHeight="false" outlineLevel="0" collapsed="false">
      <c r="A19" s="0" t="s">
        <v>133</v>
      </c>
      <c r="B19" s="58" t="n">
        <v>36540</v>
      </c>
      <c r="C19" s="11" t="n">
        <f aca="false">((('Long Term Deals'!O31+'Long Term Deals'!P31+'Long Term Deals'!Q31+'Long Term Deals'!X31+'Long Term Deals'!Y31+'Long Term Deals'!BE31+'Long Term Deals'!BF31+'Long Term Deals'!BG31+'Long Term Deals'!BB31+'Long Term Deals'!BC31+'Long Term Deals'!BD31)*0.5)+'Long Term Deals'!AM31+'Long Term Deals'!AN31+'Long Term Deals'!AO31)*31</f>
        <v>1848674.64010283</v>
      </c>
    </row>
    <row r="20" customFormat="false" ht="12.75" hidden="false" customHeight="false" outlineLevel="0" collapsed="false">
      <c r="A20" s="0" t="s">
        <v>134</v>
      </c>
      <c r="B20" s="58" t="n">
        <f aca="false">B19+365/12</f>
        <v>36570.4166666667</v>
      </c>
      <c r="C20" s="11" t="n">
        <f aca="false">((('Long Term Deals'!O32+'Long Term Deals'!P32+'Long Term Deals'!Q32+'Long Term Deals'!X32+'Long Term Deals'!Y32+'Long Term Deals'!BE32+'Long Term Deals'!BF32+'Long Term Deals'!BG32+'Long Term Deals'!BB32+'Long Term Deals'!BC32+'Long Term Deals'!BD32)*0.5)+'Long Term Deals'!AM32+'Long Term Deals'!AN32+'Long Term Deals'!AO32)*29</f>
        <v>1731780.44329897</v>
      </c>
    </row>
    <row r="21" customFormat="false" ht="12.75" hidden="false" customHeight="false" outlineLevel="0" collapsed="false">
      <c r="B21" s="58" t="n">
        <f aca="false">B20+365/12</f>
        <v>36600.8333333333</v>
      </c>
      <c r="C21" s="11" t="n">
        <f aca="false">((('Long Term Deals'!O33+'Long Term Deals'!P33+'Long Term Deals'!Q33+'Long Term Deals'!X33+'Long Term Deals'!Y33+'Long Term Deals'!BE33+'Long Term Deals'!BF33+'Long Term Deals'!BG33+'Long Term Deals'!BB33+'Long Term Deals'!BC33+'Long Term Deals'!BD33)*0.5)+'Long Term Deals'!AM33+'Long Term Deals'!AN33+'Long Term Deals'!AO33)*31</f>
        <v>1852081.57731959</v>
      </c>
    </row>
    <row r="22" customFormat="false" ht="12.75" hidden="false" customHeight="false" outlineLevel="0" collapsed="false">
      <c r="B22" s="58" t="n">
        <f aca="false">B21+365/12</f>
        <v>36631.25</v>
      </c>
      <c r="C22" s="11" t="n">
        <f aca="false">((('Long Term Deals'!O34+'Long Term Deals'!P34+'Long Term Deals'!Q34+'Long Term Deals'!X34+'Long Term Deals'!Y34+'Long Term Deals'!BE34+'Long Term Deals'!BF34+'Long Term Deals'!BG34+'Long Term Deals'!BB34+'Long Term Deals'!BC34+'Long Term Deals'!BD34)*0.5)+'Long Term Deals'!AM34+'Long Term Deals'!AN34+'Long Term Deals'!AO34)*30</f>
        <v>1796517.88166168</v>
      </c>
    </row>
    <row r="23" customFormat="false" ht="12.75" hidden="false" customHeight="false" outlineLevel="0" collapsed="false">
      <c r="B23" s="58" t="n">
        <f aca="false">B22+365/12</f>
        <v>36661.6666666667</v>
      </c>
      <c r="C23" s="11" t="n">
        <f aca="false">((('Long Term Deals'!O35+'Long Term Deals'!P35+'Long Term Deals'!Q35+'Long Term Deals'!X35+'Long Term Deals'!Y35+'Long Term Deals'!BE35+'Long Term Deals'!BF35+'Long Term Deals'!BG35+'Long Term Deals'!BB35+'Long Term Deals'!BC35+'Long Term Deals'!BD35)*0.5)+'Long Term Deals'!AM35+'Long Term Deals'!AN35+'Long Term Deals'!AO35)*31</f>
        <v>3176345.01030928</v>
      </c>
    </row>
    <row r="24" customFormat="false" ht="12.75" hidden="false" customHeight="false" outlineLevel="0" collapsed="false">
      <c r="B24" s="58" t="n">
        <f aca="false">B23+365/12</f>
        <v>36692.0833333333</v>
      </c>
      <c r="C24" s="11" t="n">
        <f aca="false">((('Long Term Deals'!O36+'Long Term Deals'!P36+'Long Term Deals'!Q36+'Long Term Deals'!X36+'Long Term Deals'!Y36+'Long Term Deals'!BE36+'Long Term Deals'!BF36+'Long Term Deals'!BG36+'Long Term Deals'!BB36+'Long Term Deals'!BC36+'Long Term Deals'!BD36)*0.5)+'Long Term Deals'!AM36+'Long Term Deals'!AN36+'Long Term Deals'!AO36)*30</f>
        <v>3070908.79290795</v>
      </c>
    </row>
    <row r="25" customFormat="false" ht="12.75" hidden="false" customHeight="false" outlineLevel="0" collapsed="false">
      <c r="B25" s="58" t="n">
        <f aca="false">B24+365/12</f>
        <v>36722.5</v>
      </c>
      <c r="C25" s="11" t="n">
        <f aca="false">((('Long Term Deals'!O37+'Long Term Deals'!P37+'Long Term Deals'!Q37+'Long Term Deals'!X37+'Long Term Deals'!Y37+'Long Term Deals'!BE37+'Long Term Deals'!BF37+'Long Term Deals'!BG37+'Long Term Deals'!BB37+'Long Term Deals'!BC37+'Long Term Deals'!BD37)*0.5)+'Long Term Deals'!AM37+'Long Term Deals'!AN37+'Long Term Deals'!AO37)*31</f>
        <v>3178883.41933822</v>
      </c>
    </row>
    <row r="26" customFormat="false" ht="12.75" hidden="false" customHeight="false" outlineLevel="0" collapsed="false">
      <c r="B26" s="58" t="n">
        <f aca="false">B25+365/12</f>
        <v>36752.9166666667</v>
      </c>
      <c r="C26" s="11" t="n">
        <f aca="false">((('Long Term Deals'!O38+'Long Term Deals'!P38+'Long Term Deals'!Q38+'Long Term Deals'!X38+'Long Term Deals'!Y38+'Long Term Deals'!BE38+'Long Term Deals'!BF38+'Long Term Deals'!BG38+'Long Term Deals'!BB38+'Long Term Deals'!BC38+'Long Term Deals'!BD38)*0.5)+'Long Term Deals'!AM38+'Long Term Deals'!AN38+'Long Term Deals'!AO38)*31</f>
        <v>3179379.41933822</v>
      </c>
    </row>
    <row r="27" customFormat="false" ht="12.75" hidden="false" customHeight="false" outlineLevel="0" collapsed="false">
      <c r="B27" s="58" t="n">
        <f aca="false">B26+365/12</f>
        <v>36783.3333333333</v>
      </c>
      <c r="C27" s="11" t="n">
        <f aca="false">((('Long Term Deals'!O39+'Long Term Deals'!P39+'Long Term Deals'!Q39+'Long Term Deals'!X39+'Long Term Deals'!Y39+'Long Term Deals'!BE39+'Long Term Deals'!BF39+'Long Term Deals'!BG39+'Long Term Deals'!BB39+'Long Term Deals'!BC39+'Long Term Deals'!BD39)*0.5)+'Long Term Deals'!AM39+'Long Term Deals'!AN39+'Long Term Deals'!AO39)*30</f>
        <v>3077388.79290795</v>
      </c>
    </row>
    <row r="28" customFormat="false" ht="12.75" hidden="false" customHeight="false" outlineLevel="0" collapsed="false">
      <c r="B28" s="58" t="n">
        <f aca="false">B27+365/12</f>
        <v>36813.75</v>
      </c>
      <c r="C28" s="11" t="n">
        <f aca="false">((('Long Term Deals'!O40+'Long Term Deals'!P40+'Long Term Deals'!Q40+'Long Term Deals'!X40+'Long Term Deals'!Y40+'Long Term Deals'!BE40+'Long Term Deals'!BF40+'Long Term Deals'!BG40+'Long Term Deals'!BB40+'Long Term Deals'!BC40+'Long Term Deals'!BD40)*0.5)+'Long Term Deals'!AM40+'Long Term Deals'!AN40+'Long Term Deals'!AO40)*31</f>
        <v>2033798.0338633</v>
      </c>
    </row>
    <row r="29" customFormat="false" ht="12.75" hidden="false" customHeight="false" outlineLevel="0" collapsed="false">
      <c r="B29" s="58" t="n">
        <f aca="false">B28+365/12</f>
        <v>36844.1666666667</v>
      </c>
      <c r="C29" s="11" t="n">
        <f aca="false">((('Long Term Deals'!O41+'Long Term Deals'!P41+'Long Term Deals'!Q41+'Long Term Deals'!X41+'Long Term Deals'!Y41+'Long Term Deals'!BE41+'Long Term Deals'!BF41+'Long Term Deals'!BG41+'Long Term Deals'!BB41+'Long Term Deals'!BC41+'Long Term Deals'!BD41)*0.5)+'Long Term Deals'!AM41+'Long Term Deals'!AN41+'Long Term Deals'!AO41)*30</f>
        <v>1748389.97429306</v>
      </c>
    </row>
    <row r="30" customFormat="false" ht="12.75" hidden="false" customHeight="false" outlineLevel="0" collapsed="false">
      <c r="B30" s="58" t="n">
        <f aca="false">B29+365/12</f>
        <v>36874.5833333333</v>
      </c>
      <c r="C30" s="11" t="n">
        <f aca="false">((('Long Term Deals'!O42+'Long Term Deals'!P42+'Long Term Deals'!Q42+'Long Term Deals'!X42+'Long Term Deals'!Y42+'Long Term Deals'!BE42+'Long Term Deals'!BF42+'Long Term Deals'!BG42+'Long Term Deals'!BB42+'Long Term Deals'!BC42+'Long Term Deals'!BD42)*0.5)+'Long Term Deals'!AM42+'Long Term Deals'!AN42+'Long Term Deals'!AO42)*31</f>
        <v>1806669.64010283</v>
      </c>
    </row>
    <row r="31" customFormat="false" ht="12.75" hidden="false" customHeight="false" outlineLevel="0" collapsed="false">
      <c r="C31" s="25" t="n">
        <f aca="false">SUM(C19:C30)</f>
        <v>28500817.6254439</v>
      </c>
    </row>
    <row r="33" customFormat="false" ht="25.5" hidden="false" customHeight="false" outlineLevel="0" collapsed="false">
      <c r="A33" s="16" t="s">
        <v>135</v>
      </c>
      <c r="B33" s="58" t="n">
        <v>36540</v>
      </c>
      <c r="C33" s="11" t="n">
        <f aca="false">('Long Term Deals'!AP31+'Long Term Deals'!AQ31+'Long Term Deals'!BI31)*31</f>
        <v>1951071.46529563</v>
      </c>
    </row>
    <row r="34" customFormat="false" ht="12.75" hidden="false" customHeight="false" outlineLevel="0" collapsed="false">
      <c r="B34" s="58" t="n">
        <f aca="false">B33+365/12</f>
        <v>36570.4166666667</v>
      </c>
      <c r="C34" s="11" t="n">
        <f aca="false">('Long Term Deals'!AP32+'Long Term Deals'!AQ32+'Long Term Deals'!BI32)*29</f>
        <v>1829900</v>
      </c>
    </row>
    <row r="35" customFormat="false" ht="12.75" hidden="false" customHeight="false" outlineLevel="0" collapsed="false">
      <c r="B35" s="58" t="n">
        <f aca="false">B34+365/12</f>
        <v>36600.8333333333</v>
      </c>
      <c r="C35" s="11" t="n">
        <f aca="false">('Long Term Deals'!AP33+'Long Term Deals'!AQ33+'Long Term Deals'!BI33)*31</f>
        <v>1956100</v>
      </c>
    </row>
    <row r="36" customFormat="false" ht="12.75" hidden="false" customHeight="false" outlineLevel="0" collapsed="false">
      <c r="B36" s="58" t="n">
        <f aca="false">B35+365/12</f>
        <v>36631.25</v>
      </c>
      <c r="C36" s="11" t="n">
        <f aca="false">('Long Term Deals'!AP34+'Long Term Deals'!AQ34+'Long Term Deals'!BI34)*30</f>
        <v>1951530.77002371</v>
      </c>
    </row>
    <row r="37" customFormat="false" ht="12.75" hidden="false" customHeight="false" outlineLevel="0" collapsed="false">
      <c r="B37" s="58" t="n">
        <f aca="false">B36+365/12</f>
        <v>36661.6666666667</v>
      </c>
      <c r="C37" s="11" t="n">
        <f aca="false">('Long Term Deals'!AP35+'Long Term Deals'!AQ35+'Long Term Deals'!BI35)*31</f>
        <v>2480000</v>
      </c>
    </row>
    <row r="38" customFormat="false" ht="12.75" hidden="false" customHeight="false" outlineLevel="0" collapsed="false">
      <c r="B38" s="58" t="n">
        <f aca="false">B37+365/12</f>
        <v>36692.0833333333</v>
      </c>
      <c r="C38" s="11" t="n">
        <f aca="false">('Long Term Deals'!AP36+'Long Term Deals'!AQ36+'Long Term Deals'!BI36)*30</f>
        <v>2400000</v>
      </c>
    </row>
    <row r="39" customFormat="false" ht="12.75" hidden="false" customHeight="false" outlineLevel="0" collapsed="false">
      <c r="B39" s="58" t="n">
        <f aca="false">B38+365/12</f>
        <v>36722.5</v>
      </c>
      <c r="C39" s="11" t="n">
        <f aca="false">('Long Term Deals'!AP37+'Long Term Deals'!AQ37+'Long Term Deals'!BI37)*31</f>
        <v>2480000</v>
      </c>
    </row>
    <row r="40" customFormat="false" ht="12.75" hidden="false" customHeight="false" outlineLevel="0" collapsed="false">
      <c r="B40" s="58" t="n">
        <f aca="false">B39+365/12</f>
        <v>36752.9166666667</v>
      </c>
      <c r="C40" s="11" t="n">
        <f aca="false">('Long Term Deals'!AP38+'Long Term Deals'!AQ38+'Long Term Deals'!BI38)*31</f>
        <v>2480000</v>
      </c>
    </row>
    <row r="41" customFormat="false" ht="12.75" hidden="false" customHeight="false" outlineLevel="0" collapsed="false">
      <c r="B41" s="58" t="n">
        <f aca="false">B40+365/12</f>
        <v>36783.3333333333</v>
      </c>
      <c r="C41" s="11" t="n">
        <f aca="false">('Long Term Deals'!AP39+'Long Term Deals'!AQ39+'Long Term Deals'!BI39)*30</f>
        <v>2400000</v>
      </c>
    </row>
    <row r="42" customFormat="false" ht="12.75" hidden="false" customHeight="false" outlineLevel="0" collapsed="false">
      <c r="B42" s="58" t="n">
        <f aca="false">B41+365/12</f>
        <v>36813.75</v>
      </c>
      <c r="C42" s="11" t="n">
        <f aca="false">('Long Term Deals'!AP40+'Long Term Deals'!AQ40+'Long Term Deals'!BI40)*31</f>
        <v>2103685.73198431</v>
      </c>
    </row>
    <row r="43" customFormat="false" ht="12.75" hidden="false" customHeight="false" outlineLevel="0" collapsed="false">
      <c r="B43" s="58" t="n">
        <f aca="false">B42+365/12</f>
        <v>36844.1666666667</v>
      </c>
      <c r="C43" s="11" t="n">
        <f aca="false">('Long Term Deals'!AP41+'Long Term Deals'!AQ41+'Long Term Deals'!BI41)*30</f>
        <v>1888133.67609255</v>
      </c>
    </row>
    <row r="44" customFormat="false" ht="12.75" hidden="false" customHeight="false" outlineLevel="0" collapsed="false">
      <c r="B44" s="58" t="n">
        <f aca="false">B43+365/12</f>
        <v>36874.5833333333</v>
      </c>
      <c r="C44" s="11" t="n">
        <f aca="false">('Long Term Deals'!AP42+'Long Term Deals'!AQ42+'Long Term Deals'!BI42)*31</f>
        <v>1951071.46529563</v>
      </c>
    </row>
    <row r="45" customFormat="false" ht="12.75" hidden="false" customHeight="false" outlineLevel="0" collapsed="false">
      <c r="C45" s="25" t="n">
        <f aca="false">SUM(C33:C44)</f>
        <v>25871493.1086918</v>
      </c>
    </row>
    <row r="48" customFormat="false" ht="12.75" hidden="false" customHeight="false" outlineLevel="0" collapsed="false">
      <c r="A48" s="0" t="s">
        <v>136</v>
      </c>
    </row>
    <row r="49" customFormat="false" ht="12.75" hidden="false" customHeight="false" outlineLevel="0" collapsed="false">
      <c r="A49" s="0" t="s">
        <v>137</v>
      </c>
    </row>
    <row r="50" customFormat="false" ht="12.75" hidden="false" customHeight="false" outlineLevel="0" collapsed="false">
      <c r="A50" s="0" t="s">
        <v>138</v>
      </c>
      <c r="B50" s="62" t="n">
        <v>0.065</v>
      </c>
      <c r="C50" s="63" t="n">
        <f aca="false">NPV(B50/12,'Long Term Deals'!CV41:CV195)</f>
        <v>43263253.1353315</v>
      </c>
    </row>
    <row r="51" customFormat="false" ht="12.75" hidden="false" customHeight="false" outlineLevel="0" collapsed="false">
      <c r="A51" s="0" t="s">
        <v>139</v>
      </c>
    </row>
    <row r="53" customFormat="false" ht="12.75" hidden="false" customHeight="false" outlineLevel="0" collapsed="false">
      <c r="A53" s="0" t="s">
        <v>140</v>
      </c>
    </row>
    <row r="54" customFormat="false" ht="12.75" hidden="false" customHeight="false" outlineLevel="0" collapsed="false">
      <c r="A54" s="0" t="s">
        <v>141</v>
      </c>
    </row>
    <row r="55" customFormat="false" ht="12.75" hidden="false" customHeight="false" outlineLevel="0" collapsed="false">
      <c r="A55" s="0" t="s">
        <v>142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1999-04-27T17:36:22Z</dcterms:created>
  <dc:creator>Schroeder, Maggie A</dc:creator>
  <dc:description/>
  <dc:language>en-US</dc:language>
  <cp:lastModifiedBy>Maggie Schroeder</cp:lastModifiedBy>
  <cp:lastPrinted>1999-03-10T12:17:54Z</cp:lastPrinted>
  <cp:revision>0</cp:revision>
  <dc:subject/>
  <dc:title/>
</cp:coreProperties>
</file>