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E 2000" sheetId="1" state="visible" r:id="rId3"/>
    <sheet name="BS 2000" sheetId="2" state="visible" r:id="rId4"/>
    <sheet name="Off Balance Sheet Support" sheetId="3" state="visible" r:id="rId5"/>
    <sheet name="Income Calculations" sheetId="4" state="visible" r:id="rId6"/>
  </sheets>
  <externalReferences>
    <externalReference r:id="rId7"/>
  </externalReferences>
  <definedNames>
    <definedName function="false" hidden="false" localSheetId="1" name="_xlnm.Print_Area" vbProcedure="false">'BS 2000'!$A$1:$AQ$56</definedName>
    <definedName function="false" hidden="false" localSheetId="1" name="_xlnm.Print_Titles" vbProcedure="false">'BS 2000'!$A:$A</definedName>
    <definedName function="false" hidden="false" localSheetId="3" name="_xlnm.Print_Area" vbProcedure="false">'Income Calculations'!$1:$65536</definedName>
    <definedName function="false" hidden="false" localSheetId="2" name="_xlnm.Print_Area" vbProcedure="false">'Off Balance Sheet Support'!$A$1:$T$47</definedName>
    <definedName function="false" hidden="false" localSheetId="0" name="_xlnm.Print_Area" vbProcedure="false">'ROE 2000'!$A$1:$X$47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<sst xmlns="http://schemas.openxmlformats.org/spreadsheetml/2006/main" count="206" uniqueCount="123">
  <si>
    <t xml:space="preserve">Return on Equity</t>
  </si>
  <si>
    <t xml:space="preserve">For the Year 2000</t>
  </si>
  <si>
    <t xml:space="preserve">(in millions of $)</t>
  </si>
  <si>
    <t xml:space="preserve">Debt and Equity Analysis</t>
  </si>
  <si>
    <t xml:space="preserve">Forecasted Net Income and ROE</t>
  </si>
  <si>
    <t xml:space="preserve">Balance Sheet</t>
  </si>
  <si>
    <t xml:space="preserve">Off Bal Sht</t>
  </si>
  <si>
    <t xml:space="preserve">Total</t>
  </si>
  <si>
    <t xml:space="preserve">Assumed</t>
  </si>
  <si>
    <t xml:space="preserve">Net Income (4)</t>
  </si>
  <si>
    <t xml:space="preserve">After tax</t>
  </si>
  <si>
    <t xml:space="preserve">Net</t>
  </si>
  <si>
    <t xml:space="preserve">ROE</t>
  </si>
  <si>
    <r>
      <rPr>
        <sz val="10"/>
        <rFont val="Arial"/>
        <family val="0"/>
      </rPr>
      <t xml:space="preserve">Capital </t>
    </r>
    <r>
      <rPr>
        <sz val="8"/>
        <rFont val="Arial"/>
        <family val="2"/>
      </rPr>
      <t xml:space="preserve">(3)</t>
    </r>
  </si>
  <si>
    <t xml:space="preserve">Capital</t>
  </si>
  <si>
    <t xml:space="preserve">Debt/Equity</t>
  </si>
  <si>
    <t xml:space="preserve">Debt</t>
  </si>
  <si>
    <t xml:space="preserve">Equity</t>
  </si>
  <si>
    <t xml:space="preserve">pre finance costs</t>
  </si>
  <si>
    <t xml:space="preserve">Int. Expense</t>
  </si>
  <si>
    <t xml:space="preserve"> </t>
  </si>
  <si>
    <t xml:space="preserve">Income</t>
  </si>
  <si>
    <t xml:space="preserve">Bal Sht</t>
  </si>
  <si>
    <r>
      <rPr>
        <sz val="10"/>
        <rFont val="Arial"/>
        <family val="0"/>
      </rPr>
      <t xml:space="preserve">Total Cap </t>
    </r>
    <r>
      <rPr>
        <sz val="8"/>
        <rFont val="Arial"/>
        <family val="2"/>
      </rPr>
      <t xml:space="preserve">(5)</t>
    </r>
  </si>
  <si>
    <t xml:space="preserve">BS</t>
  </si>
  <si>
    <t xml:space="preserve">Enron Transportation &amp; Storage</t>
  </si>
  <si>
    <t xml:space="preserve">Wholesale</t>
  </si>
  <si>
    <t xml:space="preserve">  Enron North America</t>
  </si>
  <si>
    <t xml:space="preserve">  Enron Europe</t>
  </si>
  <si>
    <t xml:space="preserve">  Global Assets</t>
  </si>
  <si>
    <t xml:space="preserve">  Other</t>
  </si>
  <si>
    <t xml:space="preserve">    Subtotal</t>
  </si>
  <si>
    <t xml:space="preserve">Enron Energy Services</t>
  </si>
  <si>
    <t xml:space="preserve">Enron Broadband Services</t>
  </si>
  <si>
    <t xml:space="preserve">Clean Fuels</t>
  </si>
  <si>
    <t xml:space="preserve">EGEP</t>
  </si>
  <si>
    <t xml:space="preserve">PGE</t>
  </si>
  <si>
    <t xml:space="preserve">EREC</t>
  </si>
  <si>
    <t xml:space="preserve">Azurix</t>
  </si>
  <si>
    <t xml:space="preserve">Other</t>
  </si>
  <si>
    <t xml:space="preserve">ENE</t>
  </si>
  <si>
    <t xml:space="preserve">Note:  </t>
  </si>
  <si>
    <t xml:space="preserve">Debt to Equity ratios for the Enron business units were derived from similar non-Enron companies.</t>
  </si>
  <si>
    <t xml:space="preserve">  El Paso - 60% - ETS equivalent</t>
  </si>
  <si>
    <t xml:space="preserve">  Dynegy - 50% - Wholesale equivalent</t>
  </si>
  <si>
    <t xml:space="preserve">  Akamai - 10% - EBS equivalent</t>
  </si>
  <si>
    <t xml:space="preserve">(1) Excess monetization of Europe's Net Price Risk Management Asset allocated to Enron North America</t>
  </si>
  <si>
    <t xml:space="preserve">(2) Includes Global Engineering and Construction</t>
  </si>
  <si>
    <t xml:space="preserve">(3) Balance sheet capital as of 6/30/00 excluding impact of Currency Translation Adjustments (CTA) which have not flown through the Income Statement</t>
  </si>
  <si>
    <t xml:space="preserve">(4) Based on Third Current Estimate excluding financing costs</t>
  </si>
  <si>
    <t xml:space="preserve">(5) Adjusted for off Balance Sheet activity (residual value guarantees, guarantees of debt of third parties, contingent equity, and FAS 125 transactions)</t>
  </si>
  <si>
    <t xml:space="preserve">Gas Pipeline Group</t>
  </si>
  <si>
    <t xml:space="preserve">Portland General</t>
  </si>
  <si>
    <t xml:space="preserve">North America (excluding HPL)</t>
  </si>
  <si>
    <t xml:space="preserve">HPL Fair Value</t>
  </si>
  <si>
    <t xml:space="preserve">Europe</t>
  </si>
  <si>
    <t xml:space="preserve">Global Explor &amp; Prod</t>
  </si>
  <si>
    <t xml:space="preserve">ECM</t>
  </si>
  <si>
    <t xml:space="preserve">Global Engineering &amp; Construct</t>
  </si>
  <si>
    <t xml:space="preserve">APACHI</t>
  </si>
  <si>
    <t xml:space="preserve">CALME</t>
  </si>
  <si>
    <t xml:space="preserve">South America</t>
  </si>
  <si>
    <t xml:space="preserve">India</t>
  </si>
  <si>
    <t xml:space="preserve">San Juan Gas &amp; Progasco</t>
  </si>
  <si>
    <t xml:space="preserve">Net Works</t>
  </si>
  <si>
    <t xml:space="preserve">Retail</t>
  </si>
  <si>
    <t xml:space="preserve">Broadband</t>
  </si>
  <si>
    <t xml:space="preserve">Enron Renewable</t>
  </si>
  <si>
    <t xml:space="preserve">EI Headquarters</t>
  </si>
  <si>
    <t xml:space="preserve">Corp &amp; Other</t>
  </si>
  <si>
    <t xml:space="preserve">Total Enron</t>
  </si>
  <si>
    <t xml:space="preserve">December, 1998</t>
  </si>
  <si>
    <t xml:space="preserve">Shareholder's Equity</t>
  </si>
  <si>
    <t xml:space="preserve">Net Intercompany (Receivable)/Payable</t>
  </si>
  <si>
    <t xml:space="preserve">Other Adjustments</t>
  </si>
  <si>
    <t xml:space="preserve">Total Equity before CTA Adjustment</t>
  </si>
  <si>
    <t xml:space="preserve">CTA Adjustment</t>
  </si>
  <si>
    <t xml:space="preserve">Net Shareholder's Equity</t>
  </si>
  <si>
    <t xml:space="preserve">Third-Party Debt</t>
  </si>
  <si>
    <t xml:space="preserve">Preferred Stock of Subsidiaries</t>
  </si>
  <si>
    <t xml:space="preserve">Minority Interest</t>
  </si>
  <si>
    <t xml:space="preserve">December, 1999</t>
  </si>
  <si>
    <t xml:space="preserve">June, 2000</t>
  </si>
  <si>
    <t xml:space="preserve">Total Capital </t>
  </si>
  <si>
    <t xml:space="preserve">PRM Adj.</t>
  </si>
  <si>
    <t xml:space="preserve">EE&amp;CC</t>
  </si>
  <si>
    <t xml:space="preserve">ESA</t>
  </si>
  <si>
    <t xml:space="preserve">SJG</t>
  </si>
  <si>
    <t xml:space="preserve">EIHQ</t>
  </si>
  <si>
    <t xml:space="preserve">Total Global Assets</t>
  </si>
  <si>
    <t xml:space="preserve">OFF BALANCE SHEET SUPPORT DATA</t>
  </si>
  <si>
    <t xml:space="preserve">AS OF 6/30/2000</t>
  </si>
  <si>
    <t xml:space="preserve">3rd Party </t>
  </si>
  <si>
    <t xml:space="preserve">FAS 125/</t>
  </si>
  <si>
    <t xml:space="preserve">Sector</t>
  </si>
  <si>
    <t xml:space="preserve">Business Unit</t>
  </si>
  <si>
    <t xml:space="preserve">RVG's</t>
  </si>
  <si>
    <r>
      <rPr>
        <sz val="10"/>
        <rFont val="Arial"/>
        <family val="0"/>
      </rPr>
      <t xml:space="preserve">Gaurantees at </t>
    </r>
    <r>
      <rPr>
        <b val="true"/>
        <sz val="10"/>
        <rFont val="Arial"/>
        <family val="2"/>
      </rPr>
      <t xml:space="preserve">50%</t>
    </r>
  </si>
  <si>
    <t xml:space="preserve">Cont. Equity</t>
  </si>
  <si>
    <t xml:space="preserve">ENA</t>
  </si>
  <si>
    <t xml:space="preserve">FAS 125's include ECT Coal Co., ENA CLO I Trust, Boulder Trust Middle Rock, Mid Texas Tiger Trust, Little Looper/Middle Hanover</t>
  </si>
  <si>
    <t xml:space="preserve">Third Party Gaurentees include Citiforest, Utiliquest andPapier Masson</t>
  </si>
  <si>
    <t xml:space="preserve">FAS 125's Riverside 3(6,8) / EEP3</t>
  </si>
  <si>
    <t xml:space="preserve">Third Party Gaurentees include  Ssutton Bridge(Baclays, BT), Teeside (Midlands Elec, Northern Elec, South whales Elec, jSouth Western Elec) and Wing (Trakya) </t>
  </si>
  <si>
    <t xml:space="preserve">Third Party Gaurentees include Sarlux(Equity Cont.), Poland (Westdeutsche Landesbank), Rio Hondo, Greenfield Shipping, ICI and DPC Holdings (Bank of America)</t>
  </si>
  <si>
    <t xml:space="preserve">FAS 125's include Hawaii 125-0's - McGarret Series A and McGarrett Series B also Alchemy /Pnather/EESO OC</t>
  </si>
  <si>
    <t xml:space="preserve">Contingent equity on Atlantic Water Trust</t>
  </si>
  <si>
    <t xml:space="preserve">RVG's include the planes, Houston and Omaha buildings, software and F&amp;F</t>
  </si>
  <si>
    <t xml:space="preserve">Third Party Gaurentees include  EOTT Trade</t>
  </si>
  <si>
    <t xml:space="preserve">Net Income Calculation</t>
  </si>
  <si>
    <t xml:space="preserve">IBIT</t>
  </si>
  <si>
    <t xml:space="preserve">Minority Int.</t>
  </si>
  <si>
    <t xml:space="preserve">Pretax Inc.</t>
  </si>
  <si>
    <t xml:space="preserve">Tax Expense</t>
  </si>
  <si>
    <t xml:space="preserve">Net Income</t>
  </si>
  <si>
    <t xml:space="preserve">Transmission &amp; Distribution</t>
  </si>
  <si>
    <t xml:space="preserve">ETS</t>
  </si>
  <si>
    <t xml:space="preserve">Networks</t>
  </si>
  <si>
    <t xml:space="preserve">Global Assets</t>
  </si>
  <si>
    <t xml:space="preserve">Structured Trans</t>
  </si>
  <si>
    <t xml:space="preserve">EGF, ACES, Rhythms</t>
  </si>
  <si>
    <t xml:space="preserve">Retail - EES</t>
  </si>
  <si>
    <t xml:space="preserve">HPL FV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</si>
</sst>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0.0%;\(0.0%\)"/>
    <numFmt numFmtId="168" formatCode="_(* #,##0.0_);_(* \(#,##0.0\);_(* \-??_);_(@_)"/>
    <numFmt numFmtId="169" formatCode="0%"/>
    <numFmt numFmtId="170" formatCode="[$-409]m/d/yyyy\ h:mm"/>
    <numFmt numFmtId="171" formatCode="_(* #,##0_);_(* \(#,##0\);_(* \-_);_(@_)"/>
    <numFmt numFmtId="172" formatCode="@"/>
    <numFmt numFmtId="173" formatCode="_(* #,##0.0_);_(* \(#,##0.0\);_(* \-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8"/>
      <name val="Arial"/>
      <family val="2"/>
    </font>
    <font>
      <b val="true"/>
      <sz val="24"/>
      <name val="Arial"/>
      <family val="2"/>
    </font>
    <font>
      <sz val="2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i val="true"/>
      <sz val="10"/>
      <name val="Arial"/>
      <family val="2"/>
    </font>
    <font>
      <sz val="8"/>
      <color rgb="FF008000"/>
      <name val="Arial"/>
      <family val="2"/>
    </font>
    <font>
      <b val="true"/>
      <sz val="12"/>
      <color rgb="FFFF0000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008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00080"/>
        <bgColor rgb="FF800080"/>
      </patternFill>
    </fill>
    <fill>
      <patternFill patternType="solid">
        <fgColor rgb="FFCC99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3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3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3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1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3Q 1999 BS Path 4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CapitalDeploy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nge"/>
      <sheetName val="Jun00"/>
      <sheetName val="Dec99"/>
      <sheetName val="Dec98"/>
    </sheetNames>
    <sheetDataSet>
      <sheetData sheetId="0"/>
      <sheetData sheetId="1">
        <row r="6">
          <cell r="C6">
            <v>4167329428</v>
          </cell>
          <cell r="D6">
            <v>2396310082</v>
          </cell>
          <cell r="E6">
            <v>2674498681</v>
          </cell>
          <cell r="F6">
            <v>1320798035</v>
          </cell>
        </row>
        <row r="6">
          <cell r="H6">
            <v>1323168592</v>
          </cell>
          <cell r="I6">
            <v>1103808900</v>
          </cell>
          <cell r="J6">
            <v>3827461138</v>
          </cell>
          <cell r="K6">
            <v>518713396</v>
          </cell>
          <cell r="L6">
            <v>450302373</v>
          </cell>
          <cell r="M6">
            <v>466429492</v>
          </cell>
          <cell r="N6">
            <v>1704488310</v>
          </cell>
          <cell r="O6">
            <v>551180979</v>
          </cell>
          <cell r="P6">
            <v>922458267</v>
          </cell>
          <cell r="Q6">
            <v>11014983</v>
          </cell>
          <cell r="R6">
            <v>-3072324</v>
          </cell>
          <cell r="S6">
            <v>549649453</v>
          </cell>
          <cell r="T6">
            <v>271646574</v>
          </cell>
          <cell r="U6">
            <v>263781997</v>
          </cell>
          <cell r="V6">
            <v>-384089597</v>
          </cell>
        </row>
        <row r="6">
          <cell r="AH6">
            <v>10768997478</v>
          </cell>
        </row>
        <row r="27">
          <cell r="C27">
            <v>-1984495218</v>
          </cell>
          <cell r="D27">
            <v>-69365502</v>
          </cell>
          <cell r="E27">
            <v>-1060234439</v>
          </cell>
          <cell r="F27">
            <v>4628473</v>
          </cell>
        </row>
        <row r="27">
          <cell r="H27">
            <v>-1237122047</v>
          </cell>
          <cell r="I27">
            <v>-644030136</v>
          </cell>
          <cell r="J27">
            <v>-3350464594</v>
          </cell>
          <cell r="K27">
            <v>-171092705</v>
          </cell>
          <cell r="L27">
            <v>252379784</v>
          </cell>
          <cell r="M27">
            <v>286945207</v>
          </cell>
          <cell r="N27">
            <v>828250527</v>
          </cell>
          <cell r="O27">
            <v>198400264</v>
          </cell>
          <cell r="P27">
            <v>-773070068</v>
          </cell>
          <cell r="Q27">
            <v>14836703</v>
          </cell>
          <cell r="R27">
            <v>4437542</v>
          </cell>
          <cell r="S27">
            <v>602890892</v>
          </cell>
          <cell r="T27">
            <v>647343588</v>
          </cell>
          <cell r="U27">
            <v>104461588</v>
          </cell>
          <cell r="V27">
            <v>578805822</v>
          </cell>
        </row>
        <row r="27">
          <cell r="AH27">
            <v>0</v>
          </cell>
        </row>
        <row r="30">
          <cell r="C30">
            <v>0</v>
          </cell>
          <cell r="D30">
            <v>0</v>
          </cell>
          <cell r="E30">
            <v>2177720000</v>
          </cell>
          <cell r="F30">
            <v>0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0">
          <cell r="AH30">
            <v>0</v>
          </cell>
        </row>
        <row r="34">
          <cell r="C34">
            <v>0</v>
          </cell>
          <cell r="D34">
            <v>0</v>
          </cell>
          <cell r="E34">
            <v>4037915</v>
          </cell>
          <cell r="F34">
            <v>0</v>
          </cell>
        </row>
        <row r="34">
          <cell r="H34">
            <v>42234368</v>
          </cell>
          <cell r="I34">
            <v>0</v>
          </cell>
          <cell r="J34">
            <v>9616299</v>
          </cell>
          <cell r="K34">
            <v>3774123</v>
          </cell>
          <cell r="L34">
            <v>-12213056</v>
          </cell>
          <cell r="M34">
            <v>128048765</v>
          </cell>
          <cell r="N34">
            <v>628925576</v>
          </cell>
          <cell r="O34">
            <v>10</v>
          </cell>
          <cell r="P34">
            <v>0</v>
          </cell>
          <cell r="Q34">
            <v>0</v>
          </cell>
          <cell r="R34">
            <v>0</v>
          </cell>
          <cell r="S34">
            <v>2529826</v>
          </cell>
          <cell r="T34">
            <v>-32188</v>
          </cell>
          <cell r="U34">
            <v>14641359</v>
          </cell>
          <cell r="V34">
            <v>0</v>
          </cell>
        </row>
        <row r="34">
          <cell r="AH34">
            <v>838672195</v>
          </cell>
        </row>
        <row r="53">
          <cell r="C53">
            <v>518927028</v>
          </cell>
          <cell r="D53">
            <v>1004129155</v>
          </cell>
          <cell r="E53">
            <v>2099303</v>
          </cell>
          <cell r="F53">
            <v>0</v>
          </cell>
        </row>
        <row r="53">
          <cell r="H53">
            <v>67727039</v>
          </cell>
          <cell r="I53">
            <v>0</v>
          </cell>
          <cell r="J53">
            <v>448620189</v>
          </cell>
          <cell r="K53">
            <v>-15240</v>
          </cell>
          <cell r="L53">
            <v>255262065</v>
          </cell>
          <cell r="M53">
            <v>79392727</v>
          </cell>
          <cell r="N53">
            <v>73286523</v>
          </cell>
          <cell r="O53">
            <v>0</v>
          </cell>
          <cell r="P53">
            <v>0</v>
          </cell>
          <cell r="Q53">
            <v>9519859</v>
          </cell>
          <cell r="R53">
            <v>0</v>
          </cell>
          <cell r="S53">
            <v>1187329</v>
          </cell>
          <cell r="T53">
            <v>1397972</v>
          </cell>
          <cell r="U53">
            <v>42345965</v>
          </cell>
          <cell r="V53">
            <v>0</v>
          </cell>
        </row>
        <row r="53">
          <cell r="AH53">
            <v>11696413988</v>
          </cell>
        </row>
        <row r="59">
          <cell r="C59">
            <v>0</v>
          </cell>
          <cell r="D59">
            <v>29524519</v>
          </cell>
          <cell r="E59">
            <v>0</v>
          </cell>
          <cell r="F59">
            <v>0</v>
          </cell>
        </row>
        <row r="59">
          <cell r="H59">
            <v>167</v>
          </cell>
          <cell r="I59">
            <v>0</v>
          </cell>
          <cell r="J59">
            <v>0</v>
          </cell>
          <cell r="K59">
            <v>0</v>
          </cell>
          <cell r="L59">
            <v>80564</v>
          </cell>
          <cell r="M59">
            <v>105000000</v>
          </cell>
          <cell r="N59">
            <v>0</v>
          </cell>
          <cell r="O59">
            <v>0</v>
          </cell>
          <cell r="P59">
            <v>103000000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59">
          <cell r="AH59">
            <v>898897209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2">
          <cell r="H62">
            <v>-290857</v>
          </cell>
          <cell r="I62">
            <v>0</v>
          </cell>
          <cell r="J62">
            <v>7530000</v>
          </cell>
          <cell r="K62">
            <v>0</v>
          </cell>
          <cell r="L62">
            <v>84497961</v>
          </cell>
          <cell r="M62">
            <v>36974907</v>
          </cell>
          <cell r="N62">
            <v>494552360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2">
          <cell r="AH62">
            <v>1892788888</v>
          </cell>
        </row>
      </sheetData>
      <sheetData sheetId="2">
        <row r="4">
          <cell r="C4" t="str">
            <v>EGPG4</v>
          </cell>
          <cell r="D4" t="str">
            <v>PGE4</v>
          </cell>
          <cell r="E4" t="str">
            <v>EGS x HPL</v>
          </cell>
          <cell r="F4" t="str">
            <v>HPL FV</v>
          </cell>
        </row>
        <row r="4">
          <cell r="H4" t="str">
            <v>ECINT4</v>
          </cell>
          <cell r="I4" t="str">
            <v>EGEPG4</v>
          </cell>
          <cell r="J4" t="str">
            <v>ECMGR4</v>
          </cell>
          <cell r="K4" t="str">
            <v>EENGC4</v>
          </cell>
          <cell r="L4" t="str">
            <v>APACHI4</v>
          </cell>
          <cell r="M4" t="str">
            <v>CALME4</v>
          </cell>
          <cell r="N4" t="str">
            <v>ESACNS4</v>
          </cell>
          <cell r="O4" t="str">
            <v>INDIA4</v>
          </cell>
          <cell r="P4" t="str">
            <v>EIHQTR4</v>
          </cell>
          <cell r="Q4" t="str">
            <v>SJPRO4</v>
          </cell>
          <cell r="R4" t="str">
            <v>83E</v>
          </cell>
          <cell r="S4" t="str">
            <v>RETAIL4</v>
          </cell>
          <cell r="T4" t="str">
            <v>ECI4</v>
          </cell>
          <cell r="U4" t="str">
            <v>EREC4</v>
          </cell>
          <cell r="V4" t="str">
            <v>CLNFU4</v>
          </cell>
        </row>
        <row r="4">
          <cell r="AH4" t="str">
            <v>Sub-Total</v>
          </cell>
        </row>
        <row r="6">
          <cell r="C6">
            <v>1199893147</v>
          </cell>
          <cell r="D6">
            <v>2373033347</v>
          </cell>
          <cell r="E6">
            <v>2581303617</v>
          </cell>
          <cell r="F6">
            <v>1330062953</v>
          </cell>
        </row>
        <row r="6">
          <cell r="H6">
            <v>1083877055</v>
          </cell>
          <cell r="I6">
            <v>1092578087</v>
          </cell>
          <cell r="J6">
            <v>3850691644</v>
          </cell>
          <cell r="K6">
            <v>302341180</v>
          </cell>
          <cell r="L6">
            <v>489882642</v>
          </cell>
          <cell r="M6">
            <v>459235474</v>
          </cell>
          <cell r="N6">
            <v>1391157761</v>
          </cell>
          <cell r="O6">
            <v>567201399</v>
          </cell>
          <cell r="P6">
            <v>1309421817</v>
          </cell>
          <cell r="Q6">
            <v>13838804</v>
          </cell>
          <cell r="R6">
            <v>0</v>
          </cell>
          <cell r="S6">
            <v>546612258</v>
          </cell>
          <cell r="T6">
            <v>242870369</v>
          </cell>
          <cell r="U6">
            <v>145288924</v>
          </cell>
          <cell r="V6">
            <v>-386462428</v>
          </cell>
        </row>
        <row r="6">
          <cell r="AH6">
            <v>9570192778</v>
          </cell>
        </row>
        <row r="27">
          <cell r="C27">
            <v>-2048257898</v>
          </cell>
          <cell r="D27">
            <v>-86920466</v>
          </cell>
          <cell r="E27">
            <v>-36971040</v>
          </cell>
          <cell r="F27">
            <v>4628473</v>
          </cell>
        </row>
        <row r="27">
          <cell r="H27">
            <v>-632580100</v>
          </cell>
          <cell r="I27">
            <v>-559294344</v>
          </cell>
          <cell r="J27">
            <v>-3546097765</v>
          </cell>
          <cell r="K27">
            <v>-72870969</v>
          </cell>
          <cell r="L27">
            <v>25069279</v>
          </cell>
          <cell r="M27">
            <v>87516601</v>
          </cell>
          <cell r="N27">
            <v>914211185</v>
          </cell>
          <cell r="O27">
            <v>45767847</v>
          </cell>
          <cell r="P27">
            <v>-1069595598</v>
          </cell>
          <cell r="Q27">
            <v>15117810</v>
          </cell>
          <cell r="R27">
            <v>0</v>
          </cell>
          <cell r="S27">
            <v>132932983</v>
          </cell>
          <cell r="T27">
            <v>50355091</v>
          </cell>
          <cell r="U27">
            <v>199823936</v>
          </cell>
          <cell r="V27">
            <v>571219560</v>
          </cell>
        </row>
        <row r="27">
          <cell r="AH27">
            <v>0</v>
          </cell>
        </row>
        <row r="30">
          <cell r="C30">
            <v>2870620066</v>
          </cell>
          <cell r="D30">
            <v>0</v>
          </cell>
          <cell r="E30">
            <v>0</v>
          </cell>
          <cell r="F30">
            <v>0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0">
          <cell r="AH30">
            <v>0</v>
          </cell>
        </row>
        <row r="34">
          <cell r="C34">
            <v>0</v>
          </cell>
          <cell r="D34">
            <v>0</v>
          </cell>
          <cell r="E34">
            <v>684806</v>
          </cell>
          <cell r="F34">
            <v>0</v>
          </cell>
        </row>
        <row r="34">
          <cell r="H34">
            <v>-8620468</v>
          </cell>
          <cell r="I34">
            <v>0</v>
          </cell>
          <cell r="J34">
            <v>0</v>
          </cell>
          <cell r="K34">
            <v>554614</v>
          </cell>
          <cell r="L34">
            <v>-14213063</v>
          </cell>
          <cell r="M34">
            <v>128048766</v>
          </cell>
          <cell r="N34">
            <v>612382382</v>
          </cell>
          <cell r="O34">
            <v>10</v>
          </cell>
          <cell r="P34">
            <v>-1298360</v>
          </cell>
          <cell r="Q34">
            <v>0</v>
          </cell>
          <cell r="R34">
            <v>0</v>
          </cell>
          <cell r="S34">
            <v>53603</v>
          </cell>
          <cell r="T34">
            <v>0</v>
          </cell>
          <cell r="U34">
            <v>3990981</v>
          </cell>
          <cell r="V34">
            <v>0</v>
          </cell>
        </row>
        <row r="34">
          <cell r="AH34">
            <v>737828036</v>
          </cell>
        </row>
        <row r="53">
          <cell r="C53">
            <v>641888445</v>
          </cell>
          <cell r="D53">
            <v>1012770767</v>
          </cell>
          <cell r="E53">
            <v>46970295</v>
          </cell>
          <cell r="F53">
            <v>0</v>
          </cell>
        </row>
        <row r="53">
          <cell r="H53">
            <v>27207819</v>
          </cell>
          <cell r="I53">
            <v>0</v>
          </cell>
          <cell r="J53">
            <v>237338438</v>
          </cell>
          <cell r="K53">
            <v>0</v>
          </cell>
          <cell r="L53">
            <v>254282154</v>
          </cell>
          <cell r="M53">
            <v>79129364</v>
          </cell>
          <cell r="N53">
            <v>65720044</v>
          </cell>
          <cell r="O53">
            <v>0</v>
          </cell>
          <cell r="P53">
            <v>28229952</v>
          </cell>
          <cell r="Q53">
            <v>8778476</v>
          </cell>
          <cell r="R53">
            <v>0</v>
          </cell>
          <cell r="S53">
            <v>2300647</v>
          </cell>
          <cell r="T53">
            <v>0</v>
          </cell>
          <cell r="U53">
            <v>18853697</v>
          </cell>
          <cell r="V53">
            <v>0</v>
          </cell>
        </row>
        <row r="53">
          <cell r="AH53">
            <v>8152233179</v>
          </cell>
        </row>
        <row r="59">
          <cell r="C59">
            <v>0</v>
          </cell>
          <cell r="D59">
            <v>29490145</v>
          </cell>
          <cell r="E59">
            <v>0</v>
          </cell>
          <cell r="F59">
            <v>0</v>
          </cell>
        </row>
        <row r="59">
          <cell r="H59">
            <v>165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103000000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59">
          <cell r="AH59">
            <v>999841882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2">
          <cell r="H62">
            <v>-2652335</v>
          </cell>
          <cell r="I62">
            <v>0</v>
          </cell>
          <cell r="J62">
            <v>7530000</v>
          </cell>
          <cell r="K62">
            <v>-27706</v>
          </cell>
          <cell r="L62">
            <v>69681853</v>
          </cell>
          <cell r="M62">
            <v>27777239</v>
          </cell>
          <cell r="N62">
            <v>483510607</v>
          </cell>
          <cell r="O62">
            <v>0</v>
          </cell>
          <cell r="P62">
            <v>-2208208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2">
          <cell r="AH62">
            <v>2430149938</v>
          </cell>
        </row>
      </sheetData>
      <sheetData sheetId="3">
        <row r="6">
          <cell r="C6">
            <v>3732858708</v>
          </cell>
          <cell r="D6">
            <v>2270273271</v>
          </cell>
          <cell r="E6">
            <v>1403525188</v>
          </cell>
          <cell r="F6">
            <v>1348589451</v>
          </cell>
        </row>
        <row r="6">
          <cell r="H6">
            <v>534027617</v>
          </cell>
          <cell r="I6">
            <v>86943808</v>
          </cell>
          <cell r="J6">
            <v>3209590368</v>
          </cell>
          <cell r="K6">
            <v>336655779</v>
          </cell>
          <cell r="L6">
            <v>158345524</v>
          </cell>
          <cell r="M6">
            <v>520092210</v>
          </cell>
          <cell r="N6">
            <v>1078179873</v>
          </cell>
          <cell r="O6">
            <v>299044470</v>
          </cell>
          <cell r="P6">
            <v>1178819360</v>
          </cell>
          <cell r="Q6">
            <v>22285459</v>
          </cell>
          <cell r="R6">
            <v>0</v>
          </cell>
          <cell r="S6">
            <v>312508563</v>
          </cell>
          <cell r="T6">
            <v>15580470</v>
          </cell>
          <cell r="U6">
            <v>131507123</v>
          </cell>
          <cell r="V6">
            <v>-79846925</v>
          </cell>
        </row>
        <row r="6">
          <cell r="AH6">
            <v>7047825408</v>
          </cell>
        </row>
        <row r="27">
          <cell r="C27">
            <v>-1632697848</v>
          </cell>
          <cell r="D27">
            <v>-95927769</v>
          </cell>
          <cell r="E27">
            <v>-408024421</v>
          </cell>
          <cell r="F27">
            <v>3076809</v>
          </cell>
        </row>
        <row r="27">
          <cell r="H27">
            <v>-438405379</v>
          </cell>
          <cell r="I27">
            <v>156526384</v>
          </cell>
          <cell r="J27">
            <v>-2499737906</v>
          </cell>
          <cell r="K27">
            <v>-243148981</v>
          </cell>
          <cell r="L27">
            <v>94637496</v>
          </cell>
          <cell r="M27">
            <v>-106567867</v>
          </cell>
          <cell r="N27">
            <v>-55388251</v>
          </cell>
          <cell r="O27">
            <v>2608718</v>
          </cell>
          <cell r="P27">
            <v>-161295826</v>
          </cell>
          <cell r="Q27">
            <v>10563207</v>
          </cell>
          <cell r="R27">
            <v>0</v>
          </cell>
          <cell r="S27">
            <v>72296591</v>
          </cell>
          <cell r="T27">
            <v>95437785</v>
          </cell>
          <cell r="U27">
            <v>174541748</v>
          </cell>
          <cell r="V27">
            <v>79119615</v>
          </cell>
        </row>
        <row r="27">
          <cell r="AH27">
            <v>-31596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0">
          <cell r="AH30">
            <v>0</v>
          </cell>
        </row>
        <row r="34">
          <cell r="C34">
            <v>-7792</v>
          </cell>
          <cell r="D34">
            <v>0</v>
          </cell>
          <cell r="E34">
            <v>5620869</v>
          </cell>
          <cell r="F34">
            <v>0</v>
          </cell>
        </row>
        <row r="34">
          <cell r="H34">
            <v>-9731463</v>
          </cell>
          <cell r="I34">
            <v>0</v>
          </cell>
          <cell r="J34">
            <v>0</v>
          </cell>
          <cell r="K34">
            <v>-309276</v>
          </cell>
          <cell r="L34">
            <v>11473</v>
          </cell>
          <cell r="M34">
            <v>133444008</v>
          </cell>
          <cell r="N34">
            <v>3429389</v>
          </cell>
          <cell r="O34">
            <v>10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190000</v>
          </cell>
          <cell r="V34">
            <v>0</v>
          </cell>
        </row>
        <row r="34">
          <cell r="AH34">
            <v>162310306</v>
          </cell>
        </row>
        <row r="53">
          <cell r="C53">
            <v>645661278</v>
          </cell>
          <cell r="D53">
            <v>966044993</v>
          </cell>
          <cell r="E53">
            <v>207790214</v>
          </cell>
          <cell r="F53">
            <v>0</v>
          </cell>
        </row>
        <row r="53">
          <cell r="H53">
            <v>236364333</v>
          </cell>
          <cell r="I53">
            <v>0</v>
          </cell>
          <cell r="J53">
            <v>0</v>
          </cell>
          <cell r="K53">
            <v>0</v>
          </cell>
          <cell r="L53">
            <v>44473077</v>
          </cell>
          <cell r="M53">
            <v>-2</v>
          </cell>
          <cell r="N53">
            <v>13537459</v>
          </cell>
          <cell r="O53">
            <v>0</v>
          </cell>
          <cell r="P53">
            <v>22998029</v>
          </cell>
          <cell r="Q53">
            <v>2308357</v>
          </cell>
          <cell r="R53">
            <v>0</v>
          </cell>
          <cell r="S53">
            <v>139000</v>
          </cell>
          <cell r="T53">
            <v>151887</v>
          </cell>
          <cell r="U53">
            <v>22914000</v>
          </cell>
          <cell r="V53">
            <v>0</v>
          </cell>
        </row>
        <row r="53">
          <cell r="AH53">
            <v>7357429074</v>
          </cell>
        </row>
        <row r="59">
          <cell r="C59">
            <v>0</v>
          </cell>
          <cell r="D59">
            <v>29421397</v>
          </cell>
          <cell r="E59">
            <v>0</v>
          </cell>
          <cell r="F59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103000000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59">
          <cell r="AH59">
            <v>1001569356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2">
          <cell r="H62">
            <v>3741971</v>
          </cell>
          <cell r="I62">
            <v>0</v>
          </cell>
          <cell r="J62">
            <v>7530000</v>
          </cell>
          <cell r="K62">
            <v>0</v>
          </cell>
          <cell r="L62">
            <v>-1248189</v>
          </cell>
          <cell r="M62">
            <v>5954925</v>
          </cell>
          <cell r="N62">
            <v>32832404</v>
          </cell>
          <cell r="O62">
            <v>94332766</v>
          </cell>
          <cell r="P62">
            <v>30617981</v>
          </cell>
          <cell r="Q62">
            <v>0</v>
          </cell>
          <cell r="R62">
            <v>0</v>
          </cell>
          <cell r="S62">
            <v>67994062</v>
          </cell>
          <cell r="T62">
            <v>0</v>
          </cell>
          <cell r="U62">
            <v>0</v>
          </cell>
          <cell r="V62">
            <v>0</v>
          </cell>
        </row>
        <row r="62">
          <cell r="AH62">
            <v>2143322671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42"/>
    <col collapsed="false" customWidth="true" hidden="false" outlineLevel="0" max="2" min="2" style="1" width="3.28"/>
    <col collapsed="false" customWidth="true" hidden="false" outlineLevel="0" max="3" min="3" style="0" width="14.28"/>
    <col collapsed="false" customWidth="true" hidden="false" outlineLevel="0" max="4" min="4" style="0" width="1.85"/>
    <col collapsed="false" customWidth="true" hidden="false" outlineLevel="0" max="5" min="5" style="0" width="13.14"/>
    <col collapsed="false" customWidth="true" hidden="false" outlineLevel="0" max="6" min="6" style="0" width="2.13"/>
    <col collapsed="false" customWidth="true" hidden="false" outlineLevel="0" max="7" min="7" style="0" width="11.28"/>
    <col collapsed="false" customWidth="true" hidden="false" outlineLevel="0" max="8" min="8" style="0" width="2.28"/>
    <col collapsed="false" customWidth="true" hidden="false" outlineLevel="0" max="9" min="9" style="0" width="10.71"/>
    <col collapsed="false" customWidth="true" hidden="false" outlineLevel="0" max="10" min="10" style="0" width="2.99"/>
    <col collapsed="false" customWidth="true" hidden="false" outlineLevel="0" max="11" min="11" style="0" width="9.28"/>
    <col collapsed="false" customWidth="true" hidden="false" outlineLevel="0" max="12" min="12" style="0" width="2.28"/>
    <col collapsed="false" customWidth="true" hidden="false" outlineLevel="0" max="13" min="13" style="0" width="10.28"/>
    <col collapsed="false" customWidth="true" hidden="false" outlineLevel="0" max="14" min="14" style="0" width="2.28"/>
    <col collapsed="false" customWidth="true" hidden="false" outlineLevel="0" max="15" min="15" style="0" width="3.85"/>
    <col collapsed="false" customWidth="true" hidden="false" outlineLevel="0" max="16" min="16" style="0" width="15.7"/>
    <col collapsed="false" customWidth="true" hidden="false" outlineLevel="0" max="17" min="17" style="0" width="2.7"/>
    <col collapsed="false" customWidth="true" hidden="false" outlineLevel="0" max="18" min="18" style="0" width="11.42"/>
    <col collapsed="false" customWidth="true" hidden="false" outlineLevel="0" max="19" min="19" style="0" width="2.56"/>
    <col collapsed="false" customWidth="true" hidden="false" outlineLevel="0" max="20" min="20" style="0" width="11.56"/>
    <col collapsed="false" customWidth="true" hidden="false" outlineLevel="0" max="21" min="21" style="0" width="2.28"/>
    <col collapsed="false" customWidth="true" hidden="true" outlineLevel="0" max="22" min="22" style="0" width="12.28"/>
    <col collapsed="false" customWidth="true" hidden="true" outlineLevel="0" max="23" min="23" style="0" width="1.41"/>
    <col collapsed="false" customWidth="true" hidden="false" outlineLevel="0" max="24" min="24" style="0" width="12.28"/>
  </cols>
  <sheetData>
    <row r="1" customFormat="false" ht="30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customFormat="false" ht="30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customFormat="false" ht="12.75" hidden="false" customHeight="true" outlineLevel="0" collapsed="false">
      <c r="A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customFormat="false" ht="12.75" hidden="false" customHeight="false" outlineLevel="0" collapsed="false">
      <c r="A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customFormat="false" ht="15.75" hidden="false" customHeight="false" outlineLevel="0" collapsed="false">
      <c r="A6" s="5"/>
      <c r="C6" s="5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5"/>
    </row>
    <row r="7" customFormat="false" ht="16.5" hidden="false" customHeight="false" outlineLevel="0" collapsed="false">
      <c r="A7" s="5"/>
      <c r="C7" s="7" t="s">
        <v>3</v>
      </c>
      <c r="D7" s="7"/>
      <c r="E7" s="7"/>
      <c r="F7" s="7"/>
      <c r="G7" s="7"/>
      <c r="H7" s="7"/>
      <c r="I7" s="7"/>
      <c r="J7" s="7"/>
      <c r="K7" s="7"/>
      <c r="L7" s="7"/>
      <c r="M7" s="7"/>
      <c r="N7" s="6"/>
      <c r="O7" s="5"/>
      <c r="P7" s="7" t="s">
        <v>4</v>
      </c>
      <c r="Q7" s="7"/>
      <c r="R7" s="7"/>
      <c r="S7" s="7"/>
      <c r="T7" s="7"/>
      <c r="U7" s="7"/>
      <c r="V7" s="7"/>
      <c r="W7" s="7"/>
      <c r="X7" s="7"/>
    </row>
    <row r="8" customFormat="false" ht="12.75" hidden="false" customHeight="false" outlineLevel="0" collapsed="false">
      <c r="A8" s="8"/>
      <c r="B8" s="9"/>
      <c r="C8" s="8" t="s">
        <v>5</v>
      </c>
      <c r="D8" s="10"/>
      <c r="E8" s="10" t="s">
        <v>6</v>
      </c>
      <c r="F8" s="10"/>
      <c r="G8" s="10" t="s">
        <v>7</v>
      </c>
      <c r="H8" s="10"/>
      <c r="I8" s="10" t="s">
        <v>8</v>
      </c>
      <c r="J8" s="11"/>
      <c r="K8" s="10"/>
      <c r="L8" s="10"/>
      <c r="M8" s="10"/>
      <c r="N8" s="10"/>
      <c r="O8" s="10"/>
      <c r="P8" s="8" t="s">
        <v>9</v>
      </c>
      <c r="Q8" s="10"/>
      <c r="R8" s="8" t="s">
        <v>10</v>
      </c>
      <c r="S8" s="10"/>
      <c r="T8" s="8" t="s">
        <v>11</v>
      </c>
      <c r="U8" s="10"/>
      <c r="V8" s="12" t="s">
        <v>12</v>
      </c>
      <c r="W8" s="10"/>
      <c r="X8" s="10" t="s">
        <v>12</v>
      </c>
    </row>
    <row r="9" customFormat="false" ht="12.75" hidden="false" customHeight="false" outlineLevel="0" collapsed="false">
      <c r="C9" s="13" t="s">
        <v>13</v>
      </c>
      <c r="E9" s="13" t="s">
        <v>14</v>
      </c>
      <c r="F9" s="8"/>
      <c r="G9" s="13" t="s">
        <v>14</v>
      </c>
      <c r="I9" s="13" t="s">
        <v>15</v>
      </c>
      <c r="K9" s="13" t="s">
        <v>16</v>
      </c>
      <c r="M9" s="13" t="s">
        <v>17</v>
      </c>
      <c r="P9" s="13" t="s">
        <v>18</v>
      </c>
      <c r="R9" s="13" t="s">
        <v>19</v>
      </c>
      <c r="S9" s="0" t="s">
        <v>20</v>
      </c>
      <c r="T9" s="13" t="s">
        <v>21</v>
      </c>
      <c r="V9" s="14" t="s">
        <v>22</v>
      </c>
      <c r="X9" s="13" t="s">
        <v>23</v>
      </c>
      <c r="AC9" s="0" t="s">
        <v>24</v>
      </c>
    </row>
    <row r="10" customFormat="false" ht="12.75" hidden="false" customHeight="false" outlineLevel="0" collapsed="false">
      <c r="A10" s="15"/>
      <c r="C10" s="16"/>
      <c r="D10" s="15"/>
      <c r="E10" s="15"/>
      <c r="F10" s="15"/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7"/>
      <c r="W10" s="16"/>
      <c r="X10" s="15"/>
      <c r="AC10" s="15" t="s">
        <v>17</v>
      </c>
    </row>
    <row r="11" customFormat="false" ht="12.75" hidden="false" customHeight="false" outlineLevel="0" collapsed="false">
      <c r="A11" s="0" t="s">
        <v>25</v>
      </c>
      <c r="C11" s="16" t="n">
        <f aca="false">'BS 2000'!C59/1000</f>
        <v>2701.761238</v>
      </c>
      <c r="D11" s="18"/>
      <c r="E11" s="16" t="n">
        <f aca="false">+'Off Balance Sheet Support'!K8</f>
        <v>0</v>
      </c>
      <c r="F11" s="19"/>
      <c r="G11" s="16" t="n">
        <f aca="false">C11+E11</f>
        <v>2701.761238</v>
      </c>
      <c r="H11" s="19"/>
      <c r="I11" s="20" t="n">
        <v>0.6</v>
      </c>
      <c r="J11" s="19"/>
      <c r="K11" s="16" t="n">
        <f aca="false">(C11+E11)*I11</f>
        <v>1621.0567428</v>
      </c>
      <c r="L11" s="16"/>
      <c r="M11" s="16" t="n">
        <f aca="false">(C11+E11)-K11</f>
        <v>1080.7044952</v>
      </c>
      <c r="N11" s="19"/>
      <c r="O11" s="19"/>
      <c r="P11" s="16" t="n">
        <f aca="false">'Income Calculations'!$M$6</f>
        <v>253.4315</v>
      </c>
      <c r="Q11" s="16"/>
      <c r="R11" s="16" t="n">
        <f aca="false">(C11*I11)*0.075*0.65</f>
        <v>79.0265162115</v>
      </c>
      <c r="S11" s="16"/>
      <c r="T11" s="16" t="n">
        <f aca="false">P11-R11</f>
        <v>174.4049837885</v>
      </c>
      <c r="U11" s="19" t="n">
        <v>0</v>
      </c>
      <c r="V11" s="21" t="n">
        <f aca="false">+T11/(C11*(1-I11))</f>
        <v>0.161380825714271</v>
      </c>
      <c r="W11" s="19"/>
      <c r="X11" s="21" t="n">
        <f aca="false">+T11/(M11+((1-I11)*'Off Balance Sheet Support'!K8))</f>
        <v>0.161380825714271</v>
      </c>
      <c r="AC11" s="22" t="n">
        <f aca="false">(1-I11)*C11</f>
        <v>1080.7044952</v>
      </c>
    </row>
    <row r="12" customFormat="false" ht="12.75" hidden="false" customHeight="false" outlineLevel="0" collapsed="false">
      <c r="C12" s="16"/>
      <c r="D12" s="18"/>
      <c r="E12" s="16" t="s">
        <v>20</v>
      </c>
      <c r="F12" s="19"/>
      <c r="G12" s="16"/>
      <c r="H12" s="19"/>
      <c r="I12" s="19"/>
      <c r="J12" s="19"/>
      <c r="K12" s="16" t="s">
        <v>20</v>
      </c>
      <c r="L12" s="16"/>
      <c r="M12" s="16"/>
      <c r="N12" s="19"/>
      <c r="O12" s="19"/>
      <c r="P12" s="16"/>
      <c r="Q12" s="16"/>
      <c r="R12" s="16"/>
      <c r="S12" s="16"/>
      <c r="T12" s="16"/>
      <c r="U12" s="19"/>
      <c r="V12" s="21"/>
      <c r="W12" s="19"/>
      <c r="X12" s="21" t="s">
        <v>20</v>
      </c>
      <c r="AC12" s="22"/>
    </row>
    <row r="13" customFormat="false" ht="12.75" hidden="false" customHeight="false" outlineLevel="0" collapsed="false">
      <c r="A13" s="0" t="s">
        <v>26</v>
      </c>
      <c r="C13" s="16"/>
      <c r="D13" s="18"/>
      <c r="E13" s="16"/>
      <c r="F13" s="19"/>
      <c r="G13" s="16"/>
      <c r="H13" s="19"/>
      <c r="I13" s="19"/>
      <c r="J13" s="19"/>
      <c r="K13" s="16" t="s">
        <v>20</v>
      </c>
      <c r="L13" s="16"/>
      <c r="M13" s="16"/>
      <c r="N13" s="19"/>
      <c r="O13" s="19"/>
      <c r="P13" s="16"/>
      <c r="Q13" s="16"/>
      <c r="R13" s="16"/>
      <c r="S13" s="16"/>
      <c r="T13" s="16"/>
      <c r="U13" s="19"/>
      <c r="V13" s="21"/>
      <c r="W13" s="19"/>
      <c r="X13" s="21" t="s">
        <v>20</v>
      </c>
      <c r="AC13" s="22"/>
    </row>
    <row r="14" customFormat="false" ht="12.75" hidden="false" customHeight="false" outlineLevel="0" collapsed="false">
      <c r="A14" s="0" t="s">
        <v>27</v>
      </c>
      <c r="C14" s="16" t="n">
        <f aca="false">'BS 2000'!G62/1000</f>
        <v>3384.12146</v>
      </c>
      <c r="D14" s="18"/>
      <c r="E14" s="16" t="n">
        <f aca="false">+'Off Balance Sheet Support'!K11</f>
        <v>601.43</v>
      </c>
      <c r="F14" s="19"/>
      <c r="G14" s="16" t="n">
        <f aca="false">C14+E14</f>
        <v>3985.55146</v>
      </c>
      <c r="H14" s="19"/>
      <c r="I14" s="20" t="n">
        <v>0.5</v>
      </c>
      <c r="J14" s="19"/>
      <c r="K14" s="16" t="n">
        <f aca="false">(C14+E14)*I14</f>
        <v>1992.77573</v>
      </c>
      <c r="L14" s="16"/>
      <c r="M14" s="16" t="n">
        <f aca="false">(C14+E14)-K14</f>
        <v>1992.77573</v>
      </c>
      <c r="N14" s="19"/>
      <c r="O14" s="19"/>
      <c r="P14" s="16" t="n">
        <f aca="false">570+18.7-21</f>
        <v>567.7</v>
      </c>
      <c r="Q14" s="16"/>
      <c r="R14" s="16" t="n">
        <f aca="false">(C14*I14)*0.075*0.65</f>
        <v>82.4879605875</v>
      </c>
      <c r="S14" s="16"/>
      <c r="T14" s="16" t="n">
        <f aca="false">P14-R14</f>
        <v>485.2120394125</v>
      </c>
      <c r="U14" s="19" t="n">
        <v>0</v>
      </c>
      <c r="V14" s="21" t="n">
        <f aca="false">+T14/(C14*(1-I14))</f>
        <v>0.28675805236169</v>
      </c>
      <c r="W14" s="19"/>
      <c r="X14" s="21" t="n">
        <f aca="false">+T14/M14</f>
        <v>0.243485522283283</v>
      </c>
      <c r="AC14" s="22" t="n">
        <f aca="false">(1-I14)*C14</f>
        <v>1692.06073</v>
      </c>
    </row>
    <row r="15" customFormat="false" ht="12.75" hidden="false" customHeight="false" outlineLevel="0" collapsed="false">
      <c r="A15" s="0" t="s">
        <v>28</v>
      </c>
      <c r="B15" s="1" t="n">
        <v>-1</v>
      </c>
      <c r="C15" s="16" t="n">
        <f aca="false">'BS 2000'!K62/1000</f>
        <v>610.008119</v>
      </c>
      <c r="D15" s="18"/>
      <c r="E15" s="16" t="n">
        <f aca="false">+'Off Balance Sheet Support'!K12</f>
        <v>105.72</v>
      </c>
      <c r="F15" s="19"/>
      <c r="G15" s="16" t="n">
        <f aca="false">C15+E15</f>
        <v>715.728119</v>
      </c>
      <c r="H15" s="19"/>
      <c r="I15" s="20" t="n">
        <v>0.5</v>
      </c>
      <c r="J15" s="19"/>
      <c r="K15" s="16" t="n">
        <f aca="false">(C15+E15)*I15</f>
        <v>357.8640595</v>
      </c>
      <c r="L15" s="16"/>
      <c r="M15" s="16" t="n">
        <f aca="false">(C15+E15)-K15</f>
        <v>357.8640595</v>
      </c>
      <c r="N15" s="19"/>
      <c r="O15" s="19"/>
      <c r="P15" s="16" t="n">
        <f aca="false">139-68+21</f>
        <v>92</v>
      </c>
      <c r="Q15" s="16"/>
      <c r="R15" s="16" t="n">
        <f aca="false">(C15*I15)*0.075*0.65</f>
        <v>14.868947900625</v>
      </c>
      <c r="S15" s="16"/>
      <c r="T15" s="16" t="n">
        <f aca="false">P15-R15</f>
        <v>77.131052099375</v>
      </c>
      <c r="U15" s="19"/>
      <c r="V15" s="21" t="n">
        <f aca="false">+T15/(C15*(1-I15))</f>
        <v>0.252885329545507</v>
      </c>
      <c r="W15" s="19"/>
      <c r="X15" s="21" t="n">
        <f aca="false">+T15/M15</f>
        <v>0.215531708345177</v>
      </c>
      <c r="AC15" s="22" t="n">
        <f aca="false">(1-I15)*C15</f>
        <v>305.0040595</v>
      </c>
    </row>
    <row r="16" customFormat="false" ht="12.75" hidden="false" customHeight="false" outlineLevel="0" collapsed="false">
      <c r="A16" s="0" t="s">
        <v>29</v>
      </c>
      <c r="C16" s="16" t="n">
        <f aca="false">'BS 2000'!S66/1000</f>
        <v>6283.919854</v>
      </c>
      <c r="D16" s="18"/>
      <c r="E16" s="16" t="n">
        <f aca="false">+'Off Balance Sheet Support'!K13</f>
        <v>394.1055</v>
      </c>
      <c r="F16" s="19"/>
      <c r="G16" s="16" t="n">
        <f aca="false">C16+E16</f>
        <v>6678.025354</v>
      </c>
      <c r="H16" s="19"/>
      <c r="I16" s="20" t="n">
        <v>0.5</v>
      </c>
      <c r="J16" s="19"/>
      <c r="K16" s="16" t="n">
        <f aca="false">(C16+E16)*I16</f>
        <v>3339.012677</v>
      </c>
      <c r="L16" s="16"/>
      <c r="M16" s="16" t="n">
        <f aca="false">(C16+E16)-K16</f>
        <v>3339.012677</v>
      </c>
      <c r="N16" s="19"/>
      <c r="O16" s="19"/>
      <c r="P16" s="16" t="n">
        <v>276.38</v>
      </c>
      <c r="Q16" s="16"/>
      <c r="R16" s="16" t="n">
        <f aca="false">(C16*I16)*0.075*0.65</f>
        <v>153.17054644125</v>
      </c>
      <c r="S16" s="16"/>
      <c r="T16" s="16" t="n">
        <f aca="false">P16-R16</f>
        <v>123.20945355875</v>
      </c>
      <c r="U16" s="19"/>
      <c r="V16" s="21" t="n">
        <f aca="false">+T16/(C16*(1-I16))</f>
        <v>0.0392142027337671</v>
      </c>
      <c r="W16" s="19"/>
      <c r="X16" s="21" t="n">
        <f aca="false">+T16/M16</f>
        <v>0.0368999657915195</v>
      </c>
      <c r="AC16" s="22" t="n">
        <f aca="false">(1-I16)*C16</f>
        <v>3141.959927</v>
      </c>
    </row>
    <row r="17" customFormat="false" ht="12.75" hidden="false" customHeight="false" outlineLevel="0" collapsed="false">
      <c r="A17" s="0" t="s">
        <v>30</v>
      </c>
      <c r="C17" s="23" t="n">
        <f aca="false">'BS 2000'!O59/1000</f>
        <v>935.233032</v>
      </c>
      <c r="D17" s="18"/>
      <c r="E17" s="23" t="n">
        <f aca="false">+'Off Balance Sheet Support'!K14</f>
        <v>4.076</v>
      </c>
      <c r="F17" s="19"/>
      <c r="G17" s="23" t="n">
        <f aca="false">C17+E17</f>
        <v>939.309032</v>
      </c>
      <c r="H17" s="19"/>
      <c r="I17" s="20" t="n">
        <v>0</v>
      </c>
      <c r="J17" s="19"/>
      <c r="K17" s="23" t="n">
        <f aca="false">(C17+E17)*I17</f>
        <v>0</v>
      </c>
      <c r="L17" s="16"/>
      <c r="M17" s="23" t="n">
        <f aca="false">(C17+E17)-K17</f>
        <v>939.309032</v>
      </c>
      <c r="N17" s="19"/>
      <c r="O17" s="19"/>
      <c r="P17" s="23" t="n">
        <f aca="false">205.9+87.8</f>
        <v>293.7</v>
      </c>
      <c r="Q17" s="16"/>
      <c r="R17" s="23" t="n">
        <f aca="false">(C17*I17)*0.075*0.65</f>
        <v>0</v>
      </c>
      <c r="S17" s="16"/>
      <c r="T17" s="23" t="n">
        <f aca="false">P17-R17</f>
        <v>293.7</v>
      </c>
      <c r="U17" s="19"/>
      <c r="V17" s="21" t="n">
        <f aca="false">+T17/(C17*(1-I17))</f>
        <v>0.314039378369604</v>
      </c>
      <c r="W17" s="19"/>
      <c r="X17" s="24" t="n">
        <f aca="false">+T17/M17</f>
        <v>0.312676648466423</v>
      </c>
      <c r="AC17" s="22" t="n">
        <f aca="false">(1-I17)*C17</f>
        <v>935.233032</v>
      </c>
    </row>
    <row r="18" customFormat="false" ht="12.75" hidden="false" customHeight="false" outlineLevel="0" collapsed="false">
      <c r="A18" s="0" t="s">
        <v>31</v>
      </c>
      <c r="C18" s="16" t="n">
        <f aca="false">SUM(C14:C17)</f>
        <v>11213.282465</v>
      </c>
      <c r="D18" s="18"/>
      <c r="E18" s="16" t="n">
        <f aca="false">SUM(E14:E17)</f>
        <v>1105.3315</v>
      </c>
      <c r="F18" s="19"/>
      <c r="G18" s="16" t="n">
        <f aca="false">C18+E18</f>
        <v>12318.613965</v>
      </c>
      <c r="H18" s="19"/>
      <c r="I18" s="20" t="n">
        <f aca="false">K18/(K18+M18)</f>
        <v>0.461874402645103</v>
      </c>
      <c r="J18" s="19"/>
      <c r="K18" s="16" t="n">
        <f aca="false">SUM(K14:K17)</f>
        <v>5689.6524665</v>
      </c>
      <c r="L18" s="16"/>
      <c r="M18" s="16" t="n">
        <f aca="false">SUM(M14:M17)</f>
        <v>6628.9614985</v>
      </c>
      <c r="N18" s="19"/>
      <c r="O18" s="19"/>
      <c r="P18" s="16" t="n">
        <f aca="false">SUM(P14:P17)</f>
        <v>1229.78</v>
      </c>
      <c r="Q18" s="16"/>
      <c r="R18" s="16" t="n">
        <f aca="false">SUM(R14:R17)</f>
        <v>250.527454929375</v>
      </c>
      <c r="S18" s="16"/>
      <c r="T18" s="16" t="n">
        <f aca="false">SUM(T14:T17)</f>
        <v>979.252545070625</v>
      </c>
      <c r="U18" s="19"/>
      <c r="V18" s="21" t="n">
        <f aca="false">+T18/(C18*(1-I18))</f>
        <v>0.162284968590879</v>
      </c>
      <c r="W18" s="19"/>
      <c r="X18" s="21" t="n">
        <f aca="false">+T18/M18</f>
        <v>0.14772337194781</v>
      </c>
      <c r="AC18" s="16" t="n">
        <f aca="false">SUM(AC14:AC17)</f>
        <v>6074.2577485</v>
      </c>
    </row>
    <row r="19" customFormat="false" ht="12.75" hidden="false" customHeight="false" outlineLevel="0" collapsed="false">
      <c r="C19" s="16"/>
      <c r="D19" s="18"/>
      <c r="E19" s="16" t="s">
        <v>20</v>
      </c>
      <c r="F19" s="19"/>
      <c r="G19" s="16"/>
      <c r="H19" s="19"/>
      <c r="I19" s="20"/>
      <c r="J19" s="19"/>
      <c r="K19" s="16"/>
      <c r="L19" s="16"/>
      <c r="M19" s="16"/>
      <c r="N19" s="19"/>
      <c r="O19" s="19"/>
      <c r="P19" s="16"/>
      <c r="Q19" s="16"/>
      <c r="R19" s="16"/>
      <c r="S19" s="16"/>
      <c r="T19" s="16"/>
      <c r="U19" s="19"/>
      <c r="V19" s="21"/>
      <c r="W19" s="19"/>
      <c r="X19" s="21" t="s">
        <v>20</v>
      </c>
      <c r="AC19" s="22"/>
    </row>
    <row r="20" customFormat="false" ht="12.75" hidden="false" customHeight="false" outlineLevel="0" collapsed="false">
      <c r="B20" s="1" t="s">
        <v>20</v>
      </c>
      <c r="C20" s="16"/>
      <c r="D20" s="18"/>
      <c r="E20" s="16" t="s">
        <v>20</v>
      </c>
      <c r="F20" s="19"/>
      <c r="G20" s="16"/>
      <c r="H20" s="19"/>
      <c r="I20" s="19"/>
      <c r="J20" s="19"/>
      <c r="K20" s="16"/>
      <c r="L20" s="16"/>
      <c r="M20" s="16"/>
      <c r="N20" s="19"/>
      <c r="O20" s="19"/>
      <c r="P20" s="16"/>
      <c r="Q20" s="16"/>
      <c r="R20" s="16"/>
      <c r="S20" s="16"/>
      <c r="T20" s="16"/>
      <c r="U20" s="19"/>
      <c r="V20" s="21"/>
      <c r="W20" s="19"/>
      <c r="X20" s="21" t="s">
        <v>20</v>
      </c>
      <c r="AC20" s="22"/>
    </row>
    <row r="21" customFormat="false" ht="12.75" hidden="false" customHeight="false" outlineLevel="0" collapsed="false">
      <c r="A21" s="0" t="s">
        <v>32</v>
      </c>
      <c r="B21" s="1" t="n">
        <v>-2</v>
      </c>
      <c r="C21" s="16" t="n">
        <f aca="false">'BS 2000'!AE62/1000</f>
        <v>1507.637074</v>
      </c>
      <c r="D21" s="18"/>
      <c r="E21" s="16" t="n">
        <f aca="false">+'Off Balance Sheet Support'!K18</f>
        <v>56.6</v>
      </c>
      <c r="F21" s="19"/>
      <c r="G21" s="16" t="n">
        <f aca="false">C21+E21</f>
        <v>1564.237074</v>
      </c>
      <c r="H21" s="19"/>
      <c r="I21" s="20" t="n">
        <v>0.5</v>
      </c>
      <c r="J21" s="19"/>
      <c r="K21" s="16" t="n">
        <f aca="false">(C21+E21)*I21</f>
        <v>782.118537</v>
      </c>
      <c r="L21" s="16"/>
      <c r="M21" s="16" t="n">
        <f aca="false">(C21+E21)-K21</f>
        <v>782.118537</v>
      </c>
      <c r="N21" s="19"/>
      <c r="O21" s="19"/>
      <c r="P21" s="16" t="n">
        <f aca="false">51+32.5</f>
        <v>83.5</v>
      </c>
      <c r="Q21" s="16"/>
      <c r="R21" s="16" t="n">
        <f aca="false">(C21*I21)*0.075*0.65</f>
        <v>36.74865367875</v>
      </c>
      <c r="S21" s="16"/>
      <c r="T21" s="16" t="n">
        <f aca="false">P21-R21</f>
        <v>46.75134632125</v>
      </c>
      <c r="U21" s="19"/>
      <c r="V21" s="21" t="n">
        <f aca="false">+T21/(C21*(1-I21))</f>
        <v>0.0620193641128913</v>
      </c>
      <c r="W21" s="19"/>
      <c r="X21" s="21" t="n">
        <f aca="false">+T21/M21</f>
        <v>0.0597752694886581</v>
      </c>
      <c r="AC21" s="22" t="n">
        <f aca="false">(1-I21)*C21</f>
        <v>753.818537</v>
      </c>
    </row>
    <row r="22" customFormat="false" ht="12.75" hidden="false" customHeight="false" outlineLevel="0" collapsed="false">
      <c r="C22" s="16"/>
      <c r="D22" s="18"/>
      <c r="E22" s="16" t="s">
        <v>20</v>
      </c>
      <c r="F22" s="19"/>
      <c r="G22" s="16"/>
      <c r="H22" s="19"/>
      <c r="I22" s="19"/>
      <c r="J22" s="19"/>
      <c r="K22" s="16" t="n">
        <f aca="false">C22*I22</f>
        <v>0</v>
      </c>
      <c r="L22" s="16"/>
      <c r="M22" s="16" t="n">
        <f aca="false">K22*0.075</f>
        <v>0</v>
      </c>
      <c r="N22" s="19"/>
      <c r="O22" s="19"/>
      <c r="P22" s="16"/>
      <c r="Q22" s="16"/>
      <c r="R22" s="16"/>
      <c r="S22" s="16"/>
      <c r="T22" s="16"/>
      <c r="U22" s="19"/>
      <c r="V22" s="21" t="s">
        <v>20</v>
      </c>
      <c r="W22" s="19"/>
      <c r="X22" s="21" t="s">
        <v>20</v>
      </c>
      <c r="AC22" s="22"/>
    </row>
    <row r="23" customFormat="false" ht="12.75" hidden="false" customHeight="false" outlineLevel="0" collapsed="false">
      <c r="A23" s="0" t="s">
        <v>33</v>
      </c>
      <c r="C23" s="16" t="n">
        <f aca="false">'BS 2000'!AG59/1000</f>
        <v>920.355946</v>
      </c>
      <c r="D23" s="18"/>
      <c r="E23" s="16" t="n">
        <f aca="false">+'Off Balance Sheet Support'!K20</f>
        <v>0</v>
      </c>
      <c r="F23" s="19"/>
      <c r="G23" s="16" t="n">
        <f aca="false">C23+E23</f>
        <v>920.355946</v>
      </c>
      <c r="H23" s="19"/>
      <c r="I23" s="20" t="n">
        <v>0.1</v>
      </c>
      <c r="J23" s="19"/>
      <c r="K23" s="16" t="n">
        <f aca="false">(C23+E23)*I23</f>
        <v>92.0355946</v>
      </c>
      <c r="L23" s="16"/>
      <c r="M23" s="16" t="n">
        <f aca="false">(C23+E23)-K23</f>
        <v>828.3203514</v>
      </c>
      <c r="N23" s="19"/>
      <c r="O23" s="19"/>
      <c r="P23" s="16" t="n">
        <v>-48</v>
      </c>
      <c r="Q23" s="16"/>
      <c r="R23" s="16" t="n">
        <f aca="false">(C23*I23)*0.075*0.65</f>
        <v>4.48673523675</v>
      </c>
      <c r="S23" s="16"/>
      <c r="T23" s="16" t="n">
        <f aca="false">P23-R23</f>
        <v>-52.48673523675</v>
      </c>
      <c r="U23" s="19"/>
      <c r="V23" s="21" t="n">
        <f aca="false">+T23/(C23*(1-I23))</f>
        <v>-0.0633652609742579</v>
      </c>
      <c r="W23" s="19"/>
      <c r="X23" s="21" t="n">
        <f aca="false">+T23/M23</f>
        <v>-0.0633652609742579</v>
      </c>
      <c r="AC23" s="22" t="n">
        <f aca="false">(1-I23)*C23</f>
        <v>828.3203514</v>
      </c>
    </row>
    <row r="24" customFormat="false" ht="12.75" hidden="false" customHeight="false" outlineLevel="0" collapsed="false">
      <c r="C24" s="16"/>
      <c r="D24" s="18"/>
      <c r="E24" s="16" t="s">
        <v>20</v>
      </c>
      <c r="F24" s="19"/>
      <c r="G24" s="16"/>
      <c r="H24" s="19"/>
      <c r="I24" s="19"/>
      <c r="J24" s="19"/>
      <c r="K24" s="16"/>
      <c r="L24" s="16"/>
      <c r="M24" s="16"/>
      <c r="N24" s="19"/>
      <c r="O24" s="19"/>
      <c r="P24" s="16"/>
      <c r="Q24" s="16"/>
      <c r="R24" s="16"/>
      <c r="S24" s="16"/>
      <c r="T24" s="16"/>
      <c r="U24" s="19"/>
      <c r="V24" s="21" t="s">
        <v>20</v>
      </c>
      <c r="W24" s="19"/>
      <c r="X24" s="21" t="s">
        <v>20</v>
      </c>
      <c r="AC24" s="22"/>
    </row>
    <row r="25" customFormat="false" ht="12.75" hidden="false" customHeight="false" outlineLevel="0" collapsed="false">
      <c r="A25" s="0" t="s">
        <v>34</v>
      </c>
      <c r="C25" s="16" t="n">
        <f aca="false">'BS 2000'!AM59/1000</f>
        <v>194.716225</v>
      </c>
      <c r="D25" s="18"/>
      <c r="E25" s="16" t="n">
        <f aca="false">+'Off Balance Sheet Support'!K22</f>
        <v>110</v>
      </c>
      <c r="F25" s="19"/>
      <c r="G25" s="16" t="n">
        <f aca="false">C25+E25</f>
        <v>304.716225</v>
      </c>
      <c r="H25" s="19"/>
      <c r="I25" s="20" t="n">
        <v>0.5</v>
      </c>
      <c r="J25" s="19"/>
      <c r="K25" s="16" t="n">
        <f aca="false">(C25+E25)*I25</f>
        <v>152.3581125</v>
      </c>
      <c r="L25" s="16"/>
      <c r="M25" s="16" t="n">
        <f aca="false">(C25+E25)-K25</f>
        <v>152.3581125</v>
      </c>
      <c r="N25" s="19"/>
      <c r="O25" s="19"/>
      <c r="P25" s="16" t="n">
        <v>-8.6</v>
      </c>
      <c r="Q25" s="16"/>
      <c r="R25" s="16" t="n">
        <f aca="false">(C25*I25)*0.075*0.65</f>
        <v>4.746207984375</v>
      </c>
      <c r="S25" s="16"/>
      <c r="T25" s="16" t="n">
        <f aca="false">P25-R25</f>
        <v>-13.346207984375</v>
      </c>
      <c r="U25" s="19"/>
      <c r="V25" s="21" t="n">
        <f aca="false">+T25/(C25*(1-I25))</f>
        <v>-0.137083676353884</v>
      </c>
      <c r="W25" s="19"/>
      <c r="X25" s="21" t="n">
        <f aca="false">+T25/M25</f>
        <v>-0.0875976196172357</v>
      </c>
      <c r="AC25" s="22" t="n">
        <f aca="false">(1-I25)*C25</f>
        <v>97.3581125</v>
      </c>
    </row>
    <row r="26" customFormat="false" ht="12.75" hidden="false" customHeight="false" outlineLevel="0" collapsed="false">
      <c r="A26" s="0" t="s">
        <v>35</v>
      </c>
      <c r="C26" s="16" t="n">
        <f aca="false">'BS 2000'!M59/1000</f>
        <v>459.778764</v>
      </c>
      <c r="D26" s="18"/>
      <c r="E26" s="16" t="n">
        <f aca="false">+'Off Balance Sheet Support'!K23</f>
        <v>0</v>
      </c>
      <c r="F26" s="19"/>
      <c r="G26" s="16" t="n">
        <f aca="false">C26+E26</f>
        <v>459.778764</v>
      </c>
      <c r="H26" s="19"/>
      <c r="I26" s="20" t="n">
        <v>0.5</v>
      </c>
      <c r="J26" s="19"/>
      <c r="K26" s="16" t="n">
        <f aca="false">(C26+E26)*I26</f>
        <v>229.889382</v>
      </c>
      <c r="L26" s="16"/>
      <c r="M26" s="16" t="n">
        <f aca="false">(C26+E26)-K26</f>
        <v>229.889382</v>
      </c>
      <c r="N26" s="19"/>
      <c r="O26" s="19"/>
      <c r="P26" s="16" t="n">
        <v>12.2</v>
      </c>
      <c r="Q26" s="16"/>
      <c r="R26" s="16" t="n">
        <f aca="false">(C26*I26)*0.075*0.65</f>
        <v>11.2071073725</v>
      </c>
      <c r="S26" s="16"/>
      <c r="T26" s="16" t="n">
        <f aca="false">P26-R26</f>
        <v>0.992892627500002</v>
      </c>
      <c r="U26" s="19"/>
      <c r="V26" s="21" t="n">
        <f aca="false">+T26/(C26*(1-I26))</f>
        <v>0.00431900168186107</v>
      </c>
      <c r="W26" s="19"/>
      <c r="X26" s="21" t="n">
        <f aca="false">+T26/M26</f>
        <v>0.00431900168186107</v>
      </c>
      <c r="AC26" s="22" t="n">
        <f aca="false">(1-I26)*C26</f>
        <v>229.889382</v>
      </c>
    </row>
    <row r="27" customFormat="false" ht="12.75" hidden="false" customHeight="false" outlineLevel="0" collapsed="false">
      <c r="A27" s="0" t="s">
        <v>36</v>
      </c>
      <c r="C27" s="16" t="n">
        <f aca="false">'BS 2000'!E59/1000</f>
        <v>3331.073735</v>
      </c>
      <c r="D27" s="18"/>
      <c r="E27" s="16" t="n">
        <f aca="false">+'Off Balance Sheet Support'!K24</f>
        <v>0</v>
      </c>
      <c r="F27" s="19"/>
      <c r="G27" s="16" t="n">
        <f aca="false">C27+E27</f>
        <v>3331.073735</v>
      </c>
      <c r="H27" s="19"/>
      <c r="I27" s="20" t="n">
        <v>0.6</v>
      </c>
      <c r="J27" s="19"/>
      <c r="K27" s="16" t="n">
        <f aca="false">(C27+E27)*I27</f>
        <v>1998.644241</v>
      </c>
      <c r="L27" s="16"/>
      <c r="M27" s="16" t="n">
        <f aca="false">(C27+E27)-K27</f>
        <v>1332.429494</v>
      </c>
      <c r="N27" s="19"/>
      <c r="O27" s="19"/>
      <c r="P27" s="16" t="n">
        <v>161.3</v>
      </c>
      <c r="Q27" s="16"/>
      <c r="R27" s="16" t="n">
        <f aca="false">(C27*I27)*0.075*0.65</f>
        <v>97.43390674875</v>
      </c>
      <c r="S27" s="16"/>
      <c r="T27" s="16" t="n">
        <f aca="false">P27-R27</f>
        <v>63.86609325125</v>
      </c>
      <c r="U27" s="19"/>
      <c r="V27" s="21" t="n">
        <f aca="false">+T27/(C27*(1-I27))</f>
        <v>0.0479320621007283</v>
      </c>
      <c r="W27" s="19"/>
      <c r="X27" s="21" t="n">
        <f aca="false">+T27/M27</f>
        <v>0.0479320621007283</v>
      </c>
      <c r="AC27" s="22" t="n">
        <f aca="false">(1-I27)*C27</f>
        <v>1332.429494</v>
      </c>
    </row>
    <row r="28" customFormat="false" ht="12.75" hidden="false" customHeight="false" outlineLevel="0" collapsed="false">
      <c r="A28" s="0" t="s">
        <v>37</v>
      </c>
      <c r="C28" s="16" t="n">
        <f aca="false">'BS 2000'!AI59/1000</f>
        <v>425.230909</v>
      </c>
      <c r="D28" s="18"/>
      <c r="E28" s="16" t="n">
        <f aca="false">+'Off Balance Sheet Support'!K25</f>
        <v>0</v>
      </c>
      <c r="F28" s="19"/>
      <c r="G28" s="16" t="n">
        <f aca="false">C28+E28</f>
        <v>425.230909</v>
      </c>
      <c r="H28" s="19"/>
      <c r="I28" s="20" t="n">
        <v>0.5</v>
      </c>
      <c r="J28" s="19"/>
      <c r="K28" s="16" t="n">
        <f aca="false">(C28+E28)*I28</f>
        <v>212.6154545</v>
      </c>
      <c r="L28" s="16"/>
      <c r="M28" s="16" t="n">
        <f aca="false">(C28+E28)-K28</f>
        <v>212.6154545</v>
      </c>
      <c r="N28" s="19"/>
      <c r="O28" s="19"/>
      <c r="P28" s="16" t="n">
        <v>48.9</v>
      </c>
      <c r="Q28" s="16"/>
      <c r="R28" s="16" t="n">
        <f aca="false">(C28*I28)*0.075*0.65</f>
        <v>10.365003406875</v>
      </c>
      <c r="S28" s="16"/>
      <c r="T28" s="16" t="n">
        <f aca="false">P28-R28</f>
        <v>38.534996593125</v>
      </c>
      <c r="U28" s="19"/>
      <c r="V28" s="21" t="n">
        <f aca="false">+T28/(C28*(1-I28))</f>
        <v>0.181242688513619</v>
      </c>
      <c r="W28" s="19"/>
      <c r="X28" s="21" t="n">
        <f aca="false">+T28/M28</f>
        <v>0.181242688513619</v>
      </c>
      <c r="AC28" s="22" t="n">
        <f aca="false">(1-I28)*C28</f>
        <v>212.6154545</v>
      </c>
    </row>
    <row r="29" customFormat="false" ht="12.75" hidden="false" customHeight="false" outlineLevel="0" collapsed="false">
      <c r="A29" s="0" t="s">
        <v>38</v>
      </c>
      <c r="C29" s="16" t="n">
        <v>800</v>
      </c>
      <c r="D29" s="18"/>
      <c r="E29" s="16" t="n">
        <f aca="false">+'Off Balance Sheet Support'!K26</f>
        <v>830</v>
      </c>
      <c r="F29" s="19"/>
      <c r="G29" s="16" t="n">
        <f aca="false">C29+E29</f>
        <v>1630</v>
      </c>
      <c r="H29" s="19"/>
      <c r="I29" s="20" t="n">
        <v>0.5</v>
      </c>
      <c r="J29" s="19"/>
      <c r="K29" s="16" t="n">
        <f aca="false">(C29+E29)*I29</f>
        <v>815</v>
      </c>
      <c r="L29" s="16"/>
      <c r="M29" s="16" t="n">
        <f aca="false">(C29+E29)-K29</f>
        <v>815</v>
      </c>
      <c r="N29" s="19"/>
      <c r="O29" s="19"/>
      <c r="P29" s="16" t="n">
        <v>-60.5</v>
      </c>
      <c r="Q29" s="16"/>
      <c r="R29" s="16" t="n">
        <f aca="false">(C29*I29)*0.075*0.65</f>
        <v>19.5</v>
      </c>
      <c r="S29" s="16"/>
      <c r="T29" s="16" t="n">
        <f aca="false">P29-R29</f>
        <v>-80</v>
      </c>
      <c r="U29" s="19"/>
      <c r="V29" s="21" t="n">
        <f aca="false">+T29/(C29*(1-I29))</f>
        <v>-0.2</v>
      </c>
      <c r="W29" s="19"/>
      <c r="X29" s="21" t="n">
        <f aca="false">+T29/M29</f>
        <v>-0.098159509202454</v>
      </c>
      <c r="AC29" s="22" t="n">
        <f aca="false">(1-I29)*C29</f>
        <v>400</v>
      </c>
    </row>
    <row r="30" customFormat="false" ht="12.75" hidden="false" customHeight="false" outlineLevel="0" collapsed="false">
      <c r="A30" s="0" t="s">
        <v>39</v>
      </c>
      <c r="C30" s="16" t="n">
        <f aca="false">C32-SUM(C18:C29)-C11</f>
        <v>1750.247305</v>
      </c>
      <c r="D30" s="18"/>
      <c r="E30" s="16" t="n">
        <f aca="false">+'Off Balance Sheet Support'!K27</f>
        <v>647.48</v>
      </c>
      <c r="F30" s="19"/>
      <c r="G30" s="16" t="n">
        <f aca="false">C30+E30</f>
        <v>2397.727305</v>
      </c>
      <c r="H30" s="19"/>
      <c r="I30" s="20" t="n">
        <v>0.66</v>
      </c>
      <c r="J30" s="19"/>
      <c r="K30" s="16" t="n">
        <f aca="false">(C30+E30)*I30</f>
        <v>1582.5000213</v>
      </c>
      <c r="L30" s="16"/>
      <c r="M30" s="16" t="n">
        <f aca="false">(C30+E30)-K30</f>
        <v>815.227283699999</v>
      </c>
      <c r="N30" s="19"/>
      <c r="O30" s="19"/>
      <c r="P30" s="16" t="n">
        <f aca="false">112.99-18.7</f>
        <v>94.29</v>
      </c>
      <c r="Q30" s="16"/>
      <c r="R30" s="16" t="n">
        <f aca="false">(C30*I30)*0.075*0.65</f>
        <v>56.3142070383749</v>
      </c>
      <c r="S30" s="16"/>
      <c r="T30" s="16" t="n">
        <f aca="false">P30-R30</f>
        <v>37.9757929616251</v>
      </c>
      <c r="U30" s="19"/>
      <c r="V30" s="21" t="n">
        <f aca="false">+T30/(C30*(1-I30))</f>
        <v>0.0638158438476569</v>
      </c>
      <c r="W30" s="19"/>
      <c r="X30" s="21" t="n">
        <f aca="false">+T30/M30</f>
        <v>0.0465830740959353</v>
      </c>
      <c r="AC30" s="22" t="n">
        <f aca="false">(1-I30)*C30</f>
        <v>595.084083699999</v>
      </c>
    </row>
    <row r="31" customFormat="false" ht="12.75" hidden="false" customHeight="false" outlineLevel="0" collapsed="false">
      <c r="C31" s="16"/>
      <c r="D31" s="18"/>
      <c r="E31" s="16"/>
      <c r="F31" s="19"/>
      <c r="G31" s="16"/>
      <c r="H31" s="19"/>
      <c r="I31" s="19"/>
      <c r="J31" s="19"/>
      <c r="K31" s="16"/>
      <c r="L31" s="16"/>
      <c r="M31" s="16"/>
      <c r="N31" s="19"/>
      <c r="O31" s="19"/>
      <c r="P31" s="16"/>
      <c r="Q31" s="16"/>
      <c r="R31" s="16"/>
      <c r="S31" s="16"/>
      <c r="T31" s="16"/>
      <c r="U31" s="19"/>
      <c r="V31" s="17"/>
      <c r="W31" s="19"/>
      <c r="AC31" s="22"/>
    </row>
    <row r="32" customFormat="false" ht="13.5" hidden="false" customHeight="false" outlineLevel="0" collapsed="false">
      <c r="A32" s="0" t="s">
        <v>40</v>
      </c>
      <c r="C32" s="25" t="n">
        <f aca="false">'BS 2000'!AQ59/1000</f>
        <v>23304.083661</v>
      </c>
      <c r="D32" s="18"/>
      <c r="E32" s="25" t="n">
        <f aca="false">SUM(E18:E30)+E11</f>
        <v>2749.4115</v>
      </c>
      <c r="F32" s="19"/>
      <c r="G32" s="25" t="n">
        <f aca="false">SUM(G18:G30)+G11</f>
        <v>26053.495161</v>
      </c>
      <c r="H32" s="26"/>
      <c r="I32" s="20" t="n">
        <f aca="false">K32/C32</f>
        <v>0.565388913971767</v>
      </c>
      <c r="J32" s="26"/>
      <c r="K32" s="25" t="n">
        <f aca="false">SUM(K18:K30)+K11</f>
        <v>13175.8705522</v>
      </c>
      <c r="L32" s="18"/>
      <c r="M32" s="25" t="n">
        <f aca="false">SUM(M18:M30)+M11</f>
        <v>12877.6246088</v>
      </c>
      <c r="N32" s="26"/>
      <c r="O32" s="26"/>
      <c r="P32" s="27" t="n">
        <f aca="false">SUM(P18:P30)+P11</f>
        <v>1766.3015</v>
      </c>
      <c r="Q32" s="18"/>
      <c r="R32" s="27" t="n">
        <f aca="false">SUM(R18:R30)+R11</f>
        <v>570.35579260725</v>
      </c>
      <c r="S32" s="18"/>
      <c r="T32" s="27" t="n">
        <f aca="false">SUM(T18:T30)+T11</f>
        <v>1195.94570739275</v>
      </c>
      <c r="U32" s="26"/>
      <c r="V32" s="21" t="n">
        <f aca="false">+T32/(C32*(1-I32))</f>
        <v>0.118080622370953</v>
      </c>
      <c r="W32" s="26"/>
      <c r="X32" s="21" t="n">
        <f aca="false">+T32/M32</f>
        <v>0.0928700551323335</v>
      </c>
      <c r="AC32" s="25" t="n">
        <f aca="false">SUM(AC18:AC31)+AC11</f>
        <v>11604.4776588</v>
      </c>
    </row>
    <row r="33" customFormat="false" ht="13.5" hidden="false" customHeight="false" outlineLevel="0" collapsed="false">
      <c r="E33" s="19"/>
      <c r="F33" s="19"/>
      <c r="G33" s="19"/>
      <c r="V33" s="21" t="s">
        <v>20</v>
      </c>
      <c r="X33" s="0" t="s">
        <v>20</v>
      </c>
    </row>
    <row r="34" customFormat="false" ht="12.75" hidden="false" customHeight="false" outlineLevel="0" collapsed="false">
      <c r="A34" s="28"/>
      <c r="E34" s="19"/>
      <c r="F34" s="19"/>
      <c r="G34" s="19"/>
      <c r="V34" s="29"/>
    </row>
    <row r="35" customFormat="false" ht="12" hidden="false" customHeight="true" outlineLevel="0" collapsed="false">
      <c r="E35" s="19"/>
      <c r="F35" s="19"/>
      <c r="G35" s="19"/>
      <c r="V35" s="29"/>
    </row>
    <row r="36" customFormat="false" ht="12.75" hidden="true" customHeight="false" outlineLevel="0" collapsed="false">
      <c r="A36" s="28" t="s">
        <v>41</v>
      </c>
      <c r="B36" s="30" t="s">
        <v>42</v>
      </c>
    </row>
    <row r="37" customFormat="false" ht="12.75" hidden="true" customHeight="false" outlineLevel="0" collapsed="false">
      <c r="B37" s="30" t="s">
        <v>43</v>
      </c>
    </row>
    <row r="38" customFormat="false" ht="12.75" hidden="true" customHeight="false" outlineLevel="0" collapsed="false">
      <c r="B38" s="30" t="s">
        <v>44</v>
      </c>
    </row>
    <row r="39" customFormat="false" ht="12.75" hidden="true" customHeight="false" outlineLevel="0" collapsed="false">
      <c r="B39" s="30" t="s">
        <v>45</v>
      </c>
      <c r="V39" s="31" t="n">
        <f aca="true">NOW()</f>
        <v>45926.9648145038</v>
      </c>
    </row>
    <row r="41" customFormat="false" ht="12.75" hidden="false" customHeight="false" outlineLevel="0" collapsed="false">
      <c r="A41" s="32" t="s">
        <v>46</v>
      </c>
    </row>
    <row r="42" customFormat="false" ht="12.75" hidden="false" customHeight="false" outlineLevel="0" collapsed="false">
      <c r="A42" s="32" t="s">
        <v>47</v>
      </c>
    </row>
    <row r="43" customFormat="false" ht="12.75" hidden="false" customHeight="false" outlineLevel="0" collapsed="false">
      <c r="A43" s="32" t="s">
        <v>48</v>
      </c>
    </row>
    <row r="44" customFormat="false" ht="12.75" hidden="false" customHeight="false" outlineLevel="0" collapsed="false">
      <c r="A44" s="32" t="s">
        <v>49</v>
      </c>
    </row>
    <row r="45" customFormat="false" ht="12.75" hidden="false" customHeight="false" outlineLevel="0" collapsed="false">
      <c r="A45" s="32" t="s">
        <v>50</v>
      </c>
    </row>
  </sheetData>
  <mergeCells count="5">
    <mergeCell ref="A1:X1"/>
    <mergeCell ref="A2:X2"/>
    <mergeCell ref="A3:X3"/>
    <mergeCell ref="C7:M7"/>
    <mergeCell ref="P7:X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46" activePane="bottomRight" state="frozen"/>
      <selection pane="topLeft" activeCell="A1" activeCellId="0" sqref="A1"/>
      <selection pane="topRight" activeCell="B1" activeCellId="0" sqref="B1"/>
      <selection pane="bottomLeft" activeCell="A46" activeCellId="0" sqref="A46"/>
      <selection pane="bottomRight" activeCell="G64" activeCellId="0" sqref="G6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33" width="47.99"/>
    <col collapsed="false" customWidth="true" hidden="false" outlineLevel="0" max="2" min="2" style="33" width="5.71"/>
    <col collapsed="false" customWidth="true" hidden="false" outlineLevel="0" max="3" min="3" style="34" width="11.7"/>
    <col collapsed="false" customWidth="true" hidden="false" outlineLevel="0" max="4" min="4" style="33" width="1.7"/>
    <col collapsed="false" customWidth="true" hidden="false" outlineLevel="0" max="5" min="5" style="34" width="11.7"/>
    <col collapsed="false" customWidth="true" hidden="false" outlineLevel="0" max="6" min="6" style="33" width="1.7"/>
    <col collapsed="false" customWidth="true" hidden="false" outlineLevel="0" max="7" min="7" style="34" width="11.7"/>
    <col collapsed="false" customWidth="true" hidden="false" outlineLevel="0" max="8" min="8" style="33" width="1.7"/>
    <col collapsed="false" customWidth="true" hidden="false" outlineLevel="0" max="9" min="9" style="34" width="11.7"/>
    <col collapsed="false" customWidth="true" hidden="false" outlineLevel="0" max="10" min="10" style="33" width="1.7"/>
    <col collapsed="false" customWidth="true" hidden="false" outlineLevel="0" max="11" min="11" style="34" width="11.7"/>
    <col collapsed="false" customWidth="true" hidden="false" outlineLevel="0" max="12" min="12" style="33" width="1.7"/>
    <col collapsed="false" customWidth="true" hidden="false" outlineLevel="0" max="13" min="13" style="33" width="11.7"/>
    <col collapsed="false" customWidth="true" hidden="false" outlineLevel="0" max="14" min="14" style="33" width="1.7"/>
    <col collapsed="false" customWidth="true" hidden="false" outlineLevel="0" max="15" min="15" style="33" width="11.7"/>
    <col collapsed="false" customWidth="true" hidden="false" outlineLevel="0" max="16" min="16" style="33" width="1.7"/>
    <col collapsed="false" customWidth="true" hidden="false" outlineLevel="0" max="17" min="17" style="33" width="11.7"/>
    <col collapsed="false" customWidth="true" hidden="false" outlineLevel="0" max="18" min="18" style="33" width="2.13"/>
    <col collapsed="false" customWidth="true" hidden="false" outlineLevel="0" max="19" min="19" style="33" width="11.7"/>
    <col collapsed="false" customWidth="true" hidden="false" outlineLevel="0" max="20" min="20" style="33" width="1.7"/>
    <col collapsed="false" customWidth="true" hidden="false" outlineLevel="0" max="21" min="21" style="33" width="11.7"/>
    <col collapsed="false" customWidth="true" hidden="false" outlineLevel="0" max="22" min="22" style="33" width="1.7"/>
    <col collapsed="false" customWidth="true" hidden="false" outlineLevel="0" max="23" min="23" style="33" width="11.7"/>
    <col collapsed="false" customWidth="true" hidden="false" outlineLevel="0" max="24" min="24" style="33" width="1.7"/>
    <col collapsed="false" customWidth="true" hidden="false" outlineLevel="0" max="25" min="25" style="33" width="11.7"/>
    <col collapsed="false" customWidth="true" hidden="false" outlineLevel="0" max="26" min="26" style="33" width="1.7"/>
    <col collapsed="false" customWidth="true" hidden="false" outlineLevel="0" max="27" min="27" style="33" width="11.7"/>
    <col collapsed="false" customWidth="true" hidden="false" outlineLevel="0" max="28" min="28" style="33" width="1.7"/>
    <col collapsed="false" customWidth="true" hidden="false" outlineLevel="0" max="29" min="29" style="33" width="11.7"/>
    <col collapsed="false" customWidth="true" hidden="false" outlineLevel="0" max="30" min="30" style="33" width="1.7"/>
    <col collapsed="false" customWidth="true" hidden="false" outlineLevel="0" max="31" min="31" style="33" width="11.7"/>
    <col collapsed="false" customWidth="true" hidden="false" outlineLevel="0" max="32" min="32" style="33" width="1.7"/>
    <col collapsed="false" customWidth="true" hidden="false" outlineLevel="0" max="33" min="33" style="33" width="11.7"/>
    <col collapsed="false" customWidth="true" hidden="false" outlineLevel="0" max="34" min="34" style="33" width="1.7"/>
    <col collapsed="false" customWidth="true" hidden="false" outlineLevel="0" max="35" min="35" style="33" width="11.7"/>
    <col collapsed="false" customWidth="true" hidden="false" outlineLevel="0" max="36" min="36" style="33" width="1.7"/>
    <col collapsed="false" customWidth="true" hidden="false" outlineLevel="0" max="37" min="37" style="33" width="11.7"/>
    <col collapsed="false" customWidth="true" hidden="false" outlineLevel="0" max="38" min="38" style="33" width="1.7"/>
    <col collapsed="false" customWidth="true" hidden="false" outlineLevel="0" max="39" min="39" style="33" width="11.7"/>
    <col collapsed="false" customWidth="true" hidden="false" outlineLevel="0" max="40" min="40" style="33" width="1.7"/>
    <col collapsed="false" customWidth="true" hidden="false" outlineLevel="0" max="41" min="41" style="35" width="11.7"/>
    <col collapsed="false" customWidth="true" hidden="false" outlineLevel="0" max="42" min="42" style="33" width="1.7"/>
    <col collapsed="false" customWidth="true" hidden="false" outlineLevel="0" max="44" min="43" style="33" width="11.7"/>
    <col collapsed="false" customWidth="false" hidden="false" outlineLevel="0" max="257" min="45" style="33" width="9.14"/>
  </cols>
  <sheetData>
    <row r="1" customFormat="false" ht="11.25" hidden="false" customHeight="false" outlineLevel="0" collapsed="false">
      <c r="A1" s="36"/>
      <c r="B1" s="36"/>
      <c r="C1" s="37" t="str">
        <f aca="false">+[1]Dec99!C$4</f>
        <v>EGPG4</v>
      </c>
      <c r="D1" s="38"/>
      <c r="E1" s="37" t="str">
        <f aca="false">+[1]Dec99!D$4</f>
        <v>PGE4</v>
      </c>
      <c r="F1" s="38"/>
      <c r="G1" s="37" t="str">
        <f aca="false">+[1]Dec99!E$4</f>
        <v>EGS x HPL</v>
      </c>
      <c r="H1" s="38"/>
      <c r="I1" s="39" t="str">
        <f aca="false">+[1]Dec99!F$4</f>
        <v>HPL FV</v>
      </c>
      <c r="J1" s="38"/>
      <c r="K1" s="37" t="str">
        <f aca="false">+[1]Dec99!H$4</f>
        <v>ECINT4</v>
      </c>
      <c r="L1" s="38"/>
      <c r="M1" s="37" t="str">
        <f aca="false">+[1]Dec99!I$4</f>
        <v>EGEPG4</v>
      </c>
      <c r="N1" s="38"/>
      <c r="O1" s="37" t="str">
        <f aca="false">+[1]Dec99!J$4</f>
        <v>ECMGR4</v>
      </c>
      <c r="P1" s="38"/>
      <c r="Q1" s="37" t="str">
        <f aca="false">+[1]Dec99!K$4</f>
        <v>EENGC4</v>
      </c>
      <c r="R1" s="38"/>
      <c r="S1" s="37" t="str">
        <f aca="false">+[1]Dec99!L$4</f>
        <v>APACHI4</v>
      </c>
      <c r="T1" s="38"/>
      <c r="U1" s="37" t="str">
        <f aca="false">+[1]Dec99!M$4</f>
        <v>CALME4</v>
      </c>
      <c r="V1" s="38"/>
      <c r="W1" s="37" t="str">
        <f aca="false">+[1]Dec99!N$4</f>
        <v>ESACNS4</v>
      </c>
      <c r="X1" s="38"/>
      <c r="Y1" s="37" t="str">
        <f aca="false">+[1]Dec99!O$4</f>
        <v>INDIA4</v>
      </c>
      <c r="Z1" s="38"/>
      <c r="AA1" s="37" t="str">
        <f aca="false">+[1]Dec99!Q$4</f>
        <v>SJPRO4</v>
      </c>
      <c r="AB1" s="38"/>
      <c r="AC1" s="37" t="str">
        <f aca="false">+[1]Dec99!R$4</f>
        <v>83E</v>
      </c>
      <c r="AD1" s="38"/>
      <c r="AE1" s="37" t="str">
        <f aca="false">+[1]Dec99!S$4</f>
        <v>RETAIL4</v>
      </c>
      <c r="AF1" s="38"/>
      <c r="AG1" s="37" t="str">
        <f aca="false">+[1]Dec99!T$4</f>
        <v>ECI4</v>
      </c>
      <c r="AH1" s="38"/>
      <c r="AI1" s="37" t="str">
        <f aca="false">+[1]Dec99!U$4</f>
        <v>EREC4</v>
      </c>
      <c r="AJ1" s="38"/>
      <c r="AK1" s="39" t="str">
        <f aca="false">+[1]Dec99!P$4</f>
        <v>EIHQTR4</v>
      </c>
      <c r="AL1" s="38"/>
      <c r="AM1" s="37" t="str">
        <f aca="false">+[1]Dec99!V$4</f>
        <v>CLNFU4</v>
      </c>
      <c r="AN1" s="38"/>
      <c r="AO1" s="40"/>
      <c r="AP1" s="38"/>
      <c r="AQ1" s="37" t="str">
        <f aca="false">+[1]Dec99!AH$4</f>
        <v>Sub-Total</v>
      </c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</row>
    <row r="2" customFormat="false" ht="11.25" hidden="false" customHeight="false" outlineLevel="0" collapsed="false">
      <c r="C2" s="41"/>
      <c r="E2" s="41"/>
      <c r="G2" s="41"/>
      <c r="I2" s="41"/>
      <c r="K2" s="41"/>
      <c r="M2" s="42"/>
      <c r="O2" s="42"/>
      <c r="Q2" s="42"/>
      <c r="S2" s="42"/>
      <c r="U2" s="42"/>
      <c r="W2" s="42"/>
      <c r="Y2" s="42"/>
      <c r="AA2" s="42"/>
      <c r="AC2" s="42"/>
      <c r="AE2" s="42"/>
      <c r="AG2" s="42"/>
      <c r="AI2" s="42"/>
      <c r="AK2" s="42"/>
      <c r="AM2" s="42"/>
      <c r="AO2" s="43"/>
      <c r="AQ2" s="42"/>
      <c r="AR2" s="44"/>
    </row>
    <row r="3" customFormat="false" ht="11.25" hidden="false" customHeight="false" outlineLevel="0" collapsed="false"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  <c r="AM3" s="45"/>
      <c r="AO3" s="46"/>
      <c r="AQ3" s="45"/>
    </row>
    <row r="4" customFormat="false" ht="33.75" hidden="false" customHeight="false" outlineLevel="0" collapsed="false">
      <c r="A4" s="47"/>
      <c r="B4" s="48"/>
      <c r="C4" s="49" t="s">
        <v>51</v>
      </c>
      <c r="D4" s="48"/>
      <c r="E4" s="49" t="s">
        <v>52</v>
      </c>
      <c r="F4" s="48"/>
      <c r="G4" s="49" t="s">
        <v>53</v>
      </c>
      <c r="H4" s="48"/>
      <c r="I4" s="49" t="s">
        <v>54</v>
      </c>
      <c r="J4" s="48"/>
      <c r="K4" s="49" t="s">
        <v>55</v>
      </c>
      <c r="L4" s="48"/>
      <c r="M4" s="50" t="s">
        <v>56</v>
      </c>
      <c r="N4" s="48"/>
      <c r="O4" s="50" t="s">
        <v>57</v>
      </c>
      <c r="P4" s="48"/>
      <c r="Q4" s="50" t="s">
        <v>58</v>
      </c>
      <c r="R4" s="48"/>
      <c r="S4" s="50" t="s">
        <v>59</v>
      </c>
      <c r="T4" s="48"/>
      <c r="U4" s="50" t="s">
        <v>60</v>
      </c>
      <c r="V4" s="48"/>
      <c r="W4" s="50" t="s">
        <v>61</v>
      </c>
      <c r="X4" s="48"/>
      <c r="Y4" s="50" t="s">
        <v>62</v>
      </c>
      <c r="Z4" s="48"/>
      <c r="AA4" s="50" t="s">
        <v>63</v>
      </c>
      <c r="AB4" s="48"/>
      <c r="AC4" s="50" t="s">
        <v>64</v>
      </c>
      <c r="AD4" s="48"/>
      <c r="AE4" s="50" t="s">
        <v>65</v>
      </c>
      <c r="AF4" s="48"/>
      <c r="AG4" s="50" t="s">
        <v>66</v>
      </c>
      <c r="AH4" s="48"/>
      <c r="AI4" s="50" t="s">
        <v>67</v>
      </c>
      <c r="AJ4" s="48"/>
      <c r="AK4" s="50" t="s">
        <v>68</v>
      </c>
      <c r="AL4" s="48"/>
      <c r="AM4" s="50" t="s">
        <v>34</v>
      </c>
      <c r="AN4" s="48"/>
      <c r="AO4" s="51" t="s">
        <v>69</v>
      </c>
      <c r="AP4" s="48"/>
      <c r="AQ4" s="52" t="s">
        <v>70</v>
      </c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  <c r="IW4" s="48"/>
    </row>
    <row r="5" customFormat="false" ht="11.25" hidden="false" customHeight="false" outlineLevel="0" collapsed="false">
      <c r="C5" s="39"/>
      <c r="E5" s="39"/>
      <c r="G5" s="39"/>
      <c r="I5" s="39"/>
      <c r="K5" s="39"/>
      <c r="M5" s="39"/>
      <c r="O5" s="39"/>
      <c r="Q5" s="39"/>
      <c r="S5" s="39"/>
      <c r="U5" s="39"/>
      <c r="W5" s="39"/>
      <c r="Y5" s="39"/>
      <c r="AA5" s="39"/>
      <c r="AC5" s="39"/>
      <c r="AE5" s="39"/>
      <c r="AG5" s="39"/>
      <c r="AI5" s="39"/>
      <c r="AK5" s="39"/>
      <c r="AM5" s="39"/>
      <c r="AO5" s="53"/>
      <c r="AQ5" s="39"/>
    </row>
    <row r="6" customFormat="false" ht="11.25" hidden="false" customHeight="false" outlineLevel="0" collapsed="false">
      <c r="A6" s="54" t="s">
        <v>71</v>
      </c>
      <c r="M6" s="34"/>
      <c r="O6" s="34"/>
      <c r="Q6" s="34"/>
      <c r="S6" s="34"/>
      <c r="U6" s="34"/>
      <c r="W6" s="34"/>
      <c r="Y6" s="34"/>
      <c r="AA6" s="34"/>
      <c r="AC6" s="34"/>
      <c r="AE6" s="34"/>
      <c r="AG6" s="34"/>
      <c r="AI6" s="34"/>
      <c r="AK6" s="34"/>
      <c r="AM6" s="34"/>
      <c r="AO6" s="55"/>
      <c r="AQ6" s="34"/>
    </row>
    <row r="7" customFormat="false" ht="11.25" hidden="false" customHeight="false" outlineLevel="0" collapsed="false">
      <c r="A7" s="56" t="s">
        <v>72</v>
      </c>
      <c r="C7" s="34" t="n">
        <f aca="false">+[1]Dec98!C$6/1000</f>
        <v>3732858.708</v>
      </c>
      <c r="E7" s="34" t="n">
        <f aca="false">+[1]Dec98!D$6/1000</f>
        <v>2270273.271</v>
      </c>
      <c r="G7" s="34" t="n">
        <f aca="false">+[1]Dec98!E$6/1000</f>
        <v>1403525.188</v>
      </c>
      <c r="I7" s="34" t="n">
        <f aca="false">+[1]Dec98!F$6/1000</f>
        <v>1348589.451</v>
      </c>
      <c r="K7" s="34" t="n">
        <f aca="false">+[1]Dec98!H$6/1000</f>
        <v>534027.617</v>
      </c>
      <c r="M7" s="34" t="n">
        <f aca="false">+[1]Dec98!I$6/1000</f>
        <v>86943.808</v>
      </c>
      <c r="O7" s="34" t="n">
        <f aca="false">+[1]Dec98!J$6/1000</f>
        <v>3209590.368</v>
      </c>
      <c r="Q7" s="34" t="n">
        <f aca="false">+[1]Dec98!K$6/1000</f>
        <v>336655.779</v>
      </c>
      <c r="S7" s="34" t="n">
        <f aca="false">+[1]Dec98!L$6/1000</f>
        <v>158345.524</v>
      </c>
      <c r="U7" s="34" t="n">
        <f aca="false">+[1]Dec98!M$6/1000</f>
        <v>520092.21</v>
      </c>
      <c r="W7" s="34" t="n">
        <f aca="false">+[1]Dec98!N$6/1000</f>
        <v>1078179.873</v>
      </c>
      <c r="Y7" s="34" t="n">
        <f aca="false">+[1]Dec98!O$6/1000</f>
        <v>299044.47</v>
      </c>
      <c r="AA7" s="34" t="n">
        <f aca="false">+[1]Dec98!Q$6/1000</f>
        <v>22285.459</v>
      </c>
      <c r="AC7" s="34" t="n">
        <f aca="false">+[1]Dec98!R$6/1000</f>
        <v>0</v>
      </c>
      <c r="AE7" s="34" t="n">
        <f aca="false">+[1]Dec98!S$6/1000</f>
        <v>312508.563</v>
      </c>
      <c r="AG7" s="34" t="n">
        <f aca="false">+[1]Dec98!T$6/1000</f>
        <v>15580.47</v>
      </c>
      <c r="AI7" s="34" t="n">
        <f aca="false">+[1]Dec98!U$6/1000</f>
        <v>131507.123</v>
      </c>
      <c r="AK7" s="34" t="n">
        <f aca="false">+[1]Dec98!P$6/1000</f>
        <v>1178819.36</v>
      </c>
      <c r="AM7" s="34" t="n">
        <f aca="false">+[1]Dec98!V$6/1000</f>
        <v>-79846.925</v>
      </c>
      <c r="AO7" s="55" t="n">
        <f aca="false">+AQ7-SUM(C7:AM7)</f>
        <v>-9511154.909</v>
      </c>
      <c r="AQ7" s="34" t="n">
        <f aca="false">+[1]Dec98!AH$6/1000</f>
        <v>7047825.408</v>
      </c>
    </row>
    <row r="8" customFormat="false" ht="11.25" hidden="false" customHeight="false" outlineLevel="0" collapsed="false">
      <c r="A8" s="56" t="s">
        <v>73</v>
      </c>
      <c r="C8" s="34" t="n">
        <f aca="false">+[1]Dec98!C$27/1000</f>
        <v>-1632697.848</v>
      </c>
      <c r="E8" s="34" t="n">
        <f aca="false">+[1]Dec98!D$27/1000</f>
        <v>-95927.769</v>
      </c>
      <c r="G8" s="34" t="n">
        <f aca="false">+[1]Dec98!E$27/1000</f>
        <v>-408024.421</v>
      </c>
      <c r="I8" s="34" t="n">
        <f aca="false">+[1]Dec98!F$27/1000</f>
        <v>3076.809</v>
      </c>
      <c r="K8" s="34" t="n">
        <f aca="false">+[1]Dec98!H$27/1000</f>
        <v>-438405.379</v>
      </c>
      <c r="M8" s="34" t="n">
        <f aca="false">+[1]Dec98!I$27/1000</f>
        <v>156526.384</v>
      </c>
      <c r="O8" s="34" t="n">
        <f aca="false">+[1]Dec98!J$27/1000</f>
        <v>-2499737.906</v>
      </c>
      <c r="Q8" s="34" t="n">
        <f aca="false">+[1]Dec98!K$27/1000</f>
        <v>-243148.981</v>
      </c>
      <c r="S8" s="34" t="n">
        <f aca="false">+[1]Dec98!L$27/1000</f>
        <v>94637.496</v>
      </c>
      <c r="U8" s="34" t="n">
        <f aca="false">+[1]Dec98!M$27/1000</f>
        <v>-106567.867</v>
      </c>
      <c r="W8" s="34" t="n">
        <f aca="false">+[1]Dec98!N$27/1000</f>
        <v>-55388.251</v>
      </c>
      <c r="Y8" s="34" t="n">
        <f aca="false">+[1]Dec98!O$27/1000</f>
        <v>2608.718</v>
      </c>
      <c r="AA8" s="34" t="n">
        <f aca="false">+[1]Dec98!Q$27/1000</f>
        <v>10563.207</v>
      </c>
      <c r="AC8" s="34" t="n">
        <f aca="false">+[1]Dec98!R$27/1000</f>
        <v>0</v>
      </c>
      <c r="AE8" s="34" t="n">
        <f aca="false">+[1]Dec98!S$27/1000</f>
        <v>72296.591</v>
      </c>
      <c r="AG8" s="34" t="n">
        <f aca="false">+[1]Dec98!T$27/1000</f>
        <v>95437.785</v>
      </c>
      <c r="AI8" s="34" t="n">
        <f aca="false">+[1]Dec98!U$27/1000</f>
        <v>174541.748</v>
      </c>
      <c r="AK8" s="34" t="n">
        <f aca="false">+[1]Dec98!P$27/1000</f>
        <v>-161295.826</v>
      </c>
      <c r="AM8" s="34" t="n">
        <f aca="false">+[1]Dec98!V$27/1000</f>
        <v>79119.615</v>
      </c>
      <c r="AO8" s="55" t="n">
        <f aca="false">+AQ8-SUM(C8:AM8)</f>
        <v>4952354.299</v>
      </c>
      <c r="AQ8" s="34" t="n">
        <f aca="false">+[1]Dec98!AH$27/1000</f>
        <v>-31.596</v>
      </c>
    </row>
    <row r="9" customFormat="false" ht="11.25" hidden="false" customHeight="false" outlineLevel="0" collapsed="false">
      <c r="A9" s="56" t="s">
        <v>74</v>
      </c>
      <c r="C9" s="34" t="n">
        <f aca="false">+[1]Dec98!C$30/1000</f>
        <v>0</v>
      </c>
      <c r="E9" s="34" t="n">
        <f aca="false">+[1]Dec98!D$30/1000</f>
        <v>0</v>
      </c>
      <c r="G9" s="34" t="n">
        <f aca="false">+[1]Dec98!E$30/1000</f>
        <v>0</v>
      </c>
      <c r="I9" s="34" t="n">
        <f aca="false">+[1]Dec98!F$30/1000</f>
        <v>0</v>
      </c>
      <c r="K9" s="34" t="n">
        <f aca="false">+[1]Dec98!H$30/1000</f>
        <v>0</v>
      </c>
      <c r="M9" s="34" t="n">
        <f aca="false">+[1]Dec98!I$30/1000</f>
        <v>0</v>
      </c>
      <c r="O9" s="34" t="n">
        <f aca="false">+[1]Dec98!J$30/1000</f>
        <v>0</v>
      </c>
      <c r="Q9" s="34" t="n">
        <f aca="false">+[1]Dec98!K$30/1000</f>
        <v>0</v>
      </c>
      <c r="S9" s="34" t="n">
        <f aca="false">+[1]Dec98!L$30/1000</f>
        <v>0</v>
      </c>
      <c r="U9" s="34" t="n">
        <f aca="false">+[1]Dec98!M$30/1000</f>
        <v>0</v>
      </c>
      <c r="W9" s="34" t="n">
        <f aca="false">+[1]Dec98!N$30/1000</f>
        <v>0</v>
      </c>
      <c r="Y9" s="34" t="n">
        <f aca="false">+[1]Dec98!O$30/1000</f>
        <v>0</v>
      </c>
      <c r="AA9" s="34" t="n">
        <f aca="false">+[1]Dec98!Q$30/1000</f>
        <v>0</v>
      </c>
      <c r="AC9" s="34" t="n">
        <f aca="false">+[1]Dec98!R$30/1000</f>
        <v>0</v>
      </c>
      <c r="AE9" s="34" t="n">
        <f aca="false">+[1]Dec98!S$30/1000</f>
        <v>0</v>
      </c>
      <c r="AG9" s="34" t="n">
        <f aca="false">+[1]Dec98!T$30/1000</f>
        <v>0</v>
      </c>
      <c r="AI9" s="34" t="n">
        <f aca="false">+[1]Dec98!U$30/1000</f>
        <v>0</v>
      </c>
      <c r="AK9" s="34" t="n">
        <f aca="false">+[1]Dec98!P$30/1000</f>
        <v>0</v>
      </c>
      <c r="AM9" s="34" t="n">
        <f aca="false">+[1]Dec98!V$30/1000</f>
        <v>0</v>
      </c>
      <c r="AO9" s="55" t="n">
        <f aca="false">+AQ9-SUM(C9:AM9)</f>
        <v>0</v>
      </c>
      <c r="AQ9" s="34" t="n">
        <f aca="false">+[1]Dec98!AH$30/1000</f>
        <v>0</v>
      </c>
    </row>
    <row r="10" customFormat="false" ht="11.25" hidden="false" customHeight="false" outlineLevel="0" collapsed="false">
      <c r="A10" s="57" t="s">
        <v>75</v>
      </c>
      <c r="C10" s="58" t="n">
        <f aca="false">SUM(C7:C9)</f>
        <v>2100160.86</v>
      </c>
      <c r="E10" s="58" t="n">
        <f aca="false">SUM(E7:E9)</f>
        <v>2174345.502</v>
      </c>
      <c r="G10" s="58" t="n">
        <f aca="false">SUM(G7:G9)</f>
        <v>995500.767</v>
      </c>
      <c r="I10" s="58" t="n">
        <f aca="false">SUM(I7:I9)</f>
        <v>1351666.26</v>
      </c>
      <c r="K10" s="58" t="n">
        <f aca="false">SUM(K7:K9)</f>
        <v>95622.238</v>
      </c>
      <c r="M10" s="58" t="n">
        <f aca="false">SUM(M7:M9)</f>
        <v>243470.192</v>
      </c>
      <c r="O10" s="58" t="n">
        <f aca="false">SUM(O7:O9)</f>
        <v>709852.462</v>
      </c>
      <c r="Q10" s="58" t="n">
        <f aca="false">SUM(Q7:Q9)</f>
        <v>93506.798</v>
      </c>
      <c r="S10" s="58" t="n">
        <f aca="false">SUM(S7:S9)</f>
        <v>252983.02</v>
      </c>
      <c r="U10" s="58" t="n">
        <f aca="false">SUM(U7:U9)</f>
        <v>413524.343</v>
      </c>
      <c r="W10" s="58" t="n">
        <f aca="false">SUM(W7:W9)</f>
        <v>1022791.622</v>
      </c>
      <c r="Y10" s="58" t="n">
        <f aca="false">SUM(Y7:Y9)</f>
        <v>301653.188</v>
      </c>
      <c r="AA10" s="58" t="n">
        <f aca="false">SUM(AA7:AA9)</f>
        <v>32848.666</v>
      </c>
      <c r="AC10" s="58" t="n">
        <f aca="false">SUM(AC7:AC9)</f>
        <v>0</v>
      </c>
      <c r="AE10" s="58" t="n">
        <f aca="false">SUM(AE7:AE9)</f>
        <v>384805.154</v>
      </c>
      <c r="AG10" s="58" t="n">
        <f aca="false">SUM(AG7:AG9)</f>
        <v>111018.255</v>
      </c>
      <c r="AI10" s="58" t="n">
        <f aca="false">SUM(AI7:AI9)</f>
        <v>306048.871</v>
      </c>
      <c r="AK10" s="58" t="n">
        <f aca="false">SUM(AK7:AK9)</f>
        <v>1017523.534</v>
      </c>
      <c r="AM10" s="58" t="n">
        <f aca="false">SUM(AM7:AM9)</f>
        <v>-727.309999999998</v>
      </c>
      <c r="AO10" s="59" t="n">
        <f aca="false">+AQ10-SUM(C10:AM10)</f>
        <v>-4558800.61</v>
      </c>
      <c r="AQ10" s="58" t="n">
        <f aca="false">SUM(AQ7:AQ9)</f>
        <v>7047793.812</v>
      </c>
    </row>
    <row r="11" customFormat="false" ht="5.1" hidden="false" customHeight="true" outlineLevel="0" collapsed="false">
      <c r="A11" s="56"/>
      <c r="M11" s="34"/>
      <c r="O11" s="34"/>
      <c r="Q11" s="34"/>
      <c r="S11" s="34"/>
      <c r="U11" s="34"/>
      <c r="W11" s="34"/>
      <c r="Y11" s="34"/>
      <c r="AA11" s="34"/>
      <c r="AC11" s="34"/>
      <c r="AE11" s="34"/>
      <c r="AG11" s="34"/>
      <c r="AI11" s="34"/>
      <c r="AK11" s="34"/>
      <c r="AM11" s="34"/>
      <c r="AO11" s="55"/>
      <c r="AQ11" s="34"/>
    </row>
    <row r="12" customFormat="false" ht="11.25" hidden="false" customHeight="false" outlineLevel="0" collapsed="false">
      <c r="A12" s="60" t="s">
        <v>76</v>
      </c>
      <c r="C12" s="34" t="n">
        <f aca="false">+[1]Dec98!C$34/1000</f>
        <v>-7.792</v>
      </c>
      <c r="E12" s="34" t="n">
        <f aca="false">+[1]Dec98!D$34/1000</f>
        <v>0</v>
      </c>
      <c r="G12" s="34" t="n">
        <f aca="false">+[1]Dec98!E$34/1000</f>
        <v>5620.869</v>
      </c>
      <c r="I12" s="34" t="n">
        <f aca="false">+[1]Dec98!F$34/1000</f>
        <v>0</v>
      </c>
      <c r="K12" s="34" t="n">
        <f aca="false">+[1]Dec98!H$34/1000</f>
        <v>-9731.463</v>
      </c>
      <c r="M12" s="34" t="n">
        <f aca="false">+[1]Dec98!I$34/1000</f>
        <v>0</v>
      </c>
      <c r="O12" s="34" t="n">
        <f aca="false">+[1]Dec98!J$34/1000</f>
        <v>0</v>
      </c>
      <c r="Q12" s="34" t="n">
        <f aca="false">+[1]Dec98!K$34/1000</f>
        <v>-309.276</v>
      </c>
      <c r="S12" s="34" t="n">
        <f aca="false">+[1]Dec98!L$34/1000</f>
        <v>11.473</v>
      </c>
      <c r="U12" s="34" t="n">
        <f aca="false">+[1]Dec98!M$34/1000</f>
        <v>133444.008</v>
      </c>
      <c r="W12" s="34" t="n">
        <f aca="false">+[1]Dec98!N$34/1000</f>
        <v>3429.389</v>
      </c>
      <c r="Y12" s="34" t="n">
        <f aca="false">+[1]Dec98!O$34/1000</f>
        <v>0.01</v>
      </c>
      <c r="AA12" s="34" t="n">
        <f aca="false">+[1]Dec98!Q$34/1000</f>
        <v>0</v>
      </c>
      <c r="AC12" s="34" t="n">
        <f aca="false">+[1]Dec98!R$34/1000</f>
        <v>0</v>
      </c>
      <c r="AE12" s="34" t="n">
        <f aca="false">+[1]Dec98!S$34/1000</f>
        <v>0</v>
      </c>
      <c r="AG12" s="34" t="n">
        <f aca="false">+[1]Dec98!T$34/1000</f>
        <v>0</v>
      </c>
      <c r="AI12" s="34" t="n">
        <f aca="false">+[1]Dec98!U$34/1000</f>
        <v>190</v>
      </c>
      <c r="AK12" s="34" t="n">
        <f aca="false">+[1]Dec98!P$34/1000</f>
        <v>0</v>
      </c>
      <c r="AM12" s="34" t="n">
        <f aca="false">+[1]Dec98!V$34/1000</f>
        <v>0</v>
      </c>
      <c r="AO12" s="55" t="n">
        <f aca="false">+AQ12-SUM(C12:AM12)</f>
        <v>29663.088</v>
      </c>
      <c r="AQ12" s="34" t="n">
        <f aca="false">+[1]Dec98!AH$34/1000</f>
        <v>162310.306</v>
      </c>
    </row>
    <row r="13" customFormat="false" ht="5.1" hidden="false" customHeight="true" outlineLevel="0" collapsed="false">
      <c r="A13" s="56"/>
      <c r="M13" s="34"/>
      <c r="O13" s="34"/>
      <c r="Q13" s="34"/>
      <c r="S13" s="34"/>
      <c r="U13" s="34"/>
      <c r="W13" s="34"/>
      <c r="Y13" s="34"/>
      <c r="AA13" s="34"/>
      <c r="AC13" s="34"/>
      <c r="AE13" s="34"/>
      <c r="AG13" s="34"/>
      <c r="AI13" s="34"/>
      <c r="AK13" s="34"/>
      <c r="AM13" s="34"/>
      <c r="AO13" s="55"/>
      <c r="AQ13" s="34"/>
    </row>
    <row r="14" customFormat="false" ht="11.25" hidden="false" customHeight="false" outlineLevel="0" collapsed="false">
      <c r="A14" s="57" t="s">
        <v>77</v>
      </c>
      <c r="B14" s="61"/>
      <c r="C14" s="62" t="n">
        <f aca="false">SUM(C10:C13)</f>
        <v>2100153.068</v>
      </c>
      <c r="D14" s="61"/>
      <c r="E14" s="62" t="n">
        <f aca="false">SUM(E10:E13)</f>
        <v>2174345.502</v>
      </c>
      <c r="F14" s="61"/>
      <c r="G14" s="62" t="n">
        <f aca="false">SUM(G10:G13)</f>
        <v>1001121.636</v>
      </c>
      <c r="H14" s="61"/>
      <c r="I14" s="62" t="n">
        <f aca="false">SUM(I10:I13)</f>
        <v>1351666.26</v>
      </c>
      <c r="J14" s="61"/>
      <c r="K14" s="62" t="n">
        <f aca="false">SUM(K10:K13)</f>
        <v>85890.775</v>
      </c>
      <c r="L14" s="61"/>
      <c r="M14" s="62" t="n">
        <f aca="false">SUM(M10:M13)</f>
        <v>243470.192</v>
      </c>
      <c r="N14" s="61"/>
      <c r="O14" s="62" t="n">
        <f aca="false">SUM(O10:O13)</f>
        <v>709852.462</v>
      </c>
      <c r="P14" s="61"/>
      <c r="Q14" s="62" t="n">
        <f aca="false">SUM(Q10:Q13)</f>
        <v>93197.522</v>
      </c>
      <c r="R14" s="61"/>
      <c r="S14" s="62" t="n">
        <f aca="false">SUM(S10:S13)</f>
        <v>252994.493</v>
      </c>
      <c r="T14" s="61"/>
      <c r="U14" s="62" t="n">
        <f aca="false">SUM(U10:U13)</f>
        <v>546968.351</v>
      </c>
      <c r="V14" s="61"/>
      <c r="W14" s="62" t="n">
        <f aca="false">SUM(W10:W13)</f>
        <v>1026221.011</v>
      </c>
      <c r="X14" s="61"/>
      <c r="Y14" s="62" t="n">
        <f aca="false">SUM(Y10:Y13)</f>
        <v>301653.198</v>
      </c>
      <c r="Z14" s="61"/>
      <c r="AA14" s="62" t="n">
        <f aca="false">SUM(AA10:AA13)</f>
        <v>32848.666</v>
      </c>
      <c r="AB14" s="61"/>
      <c r="AC14" s="62" t="n">
        <f aca="false">SUM(AC10:AC13)</f>
        <v>0</v>
      </c>
      <c r="AD14" s="61"/>
      <c r="AE14" s="62" t="n">
        <f aca="false">SUM(AE10:AE13)</f>
        <v>384805.154</v>
      </c>
      <c r="AF14" s="61"/>
      <c r="AG14" s="62" t="n">
        <f aca="false">SUM(AG10:AG13)</f>
        <v>111018.255</v>
      </c>
      <c r="AH14" s="61"/>
      <c r="AI14" s="62" t="n">
        <f aca="false">SUM(AI10:AI13)</f>
        <v>306238.871</v>
      </c>
      <c r="AJ14" s="61"/>
      <c r="AK14" s="62" t="n">
        <f aca="false">SUM(AK10:AK13)</f>
        <v>1017523.534</v>
      </c>
      <c r="AL14" s="61"/>
      <c r="AM14" s="62" t="n">
        <f aca="false">SUM(AM10:AM13)</f>
        <v>-727.309999999998</v>
      </c>
      <c r="AN14" s="61"/>
      <c r="AO14" s="63" t="n">
        <f aca="false">+AQ14-SUM(C14:AM14)</f>
        <v>-4529137.522</v>
      </c>
      <c r="AP14" s="61"/>
      <c r="AQ14" s="62" t="n">
        <f aca="false">SUM(AQ10:AQ13)</f>
        <v>7210104.118</v>
      </c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  <c r="IU14" s="61"/>
      <c r="IV14" s="61"/>
      <c r="IW14" s="61"/>
    </row>
    <row r="15" customFormat="false" ht="5.1" hidden="false" customHeight="true" outlineLevel="0" collapsed="false">
      <c r="A15" s="56"/>
      <c r="M15" s="34"/>
      <c r="O15" s="34"/>
      <c r="Q15" s="34"/>
      <c r="S15" s="34"/>
      <c r="U15" s="34"/>
      <c r="W15" s="34"/>
      <c r="Y15" s="34"/>
      <c r="AA15" s="34"/>
      <c r="AC15" s="34"/>
      <c r="AE15" s="34"/>
      <c r="AG15" s="34"/>
      <c r="AI15" s="34"/>
      <c r="AK15" s="34"/>
      <c r="AM15" s="34"/>
      <c r="AO15" s="55"/>
      <c r="AQ15" s="34"/>
    </row>
    <row r="16" customFormat="false" ht="11.25" hidden="false" customHeight="false" outlineLevel="0" collapsed="false">
      <c r="C16" s="39"/>
      <c r="E16" s="39"/>
      <c r="G16" s="39"/>
      <c r="I16" s="39"/>
      <c r="K16" s="39"/>
      <c r="M16" s="39"/>
      <c r="O16" s="39"/>
      <c r="Q16" s="39"/>
      <c r="S16" s="39"/>
      <c r="U16" s="39"/>
      <c r="W16" s="39"/>
      <c r="Y16" s="39"/>
      <c r="AA16" s="39"/>
      <c r="AC16" s="39"/>
      <c r="AE16" s="39"/>
      <c r="AG16" s="39"/>
      <c r="AI16" s="39"/>
      <c r="AK16" s="39"/>
      <c r="AM16" s="39"/>
      <c r="AO16" s="53"/>
      <c r="AQ16" s="39"/>
    </row>
    <row r="17" customFormat="false" ht="11.25" hidden="false" customHeight="false" outlineLevel="0" collapsed="false">
      <c r="A17" s="56" t="s">
        <v>78</v>
      </c>
      <c r="C17" s="34" t="n">
        <f aca="false">+[1]Dec98!C$53/1000</f>
        <v>645661.278</v>
      </c>
      <c r="E17" s="34" t="n">
        <f aca="false">+[1]Dec98!D$53/1000</f>
        <v>966044.993</v>
      </c>
      <c r="G17" s="34" t="n">
        <f aca="false">+[1]Dec98!E$53/1000</f>
        <v>207790.214</v>
      </c>
      <c r="I17" s="34" t="n">
        <f aca="false">+[1]Dec98!F$53/1000</f>
        <v>0</v>
      </c>
      <c r="K17" s="34" t="n">
        <f aca="false">+[1]Dec98!H$53/1000</f>
        <v>236364.333</v>
      </c>
      <c r="M17" s="34" t="n">
        <f aca="false">+[1]Dec98!I$53/1000</f>
        <v>0</v>
      </c>
      <c r="O17" s="34" t="n">
        <f aca="false">+[1]Dec98!J$53/1000</f>
        <v>0</v>
      </c>
      <c r="Q17" s="34" t="n">
        <f aca="false">+[1]Dec98!K$53/1000</f>
        <v>0</v>
      </c>
      <c r="S17" s="34" t="n">
        <f aca="false">+[1]Dec98!L$53/1000</f>
        <v>44473.077</v>
      </c>
      <c r="U17" s="34" t="n">
        <f aca="false">+[1]Dec98!M$53/1000</f>
        <v>-0.002</v>
      </c>
      <c r="W17" s="34" t="n">
        <f aca="false">+[1]Dec98!N$53/1000</f>
        <v>13537.459</v>
      </c>
      <c r="Y17" s="34" t="n">
        <f aca="false">+[1]Dec98!O$53/1000</f>
        <v>0</v>
      </c>
      <c r="AA17" s="34" t="n">
        <f aca="false">+[1]Dec98!Q$53/1000</f>
        <v>2308.357</v>
      </c>
      <c r="AC17" s="34" t="n">
        <f aca="false">+[1]Dec98!R$53/1000</f>
        <v>0</v>
      </c>
      <c r="AE17" s="34" t="n">
        <f aca="false">+[1]Dec98!S$53/1000</f>
        <v>139</v>
      </c>
      <c r="AG17" s="34" t="n">
        <f aca="false">+[1]Dec98!T$53/1000</f>
        <v>151.887</v>
      </c>
      <c r="AI17" s="34" t="n">
        <f aca="false">+[1]Dec98!U$53/1000</f>
        <v>22914</v>
      </c>
      <c r="AK17" s="34" t="n">
        <f aca="false">+[1]Dec98!P$53/1000</f>
        <v>22998.029</v>
      </c>
      <c r="AM17" s="34" t="n">
        <f aca="false">+[1]Dec98!V$53/1000</f>
        <v>0</v>
      </c>
      <c r="AO17" s="55" t="n">
        <f aca="false">+AQ17-SUM(C17:AM17)</f>
        <v>5195046.449</v>
      </c>
      <c r="AQ17" s="34" t="n">
        <f aca="false">+[1]Dec98!AH$53/1000</f>
        <v>7357429.074</v>
      </c>
    </row>
    <row r="18" customFormat="false" ht="11.25" hidden="false" customHeight="false" outlineLevel="0" collapsed="false">
      <c r="A18" s="56" t="s">
        <v>79</v>
      </c>
      <c r="C18" s="34" t="n">
        <f aca="false">+[1]Dec98!C$59/1000</f>
        <v>0</v>
      </c>
      <c r="E18" s="34" t="n">
        <f aca="false">+[1]Dec98!D$59/1000</f>
        <v>29421.397</v>
      </c>
      <c r="G18" s="34" t="n">
        <f aca="false">+[1]Dec98!E$59/1000</f>
        <v>0</v>
      </c>
      <c r="I18" s="34" t="n">
        <f aca="false">+[1]Dec98!F$59/1000</f>
        <v>0</v>
      </c>
      <c r="K18" s="34" t="n">
        <f aca="false">+[1]Dec98!H$59/1000</f>
        <v>0</v>
      </c>
      <c r="M18" s="34" t="n">
        <f aca="false">+[1]Dec98!I$59/1000</f>
        <v>0</v>
      </c>
      <c r="O18" s="34" t="n">
        <f aca="false">+[1]Dec98!J$59/1000</f>
        <v>0</v>
      </c>
      <c r="Q18" s="34" t="n">
        <f aca="false">+[1]Dec98!K$59/1000</f>
        <v>0</v>
      </c>
      <c r="S18" s="34" t="n">
        <f aca="false">+[1]Dec98!L$59/1000</f>
        <v>0</v>
      </c>
      <c r="U18" s="34" t="n">
        <f aca="false">+[1]Dec98!M$59/1000</f>
        <v>0</v>
      </c>
      <c r="W18" s="34" t="n">
        <f aca="false">+[1]Dec98!N$59/1000</f>
        <v>0</v>
      </c>
      <c r="Y18" s="34" t="n">
        <f aca="false">+[1]Dec98!O$59/1000</f>
        <v>0</v>
      </c>
      <c r="AA18" s="34" t="n">
        <f aca="false">+[1]Dec98!Q$59/1000</f>
        <v>0</v>
      </c>
      <c r="AC18" s="34" t="n">
        <f aca="false">+[1]Dec98!R$59/1000</f>
        <v>0</v>
      </c>
      <c r="AE18" s="34" t="n">
        <f aca="false">+[1]Dec98!S$59/1000</f>
        <v>0</v>
      </c>
      <c r="AG18" s="34" t="n">
        <f aca="false">+[1]Dec98!T$59/1000</f>
        <v>0</v>
      </c>
      <c r="AI18" s="34" t="n">
        <f aca="false">+[1]Dec98!U$59/1000</f>
        <v>0</v>
      </c>
      <c r="AK18" s="34" t="n">
        <f aca="false">+[1]Dec98!P$59/1000</f>
        <v>103000</v>
      </c>
      <c r="AM18" s="34" t="n">
        <f aca="false">+[1]Dec98!V$59/1000</f>
        <v>0</v>
      </c>
      <c r="AO18" s="55" t="n">
        <f aca="false">+AQ18-SUM(C18:AM18)</f>
        <v>869147.959</v>
      </c>
      <c r="AQ18" s="34" t="n">
        <f aca="false">+[1]Dec98!AH$59/1000</f>
        <v>1001569.356</v>
      </c>
    </row>
    <row r="19" customFormat="false" ht="11.25" hidden="false" customHeight="false" outlineLevel="0" collapsed="false">
      <c r="A19" s="56" t="s">
        <v>80</v>
      </c>
      <c r="C19" s="34" t="n">
        <f aca="false">+[1]Dec98!C$62/1000</f>
        <v>0</v>
      </c>
      <c r="E19" s="34" t="n">
        <f aca="false">+[1]Dec98!D$62/1000</f>
        <v>0</v>
      </c>
      <c r="G19" s="34" t="n">
        <f aca="false">+[1]Dec98!E$62/1000</f>
        <v>0</v>
      </c>
      <c r="I19" s="34" t="n">
        <f aca="false">+[1]Dec98!F$62/1000</f>
        <v>0</v>
      </c>
      <c r="K19" s="34" t="n">
        <f aca="false">+[1]Dec98!H$62/1000</f>
        <v>3741.971</v>
      </c>
      <c r="M19" s="34" t="n">
        <f aca="false">+[1]Dec98!I$62/1000</f>
        <v>0</v>
      </c>
      <c r="O19" s="34" t="n">
        <f aca="false">+[1]Dec98!J$62/1000</f>
        <v>7530</v>
      </c>
      <c r="Q19" s="34" t="n">
        <f aca="false">+[1]Dec98!K$62/1000</f>
        <v>0</v>
      </c>
      <c r="S19" s="34" t="n">
        <f aca="false">+[1]Dec98!L$62/1000</f>
        <v>-1248.189</v>
      </c>
      <c r="U19" s="34" t="n">
        <f aca="false">+[1]Dec98!M$62/1000</f>
        <v>5954.925</v>
      </c>
      <c r="W19" s="34" t="n">
        <f aca="false">+[1]Dec98!N$62/1000</f>
        <v>32832.404</v>
      </c>
      <c r="Y19" s="34" t="n">
        <f aca="false">+[1]Dec98!O$62/1000</f>
        <v>94332.766</v>
      </c>
      <c r="AA19" s="34" t="n">
        <f aca="false">+[1]Dec98!Q$62/1000</f>
        <v>0</v>
      </c>
      <c r="AC19" s="34" t="n">
        <f aca="false">+[1]Dec98!R$62/1000</f>
        <v>0</v>
      </c>
      <c r="AE19" s="34" t="n">
        <f aca="false">+[1]Dec98!S$62/1000</f>
        <v>67994.062</v>
      </c>
      <c r="AG19" s="34" t="n">
        <f aca="false">+[1]Dec98!T$62/1000</f>
        <v>0</v>
      </c>
      <c r="AI19" s="34" t="n">
        <f aca="false">+[1]Dec98!U$62/1000</f>
        <v>0</v>
      </c>
      <c r="AK19" s="34" t="n">
        <f aca="false">+[1]Dec98!P$62/1000</f>
        <v>30617.981</v>
      </c>
      <c r="AM19" s="34" t="n">
        <f aca="false">+[1]Dec98!V$62/1000</f>
        <v>0</v>
      </c>
      <c r="AO19" s="55" t="n">
        <f aca="false">+AQ19-SUM(C19:AM19)</f>
        <v>1901566.751</v>
      </c>
      <c r="AQ19" s="34" t="n">
        <f aca="false">+[1]Dec98!AH$62/1000</f>
        <v>2143322.671</v>
      </c>
    </row>
    <row r="20" customFormat="false" ht="5.1" hidden="false" customHeight="true" outlineLevel="0" collapsed="false">
      <c r="A20" s="56"/>
      <c r="M20" s="34"/>
      <c r="O20" s="34"/>
      <c r="Q20" s="34"/>
      <c r="S20" s="34"/>
      <c r="U20" s="34"/>
      <c r="W20" s="34"/>
      <c r="Y20" s="34"/>
      <c r="AA20" s="34"/>
      <c r="AC20" s="34"/>
      <c r="AE20" s="34"/>
      <c r="AG20" s="34"/>
      <c r="AI20" s="34"/>
      <c r="AK20" s="34"/>
      <c r="AM20" s="34"/>
      <c r="AO20" s="55"/>
      <c r="AQ20" s="34"/>
    </row>
    <row r="21" customFormat="false" ht="12" hidden="false" customHeight="false" outlineLevel="0" collapsed="false">
      <c r="C21" s="64" t="n">
        <f aca="false">SUM(C14:C20)</f>
        <v>2745814.346</v>
      </c>
      <c r="E21" s="64" t="n">
        <f aca="false">SUM(E14:E20)</f>
        <v>3169811.892</v>
      </c>
      <c r="G21" s="64" t="n">
        <f aca="false">SUM(G14:G20)</f>
        <v>1208911.85</v>
      </c>
      <c r="I21" s="64" t="n">
        <f aca="false">SUM(I14:I20)</f>
        <v>1351666.26</v>
      </c>
      <c r="K21" s="64" t="n">
        <f aca="false">SUM(K14:K20)</f>
        <v>325997.079</v>
      </c>
      <c r="M21" s="64" t="n">
        <f aca="false">SUM(M14:M20)</f>
        <v>243470.192</v>
      </c>
      <c r="O21" s="64" t="n">
        <f aca="false">SUM(O14:O20)</f>
        <v>717382.462</v>
      </c>
      <c r="Q21" s="64" t="n">
        <f aca="false">SUM(Q14:Q20)</f>
        <v>93197.522</v>
      </c>
      <c r="S21" s="64" t="n">
        <f aca="false">SUM(S14:S20)</f>
        <v>296219.381</v>
      </c>
      <c r="U21" s="64" t="n">
        <f aca="false">SUM(U14:U20)</f>
        <v>552923.274</v>
      </c>
      <c r="W21" s="64" t="n">
        <f aca="false">SUM(W14:W20)</f>
        <v>1072590.874</v>
      </c>
      <c r="Y21" s="64" t="n">
        <f aca="false">SUM(Y14:Y20)</f>
        <v>395985.964</v>
      </c>
      <c r="AA21" s="64" t="n">
        <f aca="false">SUM(AA14:AA20)</f>
        <v>35157.023</v>
      </c>
      <c r="AC21" s="64" t="n">
        <f aca="false">SUM(AC14:AC20)</f>
        <v>0</v>
      </c>
      <c r="AE21" s="64" t="n">
        <f aca="false">SUM(AE14:AE20)</f>
        <v>452938.216</v>
      </c>
      <c r="AG21" s="64" t="n">
        <f aca="false">SUM(AG14:AG20)</f>
        <v>111170.142</v>
      </c>
      <c r="AI21" s="64" t="n">
        <f aca="false">SUM(AI14:AI20)</f>
        <v>329152.871</v>
      </c>
      <c r="AK21" s="64" t="n">
        <f aca="false">SUM(AK14:AK20)</f>
        <v>1174139.544</v>
      </c>
      <c r="AM21" s="64" t="n">
        <f aca="false">SUM(AM14:AM20)</f>
        <v>-727.309999999998</v>
      </c>
      <c r="AO21" s="64" t="n">
        <f aca="false">SUM(AO14:AO20)</f>
        <v>3436623.637</v>
      </c>
      <c r="AQ21" s="64" t="n">
        <f aca="false">SUM(AQ14:AQ20)</f>
        <v>17712425.219</v>
      </c>
    </row>
    <row r="22" customFormat="false" ht="12" hidden="false" customHeight="false" outlineLevel="0" collapsed="false">
      <c r="C22" s="39"/>
      <c r="E22" s="39"/>
      <c r="G22" s="39"/>
      <c r="I22" s="39"/>
      <c r="K22" s="39"/>
      <c r="M22" s="39"/>
      <c r="O22" s="39"/>
      <c r="Q22" s="39"/>
      <c r="S22" s="39"/>
      <c r="U22" s="39"/>
      <c r="W22" s="39"/>
      <c r="Y22" s="39"/>
      <c r="AA22" s="39"/>
      <c r="AC22" s="39"/>
      <c r="AE22" s="39"/>
      <c r="AG22" s="39"/>
      <c r="AI22" s="39"/>
      <c r="AK22" s="39"/>
      <c r="AM22" s="39"/>
      <c r="AO22" s="53"/>
      <c r="AQ22" s="39"/>
    </row>
    <row r="23" customFormat="false" ht="11.25" hidden="false" customHeight="false" outlineLevel="0" collapsed="false">
      <c r="A23" s="54" t="s">
        <v>81</v>
      </c>
      <c r="M23" s="34"/>
      <c r="O23" s="34"/>
      <c r="Q23" s="34"/>
      <c r="S23" s="34"/>
      <c r="U23" s="34"/>
      <c r="W23" s="34"/>
      <c r="Y23" s="34"/>
      <c r="AA23" s="34"/>
      <c r="AC23" s="34"/>
      <c r="AE23" s="34"/>
      <c r="AG23" s="34"/>
      <c r="AI23" s="34"/>
      <c r="AK23" s="34"/>
      <c r="AM23" s="34"/>
      <c r="AO23" s="55"/>
      <c r="AQ23" s="34"/>
    </row>
    <row r="24" customFormat="false" ht="11.25" hidden="false" customHeight="false" outlineLevel="0" collapsed="false">
      <c r="A24" s="56" t="s">
        <v>72</v>
      </c>
      <c r="C24" s="34" t="n">
        <f aca="false">+[1]Dec99!C$6/1000</f>
        <v>1199893.147</v>
      </c>
      <c r="E24" s="34" t="n">
        <f aca="false">+[1]Dec99!D$6/1000</f>
        <v>2373033.347</v>
      </c>
      <c r="G24" s="34" t="n">
        <f aca="false">+[1]Dec99!E$6/1000</f>
        <v>2581303.617</v>
      </c>
      <c r="I24" s="34" t="n">
        <f aca="false">+[1]Dec99!F$6/1000</f>
        <v>1330062.953</v>
      </c>
      <c r="K24" s="34" t="n">
        <f aca="false">+[1]Dec99!H$6/1000</f>
        <v>1083877.055</v>
      </c>
      <c r="M24" s="34" t="n">
        <f aca="false">+[1]Dec99!I$6/1000</f>
        <v>1092578.087</v>
      </c>
      <c r="O24" s="34" t="n">
        <f aca="false">+[1]Dec99!J$6/1000</f>
        <v>3850691.644</v>
      </c>
      <c r="Q24" s="34" t="n">
        <f aca="false">+[1]Dec99!K$6/1000</f>
        <v>302341.18</v>
      </c>
      <c r="S24" s="34" t="n">
        <f aca="false">+[1]Dec99!L$6/1000</f>
        <v>489882.642</v>
      </c>
      <c r="U24" s="34" t="n">
        <f aca="false">+[1]Dec99!M$6/1000</f>
        <v>459235.474</v>
      </c>
      <c r="W24" s="34" t="n">
        <f aca="false">+[1]Dec99!N$6/1000</f>
        <v>1391157.761</v>
      </c>
      <c r="Y24" s="34" t="n">
        <f aca="false">+[1]Dec99!O$6/1000</f>
        <v>567201.399</v>
      </c>
      <c r="AA24" s="34" t="n">
        <f aca="false">+[1]Dec99!Q$6/1000</f>
        <v>13838.804</v>
      </c>
      <c r="AC24" s="34" t="n">
        <f aca="false">+[1]Dec99!R$6/1000</f>
        <v>0</v>
      </c>
      <c r="AE24" s="34" t="n">
        <f aca="false">+[1]Dec99!S$6/1000</f>
        <v>546612.258</v>
      </c>
      <c r="AG24" s="34" t="n">
        <f aca="false">+[1]Dec99!T$6/1000</f>
        <v>242870.369</v>
      </c>
      <c r="AI24" s="34" t="n">
        <f aca="false">+[1]Dec99!U$6/1000</f>
        <v>145288.924</v>
      </c>
      <c r="AK24" s="34" t="n">
        <f aca="false">+[1]Dec99!P$6/1000</f>
        <v>1309421.817</v>
      </c>
      <c r="AM24" s="34" t="n">
        <f aca="false">+[1]Dec99!V$6/1000</f>
        <v>-386462.428</v>
      </c>
      <c r="AO24" s="55" t="n">
        <f aca="false">+AQ24-SUM(C24:AM24)</f>
        <v>-9022635.272</v>
      </c>
      <c r="AQ24" s="34" t="n">
        <f aca="false">+[1]Dec99!AH$6/1000</f>
        <v>9570192.778</v>
      </c>
    </row>
    <row r="25" customFormat="false" ht="11.25" hidden="false" customHeight="false" outlineLevel="0" collapsed="false">
      <c r="A25" s="56" t="s">
        <v>73</v>
      </c>
      <c r="C25" s="34" t="n">
        <f aca="false">+[1]Dec99!C$27/1000</f>
        <v>-2048257.898</v>
      </c>
      <c r="E25" s="34" t="n">
        <f aca="false">+[1]Dec99!D$27/1000</f>
        <v>-86920.466</v>
      </c>
      <c r="G25" s="34" t="n">
        <f aca="false">+[1]Dec99!E$27/1000</f>
        <v>-36971.04</v>
      </c>
      <c r="I25" s="34" t="n">
        <f aca="false">+[1]Dec99!F$27/1000</f>
        <v>4628.473</v>
      </c>
      <c r="K25" s="34" t="n">
        <f aca="false">+[1]Dec99!H$27/1000</f>
        <v>-632580.1</v>
      </c>
      <c r="M25" s="34" t="n">
        <f aca="false">+[1]Dec99!I$27/1000</f>
        <v>-559294.344</v>
      </c>
      <c r="O25" s="34" t="n">
        <f aca="false">+[1]Dec99!J$27/1000</f>
        <v>-3546097.765</v>
      </c>
      <c r="Q25" s="34" t="n">
        <f aca="false">+[1]Dec99!K$27/1000</f>
        <v>-72870.969</v>
      </c>
      <c r="S25" s="34" t="n">
        <f aca="false">+[1]Dec99!L$27/1000</f>
        <v>25069.279</v>
      </c>
      <c r="U25" s="34" t="n">
        <f aca="false">+[1]Dec99!M$27/1000</f>
        <v>87516.601</v>
      </c>
      <c r="W25" s="34" t="n">
        <f aca="false">+[1]Dec99!N$27/1000</f>
        <v>914211.185</v>
      </c>
      <c r="Y25" s="34" t="n">
        <f aca="false">+[1]Dec99!O$27/1000</f>
        <v>45767.847</v>
      </c>
      <c r="AA25" s="34" t="n">
        <f aca="false">+[1]Dec99!Q$27/1000</f>
        <v>15117.81</v>
      </c>
      <c r="AC25" s="34" t="n">
        <f aca="false">+[1]Dec99!R$27/1000</f>
        <v>0</v>
      </c>
      <c r="AE25" s="34" t="n">
        <f aca="false">+[1]Dec99!S$27/1000</f>
        <v>132932.983</v>
      </c>
      <c r="AG25" s="34" t="n">
        <f aca="false">+[1]Dec99!T$27/1000</f>
        <v>50355.091</v>
      </c>
      <c r="AI25" s="34" t="n">
        <f aca="false">+[1]Dec99!U$27/1000</f>
        <v>199823.936</v>
      </c>
      <c r="AK25" s="34" t="n">
        <f aca="false">+[1]Dec99!P$27/1000</f>
        <v>-1069595.598</v>
      </c>
      <c r="AM25" s="34" t="n">
        <f aca="false">+[1]Dec99!V$27/1000</f>
        <v>571219.56</v>
      </c>
      <c r="AO25" s="55" t="n">
        <f aca="false">+AQ25-SUM(C25:AM25)</f>
        <v>6005945.415</v>
      </c>
      <c r="AQ25" s="34" t="n">
        <f aca="false">+[1]Dec99!AH$27/1000</f>
        <v>0</v>
      </c>
    </row>
    <row r="26" customFormat="false" ht="11.25" hidden="false" customHeight="false" outlineLevel="0" collapsed="false">
      <c r="A26" s="56" t="s">
        <v>74</v>
      </c>
      <c r="C26" s="34" t="n">
        <f aca="false">+[1]Dec99!C$30/1000</f>
        <v>2870620.066</v>
      </c>
      <c r="E26" s="34" t="n">
        <f aca="false">+[1]Dec99!D$30/1000</f>
        <v>0</v>
      </c>
      <c r="G26" s="34" t="n">
        <f aca="false">+[1]Dec99!E$30/1000</f>
        <v>0</v>
      </c>
      <c r="I26" s="34" t="n">
        <f aca="false">+[1]Dec99!F$30/1000</f>
        <v>0</v>
      </c>
      <c r="K26" s="34" t="n">
        <f aca="false">+[1]Dec99!H$30/1000</f>
        <v>0</v>
      </c>
      <c r="M26" s="34" t="n">
        <f aca="false">+[1]Dec99!I$30/1000</f>
        <v>0</v>
      </c>
      <c r="O26" s="34" t="n">
        <f aca="false">+[1]Dec99!J$30/1000</f>
        <v>0</v>
      </c>
      <c r="Q26" s="34" t="n">
        <f aca="false">+[1]Dec99!K$30/1000</f>
        <v>0</v>
      </c>
      <c r="S26" s="34" t="n">
        <f aca="false">+[1]Dec99!L$30/1000</f>
        <v>0</v>
      </c>
      <c r="U26" s="34" t="n">
        <f aca="false">+[1]Dec99!M$30/1000</f>
        <v>0</v>
      </c>
      <c r="W26" s="34" t="n">
        <f aca="false">+[1]Dec99!N$30/1000</f>
        <v>0</v>
      </c>
      <c r="Y26" s="34" t="n">
        <f aca="false">+[1]Dec99!O$30/1000</f>
        <v>0</v>
      </c>
      <c r="AA26" s="34" t="n">
        <f aca="false">+[1]Dec99!Q$30/1000</f>
        <v>0</v>
      </c>
      <c r="AC26" s="34" t="n">
        <f aca="false">+[1]Dec99!R$30/1000</f>
        <v>0</v>
      </c>
      <c r="AE26" s="34" t="n">
        <f aca="false">+[1]Dec99!S$30/1000</f>
        <v>0</v>
      </c>
      <c r="AG26" s="34" t="n">
        <f aca="false">+[1]Dec99!T$30/1000</f>
        <v>0</v>
      </c>
      <c r="AI26" s="34" t="n">
        <f aca="false">+[1]Dec99!U$30/1000</f>
        <v>0</v>
      </c>
      <c r="AK26" s="34" t="n">
        <f aca="false">+[1]Dec99!P$30/1000</f>
        <v>0</v>
      </c>
      <c r="AM26" s="34" t="n">
        <f aca="false">+[1]Dec99!V$30/1000</f>
        <v>0</v>
      </c>
      <c r="AO26" s="55" t="n">
        <f aca="false">+AQ26-SUM(C26:AM26)</f>
        <v>-2870620.066</v>
      </c>
      <c r="AQ26" s="34" t="n">
        <f aca="false">+[1]Dec99!AH$30/1000</f>
        <v>0</v>
      </c>
    </row>
    <row r="27" customFormat="false" ht="11.25" hidden="false" customHeight="false" outlineLevel="0" collapsed="false">
      <c r="A27" s="57" t="s">
        <v>75</v>
      </c>
      <c r="C27" s="58" t="n">
        <f aca="false">SUM(C24:C26)</f>
        <v>2022255.315</v>
      </c>
      <c r="E27" s="58" t="n">
        <f aca="false">SUM(E24:E26)</f>
        <v>2286112.881</v>
      </c>
      <c r="G27" s="58" t="n">
        <f aca="false">SUM(G24:G26)</f>
        <v>2544332.577</v>
      </c>
      <c r="I27" s="58" t="n">
        <f aca="false">SUM(I24:I26)</f>
        <v>1334691.426</v>
      </c>
      <c r="K27" s="58" t="n">
        <f aca="false">SUM(K24:K26)</f>
        <v>451296.955</v>
      </c>
      <c r="M27" s="58" t="n">
        <f aca="false">SUM(M24:M26)</f>
        <v>533283.743</v>
      </c>
      <c r="O27" s="58" t="n">
        <f aca="false">SUM(O24:O26)</f>
        <v>304593.879</v>
      </c>
      <c r="Q27" s="58" t="n">
        <f aca="false">SUM(Q24:Q26)</f>
        <v>229470.211</v>
      </c>
      <c r="S27" s="58" t="n">
        <f aca="false">SUM(S24:S26)</f>
        <v>514951.921</v>
      </c>
      <c r="U27" s="58" t="n">
        <f aca="false">SUM(U24:U26)</f>
        <v>546752.075</v>
      </c>
      <c r="W27" s="58" t="n">
        <f aca="false">SUM(W24:W26)</f>
        <v>2305368.946</v>
      </c>
      <c r="Y27" s="58" t="n">
        <f aca="false">SUM(Y24:Y26)</f>
        <v>612969.246</v>
      </c>
      <c r="AA27" s="58" t="n">
        <f aca="false">SUM(AA24:AA26)</f>
        <v>28956.614</v>
      </c>
      <c r="AC27" s="58" t="n">
        <f aca="false">SUM(AC24:AC26)</f>
        <v>0</v>
      </c>
      <c r="AE27" s="58" t="n">
        <f aca="false">SUM(AE24:AE26)</f>
        <v>679545.241</v>
      </c>
      <c r="AG27" s="58" t="n">
        <f aca="false">SUM(AG24:AG26)</f>
        <v>293225.46</v>
      </c>
      <c r="AI27" s="58" t="n">
        <f aca="false">SUM(AI24:AI26)</f>
        <v>345112.86</v>
      </c>
      <c r="AK27" s="58" t="n">
        <f aca="false">SUM(AK24:AK26)</f>
        <v>239826.219</v>
      </c>
      <c r="AM27" s="58" t="n">
        <f aca="false">SUM(AM24:AM26)</f>
        <v>184757.132</v>
      </c>
      <c r="AO27" s="59" t="n">
        <f aca="false">+AQ27-SUM(C27:AM27)</f>
        <v>-5887309.923</v>
      </c>
      <c r="AQ27" s="58" t="n">
        <f aca="false">SUM(AQ24:AQ26)</f>
        <v>9570192.778</v>
      </c>
    </row>
    <row r="28" customFormat="false" ht="5.1" hidden="false" customHeight="true" outlineLevel="0" collapsed="false">
      <c r="A28" s="56"/>
      <c r="M28" s="34"/>
      <c r="O28" s="34"/>
      <c r="Q28" s="34"/>
      <c r="S28" s="34"/>
      <c r="U28" s="34"/>
      <c r="W28" s="34"/>
      <c r="Y28" s="34"/>
      <c r="AA28" s="34"/>
      <c r="AC28" s="34"/>
      <c r="AE28" s="34"/>
      <c r="AG28" s="34"/>
      <c r="AI28" s="34"/>
      <c r="AK28" s="34"/>
      <c r="AM28" s="34"/>
      <c r="AO28" s="55"/>
      <c r="AQ28" s="34"/>
    </row>
    <row r="29" customFormat="false" ht="11.25" hidden="false" customHeight="false" outlineLevel="0" collapsed="false">
      <c r="A29" s="60" t="s">
        <v>76</v>
      </c>
      <c r="C29" s="34" t="n">
        <f aca="false">+[1]Dec99!C$34/1000</f>
        <v>0</v>
      </c>
      <c r="E29" s="34" t="n">
        <f aca="false">+[1]Dec99!D$34/1000</f>
        <v>0</v>
      </c>
      <c r="G29" s="34" t="n">
        <f aca="false">+[1]Dec99!E$34/1000</f>
        <v>684.806</v>
      </c>
      <c r="I29" s="34" t="n">
        <f aca="false">+[1]Dec99!F$34/1000</f>
        <v>0</v>
      </c>
      <c r="K29" s="34" t="n">
        <f aca="false">+[1]Dec99!H$34/1000</f>
        <v>-8620.468</v>
      </c>
      <c r="M29" s="34" t="n">
        <f aca="false">+[1]Dec99!I$34/1000</f>
        <v>0</v>
      </c>
      <c r="O29" s="34" t="n">
        <f aca="false">+[1]Dec99!J$34/1000</f>
        <v>0</v>
      </c>
      <c r="Q29" s="34" t="n">
        <f aca="false">+[1]Dec99!K$34/1000</f>
        <v>554.614</v>
      </c>
      <c r="S29" s="34" t="n">
        <f aca="false">+[1]Dec99!L$34/1000</f>
        <v>-14213.063</v>
      </c>
      <c r="U29" s="34" t="n">
        <f aca="false">+[1]Dec99!M$34/1000</f>
        <v>128048.766</v>
      </c>
      <c r="W29" s="34" t="n">
        <f aca="false">+[1]Dec99!N$34/1000</f>
        <v>612382.382</v>
      </c>
      <c r="Y29" s="34" t="n">
        <f aca="false">+[1]Dec99!O$34/1000</f>
        <v>0.01</v>
      </c>
      <c r="AA29" s="34" t="n">
        <f aca="false">+[1]Dec99!Q$34/1000</f>
        <v>0</v>
      </c>
      <c r="AC29" s="34" t="n">
        <f aca="false">+[1]Dec99!R$34/1000</f>
        <v>0</v>
      </c>
      <c r="AE29" s="34" t="n">
        <f aca="false">+[1]Dec99!S$34/1000</f>
        <v>53.603</v>
      </c>
      <c r="AG29" s="34" t="n">
        <f aca="false">+[1]Dec99!T$34/1000</f>
        <v>0</v>
      </c>
      <c r="AI29" s="34" t="n">
        <f aca="false">+[1]Dec99!U$34/1000</f>
        <v>3990.981</v>
      </c>
      <c r="AK29" s="34" t="n">
        <f aca="false">+[1]Dec99!P$34/1000</f>
        <v>-1298.36</v>
      </c>
      <c r="AM29" s="34" t="n">
        <f aca="false">+[1]Dec99!V$34/1000</f>
        <v>0</v>
      </c>
      <c r="AO29" s="55" t="n">
        <f aca="false">+AQ29-SUM(C29:AM29)</f>
        <v>16244.765</v>
      </c>
      <c r="AQ29" s="34" t="n">
        <f aca="false">+[1]Dec99!AH$34/1000</f>
        <v>737828.036</v>
      </c>
    </row>
    <row r="30" customFormat="false" ht="5.1" hidden="false" customHeight="true" outlineLevel="0" collapsed="false">
      <c r="A30" s="56"/>
      <c r="M30" s="34"/>
      <c r="O30" s="34"/>
      <c r="Q30" s="34"/>
      <c r="S30" s="34"/>
      <c r="U30" s="34"/>
      <c r="W30" s="34"/>
      <c r="Y30" s="34"/>
      <c r="AA30" s="34"/>
      <c r="AC30" s="34"/>
      <c r="AE30" s="34"/>
      <c r="AG30" s="34"/>
      <c r="AI30" s="34"/>
      <c r="AK30" s="34"/>
      <c r="AM30" s="34"/>
      <c r="AO30" s="55"/>
      <c r="AQ30" s="34"/>
    </row>
    <row r="31" customFormat="false" ht="11.25" hidden="false" customHeight="false" outlineLevel="0" collapsed="false">
      <c r="A31" s="57" t="s">
        <v>77</v>
      </c>
      <c r="B31" s="61"/>
      <c r="C31" s="62" t="n">
        <f aca="false">SUM(C27:C30)</f>
        <v>2022255.315</v>
      </c>
      <c r="D31" s="61"/>
      <c r="E31" s="62" t="n">
        <f aca="false">SUM(E27:E30)</f>
        <v>2286112.881</v>
      </c>
      <c r="F31" s="61"/>
      <c r="G31" s="62" t="n">
        <f aca="false">SUM(G27:G30)</f>
        <v>2545017.383</v>
      </c>
      <c r="H31" s="61"/>
      <c r="I31" s="62" t="n">
        <f aca="false">SUM(I27:I30)</f>
        <v>1334691.426</v>
      </c>
      <c r="J31" s="61"/>
      <c r="K31" s="62" t="n">
        <f aca="false">SUM(K27:K30)</f>
        <v>442676.487</v>
      </c>
      <c r="L31" s="61"/>
      <c r="M31" s="62" t="n">
        <f aca="false">SUM(M27:M30)</f>
        <v>533283.743</v>
      </c>
      <c r="N31" s="61"/>
      <c r="O31" s="62" t="n">
        <f aca="false">SUM(O27:O30)</f>
        <v>304593.879</v>
      </c>
      <c r="P31" s="61"/>
      <c r="Q31" s="62" t="n">
        <f aca="false">SUM(Q27:Q30)</f>
        <v>230024.825</v>
      </c>
      <c r="R31" s="61"/>
      <c r="S31" s="62" t="n">
        <f aca="false">SUM(S27:S30)</f>
        <v>500738.858</v>
      </c>
      <c r="T31" s="61"/>
      <c r="U31" s="62" t="n">
        <f aca="false">SUM(U27:U30)</f>
        <v>674800.841</v>
      </c>
      <c r="V31" s="61"/>
      <c r="W31" s="62" t="n">
        <f aca="false">SUM(W27:W30)</f>
        <v>2917751.328</v>
      </c>
      <c r="X31" s="61"/>
      <c r="Y31" s="62" t="n">
        <f aca="false">SUM(Y27:Y30)</f>
        <v>612969.256</v>
      </c>
      <c r="Z31" s="61"/>
      <c r="AA31" s="62" t="n">
        <f aca="false">SUM(AA27:AA30)</f>
        <v>28956.614</v>
      </c>
      <c r="AB31" s="61"/>
      <c r="AC31" s="62" t="n">
        <f aca="false">SUM(AC27:AC30)</f>
        <v>0</v>
      </c>
      <c r="AD31" s="61"/>
      <c r="AE31" s="62" t="n">
        <f aca="false">SUM(AE27:AE30)</f>
        <v>679598.844</v>
      </c>
      <c r="AF31" s="61"/>
      <c r="AG31" s="62" t="n">
        <f aca="false">SUM(AG27:AG30)</f>
        <v>293225.46</v>
      </c>
      <c r="AH31" s="61"/>
      <c r="AI31" s="62" t="n">
        <f aca="false">SUM(AI27:AI30)</f>
        <v>349103.841</v>
      </c>
      <c r="AJ31" s="61"/>
      <c r="AK31" s="62" t="n">
        <f aca="false">SUM(AK27:AK30)</f>
        <v>238527.859</v>
      </c>
      <c r="AL31" s="61"/>
      <c r="AM31" s="62" t="n">
        <f aca="false">SUM(AM27:AM30)</f>
        <v>184757.132</v>
      </c>
      <c r="AN31" s="61"/>
      <c r="AO31" s="63" t="n">
        <f aca="false">+AQ31-SUM(C31:AM31)</f>
        <v>-5871065.158</v>
      </c>
      <c r="AP31" s="61"/>
      <c r="AQ31" s="62" t="n">
        <f aca="false">SUM(AQ27:AQ30)</f>
        <v>10308020.814</v>
      </c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61"/>
      <c r="IU31" s="61"/>
      <c r="IV31" s="61"/>
      <c r="IW31" s="61"/>
    </row>
    <row r="32" customFormat="false" ht="11.25" hidden="false" customHeight="false" outlineLevel="0" collapsed="false">
      <c r="M32" s="34"/>
      <c r="O32" s="34"/>
      <c r="Q32" s="34"/>
      <c r="S32" s="34"/>
      <c r="U32" s="34"/>
      <c r="W32" s="34"/>
      <c r="Y32" s="34"/>
      <c r="AA32" s="34"/>
      <c r="AC32" s="34"/>
      <c r="AE32" s="34"/>
      <c r="AG32" s="34"/>
      <c r="AI32" s="34"/>
      <c r="AK32" s="34"/>
      <c r="AM32" s="34"/>
      <c r="AO32" s="55"/>
      <c r="AQ32" s="34"/>
    </row>
    <row r="33" customFormat="false" ht="11.25" hidden="false" customHeight="false" outlineLevel="0" collapsed="false">
      <c r="A33" s="56" t="s">
        <v>78</v>
      </c>
      <c r="C33" s="34" t="n">
        <f aca="false">+[1]Dec99!C$53/1000</f>
        <v>641888.445</v>
      </c>
      <c r="E33" s="34" t="n">
        <f aca="false">+[1]Dec99!D$53/1000</f>
        <v>1012770.767</v>
      </c>
      <c r="G33" s="34" t="n">
        <f aca="false">+[1]Dec99!E$53/1000</f>
        <v>46970.295</v>
      </c>
      <c r="I33" s="34" t="n">
        <f aca="false">+[1]Dec99!F$53/1000</f>
        <v>0</v>
      </c>
      <c r="K33" s="34" t="n">
        <f aca="false">+[1]Dec99!H$53/1000</f>
        <v>27207.819</v>
      </c>
      <c r="M33" s="34" t="n">
        <f aca="false">+[1]Dec99!I$53/1000</f>
        <v>0</v>
      </c>
      <c r="O33" s="34" t="n">
        <f aca="false">+[1]Dec99!J$53/1000</f>
        <v>237338.438</v>
      </c>
      <c r="Q33" s="34" t="n">
        <f aca="false">+[1]Dec99!K$53/1000</f>
        <v>0</v>
      </c>
      <c r="S33" s="34" t="n">
        <f aca="false">+[1]Dec99!L$53/1000</f>
        <v>254282.154</v>
      </c>
      <c r="U33" s="34" t="n">
        <f aca="false">+[1]Dec99!M$53/1000</f>
        <v>79129.364</v>
      </c>
      <c r="W33" s="34" t="n">
        <f aca="false">+[1]Dec99!N$53/1000</f>
        <v>65720.044</v>
      </c>
      <c r="Y33" s="34" t="n">
        <f aca="false">+[1]Dec99!O$53/1000</f>
        <v>0</v>
      </c>
      <c r="AA33" s="34" t="n">
        <f aca="false">+[1]Dec99!Q$53/1000</f>
        <v>8778.476</v>
      </c>
      <c r="AC33" s="34" t="n">
        <f aca="false">+[1]Dec99!R$53/1000</f>
        <v>0</v>
      </c>
      <c r="AE33" s="34" t="n">
        <f aca="false">+[1]Dec99!S$53/1000</f>
        <v>2300.647</v>
      </c>
      <c r="AG33" s="34" t="n">
        <f aca="false">+[1]Dec99!T$53/1000</f>
        <v>0</v>
      </c>
      <c r="AI33" s="34" t="n">
        <f aca="false">+[1]Dec99!U$53/1000</f>
        <v>18853.697</v>
      </c>
      <c r="AK33" s="34" t="n">
        <f aca="false">+[1]Dec99!P$53/1000</f>
        <v>28229.952</v>
      </c>
      <c r="AM33" s="34" t="n">
        <f aca="false">+[1]Dec99!V$53/1000</f>
        <v>0</v>
      </c>
      <c r="AO33" s="55" t="n">
        <f aca="false">+AQ33-SUM(C33:AM33)</f>
        <v>5728763.081</v>
      </c>
      <c r="AQ33" s="34" t="n">
        <f aca="false">+[1]Dec99!AH$53/1000</f>
        <v>8152233.179</v>
      </c>
    </row>
    <row r="34" customFormat="false" ht="11.25" hidden="false" customHeight="false" outlineLevel="0" collapsed="false">
      <c r="A34" s="56" t="s">
        <v>79</v>
      </c>
      <c r="C34" s="34" t="n">
        <f aca="false">+[1]Dec99!C$59/1000</f>
        <v>0</v>
      </c>
      <c r="E34" s="34" t="n">
        <f aca="false">+[1]Dec99!D$59/1000</f>
        <v>29490.145</v>
      </c>
      <c r="G34" s="34" t="n">
        <f aca="false">+[1]Dec99!E$59/1000</f>
        <v>0</v>
      </c>
      <c r="I34" s="34" t="n">
        <f aca="false">+[1]Dec99!F$59/1000</f>
        <v>0</v>
      </c>
      <c r="K34" s="34" t="n">
        <f aca="false">+[1]Dec99!H$59/1000</f>
        <v>0.165</v>
      </c>
      <c r="M34" s="34" t="n">
        <f aca="false">+[1]Dec99!I$59/1000</f>
        <v>0</v>
      </c>
      <c r="O34" s="34" t="n">
        <f aca="false">+[1]Dec99!J$59/1000</f>
        <v>0</v>
      </c>
      <c r="Q34" s="34" t="n">
        <f aca="false">+[1]Dec99!K$59/1000</f>
        <v>0</v>
      </c>
      <c r="S34" s="34" t="n">
        <f aca="false">+[1]Dec99!L$59/1000</f>
        <v>0</v>
      </c>
      <c r="U34" s="34" t="n">
        <f aca="false">+[1]Dec99!M$59/1000</f>
        <v>0</v>
      </c>
      <c r="W34" s="34" t="n">
        <f aca="false">+[1]Dec99!N$59/1000</f>
        <v>0</v>
      </c>
      <c r="Y34" s="34" t="n">
        <f aca="false">+[1]Dec99!O$59/1000</f>
        <v>0</v>
      </c>
      <c r="AA34" s="34" t="n">
        <f aca="false">+[1]Dec99!Q$59/1000</f>
        <v>0</v>
      </c>
      <c r="AC34" s="34" t="n">
        <f aca="false">+[1]Dec99!R$59/1000</f>
        <v>0</v>
      </c>
      <c r="AE34" s="34" t="n">
        <f aca="false">+[1]Dec99!S$59/1000</f>
        <v>0</v>
      </c>
      <c r="AG34" s="34" t="n">
        <f aca="false">+[1]Dec99!T$59/1000</f>
        <v>0</v>
      </c>
      <c r="AI34" s="34" t="n">
        <f aca="false">+[1]Dec99!U$59/1000</f>
        <v>0</v>
      </c>
      <c r="AK34" s="34" t="n">
        <f aca="false">+[1]Dec99!P$59/1000</f>
        <v>103000</v>
      </c>
      <c r="AM34" s="34" t="n">
        <f aca="false">+[1]Dec99!V$59/1000</f>
        <v>0</v>
      </c>
      <c r="AO34" s="55" t="n">
        <f aca="false">+AQ34-SUM(C34:AM34)</f>
        <v>867351.572</v>
      </c>
      <c r="AQ34" s="34" t="n">
        <f aca="false">+[1]Dec99!AH$59/1000</f>
        <v>999841.882</v>
      </c>
    </row>
    <row r="35" customFormat="false" ht="11.25" hidden="false" customHeight="false" outlineLevel="0" collapsed="false">
      <c r="A35" s="56" t="s">
        <v>80</v>
      </c>
      <c r="C35" s="34" t="n">
        <f aca="false">+[1]Dec99!C$62/1000</f>
        <v>0</v>
      </c>
      <c r="E35" s="34" t="n">
        <f aca="false">+[1]Dec99!D$62/1000</f>
        <v>0</v>
      </c>
      <c r="G35" s="34" t="n">
        <f aca="false">+[1]Dec99!E$62/1000</f>
        <v>0</v>
      </c>
      <c r="I35" s="34" t="n">
        <f aca="false">+[1]Dec99!F$62/1000</f>
        <v>0</v>
      </c>
      <c r="K35" s="34" t="n">
        <f aca="false">+[1]Dec99!H$62/1000</f>
        <v>-2652.335</v>
      </c>
      <c r="M35" s="34" t="n">
        <f aca="false">+[1]Dec99!I$62/1000</f>
        <v>0</v>
      </c>
      <c r="O35" s="34" t="n">
        <f aca="false">+[1]Dec99!J$62/1000</f>
        <v>7530</v>
      </c>
      <c r="Q35" s="34" t="n">
        <f aca="false">+[1]Dec99!K$62/1000</f>
        <v>-27.706</v>
      </c>
      <c r="S35" s="34" t="n">
        <f aca="false">+[1]Dec99!L$62/1000</f>
        <v>69681.853</v>
      </c>
      <c r="U35" s="34" t="n">
        <f aca="false">+[1]Dec99!M$62/1000</f>
        <v>27777.239</v>
      </c>
      <c r="W35" s="34" t="n">
        <f aca="false">+[1]Dec99!N$62/1000</f>
        <v>483510.607</v>
      </c>
      <c r="Y35" s="34" t="n">
        <f aca="false">+[1]Dec99!O$62/1000</f>
        <v>0</v>
      </c>
      <c r="AA35" s="34" t="n">
        <f aca="false">+[1]Dec99!Q$62/1000</f>
        <v>0</v>
      </c>
      <c r="AC35" s="34" t="n">
        <f aca="false">+[1]Dec99!R$62/1000</f>
        <v>0</v>
      </c>
      <c r="AE35" s="34" t="n">
        <f aca="false">+[1]Dec99!S$62/1000</f>
        <v>0</v>
      </c>
      <c r="AG35" s="34" t="n">
        <f aca="false">+[1]Dec99!T$62/1000</f>
        <v>0</v>
      </c>
      <c r="AI35" s="34" t="n">
        <f aca="false">+[1]Dec99!U$62/1000</f>
        <v>0</v>
      </c>
      <c r="AK35" s="34" t="n">
        <f aca="false">+[1]Dec99!P$62/1000</f>
        <v>-2208.208</v>
      </c>
      <c r="AM35" s="34" t="n">
        <f aca="false">+[1]Dec99!V$62/1000</f>
        <v>0</v>
      </c>
      <c r="AO35" s="55" t="n">
        <f aca="false">+AQ35-SUM(C35:AM35)</f>
        <v>1846538.488</v>
      </c>
      <c r="AQ35" s="34" t="n">
        <f aca="false">+[1]Dec99!AH$62/1000</f>
        <v>2430149.938</v>
      </c>
    </row>
    <row r="36" customFormat="false" ht="5.1" hidden="false" customHeight="true" outlineLevel="0" collapsed="false">
      <c r="A36" s="56"/>
      <c r="M36" s="34"/>
      <c r="O36" s="34"/>
      <c r="Q36" s="34"/>
      <c r="S36" s="34"/>
      <c r="U36" s="34"/>
      <c r="W36" s="34"/>
      <c r="Y36" s="34"/>
      <c r="AA36" s="34"/>
      <c r="AC36" s="34"/>
      <c r="AE36" s="34"/>
      <c r="AG36" s="34"/>
      <c r="AI36" s="34"/>
      <c r="AK36" s="34"/>
      <c r="AM36" s="34"/>
      <c r="AO36" s="55"/>
      <c r="AQ36" s="34"/>
    </row>
    <row r="37" customFormat="false" ht="12" hidden="false" customHeight="false" outlineLevel="0" collapsed="false">
      <c r="C37" s="64" t="n">
        <f aca="false">SUM(C30:C36)</f>
        <v>2664143.76</v>
      </c>
      <c r="E37" s="64" t="n">
        <f aca="false">SUM(E30:E36)</f>
        <v>3328373.793</v>
      </c>
      <c r="G37" s="64" t="n">
        <f aca="false">SUM(G30:G36)</f>
        <v>2591987.678</v>
      </c>
      <c r="I37" s="64" t="n">
        <f aca="false">SUM(I30:I36)</f>
        <v>1334691.426</v>
      </c>
      <c r="K37" s="64" t="n">
        <f aca="false">SUM(K30:K36)</f>
        <v>467232.136</v>
      </c>
      <c r="M37" s="64" t="n">
        <f aca="false">SUM(M30:M36)</f>
        <v>533283.743</v>
      </c>
      <c r="O37" s="64" t="n">
        <f aca="false">SUM(O30:O36)</f>
        <v>549462.317</v>
      </c>
      <c r="Q37" s="64" t="n">
        <f aca="false">SUM(Q30:Q36)</f>
        <v>229997.119</v>
      </c>
      <c r="S37" s="64" t="n">
        <f aca="false">SUM(S30:S36)</f>
        <v>824702.865</v>
      </c>
      <c r="U37" s="64" t="n">
        <f aca="false">SUM(U30:U36)</f>
        <v>781707.444</v>
      </c>
      <c r="W37" s="64" t="n">
        <f aca="false">SUM(W30:W36)</f>
        <v>3466981.979</v>
      </c>
      <c r="Y37" s="64" t="n">
        <f aca="false">SUM(Y30:Y36)</f>
        <v>612969.256</v>
      </c>
      <c r="AA37" s="64" t="n">
        <f aca="false">SUM(AA30:AA36)</f>
        <v>37735.09</v>
      </c>
      <c r="AC37" s="64" t="n">
        <f aca="false">SUM(AC30:AC36)</f>
        <v>0</v>
      </c>
      <c r="AE37" s="64" t="n">
        <f aca="false">SUM(AE30:AE36)</f>
        <v>681899.491</v>
      </c>
      <c r="AG37" s="64" t="n">
        <f aca="false">SUM(AG30:AG36)</f>
        <v>293225.46</v>
      </c>
      <c r="AI37" s="64" t="n">
        <f aca="false">SUM(AI30:AI36)</f>
        <v>367957.538</v>
      </c>
      <c r="AK37" s="64" t="n">
        <f aca="false">SUM(AK30:AK36)</f>
        <v>367549.603</v>
      </c>
      <c r="AM37" s="64" t="n">
        <f aca="false">SUM(AM30:AM36)</f>
        <v>184757.132</v>
      </c>
      <c r="AO37" s="64" t="n">
        <f aca="false">SUM(AO30:AO36)</f>
        <v>2571587.983</v>
      </c>
      <c r="AQ37" s="64" t="n">
        <f aca="false">SUM(AQ30:AQ36)</f>
        <v>21890245.813</v>
      </c>
    </row>
    <row r="38" customFormat="false" ht="12" hidden="false" customHeight="false" outlineLevel="0" collapsed="false">
      <c r="M38" s="34"/>
      <c r="O38" s="34"/>
      <c r="Q38" s="34"/>
      <c r="S38" s="34"/>
      <c r="U38" s="34"/>
      <c r="W38" s="34"/>
      <c r="Y38" s="34"/>
      <c r="AA38" s="34"/>
      <c r="AC38" s="34"/>
      <c r="AE38" s="34"/>
      <c r="AG38" s="34"/>
      <c r="AI38" s="34"/>
      <c r="AK38" s="34"/>
      <c r="AM38" s="34"/>
      <c r="AO38" s="55"/>
      <c r="AQ38" s="34"/>
    </row>
    <row r="39" customFormat="false" ht="11.25" hidden="false" customHeight="false" outlineLevel="0" collapsed="false">
      <c r="A39" s="54" t="s">
        <v>82</v>
      </c>
      <c r="M39" s="34"/>
      <c r="O39" s="34"/>
      <c r="Q39" s="34"/>
      <c r="S39" s="34"/>
      <c r="U39" s="34"/>
      <c r="W39" s="34"/>
      <c r="Y39" s="34"/>
      <c r="AA39" s="34"/>
      <c r="AC39" s="34"/>
      <c r="AE39" s="34"/>
      <c r="AG39" s="34"/>
      <c r="AI39" s="34"/>
      <c r="AK39" s="34"/>
      <c r="AM39" s="34"/>
      <c r="AO39" s="55"/>
      <c r="AQ39" s="34"/>
    </row>
    <row r="40" customFormat="false" ht="11.25" hidden="false" customHeight="false" outlineLevel="0" collapsed="false">
      <c r="A40" s="56" t="s">
        <v>72</v>
      </c>
      <c r="C40" s="34" t="n">
        <f aca="false">+[1]Jun00!C$6/1000</f>
        <v>4167329.428</v>
      </c>
      <c r="E40" s="34" t="n">
        <f aca="false">+[1]Jun00!D$6/1000</f>
        <v>2396310.082</v>
      </c>
      <c r="G40" s="34" t="n">
        <f aca="false">+[1]Jun00!E$6/1000</f>
        <v>2674498.681</v>
      </c>
      <c r="I40" s="34" t="n">
        <f aca="false">+[1]Jun00!F$6/1000</f>
        <v>1320798.035</v>
      </c>
      <c r="K40" s="34" t="n">
        <f aca="false">+[1]Jun00!H$6/1000</f>
        <v>1323168.592</v>
      </c>
      <c r="M40" s="34" t="n">
        <f aca="false">+[1]Jun00!I$6/1000</f>
        <v>1103808.9</v>
      </c>
      <c r="O40" s="34" t="n">
        <f aca="false">+[1]Jun00!J$6/1000</f>
        <v>3827461.138</v>
      </c>
      <c r="Q40" s="34" t="n">
        <f aca="false">+[1]Jun00!K$6/1000</f>
        <v>518713.396</v>
      </c>
      <c r="S40" s="34" t="n">
        <f aca="false">+[1]Jun00!L$6/1000</f>
        <v>450302.373</v>
      </c>
      <c r="U40" s="34" t="n">
        <f aca="false">+[1]Jun00!M$6/1000</f>
        <v>466429.492</v>
      </c>
      <c r="W40" s="34" t="n">
        <f aca="false">+[1]Jun00!N$6/1000</f>
        <v>1704488.31</v>
      </c>
      <c r="Y40" s="34" t="n">
        <f aca="false">+[1]Jun00!O$6/1000</f>
        <v>551180.979</v>
      </c>
      <c r="AA40" s="34" t="n">
        <f aca="false">+[1]Jun00!Q$6/1000</f>
        <v>11014.983</v>
      </c>
      <c r="AC40" s="34" t="n">
        <f aca="false">+[1]Jun00!R$6/1000</f>
        <v>-3072.324</v>
      </c>
      <c r="AE40" s="34" t="n">
        <f aca="false">+[1]Jun00!S$6/1000</f>
        <v>549649.453</v>
      </c>
      <c r="AG40" s="34" t="n">
        <f aca="false">+[1]Jun00!T$6/1000</f>
        <v>271646.574</v>
      </c>
      <c r="AI40" s="34" t="n">
        <f aca="false">+[1]Jun00!U$6/1000</f>
        <v>263781.997</v>
      </c>
      <c r="AK40" s="34" t="n">
        <f aca="false">+[1]Jun00!P$6/1000</f>
        <v>922458.267</v>
      </c>
      <c r="AM40" s="34" t="n">
        <f aca="false">+[1]Jun00!V$6/1000</f>
        <v>-384089.597</v>
      </c>
      <c r="AO40" s="55" t="n">
        <f aca="false">+AQ40-SUM(C40:AM40)</f>
        <v>-11366881.281</v>
      </c>
      <c r="AQ40" s="34" t="n">
        <f aca="false">+[1]Jun00!AH$6/1000</f>
        <v>10768997.478</v>
      </c>
    </row>
    <row r="41" customFormat="false" ht="11.25" hidden="false" customHeight="false" outlineLevel="0" collapsed="false">
      <c r="A41" s="56" t="s">
        <v>73</v>
      </c>
      <c r="C41" s="34" t="n">
        <f aca="false">+[1]Jun00!C$27/1000</f>
        <v>-1984495.218</v>
      </c>
      <c r="E41" s="34" t="n">
        <f aca="false">+[1]Jun00!D$27/1000</f>
        <v>-69365.502</v>
      </c>
      <c r="G41" s="34" t="n">
        <f aca="false">+[1]Jun00!E$27/1000</f>
        <v>-1060234.439</v>
      </c>
      <c r="I41" s="34" t="n">
        <f aca="false">+[1]Jun00!F$27/1000</f>
        <v>4628.473</v>
      </c>
      <c r="K41" s="34" t="n">
        <f aca="false">+[1]Jun00!H$27/1000</f>
        <v>-1237122.047</v>
      </c>
      <c r="M41" s="34" t="n">
        <f aca="false">+[1]Jun00!I$27/1000</f>
        <v>-644030.136</v>
      </c>
      <c r="O41" s="34" t="n">
        <f aca="false">+[1]Jun00!J$27/1000</f>
        <v>-3350464.594</v>
      </c>
      <c r="Q41" s="34" t="n">
        <f aca="false">+[1]Jun00!K$27/1000</f>
        <v>-171092.705</v>
      </c>
      <c r="S41" s="34" t="n">
        <f aca="false">+[1]Jun00!L$27/1000</f>
        <v>252379.784</v>
      </c>
      <c r="U41" s="34" t="n">
        <f aca="false">+[1]Jun00!M$27/1000</f>
        <v>286945.207</v>
      </c>
      <c r="W41" s="34" t="n">
        <f aca="false">+[1]Jun00!N$27/1000</f>
        <v>828250.527</v>
      </c>
      <c r="Y41" s="34" t="n">
        <f aca="false">+[1]Jun00!O$27/1000</f>
        <v>198400.264</v>
      </c>
      <c r="AA41" s="34" t="n">
        <f aca="false">+[1]Jun00!Q$27/1000</f>
        <v>14836.703</v>
      </c>
      <c r="AC41" s="34" t="n">
        <f aca="false">+[1]Jun00!R$27/1000</f>
        <v>4437.542</v>
      </c>
      <c r="AE41" s="34" t="n">
        <f aca="false">+[1]Jun00!S$27/1000</f>
        <v>602890.892</v>
      </c>
      <c r="AG41" s="34" t="n">
        <f aca="false">+[1]Jun00!T$27/1000</f>
        <v>647343.588</v>
      </c>
      <c r="AI41" s="34" t="n">
        <f aca="false">+[1]Jun00!U$27/1000</f>
        <v>104461.588</v>
      </c>
      <c r="AK41" s="34" t="n">
        <f aca="false">+[1]Jun00!P$27/1000</f>
        <v>-773070.068</v>
      </c>
      <c r="AM41" s="34" t="n">
        <f aca="false">+[1]Jun00!V$27/1000</f>
        <v>578805.822</v>
      </c>
      <c r="AO41" s="55" t="n">
        <f aca="false">+AQ41-SUM(C41:AM41)</f>
        <v>5766494.319</v>
      </c>
      <c r="AQ41" s="34" t="n">
        <f aca="false">+[1]Jun00!AH$27/1000</f>
        <v>0</v>
      </c>
    </row>
    <row r="42" customFormat="false" ht="11.25" hidden="false" customHeight="false" outlineLevel="0" collapsed="false">
      <c r="A42" s="56" t="s">
        <v>74</v>
      </c>
      <c r="C42" s="34" t="n">
        <f aca="false">+[1]Jun00!C$30/1000</f>
        <v>0</v>
      </c>
      <c r="E42" s="34" t="n">
        <f aca="false">+[1]Jun00!D$30/1000</f>
        <v>0</v>
      </c>
      <c r="G42" s="34" t="n">
        <f aca="false">+[1]Jun00!E$30/1000</f>
        <v>2177720</v>
      </c>
      <c r="I42" s="34" t="n">
        <f aca="false">+[1]Jun00!F$30/1000</f>
        <v>0</v>
      </c>
      <c r="K42" s="34" t="n">
        <f aca="false">+[1]Jun00!H$30/1000</f>
        <v>0</v>
      </c>
      <c r="M42" s="34" t="n">
        <f aca="false">+[1]Jun00!I$30/1000</f>
        <v>0</v>
      </c>
      <c r="O42" s="34" t="n">
        <f aca="false">+[1]Jun00!J$30/1000</f>
        <v>0</v>
      </c>
      <c r="Q42" s="34" t="n">
        <f aca="false">+[1]Jun00!K$30/1000</f>
        <v>0</v>
      </c>
      <c r="S42" s="34" t="n">
        <f aca="false">+[1]Jun00!L$30/1000</f>
        <v>0</v>
      </c>
      <c r="U42" s="34" t="n">
        <f aca="false">+[1]Jun00!M$30/1000</f>
        <v>0</v>
      </c>
      <c r="W42" s="34" t="n">
        <f aca="false">+[1]Jun00!N$30/1000</f>
        <v>0</v>
      </c>
      <c r="Y42" s="34" t="n">
        <f aca="false">+[1]Jun00!O$30/1000</f>
        <v>0</v>
      </c>
      <c r="AA42" s="34" t="n">
        <f aca="false">+[1]Jun00!Q$30/1000</f>
        <v>0</v>
      </c>
      <c r="AC42" s="34" t="n">
        <f aca="false">+[1]Jun00!R$30/1000</f>
        <v>0</v>
      </c>
      <c r="AE42" s="34" t="n">
        <f aca="false">+[1]Jun00!S$30/1000</f>
        <v>0</v>
      </c>
      <c r="AG42" s="34" t="n">
        <f aca="false">+[1]Jun00!T$30/1000</f>
        <v>0</v>
      </c>
      <c r="AI42" s="34" t="n">
        <f aca="false">+[1]Jun00!U$30/1000</f>
        <v>0</v>
      </c>
      <c r="AK42" s="34" t="n">
        <f aca="false">+[1]Jun00!P$30/1000</f>
        <v>0</v>
      </c>
      <c r="AM42" s="34" t="n">
        <f aca="false">+[1]Jun00!V$30/1000</f>
        <v>0</v>
      </c>
      <c r="AO42" s="55" t="n">
        <f aca="false">+AQ42-SUM(C42:AM42)</f>
        <v>-2177720</v>
      </c>
      <c r="AQ42" s="34" t="n">
        <f aca="false">+[1]Jun00!AH$30/1000</f>
        <v>0</v>
      </c>
    </row>
    <row r="43" customFormat="false" ht="11.25" hidden="false" customHeight="false" outlineLevel="0" collapsed="false">
      <c r="A43" s="57" t="s">
        <v>75</v>
      </c>
      <c r="C43" s="58" t="n">
        <f aca="false">SUM(C40:C42)</f>
        <v>2182834.21</v>
      </c>
      <c r="E43" s="58" t="n">
        <f aca="false">SUM(E40:E42)</f>
        <v>2326944.58</v>
      </c>
      <c r="G43" s="58" t="n">
        <f aca="false">SUM(G40:G42)</f>
        <v>3791984.242</v>
      </c>
      <c r="I43" s="58" t="n">
        <f aca="false">SUM(I40:I42)</f>
        <v>1325426.508</v>
      </c>
      <c r="K43" s="58" t="n">
        <f aca="false">SUM(K40:K42)</f>
        <v>86046.5449999999</v>
      </c>
      <c r="M43" s="58" t="n">
        <f aca="false">SUM(M40:M42)</f>
        <v>459778.764</v>
      </c>
      <c r="O43" s="58" t="n">
        <f aca="false">SUM(O40:O42)</f>
        <v>476996.544</v>
      </c>
      <c r="Q43" s="58" t="n">
        <f aca="false">SUM(Q40:Q42)</f>
        <v>347620.691</v>
      </c>
      <c r="S43" s="58" t="n">
        <f aca="false">SUM(S40:S42)</f>
        <v>702682.157</v>
      </c>
      <c r="U43" s="58" t="n">
        <f aca="false">SUM(U40:U42)</f>
        <v>753374.699</v>
      </c>
      <c r="W43" s="58" t="n">
        <f aca="false">SUM(W40:W42)</f>
        <v>2532738.837</v>
      </c>
      <c r="Y43" s="58" t="n">
        <f aca="false">SUM(Y40:Y42)</f>
        <v>749581.243</v>
      </c>
      <c r="AA43" s="58" t="n">
        <f aca="false">SUM(AA40:AA42)</f>
        <v>25851.686</v>
      </c>
      <c r="AC43" s="58" t="n">
        <f aca="false">SUM(AC40:AC42)</f>
        <v>1365.218</v>
      </c>
      <c r="AE43" s="58" t="n">
        <f aca="false">SUM(AE40:AE42)</f>
        <v>1152540.345</v>
      </c>
      <c r="AG43" s="58" t="n">
        <f aca="false">SUM(AG40:AG42)</f>
        <v>918990.162</v>
      </c>
      <c r="AI43" s="58" t="n">
        <f aca="false">SUM(AI40:AI42)</f>
        <v>368243.585</v>
      </c>
      <c r="AK43" s="58" t="n">
        <f aca="false">SUM(AK40:AK42)</f>
        <v>149388.199</v>
      </c>
      <c r="AM43" s="58" t="n">
        <f aca="false">SUM(AM40:AM42)</f>
        <v>194716.225</v>
      </c>
      <c r="AO43" s="59" t="n">
        <f aca="false">+AQ43-SUM(C43:AM43)</f>
        <v>-7778106.962</v>
      </c>
      <c r="AQ43" s="58" t="n">
        <f aca="false">SUM(AQ40:AQ42)</f>
        <v>10768997.478</v>
      </c>
    </row>
    <row r="44" customFormat="false" ht="5.1" hidden="false" customHeight="true" outlineLevel="0" collapsed="false">
      <c r="A44" s="56"/>
      <c r="M44" s="34"/>
      <c r="O44" s="34"/>
      <c r="Q44" s="34"/>
      <c r="S44" s="34"/>
      <c r="U44" s="34"/>
      <c r="W44" s="34"/>
      <c r="Y44" s="34"/>
      <c r="AA44" s="34"/>
      <c r="AC44" s="34"/>
      <c r="AE44" s="34"/>
      <c r="AG44" s="34"/>
      <c r="AI44" s="34"/>
      <c r="AK44" s="34"/>
      <c r="AM44" s="34"/>
      <c r="AO44" s="55"/>
      <c r="AQ44" s="34"/>
    </row>
    <row r="45" customFormat="false" ht="11.25" hidden="false" customHeight="false" outlineLevel="0" collapsed="false">
      <c r="A45" s="60" t="s">
        <v>76</v>
      </c>
      <c r="C45" s="34" t="n">
        <f aca="false">+[1]Jun00!C$34/1000</f>
        <v>0</v>
      </c>
      <c r="E45" s="34" t="n">
        <f aca="false">+[1]Jun00!D$34/1000</f>
        <v>0</v>
      </c>
      <c r="G45" s="34" t="n">
        <f aca="false">+[1]Jun00!E$34/1000</f>
        <v>4037.915</v>
      </c>
      <c r="I45" s="34" t="n">
        <f aca="false">+[1]Jun00!F$34/1000</f>
        <v>0</v>
      </c>
      <c r="K45" s="34" t="n">
        <f aca="false">+[1]Jun00!H$34/1000</f>
        <v>42234.368</v>
      </c>
      <c r="M45" s="34" t="n">
        <f aca="false">+[1]Jun00!I$34/1000</f>
        <v>0</v>
      </c>
      <c r="O45" s="34" t="n">
        <f aca="false">+[1]Jun00!J$34/1000</f>
        <v>9616.299</v>
      </c>
      <c r="Q45" s="34" t="n">
        <f aca="false">+[1]Jun00!K$34/1000</f>
        <v>3774.123</v>
      </c>
      <c r="S45" s="34" t="n">
        <f aca="false">+[1]Jun00!L$34/1000</f>
        <v>-12213.056</v>
      </c>
      <c r="U45" s="34" t="n">
        <f aca="false">+[1]Jun00!M$34/1000</f>
        <v>128048.765</v>
      </c>
      <c r="W45" s="34" t="n">
        <f aca="false">+[1]Jun00!N$34/1000</f>
        <v>628925.576</v>
      </c>
      <c r="Y45" s="34" t="n">
        <f aca="false">+[1]Jun00!O$34/1000</f>
        <v>0.01</v>
      </c>
      <c r="AA45" s="34" t="n">
        <f aca="false">+[1]Jun00!Q$34/1000</f>
        <v>0</v>
      </c>
      <c r="AC45" s="34" t="n">
        <f aca="false">+[1]Jun00!R$34/1000</f>
        <v>0</v>
      </c>
      <c r="AE45" s="34" t="n">
        <f aca="false">+[1]Jun00!S$34/1000</f>
        <v>2529.826</v>
      </c>
      <c r="AG45" s="34" t="n">
        <f aca="false">+[1]Jun00!T$34/1000</f>
        <v>-32.188</v>
      </c>
      <c r="AI45" s="34" t="n">
        <f aca="false">+[1]Jun00!U$34/1000</f>
        <v>14641.359</v>
      </c>
      <c r="AK45" s="34" t="n">
        <f aca="false">+[1]Jun00!P$34/1000</f>
        <v>0</v>
      </c>
      <c r="AM45" s="34" t="n">
        <f aca="false">+[1]Jun00!V$34/1000</f>
        <v>0</v>
      </c>
      <c r="AO45" s="55" t="n">
        <f aca="false">+AQ45-SUM(C45:AM45)</f>
        <v>17109.1979999999</v>
      </c>
      <c r="AQ45" s="34" t="n">
        <f aca="false">+[1]Jun00!AH$34/1000</f>
        <v>838672.195</v>
      </c>
    </row>
    <row r="46" customFormat="false" ht="5.1" hidden="false" customHeight="true" outlineLevel="0" collapsed="false">
      <c r="A46" s="56"/>
      <c r="M46" s="34"/>
      <c r="O46" s="34"/>
      <c r="Q46" s="34"/>
      <c r="S46" s="34"/>
      <c r="U46" s="34"/>
      <c r="W46" s="34"/>
      <c r="Y46" s="34"/>
      <c r="AA46" s="34"/>
      <c r="AC46" s="34"/>
      <c r="AE46" s="34"/>
      <c r="AG46" s="34"/>
      <c r="AI46" s="34"/>
      <c r="AK46" s="34"/>
      <c r="AM46" s="34"/>
      <c r="AO46" s="55"/>
      <c r="AQ46" s="34"/>
    </row>
    <row r="47" customFormat="false" ht="11.25" hidden="false" customHeight="false" outlineLevel="0" collapsed="false">
      <c r="A47" s="57" t="s">
        <v>77</v>
      </c>
      <c r="B47" s="61"/>
      <c r="C47" s="62" t="n">
        <f aca="false">SUM(C43:C46)</f>
        <v>2182834.21</v>
      </c>
      <c r="D47" s="61"/>
      <c r="E47" s="62" t="n">
        <f aca="false">SUM(E43:E46)</f>
        <v>2326944.58</v>
      </c>
      <c r="F47" s="61"/>
      <c r="G47" s="62" t="n">
        <f aca="false">SUM(G43:G46)</f>
        <v>3796022.157</v>
      </c>
      <c r="H47" s="61"/>
      <c r="I47" s="62" t="n">
        <f aca="false">SUM(I43:I46)</f>
        <v>1325426.508</v>
      </c>
      <c r="J47" s="61"/>
      <c r="K47" s="62" t="n">
        <f aca="false">SUM(K43:K46)</f>
        <v>128280.913</v>
      </c>
      <c r="L47" s="61"/>
      <c r="M47" s="62" t="n">
        <f aca="false">SUM(M43:M46)</f>
        <v>459778.764</v>
      </c>
      <c r="N47" s="61"/>
      <c r="O47" s="62" t="n">
        <f aca="false">SUM(O43:O46)</f>
        <v>486612.843</v>
      </c>
      <c r="P47" s="61"/>
      <c r="Q47" s="62" t="n">
        <f aca="false">SUM(Q43:Q46)</f>
        <v>351394.814</v>
      </c>
      <c r="R47" s="61"/>
      <c r="S47" s="62" t="n">
        <f aca="false">SUM(S43:S46)</f>
        <v>690469.101</v>
      </c>
      <c r="T47" s="61"/>
      <c r="U47" s="62" t="n">
        <f aca="false">SUM(U43:U46)</f>
        <v>881423.464</v>
      </c>
      <c r="V47" s="61"/>
      <c r="W47" s="62" t="n">
        <f aca="false">SUM(W43:W46)</f>
        <v>3161664.413</v>
      </c>
      <c r="X47" s="61"/>
      <c r="Y47" s="62" t="n">
        <f aca="false">SUM(Y43:Y46)</f>
        <v>749581.253</v>
      </c>
      <c r="Z47" s="61"/>
      <c r="AA47" s="62" t="n">
        <f aca="false">SUM(AA43:AA46)</f>
        <v>25851.686</v>
      </c>
      <c r="AB47" s="61"/>
      <c r="AC47" s="62" t="n">
        <f aca="false">SUM(AC43:AC46)</f>
        <v>1365.218</v>
      </c>
      <c r="AD47" s="61"/>
      <c r="AE47" s="62" t="n">
        <f aca="false">SUM(AE43:AE46)</f>
        <v>1155070.171</v>
      </c>
      <c r="AF47" s="61"/>
      <c r="AG47" s="62" t="n">
        <f aca="false">SUM(AG43:AG46)</f>
        <v>918957.974</v>
      </c>
      <c r="AH47" s="61"/>
      <c r="AI47" s="62" t="n">
        <f aca="false">SUM(AI43:AI46)</f>
        <v>382884.944</v>
      </c>
      <c r="AJ47" s="61"/>
      <c r="AK47" s="62" t="n">
        <f aca="false">SUM(AK43:AK46)</f>
        <v>149388.199</v>
      </c>
      <c r="AL47" s="61"/>
      <c r="AM47" s="62" t="n">
        <f aca="false">SUM(AM43:AM46)</f>
        <v>194716.225</v>
      </c>
      <c r="AN47" s="61"/>
      <c r="AO47" s="63" t="n">
        <f aca="false">+AQ47-SUM(C47:AM47)</f>
        <v>-7760997.764</v>
      </c>
      <c r="AP47" s="61"/>
      <c r="AQ47" s="62" t="n">
        <f aca="false">SUM(AQ43:AQ46)</f>
        <v>11607669.673</v>
      </c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61"/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1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61"/>
      <c r="IF47" s="61"/>
      <c r="IG47" s="61"/>
      <c r="IH47" s="61"/>
      <c r="II47" s="61"/>
      <c r="IJ47" s="61"/>
      <c r="IK47" s="61"/>
      <c r="IL47" s="61"/>
      <c r="IM47" s="61"/>
      <c r="IN47" s="61"/>
      <c r="IO47" s="61"/>
      <c r="IP47" s="61"/>
      <c r="IQ47" s="61"/>
      <c r="IR47" s="61"/>
      <c r="IS47" s="61"/>
      <c r="IT47" s="61"/>
      <c r="IU47" s="61"/>
      <c r="IV47" s="61"/>
      <c r="IW47" s="61"/>
    </row>
    <row r="48" customFormat="false" ht="11.25" hidden="false" customHeight="false" outlineLevel="0" collapsed="false">
      <c r="M48" s="34"/>
      <c r="O48" s="34"/>
      <c r="Q48" s="34"/>
      <c r="S48" s="34"/>
      <c r="U48" s="34"/>
      <c r="W48" s="34"/>
      <c r="Y48" s="34"/>
      <c r="AA48" s="34"/>
      <c r="AC48" s="34"/>
      <c r="AE48" s="34"/>
      <c r="AG48" s="34"/>
      <c r="AI48" s="34"/>
      <c r="AK48" s="34"/>
      <c r="AM48" s="34"/>
      <c r="AO48" s="55"/>
      <c r="AQ48" s="34"/>
    </row>
    <row r="49" customFormat="false" ht="11.25" hidden="false" customHeight="false" outlineLevel="0" collapsed="false">
      <c r="A49" s="56" t="s">
        <v>78</v>
      </c>
      <c r="C49" s="34" t="n">
        <f aca="false">+[1]Jun00!C$53/1000</f>
        <v>518927.028</v>
      </c>
      <c r="E49" s="34" t="n">
        <f aca="false">+[1]Jun00!D$53/1000</f>
        <v>1004129.155</v>
      </c>
      <c r="G49" s="34" t="n">
        <f aca="false">+[1]Jun00!E$53/1000</f>
        <v>2099.303</v>
      </c>
      <c r="I49" s="34" t="n">
        <f aca="false">+[1]Jun00!F$53/1000</f>
        <v>0</v>
      </c>
      <c r="K49" s="34" t="n">
        <f aca="false">+[1]Jun00!H$53/1000</f>
        <v>67727.039</v>
      </c>
      <c r="M49" s="34" t="n">
        <f aca="false">+[1]Jun00!I$53/1000</f>
        <v>0</v>
      </c>
      <c r="O49" s="34" t="n">
        <f aca="false">+[1]Jun00!J$53/1000</f>
        <v>448620.189</v>
      </c>
      <c r="Q49" s="34" t="n">
        <f aca="false">+[1]Jun00!K$53/1000</f>
        <v>-15.24</v>
      </c>
      <c r="S49" s="34" t="n">
        <f aca="false">+[1]Jun00!L$53/1000</f>
        <v>255262.065</v>
      </c>
      <c r="U49" s="34" t="n">
        <f aca="false">+[1]Jun00!M$53/1000</f>
        <v>79392.727</v>
      </c>
      <c r="W49" s="34" t="n">
        <f aca="false">+[1]Jun00!N$53/1000</f>
        <v>73286.523</v>
      </c>
      <c r="Y49" s="34" t="n">
        <f aca="false">+[1]Jun00!O$53/1000</f>
        <v>0</v>
      </c>
      <c r="AA49" s="34" t="n">
        <f aca="false">+[1]Jun00!Q$53/1000</f>
        <v>9519.859</v>
      </c>
      <c r="AC49" s="34" t="n">
        <f aca="false">+[1]Jun00!R$53/1000</f>
        <v>0</v>
      </c>
      <c r="AE49" s="34" t="n">
        <f aca="false">+[1]Jun00!S$53/1000</f>
        <v>1187.329</v>
      </c>
      <c r="AG49" s="34" t="n">
        <f aca="false">+[1]Jun00!T$53/1000</f>
        <v>1397.972</v>
      </c>
      <c r="AI49" s="34" t="n">
        <f aca="false">+[1]Jun00!U$53/1000</f>
        <v>42345.965</v>
      </c>
      <c r="AK49" s="34" t="n">
        <f aca="false">+[1]Jun00!P$53/1000</f>
        <v>0</v>
      </c>
      <c r="AM49" s="34" t="n">
        <f aca="false">+[1]Jun00!V$53/1000</f>
        <v>0</v>
      </c>
      <c r="AO49" s="55" t="n">
        <f aca="false">+AQ49-SUM(C49:AM49)</f>
        <v>9192534.074</v>
      </c>
      <c r="AQ49" s="34" t="n">
        <f aca="false">+[1]Jun00!AH$53/1000</f>
        <v>11696413.988</v>
      </c>
    </row>
    <row r="50" customFormat="false" ht="11.25" hidden="false" customHeight="false" outlineLevel="0" collapsed="false">
      <c r="A50" s="56" t="s">
        <v>79</v>
      </c>
      <c r="C50" s="34" t="n">
        <f aca="false">+[1]Jun00!C$59/1000</f>
        <v>0</v>
      </c>
      <c r="E50" s="34" t="n">
        <f aca="false">+[1]Jun00!D$59/1000</f>
        <v>29524.519</v>
      </c>
      <c r="G50" s="34" t="n">
        <f aca="false">+[1]Jun00!E$59/1000</f>
        <v>0</v>
      </c>
      <c r="I50" s="34" t="n">
        <f aca="false">+[1]Jun00!F$59/1000</f>
        <v>0</v>
      </c>
      <c r="K50" s="34" t="n">
        <f aca="false">+[1]Jun00!H$59/1000</f>
        <v>0.167</v>
      </c>
      <c r="M50" s="34" t="n">
        <f aca="false">+[1]Jun00!I$59/1000</f>
        <v>0</v>
      </c>
      <c r="O50" s="34" t="n">
        <f aca="false">+[1]Jun00!J$59/1000</f>
        <v>0</v>
      </c>
      <c r="Q50" s="34" t="n">
        <f aca="false">+[1]Jun00!K$59/1000</f>
        <v>0</v>
      </c>
      <c r="S50" s="34" t="n">
        <f aca="false">+[1]Jun00!L$59/1000</f>
        <v>80.564</v>
      </c>
      <c r="U50" s="34" t="n">
        <f aca="false">+[1]Jun00!M$59/1000</f>
        <v>105000</v>
      </c>
      <c r="W50" s="34" t="n">
        <f aca="false">+[1]Jun00!N$59/1000</f>
        <v>0</v>
      </c>
      <c r="Y50" s="34" t="n">
        <f aca="false">+[1]Jun00!O$59/1000</f>
        <v>0</v>
      </c>
      <c r="AA50" s="34" t="n">
        <f aca="false">+[1]Jun00!Q$59/1000</f>
        <v>0</v>
      </c>
      <c r="AC50" s="34" t="n">
        <f aca="false">+[1]Jun00!R$59/1000</f>
        <v>0</v>
      </c>
      <c r="AE50" s="34" t="n">
        <f aca="false">+[1]Jun00!S$59/1000</f>
        <v>0</v>
      </c>
      <c r="AG50" s="34" t="n">
        <f aca="false">+[1]Jun00!T$59/1000</f>
        <v>0</v>
      </c>
      <c r="AI50" s="34" t="n">
        <f aca="false">+[1]Jun00!U$59/1000</f>
        <v>0</v>
      </c>
      <c r="AK50" s="34" t="n">
        <f aca="false">+[1]Jun00!P$59/1000</f>
        <v>103000</v>
      </c>
      <c r="AM50" s="34" t="n">
        <f aca="false">+[1]Jun00!V$59/1000</f>
        <v>0</v>
      </c>
      <c r="AO50" s="55" t="n">
        <f aca="false">+AQ50-SUM(C50:AM50)</f>
        <v>661291.959</v>
      </c>
      <c r="AQ50" s="34" t="n">
        <f aca="false">+[1]Jun00!AH$59/1000</f>
        <v>898897.209</v>
      </c>
    </row>
    <row r="51" customFormat="false" ht="11.25" hidden="false" customHeight="false" outlineLevel="0" collapsed="false">
      <c r="A51" s="56" t="s">
        <v>80</v>
      </c>
      <c r="C51" s="34" t="n">
        <f aca="false">+[1]Jun00!C$62/1000</f>
        <v>0</v>
      </c>
      <c r="E51" s="34" t="n">
        <f aca="false">+[1]Jun00!D$62/1000</f>
        <v>0</v>
      </c>
      <c r="G51" s="34" t="n">
        <f aca="false">+[1]Jun00!E$62/1000</f>
        <v>0</v>
      </c>
      <c r="I51" s="34" t="n">
        <f aca="false">+[1]Jun00!F$62/1000</f>
        <v>0</v>
      </c>
      <c r="K51" s="34" t="n">
        <f aca="false">+[1]Jun00!H$62/1000</f>
        <v>-290.857</v>
      </c>
      <c r="M51" s="34" t="n">
        <f aca="false">+[1]Jun00!I$62/1000</f>
        <v>0</v>
      </c>
      <c r="O51" s="34" t="n">
        <f aca="false">+[1]Jun00!J$62/1000</f>
        <v>7530</v>
      </c>
      <c r="Q51" s="34" t="n">
        <f aca="false">+[1]Jun00!K$62/1000</f>
        <v>0</v>
      </c>
      <c r="S51" s="34" t="n">
        <f aca="false">+[1]Jun00!L$62/1000</f>
        <v>84497.961</v>
      </c>
      <c r="U51" s="34" t="n">
        <f aca="false">+[1]Jun00!M$62/1000</f>
        <v>36974.907</v>
      </c>
      <c r="W51" s="34" t="n">
        <f aca="false">+[1]Jun00!N$62/1000</f>
        <v>494552.36</v>
      </c>
      <c r="Y51" s="34" t="n">
        <f aca="false">+[1]Jun00!O$62/1000</f>
        <v>0</v>
      </c>
      <c r="AA51" s="34" t="n">
        <f aca="false">+[1]Jun00!Q$62/1000</f>
        <v>0</v>
      </c>
      <c r="AC51" s="34" t="n">
        <f aca="false">+[1]Jun00!R$62/1000</f>
        <v>0</v>
      </c>
      <c r="AE51" s="34" t="n">
        <f aca="false">+[1]Jun00!S$62/1000</f>
        <v>0</v>
      </c>
      <c r="AG51" s="34" t="n">
        <f aca="false">+[1]Jun00!T$62/1000</f>
        <v>0</v>
      </c>
      <c r="AI51" s="34" t="n">
        <f aca="false">+[1]Jun00!U$62/1000</f>
        <v>0</v>
      </c>
      <c r="AK51" s="34" t="n">
        <f aca="false">+[1]Jun00!P$62/1000</f>
        <v>0</v>
      </c>
      <c r="AM51" s="34" t="n">
        <f aca="false">+[1]Jun00!V$62/1000</f>
        <v>0</v>
      </c>
      <c r="AO51" s="55" t="n">
        <f aca="false">+AQ51-SUM(C51:AM51)</f>
        <v>1269524.517</v>
      </c>
      <c r="AQ51" s="34" t="n">
        <f aca="false">+[1]Jun00!AH$62/1000</f>
        <v>1892788.888</v>
      </c>
    </row>
    <row r="52" customFormat="false" ht="11.25" hidden="false" customHeight="false" outlineLevel="0" collapsed="false">
      <c r="A52" s="56"/>
      <c r="M52" s="34"/>
      <c r="O52" s="34"/>
      <c r="Q52" s="34"/>
      <c r="S52" s="34"/>
      <c r="U52" s="34"/>
      <c r="W52" s="34"/>
      <c r="Y52" s="34"/>
      <c r="AA52" s="34"/>
      <c r="AC52" s="34"/>
      <c r="AE52" s="34"/>
      <c r="AG52" s="34"/>
      <c r="AI52" s="34"/>
      <c r="AK52" s="34"/>
      <c r="AM52" s="34"/>
      <c r="AO52" s="55"/>
      <c r="AQ52" s="34"/>
    </row>
    <row r="53" customFormat="false" ht="12" hidden="false" customHeight="false" outlineLevel="0" collapsed="false">
      <c r="C53" s="64" t="n">
        <f aca="false">SUM(C46:C52)</f>
        <v>2701761.238</v>
      </c>
      <c r="E53" s="64" t="n">
        <f aca="false">SUM(E46:E52)</f>
        <v>3360598.254</v>
      </c>
      <c r="G53" s="64" t="n">
        <f aca="false">SUM(G46:G52)</f>
        <v>3798121.46</v>
      </c>
      <c r="I53" s="64" t="n">
        <f aca="false">SUM(I46:I52)</f>
        <v>1325426.508</v>
      </c>
      <c r="K53" s="64" t="n">
        <f aca="false">SUM(K46:K52)</f>
        <v>195717.262</v>
      </c>
      <c r="M53" s="64" t="n">
        <f aca="false">SUM(M46:M52)</f>
        <v>459778.764</v>
      </c>
      <c r="O53" s="64" t="n">
        <f aca="false">SUM(O46:O52)</f>
        <v>942763.032</v>
      </c>
      <c r="Q53" s="64" t="n">
        <f aca="false">SUM(Q46:Q52)</f>
        <v>351379.574</v>
      </c>
      <c r="S53" s="64" t="n">
        <f aca="false">SUM(S46:S52)</f>
        <v>1030309.691</v>
      </c>
      <c r="U53" s="64" t="n">
        <f aca="false">SUM(U46:U52)</f>
        <v>1102791.098</v>
      </c>
      <c r="W53" s="64" t="n">
        <f aca="false">SUM(W46:W52)</f>
        <v>3729503.296</v>
      </c>
      <c r="Y53" s="64" t="n">
        <f aca="false">SUM(Y46:Y52)</f>
        <v>749581.253</v>
      </c>
      <c r="AA53" s="64" t="n">
        <f aca="false">SUM(AA46:AA52)</f>
        <v>35371.545</v>
      </c>
      <c r="AC53" s="64" t="n">
        <f aca="false">SUM(AC46:AC52)</f>
        <v>1365.218</v>
      </c>
      <c r="AE53" s="64" t="n">
        <f aca="false">SUM(AE46:AE52)</f>
        <v>1156257.5</v>
      </c>
      <c r="AG53" s="64" t="n">
        <f aca="false">SUM(AG46:AG52)</f>
        <v>920355.946</v>
      </c>
      <c r="AI53" s="64" t="n">
        <f aca="false">SUM(AI46:AI52)</f>
        <v>425230.909</v>
      </c>
      <c r="AK53" s="64" t="n">
        <f aca="false">SUM(AK46:AK52)</f>
        <v>252388.199</v>
      </c>
      <c r="AM53" s="64" t="n">
        <f aca="false">SUM(AM46:AM52)</f>
        <v>194716.225</v>
      </c>
      <c r="AO53" s="64" t="n">
        <f aca="false">SUM(AO46:AO52)</f>
        <v>3362352.786</v>
      </c>
      <c r="AQ53" s="64" t="n">
        <f aca="false">SUM(AQ46:AQ52)</f>
        <v>26095769.758</v>
      </c>
      <c r="AR53" s="34"/>
    </row>
    <row r="54" customFormat="false" ht="12" hidden="false" customHeight="false" outlineLevel="0" collapsed="false"/>
    <row r="55" customFormat="false" ht="11.25" hidden="false" customHeight="false" outlineLevel="0" collapsed="false">
      <c r="A55" s="33" t="s">
        <v>83</v>
      </c>
    </row>
    <row r="56" customFormat="false" ht="11.25" hidden="false" customHeight="false" outlineLevel="0" collapsed="false">
      <c r="A56" s="56" t="str">
        <f aca="false">A47</f>
        <v>Net Shareholder's Equity</v>
      </c>
      <c r="C56" s="34" t="n">
        <f aca="false">C47</f>
        <v>2182834.21</v>
      </c>
      <c r="E56" s="34" t="n">
        <f aca="false">E47</f>
        <v>2326944.58</v>
      </c>
      <c r="G56" s="34" t="n">
        <f aca="false">G47</f>
        <v>3796022.157</v>
      </c>
      <c r="I56" s="34" t="n">
        <f aca="false">I47</f>
        <v>1325426.508</v>
      </c>
      <c r="K56" s="34" t="n">
        <f aca="false">K47</f>
        <v>128280.913</v>
      </c>
      <c r="M56" s="34" t="n">
        <f aca="false">M47</f>
        <v>459778.764</v>
      </c>
      <c r="O56" s="34" t="n">
        <f aca="false">O47</f>
        <v>486612.843</v>
      </c>
      <c r="Q56" s="34" t="n">
        <f aca="false">Q47</f>
        <v>351394.814</v>
      </c>
      <c r="S56" s="34" t="n">
        <f aca="false">S47</f>
        <v>690469.101</v>
      </c>
      <c r="U56" s="34" t="n">
        <f aca="false">U47</f>
        <v>881423.464</v>
      </c>
      <c r="W56" s="34" t="n">
        <f aca="false">W47</f>
        <v>3161664.413</v>
      </c>
      <c r="Y56" s="34" t="n">
        <f aca="false">Y47</f>
        <v>749581.253</v>
      </c>
      <c r="AA56" s="34" t="n">
        <f aca="false">AA47</f>
        <v>25851.686</v>
      </c>
      <c r="AC56" s="34" t="n">
        <f aca="false">AC47</f>
        <v>1365.218</v>
      </c>
      <c r="AE56" s="34" t="n">
        <f aca="false">AE47</f>
        <v>1155070.171</v>
      </c>
      <c r="AG56" s="34" t="n">
        <f aca="false">AG47</f>
        <v>918957.974</v>
      </c>
      <c r="AI56" s="34" t="n">
        <f aca="false">AI47</f>
        <v>382884.944</v>
      </c>
      <c r="AK56" s="34" t="n">
        <f aca="false">AK47</f>
        <v>149388.199</v>
      </c>
      <c r="AM56" s="34" t="n">
        <f aca="false">AM47</f>
        <v>194716.225</v>
      </c>
      <c r="AO56" s="34" t="n">
        <f aca="false">AO47</f>
        <v>-7760997.764</v>
      </c>
      <c r="AQ56" s="34" t="n">
        <f aca="false">AQ47</f>
        <v>11607669.673</v>
      </c>
    </row>
    <row r="57" customFormat="false" ht="11.25" hidden="false" customHeight="false" outlineLevel="0" collapsed="false">
      <c r="A57" s="56" t="str">
        <f aca="false">A49</f>
        <v>Third-Party Debt</v>
      </c>
      <c r="C57" s="34" t="n">
        <f aca="false">C49</f>
        <v>518927.028</v>
      </c>
      <c r="E57" s="34" t="n">
        <f aca="false">E49</f>
        <v>1004129.155</v>
      </c>
      <c r="G57" s="34" t="n">
        <f aca="false">G49</f>
        <v>2099.303</v>
      </c>
      <c r="I57" s="34" t="n">
        <f aca="false">I49</f>
        <v>0</v>
      </c>
      <c r="K57" s="34" t="n">
        <f aca="false">K49</f>
        <v>67727.039</v>
      </c>
      <c r="M57" s="34" t="n">
        <f aca="false">M49</f>
        <v>0</v>
      </c>
      <c r="O57" s="34" t="n">
        <f aca="false">O49</f>
        <v>448620.189</v>
      </c>
      <c r="Q57" s="34" t="n">
        <f aca="false">Q49</f>
        <v>-15.24</v>
      </c>
      <c r="S57" s="34" t="n">
        <f aca="false">S49</f>
        <v>255262.065</v>
      </c>
      <c r="U57" s="34" t="n">
        <f aca="false">U49</f>
        <v>79392.727</v>
      </c>
      <c r="W57" s="34" t="n">
        <f aca="false">W49</f>
        <v>73286.523</v>
      </c>
      <c r="Y57" s="34" t="n">
        <f aca="false">Y49</f>
        <v>0</v>
      </c>
      <c r="AA57" s="34" t="n">
        <f aca="false">AA49</f>
        <v>9519.859</v>
      </c>
      <c r="AC57" s="34" t="n">
        <f aca="false">AC49</f>
        <v>0</v>
      </c>
      <c r="AE57" s="34" t="n">
        <f aca="false">AE49</f>
        <v>1187.329</v>
      </c>
      <c r="AG57" s="34" t="n">
        <f aca="false">AG49</f>
        <v>1397.972</v>
      </c>
      <c r="AI57" s="34" t="n">
        <f aca="false">AI49</f>
        <v>42345.965</v>
      </c>
      <c r="AK57" s="34" t="n">
        <f aca="false">AK49</f>
        <v>0</v>
      </c>
      <c r="AM57" s="34" t="n">
        <f aca="false">AM49</f>
        <v>0</v>
      </c>
      <c r="AO57" s="34" t="n">
        <f aca="false">AO49</f>
        <v>9192534.074</v>
      </c>
      <c r="AQ57" s="34" t="n">
        <f aca="false">AQ49</f>
        <v>11696413.988</v>
      </c>
    </row>
    <row r="58" customFormat="false" ht="11.25" hidden="false" customHeight="false" outlineLevel="0" collapsed="false">
      <c r="A58" s="56" t="str">
        <f aca="false">A50</f>
        <v>Preferred Stock of Subsidiaries</v>
      </c>
      <c r="C58" s="34" t="n">
        <f aca="false">C50</f>
        <v>0</v>
      </c>
      <c r="E58" s="34" t="n">
        <v>0</v>
      </c>
      <c r="G58" s="34" t="n">
        <f aca="false">G50</f>
        <v>0</v>
      </c>
      <c r="I58" s="34" t="n">
        <f aca="false">I50</f>
        <v>0</v>
      </c>
      <c r="K58" s="34" t="n">
        <f aca="false">K50</f>
        <v>0.167</v>
      </c>
      <c r="M58" s="34" t="n">
        <f aca="false">M50</f>
        <v>0</v>
      </c>
      <c r="O58" s="34" t="n">
        <f aca="false">O50</f>
        <v>0</v>
      </c>
      <c r="Q58" s="34" t="n">
        <f aca="false">Q50</f>
        <v>0</v>
      </c>
      <c r="S58" s="34" t="n">
        <f aca="false">S50</f>
        <v>80.564</v>
      </c>
      <c r="U58" s="34" t="n">
        <f aca="false">U50</f>
        <v>105000</v>
      </c>
      <c r="W58" s="34" t="n">
        <f aca="false">W50</f>
        <v>0</v>
      </c>
      <c r="Y58" s="34" t="n">
        <f aca="false">Y50</f>
        <v>0</v>
      </c>
      <c r="AA58" s="34" t="n">
        <f aca="false">AA50</f>
        <v>0</v>
      </c>
      <c r="AC58" s="34" t="n">
        <f aca="false">AC50</f>
        <v>0</v>
      </c>
      <c r="AE58" s="34" t="n">
        <f aca="false">AE50</f>
        <v>0</v>
      </c>
      <c r="AG58" s="34" t="n">
        <f aca="false">AG50</f>
        <v>0</v>
      </c>
      <c r="AI58" s="34" t="n">
        <f aca="false">AI50</f>
        <v>0</v>
      </c>
      <c r="AK58" s="34" t="n">
        <f aca="false">AK50</f>
        <v>103000</v>
      </c>
      <c r="AM58" s="34" t="n">
        <f aca="false">AM50</f>
        <v>0</v>
      </c>
      <c r="AO58" s="34" t="n">
        <v>0</v>
      </c>
      <c r="AQ58" s="34" t="n">
        <v>0</v>
      </c>
    </row>
    <row r="59" customFormat="false" ht="16.5" hidden="false" customHeight="true" outlineLevel="0" collapsed="false">
      <c r="A59" s="61" t="s">
        <v>7</v>
      </c>
      <c r="B59" s="61"/>
      <c r="C59" s="65" t="n">
        <f aca="false">SUM(C56:C58)</f>
        <v>2701761.238</v>
      </c>
      <c r="D59" s="61"/>
      <c r="E59" s="65" t="n">
        <f aca="false">SUM(E56:E58)</f>
        <v>3331073.735</v>
      </c>
      <c r="F59" s="61"/>
      <c r="G59" s="66" t="n">
        <f aca="false">SUM(G56:G58)</f>
        <v>3798121.46</v>
      </c>
      <c r="H59" s="61"/>
      <c r="I59" s="64" t="n">
        <f aca="false">SUM(I56:I58)</f>
        <v>1325426.508</v>
      </c>
      <c r="J59" s="61"/>
      <c r="K59" s="66" t="n">
        <f aca="false">SUM(K56:K58)</f>
        <v>196008.119</v>
      </c>
      <c r="L59" s="61"/>
      <c r="M59" s="65" t="n">
        <f aca="false">SUM(M56:M58)</f>
        <v>459778.764</v>
      </c>
      <c r="N59" s="61"/>
      <c r="O59" s="65" t="n">
        <f aca="false">SUM(O56:O58)</f>
        <v>935233.032</v>
      </c>
      <c r="P59" s="61"/>
      <c r="Q59" s="67" t="n">
        <f aca="false">SUM(Q56:Q58)</f>
        <v>351379.574</v>
      </c>
      <c r="R59" s="61"/>
      <c r="S59" s="66" t="n">
        <f aca="false">SUM(S56:S58)</f>
        <v>945811.73</v>
      </c>
      <c r="T59" s="61"/>
      <c r="U59" s="67" t="n">
        <f aca="false">SUM(U56:U58)</f>
        <v>1065816.191</v>
      </c>
      <c r="V59" s="61"/>
      <c r="W59" s="67" t="n">
        <f aca="false">SUM(W56:W58)</f>
        <v>3234950.936</v>
      </c>
      <c r="X59" s="61"/>
      <c r="Y59" s="67" t="n">
        <f aca="false">SUM(Y56:Y58)</f>
        <v>749581.253</v>
      </c>
      <c r="Z59" s="68"/>
      <c r="AA59" s="67" t="n">
        <f aca="false">SUM(AA56:AA58)</f>
        <v>35371.545</v>
      </c>
      <c r="AB59" s="61"/>
      <c r="AC59" s="64" t="n">
        <f aca="false">SUM(AC56:AC58)</f>
        <v>1365.218</v>
      </c>
      <c r="AD59" s="61"/>
      <c r="AE59" s="66" t="n">
        <f aca="false">SUM(AE56:AE58)</f>
        <v>1156257.5</v>
      </c>
      <c r="AF59" s="61"/>
      <c r="AG59" s="65" t="n">
        <f aca="false">SUM(AG56:AG58)</f>
        <v>920355.946</v>
      </c>
      <c r="AH59" s="61"/>
      <c r="AI59" s="65" t="n">
        <f aca="false">SUM(AI56:AI58)</f>
        <v>425230.909</v>
      </c>
      <c r="AJ59" s="61"/>
      <c r="AK59" s="67" t="n">
        <f aca="false">SUM(AK56:AK58)</f>
        <v>252388.199</v>
      </c>
      <c r="AL59" s="61"/>
      <c r="AM59" s="65" t="n">
        <f aca="false">SUM(AM56:AM58)</f>
        <v>194716.225</v>
      </c>
      <c r="AN59" s="61"/>
      <c r="AO59" s="64" t="n">
        <f aca="false">SUM(AO56:AO58)</f>
        <v>1431536.31</v>
      </c>
      <c r="AP59" s="61"/>
      <c r="AQ59" s="64" t="n">
        <f aca="false">SUM(AQ56:AQ58)</f>
        <v>23304083.661</v>
      </c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61"/>
      <c r="DU59" s="61"/>
      <c r="DV59" s="61"/>
      <c r="DW59" s="61"/>
      <c r="DX59" s="61"/>
      <c r="DY59" s="61"/>
      <c r="DZ59" s="61"/>
      <c r="EA59" s="61"/>
      <c r="EB59" s="61"/>
      <c r="EC59" s="61"/>
      <c r="ED59" s="61"/>
      <c r="EE59" s="61"/>
      <c r="EF59" s="61"/>
      <c r="EG59" s="61"/>
      <c r="EH59" s="61"/>
      <c r="EI59" s="61"/>
      <c r="EJ59" s="61"/>
      <c r="EK59" s="61"/>
      <c r="EL59" s="61"/>
      <c r="EM59" s="61"/>
      <c r="EN59" s="61"/>
      <c r="EO59" s="61"/>
      <c r="EP59" s="61"/>
      <c r="EQ59" s="61"/>
      <c r="ER59" s="61"/>
      <c r="ES59" s="61"/>
      <c r="ET59" s="61"/>
      <c r="EU59" s="61"/>
      <c r="EV59" s="61"/>
      <c r="EW59" s="61"/>
      <c r="EX59" s="61"/>
      <c r="EY59" s="61"/>
      <c r="EZ59" s="61"/>
      <c r="FA59" s="61"/>
      <c r="FB59" s="61"/>
      <c r="FC59" s="61"/>
      <c r="FD59" s="61"/>
      <c r="FE59" s="61"/>
      <c r="FF59" s="61"/>
      <c r="FG59" s="61"/>
      <c r="FH59" s="61"/>
      <c r="FI59" s="61"/>
      <c r="FJ59" s="61"/>
      <c r="FK59" s="61"/>
      <c r="FL59" s="61"/>
      <c r="FM59" s="61"/>
      <c r="FN59" s="61"/>
      <c r="FO59" s="61"/>
      <c r="FP59" s="61"/>
      <c r="FQ59" s="61"/>
      <c r="FR59" s="61"/>
      <c r="FS59" s="61"/>
      <c r="FT59" s="61"/>
      <c r="FU59" s="61"/>
      <c r="FV59" s="61"/>
      <c r="FW59" s="61"/>
      <c r="FX59" s="61"/>
      <c r="FY59" s="61"/>
      <c r="FZ59" s="61"/>
      <c r="GA59" s="61"/>
      <c r="GB59" s="61"/>
      <c r="GC59" s="61"/>
      <c r="GD59" s="61"/>
      <c r="GE59" s="61"/>
      <c r="GF59" s="61"/>
      <c r="GG59" s="61"/>
      <c r="GH59" s="61"/>
      <c r="GI59" s="61"/>
      <c r="GJ59" s="61"/>
      <c r="GK59" s="61"/>
      <c r="GL59" s="61"/>
      <c r="GM59" s="61"/>
      <c r="GN59" s="61"/>
      <c r="GO59" s="61"/>
      <c r="GP59" s="61"/>
      <c r="GQ59" s="61"/>
      <c r="GR59" s="61"/>
      <c r="GS59" s="61"/>
      <c r="GT59" s="61"/>
      <c r="GU59" s="61"/>
      <c r="GV59" s="61"/>
      <c r="GW59" s="61"/>
      <c r="GX59" s="61"/>
      <c r="GY59" s="61"/>
      <c r="GZ59" s="61"/>
      <c r="HA59" s="61"/>
      <c r="HB59" s="61"/>
      <c r="HC59" s="61"/>
      <c r="HD59" s="61"/>
      <c r="HE59" s="61"/>
      <c r="HF59" s="61"/>
      <c r="HG59" s="61"/>
      <c r="HH59" s="61"/>
      <c r="HI59" s="61"/>
      <c r="HJ59" s="61"/>
      <c r="HK59" s="61"/>
      <c r="HL59" s="61"/>
      <c r="HM59" s="61"/>
      <c r="HN59" s="61"/>
      <c r="HO59" s="61"/>
      <c r="HP59" s="61"/>
      <c r="HQ59" s="61"/>
      <c r="HR59" s="61"/>
      <c r="HS59" s="61"/>
      <c r="HT59" s="61"/>
      <c r="HU59" s="61"/>
      <c r="HV59" s="61"/>
      <c r="HW59" s="61"/>
      <c r="HX59" s="61"/>
      <c r="HY59" s="61"/>
      <c r="HZ59" s="61"/>
      <c r="IA59" s="61"/>
      <c r="IB59" s="61"/>
      <c r="IC59" s="61"/>
      <c r="ID59" s="61"/>
      <c r="IE59" s="61"/>
      <c r="IF59" s="61"/>
      <c r="IG59" s="61"/>
      <c r="IH59" s="61"/>
      <c r="II59" s="61"/>
      <c r="IJ59" s="61"/>
      <c r="IK59" s="61"/>
      <c r="IL59" s="61"/>
      <c r="IM59" s="61"/>
      <c r="IN59" s="61"/>
      <c r="IO59" s="61"/>
      <c r="IP59" s="61"/>
      <c r="IQ59" s="61"/>
      <c r="IR59" s="61"/>
      <c r="IS59" s="61"/>
      <c r="IT59" s="61"/>
      <c r="IU59" s="61"/>
      <c r="IV59" s="61"/>
      <c r="IW59" s="61"/>
    </row>
    <row r="60" customFormat="false" ht="12" hidden="false" customHeight="false" outlineLevel="0" collapsed="false"/>
    <row r="61" customFormat="false" ht="11.25" hidden="false" customHeight="false" outlineLevel="0" collapsed="false">
      <c r="E61" s="69" t="s">
        <v>84</v>
      </c>
      <c r="G61" s="34" t="n">
        <v>-414000</v>
      </c>
      <c r="I61" s="69" t="s">
        <v>84</v>
      </c>
      <c r="K61" s="34" t="n">
        <v>414000</v>
      </c>
      <c r="Q61" s="33" t="s">
        <v>60</v>
      </c>
      <c r="S61" s="34" t="n">
        <f aca="false">U59</f>
        <v>1065816.191</v>
      </c>
      <c r="AC61" s="70" t="s">
        <v>85</v>
      </c>
      <c r="AE61" s="34" t="n">
        <f aca="false">Q59</f>
        <v>351379.574</v>
      </c>
    </row>
    <row r="62" customFormat="false" ht="13.5" hidden="false" customHeight="true" outlineLevel="0" collapsed="false">
      <c r="E62" s="71" t="s">
        <v>7</v>
      </c>
      <c r="F62" s="61"/>
      <c r="G62" s="65" t="n">
        <f aca="false">SUM(G59:G61)</f>
        <v>3384121.46</v>
      </c>
      <c r="I62" s="71" t="s">
        <v>7</v>
      </c>
      <c r="K62" s="65" t="n">
        <f aca="false">SUM(K59:K61)</f>
        <v>610008.119</v>
      </c>
      <c r="Q62" s="33" t="s">
        <v>86</v>
      </c>
      <c r="S62" s="34" t="n">
        <f aca="false">W59</f>
        <v>3234950.936</v>
      </c>
      <c r="AC62" s="72" t="s">
        <v>7</v>
      </c>
      <c r="AD62" s="61"/>
      <c r="AE62" s="65" t="n">
        <f aca="false">SUM(AE59:AE61)</f>
        <v>1507637.074</v>
      </c>
    </row>
    <row r="63" customFormat="false" ht="12" hidden="false" customHeight="false" outlineLevel="0" collapsed="false">
      <c r="Q63" s="33" t="s">
        <v>62</v>
      </c>
      <c r="S63" s="34" t="n">
        <f aca="false">Y59</f>
        <v>749581.253</v>
      </c>
    </row>
    <row r="64" customFormat="false" ht="11.25" hidden="false" customHeight="false" outlineLevel="0" collapsed="false">
      <c r="Q64" s="33" t="s">
        <v>87</v>
      </c>
      <c r="S64" s="34" t="n">
        <f aca="false">AA59</f>
        <v>35371.545</v>
      </c>
    </row>
    <row r="65" customFormat="false" ht="11.25" hidden="false" customHeight="false" outlineLevel="0" collapsed="false">
      <c r="Q65" s="33" t="s">
        <v>88</v>
      </c>
      <c r="S65" s="34" t="n">
        <f aca="false">AK59</f>
        <v>252388.199</v>
      </c>
    </row>
    <row r="66" customFormat="false" ht="14.25" hidden="false" customHeight="true" outlineLevel="0" collapsed="false">
      <c r="C66" s="73"/>
      <c r="Q66" s="61" t="s">
        <v>89</v>
      </c>
      <c r="R66" s="61"/>
      <c r="S66" s="65" t="n">
        <f aca="false">SUM(S59:S65)</f>
        <v>6283919.854</v>
      </c>
    </row>
    <row r="67" customFormat="false" ht="12" hidden="false" customHeight="false" outlineLevel="0" collapsed="false"/>
    <row r="68" customFormat="false" ht="11.25" hidden="false" customHeight="false" outlineLevel="0" collapsed="false">
      <c r="C68" s="73"/>
    </row>
    <row r="70" customFormat="false" ht="11.25" hidden="false" customHeight="false" outlineLevel="0" collapsed="false">
      <c r="C70" s="73"/>
    </row>
  </sheetData>
  <printOptions headings="false" gridLines="false" gridLinesSet="true" horizontalCentered="false" verticalCentered="false"/>
  <pageMargins left="0.5" right="0.5" top="0.984027777777778" bottom="0.75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1" activeCellId="0" sqref="D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8" width="6.41"/>
    <col collapsed="false" customWidth="true" hidden="false" outlineLevel="0" max="2" min="2" style="28" width="22.42"/>
    <col collapsed="false" customWidth="true" hidden="false" outlineLevel="0" max="3" min="3" style="1" width="3.28"/>
    <col collapsed="false" customWidth="true" hidden="false" outlineLevel="0" max="4" min="4" style="0" width="3.99"/>
    <col collapsed="false" customWidth="true" hidden="false" outlineLevel="0" max="5" min="5" style="0" width="11.28"/>
    <col collapsed="false" customWidth="true" hidden="false" outlineLevel="0" max="6" min="6" style="0" width="3.14"/>
    <col collapsed="false" customWidth="true" hidden="false" outlineLevel="0" max="7" min="7" style="74" width="17.28"/>
    <col collapsed="false" customWidth="true" hidden="false" outlineLevel="0" max="8" min="8" style="0" width="2.99"/>
    <col collapsed="false" customWidth="true" hidden="false" outlineLevel="0" max="9" min="9" style="0" width="11.28"/>
    <col collapsed="false" customWidth="true" hidden="false" outlineLevel="0" max="10" min="10" style="0" width="2.28"/>
    <col collapsed="false" customWidth="true" hidden="false" outlineLevel="0" max="11" min="11" style="0" width="10.28"/>
    <col collapsed="false" customWidth="true" hidden="false" outlineLevel="0" max="12" min="12" style="0" width="2.28"/>
    <col collapsed="false" customWidth="true" hidden="false" outlineLevel="0" max="13" min="13" style="0" width="7.56"/>
    <col collapsed="false" customWidth="true" hidden="false" outlineLevel="0" max="14" min="14" style="0" width="13.99"/>
    <col collapsed="false" customWidth="true" hidden="false" outlineLevel="0" max="15" min="15" style="0" width="2.7"/>
    <col collapsed="false" customWidth="true" hidden="false" outlineLevel="0" max="16" min="16" style="0" width="11.42"/>
    <col collapsed="false" customWidth="true" hidden="false" outlineLevel="0" max="17" min="17" style="0" width="2.56"/>
    <col collapsed="false" customWidth="true" hidden="false" outlineLevel="0" max="18" min="18" style="0" width="11.56"/>
    <col collapsed="false" customWidth="true" hidden="false" outlineLevel="0" max="19" min="19" style="0" width="2.28"/>
    <col collapsed="false" customWidth="true" hidden="false" outlineLevel="0" max="20" min="20" style="0" width="13.28"/>
    <col collapsed="false" customWidth="true" hidden="false" outlineLevel="0" max="21" min="21" style="0" width="1.41"/>
  </cols>
  <sheetData>
    <row r="1" customFormat="false" ht="12.75" hidden="false" customHeight="true" outlineLevel="0" collapsed="false">
      <c r="T1" s="31" t="n">
        <f aca="true">NOW()</f>
        <v>45926.9648145611</v>
      </c>
    </row>
    <row r="2" customFormat="false" ht="12.75" hidden="false" customHeight="false" outlineLevel="0" collapsed="false">
      <c r="A2" s="75" t="s">
        <v>90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customFormat="false" ht="15.75" hidden="false" customHeight="false" outlineLevel="0" collapsed="false">
      <c r="A3" s="75" t="s">
        <v>91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6"/>
      <c r="M3" s="6"/>
      <c r="N3" s="6"/>
      <c r="O3" s="6"/>
      <c r="P3" s="6"/>
      <c r="Q3" s="6"/>
      <c r="R3" s="6"/>
      <c r="S3" s="6"/>
      <c r="T3" s="6"/>
      <c r="U3" s="6"/>
      <c r="V3" s="15"/>
    </row>
    <row r="4" customFormat="false" ht="15.75" hidden="false" customHeight="false" outlineLevel="0" collapsed="false">
      <c r="E4" s="76"/>
      <c r="F4" s="76"/>
      <c r="G4" s="76"/>
      <c r="H4" s="76"/>
      <c r="I4" s="76"/>
      <c r="J4" s="76"/>
      <c r="K4" s="76"/>
      <c r="L4" s="6"/>
      <c r="M4" s="15"/>
      <c r="N4" s="6"/>
      <c r="O4" s="6"/>
      <c r="P4" s="6"/>
      <c r="Q4" s="6"/>
      <c r="R4" s="6"/>
      <c r="S4" s="6"/>
      <c r="T4" s="6"/>
      <c r="U4" s="6"/>
      <c r="V4" s="15"/>
    </row>
    <row r="5" customFormat="false" ht="12.75" hidden="false" customHeight="false" outlineLevel="0" collapsed="false">
      <c r="A5" s="11"/>
      <c r="B5" s="11"/>
      <c r="C5" s="9"/>
      <c r="D5" s="10"/>
      <c r="E5" s="10"/>
      <c r="F5" s="8"/>
      <c r="G5" s="77" t="s">
        <v>92</v>
      </c>
      <c r="H5" s="75"/>
      <c r="I5" s="8" t="s">
        <v>93</v>
      </c>
      <c r="J5" s="8"/>
      <c r="K5" s="10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customFormat="false" ht="12.75" hidden="false" customHeight="false" outlineLevel="0" collapsed="false">
      <c r="A6" s="78" t="s">
        <v>94</v>
      </c>
      <c r="B6" s="78" t="s">
        <v>95</v>
      </c>
      <c r="E6" s="13" t="s">
        <v>96</v>
      </c>
      <c r="F6" s="8"/>
      <c r="G6" s="79" t="s">
        <v>97</v>
      </c>
      <c r="H6" s="8"/>
      <c r="I6" s="13" t="s">
        <v>98</v>
      </c>
      <c r="J6" s="8"/>
      <c r="K6" s="13" t="s">
        <v>7</v>
      </c>
      <c r="L6" s="15"/>
      <c r="M6" s="15"/>
      <c r="N6" s="15"/>
      <c r="O6" s="15"/>
      <c r="P6" s="8"/>
      <c r="Q6" s="15"/>
      <c r="R6" s="8"/>
      <c r="S6" s="15"/>
      <c r="T6" s="80"/>
      <c r="U6" s="15"/>
      <c r="V6" s="15"/>
    </row>
    <row r="7" customFormat="false" ht="12.75" hidden="false" customHeight="false" outlineLevel="0" collapsed="false">
      <c r="E7" s="16"/>
      <c r="F7" s="16"/>
      <c r="G7" s="19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  <c r="U7" s="16"/>
      <c r="V7" s="15"/>
    </row>
    <row r="8" customFormat="false" ht="12.75" hidden="false" customHeight="false" outlineLevel="0" collapsed="false">
      <c r="A8" s="28" t="s">
        <v>25</v>
      </c>
      <c r="E8" s="19"/>
      <c r="F8" s="19"/>
      <c r="G8" s="19" t="n">
        <v>0</v>
      </c>
      <c r="H8" s="19"/>
      <c r="I8" s="19" t="n">
        <v>0</v>
      </c>
      <c r="J8" s="19"/>
      <c r="K8" s="19" t="n">
        <f aca="false">SUM(E8:J8)</f>
        <v>0</v>
      </c>
      <c r="L8" s="19"/>
      <c r="M8" s="19"/>
      <c r="N8" s="19"/>
      <c r="O8" s="19"/>
      <c r="P8" s="19"/>
      <c r="Q8" s="19"/>
      <c r="R8" s="19"/>
      <c r="S8" s="19"/>
      <c r="T8" s="21"/>
      <c r="U8" s="19"/>
      <c r="V8" s="15"/>
    </row>
    <row r="9" customFormat="false" ht="12.75" hidden="false" customHeight="false" outlineLevel="0" collapsed="false"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1"/>
      <c r="U9" s="19"/>
      <c r="V9" s="15"/>
    </row>
    <row r="10" customFormat="false" ht="12.75" hidden="false" customHeight="false" outlineLevel="0" collapsed="false">
      <c r="A10" s="28" t="s">
        <v>26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1"/>
      <c r="U10" s="19"/>
      <c r="V10" s="15"/>
    </row>
    <row r="11" customFormat="false" ht="12.75" hidden="false" customHeight="false" outlineLevel="0" collapsed="false">
      <c r="A11" s="28" t="s">
        <v>27</v>
      </c>
      <c r="B11" s="28" t="s">
        <v>99</v>
      </c>
      <c r="C11" s="1" t="n">
        <v>-1</v>
      </c>
      <c r="E11" s="16"/>
      <c r="F11" s="16"/>
      <c r="G11" s="16" t="n">
        <f aca="false">206.86/2</f>
        <v>103.43</v>
      </c>
      <c r="H11" s="16"/>
      <c r="I11" s="16" t="n">
        <v>498</v>
      </c>
      <c r="J11" s="16"/>
      <c r="K11" s="16" t="n">
        <f aca="false">SUM(E11:J11)</f>
        <v>601.43</v>
      </c>
      <c r="L11" s="19"/>
      <c r="M11" s="19"/>
      <c r="N11" s="19"/>
      <c r="O11" s="19"/>
      <c r="P11" s="19"/>
      <c r="Q11" s="19"/>
      <c r="R11" s="19"/>
      <c r="S11" s="19"/>
      <c r="T11" s="21"/>
      <c r="U11" s="19"/>
      <c r="V11" s="15"/>
    </row>
    <row r="12" customFormat="false" ht="12.75" hidden="false" customHeight="false" outlineLevel="0" collapsed="false">
      <c r="A12" s="28" t="s">
        <v>28</v>
      </c>
      <c r="C12" s="1" t="n">
        <v>-2</v>
      </c>
      <c r="E12" s="16"/>
      <c r="F12" s="16"/>
      <c r="G12" s="16" t="n">
        <f aca="false">71.44/2</f>
        <v>35.72</v>
      </c>
      <c r="H12" s="16"/>
      <c r="I12" s="16" t="n">
        <v>70</v>
      </c>
      <c r="J12" s="16"/>
      <c r="K12" s="16" t="n">
        <f aca="false">SUM(E12:J12)</f>
        <v>105.72</v>
      </c>
      <c r="L12" s="19"/>
      <c r="M12" s="19"/>
      <c r="N12" s="19"/>
      <c r="O12" s="19"/>
      <c r="P12" s="19"/>
      <c r="Q12" s="19"/>
      <c r="R12" s="19"/>
      <c r="S12" s="19"/>
      <c r="T12" s="21"/>
      <c r="U12" s="19"/>
      <c r="V12" s="15"/>
    </row>
    <row r="13" customFormat="false" ht="12.75" hidden="false" customHeight="false" outlineLevel="0" collapsed="false">
      <c r="A13" s="28" t="s">
        <v>29</v>
      </c>
      <c r="C13" s="1" t="n">
        <v>-3</v>
      </c>
      <c r="E13" s="16"/>
      <c r="F13" s="16"/>
      <c r="G13" s="16" t="n">
        <f aca="false">788.211/2</f>
        <v>394.1055</v>
      </c>
      <c r="H13" s="16"/>
      <c r="I13" s="16"/>
      <c r="J13" s="16"/>
      <c r="K13" s="16" t="n">
        <f aca="false">SUM(E13:J13)</f>
        <v>394.1055</v>
      </c>
      <c r="L13" s="19"/>
      <c r="M13" s="19"/>
      <c r="N13" s="19"/>
      <c r="O13" s="19"/>
      <c r="P13" s="19"/>
      <c r="Q13" s="19"/>
      <c r="R13" s="19"/>
      <c r="S13" s="19"/>
      <c r="T13" s="21"/>
      <c r="U13" s="19"/>
      <c r="V13" s="15"/>
    </row>
    <row r="14" customFormat="false" ht="12.75" hidden="false" customHeight="false" outlineLevel="0" collapsed="false">
      <c r="A14" s="28" t="s">
        <v>30</v>
      </c>
      <c r="E14" s="23"/>
      <c r="F14" s="16"/>
      <c r="G14" s="23" t="n">
        <f aca="false">8.152/2</f>
        <v>4.076</v>
      </c>
      <c r="H14" s="16"/>
      <c r="I14" s="23"/>
      <c r="J14" s="16"/>
      <c r="K14" s="23" t="n">
        <f aca="false">SUM(E14:J14)</f>
        <v>4.076</v>
      </c>
      <c r="L14" s="19"/>
      <c r="M14" s="19"/>
      <c r="N14" s="19"/>
      <c r="O14" s="19"/>
      <c r="P14" s="19"/>
      <c r="Q14" s="19"/>
      <c r="R14" s="19"/>
      <c r="S14" s="19"/>
      <c r="T14" s="21"/>
      <c r="U14" s="19"/>
      <c r="V14" s="15"/>
    </row>
    <row r="15" customFormat="false" ht="12.75" hidden="false" customHeight="false" outlineLevel="0" collapsed="false">
      <c r="A15" s="28" t="s">
        <v>31</v>
      </c>
      <c r="E15" s="16" t="n">
        <f aca="false">SUM(E11:E14)</f>
        <v>0</v>
      </c>
      <c r="F15" s="16"/>
      <c r="G15" s="16" t="n">
        <f aca="false">SUM(G11:G14)</f>
        <v>537.3315</v>
      </c>
      <c r="H15" s="16"/>
      <c r="I15" s="16" t="n">
        <f aca="false">SUM(I11:I14)</f>
        <v>568</v>
      </c>
      <c r="J15" s="16"/>
      <c r="K15" s="16" t="n">
        <f aca="false">SUM(K11:K14)</f>
        <v>1105.3315</v>
      </c>
      <c r="L15" s="19"/>
      <c r="M15" s="19"/>
      <c r="N15" s="19"/>
      <c r="O15" s="19"/>
      <c r="P15" s="19"/>
      <c r="Q15" s="19"/>
      <c r="R15" s="19"/>
      <c r="S15" s="19"/>
      <c r="T15" s="21"/>
      <c r="U15" s="19"/>
      <c r="V15" s="15"/>
    </row>
    <row r="16" customFormat="false" ht="12.75" hidden="false" customHeight="false" outlineLevel="0" collapsed="false">
      <c r="E16" s="16"/>
      <c r="F16" s="16"/>
      <c r="G16" s="16"/>
      <c r="H16" s="16"/>
      <c r="I16" s="16"/>
      <c r="J16" s="16"/>
      <c r="K16" s="16"/>
      <c r="L16" s="19"/>
      <c r="M16" s="19"/>
      <c r="N16" s="19"/>
      <c r="O16" s="19"/>
      <c r="P16" s="19"/>
      <c r="Q16" s="19"/>
      <c r="R16" s="19"/>
      <c r="S16" s="19"/>
      <c r="T16" s="21"/>
      <c r="U16" s="19"/>
      <c r="V16" s="15"/>
    </row>
    <row r="17" customFormat="false" ht="12.75" hidden="false" customHeight="false" outlineLevel="0" collapsed="false">
      <c r="E17" s="16"/>
      <c r="F17" s="16"/>
      <c r="G17" s="16"/>
      <c r="H17" s="16"/>
      <c r="I17" s="16"/>
      <c r="J17" s="16"/>
      <c r="K17" s="16"/>
      <c r="L17" s="19"/>
      <c r="M17" s="19"/>
      <c r="N17" s="19"/>
      <c r="O17" s="19"/>
      <c r="P17" s="19"/>
      <c r="Q17" s="19"/>
      <c r="R17" s="19"/>
      <c r="S17" s="19"/>
      <c r="T17" s="21"/>
      <c r="U17" s="19"/>
      <c r="V17" s="15"/>
    </row>
    <row r="18" customFormat="false" ht="12.75" hidden="false" customHeight="false" outlineLevel="0" collapsed="false">
      <c r="A18" s="28" t="s">
        <v>32</v>
      </c>
      <c r="C18" s="1" t="n">
        <v>-4</v>
      </c>
      <c r="E18" s="16"/>
      <c r="F18" s="16"/>
      <c r="G18" s="16"/>
      <c r="H18" s="16"/>
      <c r="I18" s="16" t="n">
        <v>56.6</v>
      </c>
      <c r="J18" s="16"/>
      <c r="K18" s="16" t="n">
        <f aca="false">SUM(E18:J18)</f>
        <v>56.6</v>
      </c>
      <c r="L18" s="19"/>
      <c r="M18" s="19"/>
      <c r="N18" s="19"/>
      <c r="O18" s="19"/>
      <c r="P18" s="19"/>
      <c r="Q18" s="19"/>
      <c r="R18" s="19"/>
      <c r="S18" s="19"/>
      <c r="T18" s="21"/>
      <c r="U18" s="19"/>
      <c r="V18" s="15"/>
    </row>
    <row r="19" customFormat="false" ht="12.75" hidden="false" customHeight="false" outlineLevel="0" collapsed="false">
      <c r="B19" s="28" t="s">
        <v>20</v>
      </c>
      <c r="E19" s="16"/>
      <c r="F19" s="16"/>
      <c r="G19" s="16"/>
      <c r="H19" s="16"/>
      <c r="I19" s="16"/>
      <c r="J19" s="16"/>
      <c r="K19" s="16" t="n">
        <f aca="false">SUM(E19:J19)</f>
        <v>0</v>
      </c>
      <c r="L19" s="19"/>
      <c r="M19" s="19"/>
      <c r="N19" s="19"/>
      <c r="O19" s="19"/>
      <c r="P19" s="19"/>
      <c r="Q19" s="19"/>
      <c r="R19" s="19"/>
      <c r="S19" s="19"/>
      <c r="T19" s="21"/>
      <c r="U19" s="19"/>
      <c r="V19" s="15"/>
    </row>
    <row r="20" customFormat="false" ht="12.75" hidden="false" customHeight="false" outlineLevel="0" collapsed="false">
      <c r="A20" s="28" t="s">
        <v>33</v>
      </c>
      <c r="E20" s="16"/>
      <c r="F20" s="16"/>
      <c r="G20" s="16"/>
      <c r="H20" s="16"/>
      <c r="I20" s="16"/>
      <c r="J20" s="16"/>
      <c r="K20" s="16" t="n">
        <f aca="false">SUM(E20:J20)</f>
        <v>0</v>
      </c>
      <c r="L20" s="19"/>
      <c r="M20" s="19"/>
      <c r="N20" s="19"/>
      <c r="O20" s="19"/>
      <c r="P20" s="19"/>
      <c r="Q20" s="19"/>
      <c r="R20" s="19"/>
      <c r="S20" s="19"/>
      <c r="T20" s="21"/>
      <c r="U20" s="19"/>
      <c r="V20" s="15"/>
    </row>
    <row r="21" customFormat="false" ht="12.75" hidden="false" customHeight="false" outlineLevel="0" collapsed="false">
      <c r="E21" s="16"/>
      <c r="F21" s="16"/>
      <c r="G21" s="16"/>
      <c r="H21" s="16"/>
      <c r="I21" s="16"/>
      <c r="J21" s="16"/>
      <c r="K21" s="16" t="n">
        <f aca="false">SUM(E21:J21)</f>
        <v>0</v>
      </c>
      <c r="L21" s="19"/>
      <c r="M21" s="19"/>
      <c r="N21" s="19"/>
      <c r="O21" s="19"/>
      <c r="P21" s="19"/>
      <c r="Q21" s="19"/>
      <c r="R21" s="19"/>
      <c r="S21" s="19"/>
      <c r="T21" s="21"/>
      <c r="U21" s="19"/>
      <c r="V21" s="15"/>
    </row>
    <row r="22" customFormat="false" ht="12.75" hidden="false" customHeight="false" outlineLevel="0" collapsed="false">
      <c r="A22" s="28" t="s">
        <v>34</v>
      </c>
      <c r="E22" s="16" t="n">
        <v>110</v>
      </c>
      <c r="F22" s="16"/>
      <c r="G22" s="16"/>
      <c r="H22" s="16"/>
      <c r="I22" s="16"/>
      <c r="J22" s="16"/>
      <c r="K22" s="16" t="n">
        <f aca="false">SUM(E22:J22)</f>
        <v>110</v>
      </c>
      <c r="L22" s="19"/>
      <c r="M22" s="19"/>
      <c r="N22" s="19"/>
      <c r="O22" s="19"/>
      <c r="P22" s="19"/>
      <c r="Q22" s="19"/>
      <c r="R22" s="19"/>
      <c r="S22" s="19"/>
      <c r="T22" s="21"/>
      <c r="U22" s="19"/>
      <c r="V22" s="15"/>
    </row>
    <row r="23" customFormat="false" ht="12.75" hidden="false" customHeight="false" outlineLevel="0" collapsed="false">
      <c r="A23" s="28" t="s">
        <v>35</v>
      </c>
      <c r="E23" s="16"/>
      <c r="F23" s="16"/>
      <c r="G23" s="16"/>
      <c r="H23" s="16"/>
      <c r="I23" s="16"/>
      <c r="J23" s="16"/>
      <c r="K23" s="16" t="n">
        <f aca="false">SUM(E23:J23)</f>
        <v>0</v>
      </c>
      <c r="L23" s="19"/>
      <c r="M23" s="19"/>
      <c r="N23" s="19"/>
      <c r="O23" s="19"/>
      <c r="P23" s="19"/>
      <c r="Q23" s="19"/>
      <c r="R23" s="19"/>
      <c r="S23" s="19"/>
      <c r="T23" s="21"/>
      <c r="U23" s="19"/>
      <c r="V23" s="15"/>
    </row>
    <row r="24" customFormat="false" ht="12.75" hidden="false" customHeight="false" outlineLevel="0" collapsed="false">
      <c r="A24" s="28" t="s">
        <v>36</v>
      </c>
      <c r="E24" s="16"/>
      <c r="F24" s="16"/>
      <c r="G24" s="16"/>
      <c r="H24" s="16"/>
      <c r="I24" s="16"/>
      <c r="J24" s="16"/>
      <c r="K24" s="16" t="n">
        <f aca="false">SUM(E24:J24)</f>
        <v>0</v>
      </c>
      <c r="L24" s="19"/>
      <c r="M24" s="19"/>
      <c r="N24" s="19"/>
      <c r="O24" s="19"/>
      <c r="P24" s="19"/>
      <c r="Q24" s="19"/>
      <c r="R24" s="19"/>
      <c r="S24" s="19"/>
      <c r="T24" s="21"/>
      <c r="U24" s="19"/>
      <c r="V24" s="15"/>
    </row>
    <row r="25" customFormat="false" ht="12.75" hidden="false" customHeight="false" outlineLevel="0" collapsed="false">
      <c r="A25" s="28" t="s">
        <v>37</v>
      </c>
      <c r="E25" s="16"/>
      <c r="F25" s="16"/>
      <c r="G25" s="16"/>
      <c r="H25" s="16"/>
      <c r="I25" s="16"/>
      <c r="J25" s="16"/>
      <c r="K25" s="16" t="n">
        <f aca="false">SUM(E25:J25)</f>
        <v>0</v>
      </c>
      <c r="L25" s="19"/>
      <c r="M25" s="19"/>
      <c r="N25" s="19"/>
      <c r="O25" s="19"/>
      <c r="P25" s="19"/>
      <c r="Q25" s="19"/>
      <c r="R25" s="19"/>
      <c r="S25" s="19"/>
      <c r="T25" s="21"/>
      <c r="U25" s="19"/>
      <c r="V25" s="15"/>
    </row>
    <row r="26" customFormat="false" ht="12.75" hidden="false" customHeight="false" outlineLevel="0" collapsed="false">
      <c r="A26" s="28" t="s">
        <v>38</v>
      </c>
      <c r="C26" s="1" t="n">
        <v>-5</v>
      </c>
      <c r="E26" s="16"/>
      <c r="F26" s="16"/>
      <c r="G26" s="16"/>
      <c r="H26" s="16"/>
      <c r="I26" s="16" t="n">
        <v>830</v>
      </c>
      <c r="J26" s="16"/>
      <c r="K26" s="16" t="n">
        <f aca="false">SUM(E26:J26)</f>
        <v>830</v>
      </c>
      <c r="L26" s="19"/>
      <c r="M26" s="19"/>
      <c r="N26" s="19"/>
      <c r="O26" s="19"/>
      <c r="P26" s="19"/>
      <c r="Q26" s="19"/>
      <c r="R26" s="19"/>
      <c r="S26" s="19"/>
      <c r="T26" s="21"/>
      <c r="U26" s="19"/>
      <c r="V26" s="15"/>
    </row>
    <row r="27" customFormat="false" ht="12.75" hidden="false" customHeight="false" outlineLevel="0" collapsed="false">
      <c r="A27" s="28" t="s">
        <v>39</v>
      </c>
      <c r="C27" s="1" t="n">
        <v>-6</v>
      </c>
      <c r="E27" s="16" t="n">
        <v>434</v>
      </c>
      <c r="F27" s="16"/>
      <c r="G27" s="16" t="n">
        <f aca="false">426.96/2</f>
        <v>213.48</v>
      </c>
      <c r="H27" s="16"/>
      <c r="I27" s="16"/>
      <c r="J27" s="16"/>
      <c r="K27" s="16" t="n">
        <f aca="false">SUM(E27:J27)</f>
        <v>647.48</v>
      </c>
      <c r="L27" s="19"/>
      <c r="M27" s="19"/>
      <c r="N27" s="81"/>
      <c r="O27" s="19"/>
      <c r="P27" s="19"/>
      <c r="Q27" s="19"/>
      <c r="R27" s="19"/>
      <c r="S27" s="19"/>
      <c r="T27" s="21"/>
      <c r="U27" s="19"/>
      <c r="V27" s="15"/>
    </row>
    <row r="28" customFormat="false" ht="12.75" hidden="false" customHeight="false" outlineLevel="0" collapsed="false">
      <c r="E28" s="16"/>
      <c r="F28" s="16"/>
      <c r="G28" s="16"/>
      <c r="H28" s="16"/>
      <c r="I28" s="16"/>
      <c r="J28" s="16"/>
      <c r="K28" s="16" t="n">
        <f aca="false">SUM(E28:J28)</f>
        <v>0</v>
      </c>
      <c r="L28" s="19"/>
      <c r="M28" s="19"/>
      <c r="N28" s="19"/>
      <c r="O28" s="19"/>
      <c r="P28" s="19"/>
      <c r="Q28" s="19"/>
      <c r="R28" s="19"/>
      <c r="S28" s="19"/>
      <c r="T28" s="17"/>
      <c r="U28" s="19"/>
      <c r="V28" s="15"/>
    </row>
    <row r="29" customFormat="false" ht="13.5" hidden="false" customHeight="false" outlineLevel="0" collapsed="false">
      <c r="A29" s="28" t="s">
        <v>40</v>
      </c>
      <c r="C29" s="30"/>
      <c r="D29" s="28"/>
      <c r="E29" s="82" t="n">
        <f aca="false">SUM(E8:E28)</f>
        <v>544</v>
      </c>
      <c r="F29" s="83"/>
      <c r="G29" s="82" t="n">
        <f aca="false">SUM(G8:G28)</f>
        <v>1288.143</v>
      </c>
      <c r="H29" s="83"/>
      <c r="I29" s="82" t="n">
        <f aca="false">SUM(I7:I28)</f>
        <v>2022.6</v>
      </c>
      <c r="J29" s="83"/>
      <c r="K29" s="82" t="n">
        <f aca="false">SUM(K7:K28)</f>
        <v>3854.743</v>
      </c>
      <c r="L29" s="84"/>
      <c r="M29" s="84"/>
      <c r="N29" s="84"/>
      <c r="O29" s="84"/>
      <c r="P29" s="84"/>
      <c r="Q29" s="84"/>
      <c r="R29" s="84"/>
      <c r="S29" s="84"/>
      <c r="T29" s="85"/>
      <c r="U29" s="84"/>
      <c r="V29" s="86"/>
    </row>
    <row r="30" customFormat="false" ht="13.5" hidden="false" customHeight="false" outlineLevel="0" collapsed="false">
      <c r="E30" s="15"/>
      <c r="F30" s="15"/>
      <c r="G30" s="19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21"/>
      <c r="U30" s="15"/>
      <c r="V30" s="15"/>
    </row>
    <row r="31" customFormat="false" ht="12.75" hidden="false" customHeight="false" outlineLevel="0" collapsed="false">
      <c r="G31" s="19"/>
      <c r="M31" s="15"/>
      <c r="T31" s="29"/>
    </row>
    <row r="32" customFormat="false" ht="12" hidden="false" customHeight="true" outlineLevel="0" collapsed="false">
      <c r="A32" s="1" t="n">
        <v>-1</v>
      </c>
      <c r="B32" s="32" t="s">
        <v>100</v>
      </c>
      <c r="G32" s="19"/>
      <c r="M32" s="15"/>
      <c r="T32" s="29"/>
    </row>
    <row r="33" customFormat="false" ht="12.75" hidden="true" customHeight="false" outlineLevel="0" collapsed="false">
      <c r="A33" s="1" t="s">
        <v>41</v>
      </c>
      <c r="B33" s="32" t="s">
        <v>42</v>
      </c>
      <c r="M33" s="15"/>
    </row>
    <row r="34" customFormat="false" ht="12.75" hidden="true" customHeight="false" outlineLevel="0" collapsed="false">
      <c r="A34" s="1"/>
      <c r="B34" s="32" t="s">
        <v>43</v>
      </c>
      <c r="M34" s="15"/>
    </row>
    <row r="35" customFormat="false" ht="12.75" hidden="true" customHeight="false" outlineLevel="0" collapsed="false">
      <c r="A35" s="1"/>
      <c r="B35" s="32" t="s">
        <v>44</v>
      </c>
      <c r="M35" s="15"/>
    </row>
    <row r="36" customFormat="false" ht="12.75" hidden="true" customHeight="false" outlineLevel="0" collapsed="false">
      <c r="A36" s="1"/>
      <c r="B36" s="32" t="s">
        <v>45</v>
      </c>
      <c r="M36" s="15"/>
      <c r="T36" s="31" t="n">
        <f aca="true">NOW()</f>
        <v>45926.9648145622</v>
      </c>
    </row>
    <row r="37" customFormat="false" ht="12.75" hidden="false" customHeight="false" outlineLevel="0" collapsed="false">
      <c r="A37" s="1"/>
      <c r="B37" s="32" t="s">
        <v>101</v>
      </c>
      <c r="M37" s="15"/>
    </row>
    <row r="38" customFormat="false" ht="12.75" hidden="false" customHeight="false" outlineLevel="0" collapsed="false">
      <c r="A38" s="1" t="n">
        <v>-2</v>
      </c>
      <c r="B38" s="32" t="s">
        <v>102</v>
      </c>
      <c r="M38" s="15"/>
    </row>
    <row r="39" customFormat="false" ht="12.75" hidden="false" customHeight="false" outlineLevel="0" collapsed="false">
      <c r="A39" s="1"/>
      <c r="B39" s="32" t="s">
        <v>103</v>
      </c>
      <c r="M39" s="15"/>
    </row>
    <row r="40" customFormat="false" ht="12.75" hidden="false" customHeight="false" outlineLevel="0" collapsed="false">
      <c r="A40" s="1" t="n">
        <v>-3</v>
      </c>
      <c r="B40" s="32" t="s">
        <v>104</v>
      </c>
      <c r="M40" s="15"/>
    </row>
    <row r="41" customFormat="false" ht="12.75" hidden="false" customHeight="false" outlineLevel="0" collapsed="false">
      <c r="A41" s="1" t="n">
        <v>-4</v>
      </c>
      <c r="B41" s="32" t="s">
        <v>105</v>
      </c>
      <c r="M41" s="15"/>
    </row>
    <row r="42" customFormat="false" ht="12.75" hidden="false" customHeight="false" outlineLevel="0" collapsed="false">
      <c r="A42" s="1" t="n">
        <v>-5</v>
      </c>
      <c r="B42" s="32" t="s">
        <v>106</v>
      </c>
    </row>
    <row r="43" customFormat="false" ht="12.75" hidden="false" customHeight="false" outlineLevel="0" collapsed="false">
      <c r="A43" s="1" t="n">
        <v>-6</v>
      </c>
      <c r="B43" s="32" t="s">
        <v>107</v>
      </c>
    </row>
    <row r="44" customFormat="false" ht="12.75" hidden="false" customHeight="false" outlineLevel="0" collapsed="false">
      <c r="A44" s="1"/>
      <c r="B44" s="32" t="s">
        <v>108</v>
      </c>
    </row>
    <row r="45" customFormat="false" ht="12.75" hidden="false" customHeight="false" outlineLevel="0" collapsed="false">
      <c r="A45" s="1"/>
    </row>
    <row r="46" customFormat="false" ht="12.75" hidden="false" customHeight="false" outlineLevel="0" collapsed="false">
      <c r="A46" s="1"/>
    </row>
    <row r="47" customFormat="false" ht="12.75" hidden="false" customHeight="false" outlineLevel="0" collapsed="false">
      <c r="A47" s="1"/>
    </row>
    <row r="48" customFormat="false" ht="12.75" hidden="false" customHeight="false" outlineLevel="0" collapsed="false">
      <c r="A48" s="1"/>
    </row>
    <row r="49" customFormat="false" ht="12.75" hidden="false" customHeight="false" outlineLevel="0" collapsed="false">
      <c r="A49" s="1"/>
    </row>
    <row r="50" customFormat="false" ht="12.75" hidden="false" customHeight="false" outlineLevel="0" collapsed="false">
      <c r="A50" s="1"/>
    </row>
    <row r="51" customFormat="false" ht="12.75" hidden="false" customHeight="false" outlineLevel="0" collapsed="false">
      <c r="A51" s="1"/>
    </row>
    <row r="52" customFormat="false" ht="12.75" hidden="false" customHeight="false" outlineLevel="0" collapsed="false">
      <c r="A52" s="1"/>
    </row>
    <row r="53" customFormat="false" ht="12.75" hidden="false" customHeight="false" outlineLevel="0" collapsed="false">
      <c r="A53" s="30"/>
    </row>
    <row r="54" customFormat="false" ht="12.75" hidden="false" customHeight="false" outlineLevel="0" collapsed="false">
      <c r="A54" s="30"/>
    </row>
    <row r="55" customFormat="false" ht="12.75" hidden="false" customHeight="false" outlineLevel="0" collapsed="false">
      <c r="A55" s="30"/>
    </row>
    <row r="56" customFormat="false" ht="12.75" hidden="false" customHeight="false" outlineLevel="0" collapsed="false">
      <c r="A56" s="30"/>
    </row>
    <row r="57" customFormat="false" ht="12.75" hidden="false" customHeight="false" outlineLevel="0" collapsed="false">
      <c r="A57" s="30"/>
    </row>
    <row r="58" customFormat="false" ht="12.75" hidden="false" customHeight="false" outlineLevel="0" collapsed="false">
      <c r="A58" s="30"/>
    </row>
    <row r="59" customFormat="false" ht="12.75" hidden="false" customHeight="false" outlineLevel="0" collapsed="false">
      <c r="A59" s="30"/>
    </row>
    <row r="60" customFormat="false" ht="12.75" hidden="false" customHeight="false" outlineLevel="0" collapsed="false">
      <c r="A60" s="30"/>
    </row>
    <row r="61" customFormat="false" ht="12.75" hidden="false" customHeight="false" outlineLevel="0" collapsed="false">
      <c r="A61" s="30"/>
    </row>
  </sheetData>
  <mergeCells count="4">
    <mergeCell ref="A2:K2"/>
    <mergeCell ref="A3:K3"/>
    <mergeCell ref="E4:K4"/>
    <mergeCell ref="N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7" activeCellId="0" sqref="E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.41"/>
    <col collapsed="false" customWidth="true" hidden="false" outlineLevel="0" max="4" min="4" style="0" width="8.7"/>
    <col collapsed="false" customWidth="true" hidden="false" outlineLevel="0" max="6" min="6" style="0" width="3.7"/>
    <col collapsed="false" customWidth="true" hidden="false" outlineLevel="0" max="7" min="7" style="0" width="16.42"/>
    <col collapsed="false" customWidth="true" hidden="false" outlineLevel="0" max="8" min="8" style="0" width="3.7"/>
    <col collapsed="false" customWidth="true" hidden="false" outlineLevel="0" max="9" min="9" style="0" width="17.42"/>
    <col collapsed="false" customWidth="true" hidden="false" outlineLevel="0" max="10" min="10" style="0" width="3.7"/>
    <col collapsed="false" customWidth="true" hidden="false" outlineLevel="0" max="11" min="11" style="0" width="25.28"/>
    <col collapsed="false" customWidth="true" hidden="false" outlineLevel="0" max="12" min="12" style="0" width="3.7"/>
    <col collapsed="false" customWidth="true" hidden="false" outlineLevel="0" max="13" min="13" style="0" width="11.28"/>
  </cols>
  <sheetData>
    <row r="1" customFormat="false" ht="13.5" hidden="false" customHeight="false" outlineLevel="0" collapsed="false">
      <c r="E1" s="87" t="s">
        <v>109</v>
      </c>
      <c r="F1" s="87"/>
      <c r="G1" s="87"/>
      <c r="H1" s="87"/>
      <c r="I1" s="87"/>
      <c r="J1" s="87"/>
      <c r="K1" s="87"/>
      <c r="L1" s="87"/>
      <c r="M1" s="87"/>
    </row>
    <row r="2" customFormat="false" ht="12.75" hidden="false" customHeight="false" outlineLevel="0" collapsed="false">
      <c r="E2" s="11"/>
      <c r="F2" s="11"/>
      <c r="G2" s="11"/>
      <c r="H2" s="11"/>
      <c r="I2" s="11"/>
      <c r="J2" s="11"/>
      <c r="K2" s="11"/>
      <c r="L2" s="10"/>
      <c r="M2" s="11" t="s">
        <v>20</v>
      </c>
    </row>
    <row r="3" customFormat="false" ht="12.75" hidden="false" customHeight="false" outlineLevel="0" collapsed="false">
      <c r="E3" s="88" t="s">
        <v>110</v>
      </c>
      <c r="F3" s="89"/>
      <c r="G3" s="88" t="s">
        <v>111</v>
      </c>
      <c r="H3" s="89"/>
      <c r="I3" s="88" t="s">
        <v>112</v>
      </c>
      <c r="J3" s="89"/>
      <c r="K3" s="88" t="s">
        <v>113</v>
      </c>
      <c r="L3" s="89"/>
      <c r="M3" s="78" t="s">
        <v>114</v>
      </c>
    </row>
    <row r="5" customFormat="false" ht="12.75" hidden="false" customHeight="false" outlineLevel="0" collapsed="false">
      <c r="A5" s="0" t="s">
        <v>115</v>
      </c>
      <c r="E5" s="16"/>
      <c r="F5" s="16"/>
      <c r="G5" s="16"/>
      <c r="H5" s="16"/>
      <c r="I5" s="16"/>
      <c r="J5" s="16"/>
      <c r="K5" s="16"/>
      <c r="L5" s="16"/>
      <c r="M5" s="16"/>
    </row>
    <row r="6" customFormat="false" ht="12.75" hidden="false" customHeight="false" outlineLevel="0" collapsed="false">
      <c r="B6" s="0" t="s">
        <v>116</v>
      </c>
      <c r="E6" s="19" t="n">
        <v>391.4</v>
      </c>
      <c r="F6" s="19"/>
      <c r="G6" s="19" t="n">
        <v>0</v>
      </c>
      <c r="H6" s="19"/>
      <c r="I6" s="19" t="n">
        <f aca="false">E6-G6</f>
        <v>391.4</v>
      </c>
      <c r="J6" s="19"/>
      <c r="K6" s="19" t="n">
        <f aca="false">I6*0.3525</f>
        <v>137.9685</v>
      </c>
      <c r="L6" s="19"/>
      <c r="M6" s="19" t="n">
        <f aca="false">I6-K6</f>
        <v>253.4315</v>
      </c>
    </row>
    <row r="7" customFormat="false" ht="12.75" hidden="false" customHeight="false" outlineLevel="0" collapsed="false">
      <c r="E7" s="19"/>
      <c r="F7" s="19"/>
      <c r="G7" s="19"/>
      <c r="H7" s="19"/>
      <c r="I7" s="19"/>
      <c r="J7" s="19"/>
      <c r="K7" s="19"/>
      <c r="L7" s="19"/>
      <c r="M7" s="19"/>
    </row>
    <row r="8" customFormat="false" ht="12.75" hidden="false" customHeight="false" outlineLevel="0" collapsed="false">
      <c r="A8" s="0" t="s">
        <v>26</v>
      </c>
      <c r="E8" s="19"/>
      <c r="F8" s="19"/>
      <c r="G8" s="19"/>
      <c r="H8" s="19"/>
      <c r="I8" s="19"/>
      <c r="J8" s="19"/>
      <c r="K8" s="19"/>
      <c r="L8" s="19"/>
      <c r="M8" s="19"/>
    </row>
    <row r="9" customFormat="false" ht="12.75" hidden="false" customHeight="false" outlineLevel="0" collapsed="false">
      <c r="B9" s="0" t="s">
        <v>99</v>
      </c>
      <c r="E9" s="19" t="n">
        <f aca="false">937.1</f>
        <v>937.1</v>
      </c>
      <c r="F9" s="19"/>
      <c r="G9" s="19" t="n">
        <v>0</v>
      </c>
      <c r="H9" s="19"/>
      <c r="I9" s="19" t="n">
        <f aca="false">E9-G9</f>
        <v>937.1</v>
      </c>
      <c r="J9" s="19"/>
      <c r="K9" s="19" t="n">
        <f aca="false">937.1*0.3025</f>
        <v>283.47275</v>
      </c>
      <c r="L9" s="19"/>
      <c r="M9" s="19" t="n">
        <f aca="false">I9-K9</f>
        <v>653.62725</v>
      </c>
    </row>
    <row r="10" customFormat="false" ht="12.75" hidden="false" customHeight="false" outlineLevel="0" collapsed="false">
      <c r="B10" s="0" t="s">
        <v>55</v>
      </c>
      <c r="E10" s="19" t="n">
        <f aca="false">(220.5+77.4)</f>
        <v>297.9</v>
      </c>
      <c r="F10" s="19"/>
      <c r="G10" s="19" t="n">
        <v>0</v>
      </c>
      <c r="H10" s="19"/>
      <c r="I10" s="19" t="n">
        <f aca="false">E10-G10</f>
        <v>297.9</v>
      </c>
      <c r="J10" s="19"/>
      <c r="K10" s="19" t="n">
        <f aca="false">I10*0.4647</f>
        <v>138.43413</v>
      </c>
      <c r="L10" s="19"/>
      <c r="M10" s="19" t="n">
        <f aca="false">I10-K10</f>
        <v>159.46587</v>
      </c>
    </row>
    <row r="11" customFormat="false" ht="12.75" hidden="false" customHeight="false" outlineLevel="0" collapsed="false">
      <c r="B11" s="0" t="s">
        <v>117</v>
      </c>
      <c r="E11" s="19" t="n">
        <f aca="false">-0.8</f>
        <v>-0.8</v>
      </c>
      <c r="F11" s="19"/>
      <c r="G11" s="19" t="n">
        <v>0</v>
      </c>
      <c r="H11" s="19"/>
      <c r="I11" s="19" t="n">
        <f aca="false">E11-G11</f>
        <v>-0.8</v>
      </c>
      <c r="J11" s="19"/>
      <c r="K11" s="19" t="n">
        <f aca="false">I11*0.5745</f>
        <v>-0.4596</v>
      </c>
      <c r="L11" s="19"/>
      <c r="M11" s="19" t="n">
        <f aca="false">I11-K11</f>
        <v>-0.3404</v>
      </c>
    </row>
    <row r="12" customFormat="false" ht="12.75" hidden="false" customHeight="false" outlineLevel="0" collapsed="false">
      <c r="B12" s="0" t="s">
        <v>118</v>
      </c>
      <c r="E12" s="19" t="n">
        <v>284.6</v>
      </c>
      <c r="F12" s="19"/>
      <c r="G12" s="19" t="n">
        <v>49.1</v>
      </c>
      <c r="H12" s="19"/>
      <c r="I12" s="19" t="n">
        <f aca="false">E12-G12</f>
        <v>235.5</v>
      </c>
      <c r="J12" s="19"/>
      <c r="K12" s="19" t="n">
        <v>47.75772</v>
      </c>
      <c r="L12" s="19"/>
      <c r="M12" s="19" t="n">
        <f aca="false">I12-K12</f>
        <v>187.74228</v>
      </c>
    </row>
    <row r="13" customFormat="false" ht="12.75" hidden="false" customHeight="false" outlineLevel="0" collapsed="false">
      <c r="B13" s="0" t="s">
        <v>119</v>
      </c>
      <c r="E13" s="19" t="n">
        <v>102.5</v>
      </c>
      <c r="F13" s="19"/>
      <c r="G13" s="19" t="n">
        <v>0</v>
      </c>
      <c r="H13" s="19"/>
      <c r="I13" s="19" t="n">
        <f aca="false">E13-G13</f>
        <v>102.5</v>
      </c>
      <c r="J13" s="19"/>
      <c r="K13" s="19" t="n">
        <v>14.7</v>
      </c>
      <c r="L13" s="19"/>
      <c r="M13" s="19" t="n">
        <f aca="false">I13-K13</f>
        <v>87.8</v>
      </c>
    </row>
    <row r="14" customFormat="false" ht="12.75" hidden="false" customHeight="false" outlineLevel="0" collapsed="false">
      <c r="B14" s="0" t="s">
        <v>120</v>
      </c>
      <c r="E14" s="19" t="n">
        <f aca="false">144.9+231.7</f>
        <v>376.6</v>
      </c>
      <c r="F14" s="19"/>
      <c r="G14" s="19" t="n">
        <v>57.8</v>
      </c>
      <c r="H14" s="19"/>
      <c r="I14" s="19" t="n">
        <f aca="false">E14-G14</f>
        <v>318.8</v>
      </c>
      <c r="J14" s="19"/>
      <c r="K14" s="19" t="n">
        <f aca="false">27.2+85.7</f>
        <v>112.9</v>
      </c>
      <c r="L14" s="19"/>
      <c r="M14" s="19" t="n">
        <f aca="false">I14-K14</f>
        <v>205.9</v>
      </c>
    </row>
    <row r="15" customFormat="false" ht="12.75" hidden="false" customHeight="false" outlineLevel="0" collapsed="false">
      <c r="E15" s="19"/>
      <c r="F15" s="19"/>
      <c r="G15" s="19"/>
      <c r="H15" s="19"/>
      <c r="I15" s="19"/>
      <c r="J15" s="19"/>
      <c r="K15" s="19"/>
      <c r="L15" s="19"/>
      <c r="M15" s="19"/>
    </row>
    <row r="16" customFormat="false" ht="12.75" hidden="false" customHeight="false" outlineLevel="0" collapsed="false">
      <c r="A16" s="0" t="s">
        <v>121</v>
      </c>
      <c r="E16" s="19" t="n">
        <f aca="false">102.8</f>
        <v>102.8</v>
      </c>
      <c r="F16" s="19"/>
      <c r="G16" s="19" t="n">
        <v>0</v>
      </c>
      <c r="H16" s="19"/>
      <c r="I16" s="19" t="n">
        <f aca="false">E16-G16</f>
        <v>102.8</v>
      </c>
      <c r="J16" s="19"/>
      <c r="K16" s="19" t="n">
        <f aca="false">I16*0.4636</f>
        <v>47.65808</v>
      </c>
      <c r="L16" s="19"/>
      <c r="M16" s="19" t="n">
        <f aca="false">I16-K16</f>
        <v>55.14192</v>
      </c>
    </row>
    <row r="17" customFormat="false" ht="12.75" hidden="false" customHeight="false" outlineLevel="0" collapsed="false">
      <c r="B17" s="0" t="s">
        <v>20</v>
      </c>
      <c r="E17" s="19"/>
      <c r="F17" s="19"/>
      <c r="G17" s="19"/>
      <c r="H17" s="19"/>
      <c r="I17" s="19"/>
      <c r="J17" s="19"/>
      <c r="K17" s="19"/>
      <c r="L17" s="19"/>
      <c r="M17" s="19"/>
    </row>
    <row r="18" customFormat="false" ht="12.75" hidden="false" customHeight="false" outlineLevel="0" collapsed="false">
      <c r="A18" s="0" t="s">
        <v>66</v>
      </c>
      <c r="E18" s="19" t="n">
        <f aca="false">-60</f>
        <v>-60</v>
      </c>
      <c r="F18" s="19"/>
      <c r="G18" s="19" t="n">
        <v>0</v>
      </c>
      <c r="H18" s="19"/>
      <c r="I18" s="19" t="n">
        <f aca="false">E18-G18</f>
        <v>-60</v>
      </c>
      <c r="J18" s="19"/>
      <c r="K18" s="19" t="n">
        <f aca="false">I18*0.35</f>
        <v>-21</v>
      </c>
      <c r="L18" s="19"/>
      <c r="M18" s="19" t="n">
        <f aca="false">I18-K18</f>
        <v>-39</v>
      </c>
    </row>
    <row r="19" customFormat="false" ht="12.75" hidden="false" customHeight="false" outlineLevel="0" collapsed="false">
      <c r="E19" s="19"/>
      <c r="F19" s="19"/>
      <c r="G19" s="19"/>
      <c r="H19" s="19"/>
      <c r="I19" s="19"/>
      <c r="J19" s="19"/>
      <c r="K19" s="19"/>
      <c r="L19" s="19"/>
      <c r="M19" s="19"/>
    </row>
    <row r="20" customFormat="false" ht="12.75" hidden="false" customHeight="false" outlineLevel="0" collapsed="false">
      <c r="E20" s="19"/>
      <c r="F20" s="19"/>
      <c r="G20" s="19"/>
      <c r="H20" s="19"/>
      <c r="I20" s="19"/>
      <c r="J20" s="19"/>
      <c r="K20" s="19"/>
      <c r="L20" s="19"/>
      <c r="M20" s="19"/>
    </row>
    <row r="21" customFormat="false" ht="12.75" hidden="false" customHeight="false" outlineLevel="0" collapsed="false">
      <c r="A21" s="0" t="s">
        <v>34</v>
      </c>
      <c r="E21" s="19" t="n">
        <v>-13.3</v>
      </c>
      <c r="F21" s="19"/>
      <c r="G21" s="19" t="n">
        <v>0</v>
      </c>
      <c r="H21" s="19"/>
      <c r="I21" s="19" t="n">
        <f aca="false">E21-G21</f>
        <v>-13.3</v>
      </c>
      <c r="J21" s="19"/>
      <c r="K21" s="19" t="n">
        <v>-4.7</v>
      </c>
      <c r="L21" s="19"/>
      <c r="M21" s="19" t="n">
        <f aca="false">I21-K21</f>
        <v>-8.6</v>
      </c>
    </row>
    <row r="22" customFormat="false" ht="12.75" hidden="false" customHeight="false" outlineLevel="0" collapsed="false">
      <c r="A22" s="0" t="s">
        <v>35</v>
      </c>
      <c r="E22" s="19" t="n">
        <v>32.5</v>
      </c>
      <c r="F22" s="19"/>
      <c r="G22" s="19" t="n">
        <v>0</v>
      </c>
      <c r="H22" s="19"/>
      <c r="I22" s="19" t="n">
        <f aca="false">E22-G22</f>
        <v>32.5</v>
      </c>
      <c r="J22" s="19"/>
      <c r="K22" s="19" t="n">
        <v>20.3</v>
      </c>
      <c r="L22" s="19"/>
      <c r="M22" s="19" t="n">
        <f aca="false">I22-K22</f>
        <v>12.2</v>
      </c>
    </row>
    <row r="23" customFormat="false" ht="12.75" hidden="false" customHeight="false" outlineLevel="0" collapsed="false">
      <c r="A23" s="0" t="s">
        <v>36</v>
      </c>
      <c r="E23" s="19" t="n">
        <v>304.6</v>
      </c>
      <c r="F23" s="19"/>
      <c r="G23" s="19" t="n">
        <v>2.3</v>
      </c>
      <c r="H23" s="19"/>
      <c r="I23" s="19" t="n">
        <f aca="false">E23-G23</f>
        <v>302.3</v>
      </c>
      <c r="J23" s="19"/>
      <c r="K23" s="19" t="n">
        <v>141</v>
      </c>
      <c r="L23" s="19"/>
      <c r="M23" s="19" t="n">
        <f aca="false">I23-K23</f>
        <v>161.3</v>
      </c>
    </row>
    <row r="24" customFormat="false" ht="12.75" hidden="false" customHeight="false" outlineLevel="0" collapsed="false">
      <c r="A24" s="0" t="s">
        <v>122</v>
      </c>
      <c r="E24" s="19" t="n">
        <v>0</v>
      </c>
      <c r="F24" s="19"/>
      <c r="G24" s="19" t="n">
        <v>0</v>
      </c>
      <c r="H24" s="19"/>
      <c r="I24" s="19" t="n">
        <f aca="false">E24-G24</f>
        <v>0</v>
      </c>
      <c r="J24" s="19"/>
      <c r="K24" s="19" t="n">
        <v>0</v>
      </c>
      <c r="L24" s="19"/>
      <c r="M24" s="19" t="n">
        <f aca="false">I24-K24</f>
        <v>0</v>
      </c>
    </row>
    <row r="25" customFormat="false" ht="12.75" hidden="false" customHeight="false" outlineLevel="0" collapsed="false">
      <c r="A25" s="0" t="s">
        <v>37</v>
      </c>
      <c r="E25" s="19" t="n">
        <f aca="false">(-60.5-0.5-266.9+59.6-19.5)+54.1-13.3+348.4+30.6</f>
        <v>132</v>
      </c>
      <c r="F25" s="19"/>
      <c r="G25" s="19" t="n">
        <v>0</v>
      </c>
      <c r="H25" s="19"/>
      <c r="I25" s="19" t="n">
        <f aca="false">E25-G25</f>
        <v>132</v>
      </c>
      <c r="J25" s="19"/>
      <c r="K25" s="19" t="n">
        <f aca="false">I25*0.35</f>
        <v>46.2</v>
      </c>
      <c r="L25" s="19"/>
      <c r="M25" s="19" t="n">
        <f aca="false">I25-K25</f>
        <v>85.8</v>
      </c>
    </row>
    <row r="26" customFormat="false" ht="12.75" hidden="false" customHeight="false" outlineLevel="0" collapsed="false">
      <c r="A26" s="0" t="s">
        <v>38</v>
      </c>
      <c r="E26" s="19" t="n">
        <v>-60.5</v>
      </c>
      <c r="F26" s="19"/>
      <c r="G26" s="19" t="n">
        <v>0</v>
      </c>
      <c r="H26" s="19"/>
      <c r="I26" s="19" t="n">
        <f aca="false">E26-G26</f>
        <v>-60.5</v>
      </c>
      <c r="J26" s="19"/>
      <c r="K26" s="19" t="n">
        <v>0</v>
      </c>
      <c r="L26" s="19"/>
      <c r="M26" s="19" t="n">
        <f aca="false">I26-K26</f>
        <v>-60.5</v>
      </c>
    </row>
    <row r="27" customFormat="false" ht="12.75" hidden="false" customHeight="false" outlineLevel="0" collapsed="false">
      <c r="A27" s="0" t="s">
        <v>39</v>
      </c>
      <c r="E27" s="19" t="n">
        <f aca="false">E29-SUM(E6:E26)</f>
        <v>-263.3</v>
      </c>
      <c r="F27" s="19"/>
      <c r="G27" s="19" t="n">
        <f aca="false">G29-SUM(G6:G26)</f>
        <v>-2.3</v>
      </c>
      <c r="H27" s="19"/>
      <c r="I27" s="19" t="n">
        <f aca="false">I29-SUM(I6:I26)</f>
        <v>-261</v>
      </c>
      <c r="J27" s="19"/>
      <c r="K27" s="19" t="n">
        <f aca="false">K29-SUM(K6:K26)</f>
        <v>-156.6</v>
      </c>
      <c r="L27" s="19"/>
      <c r="M27" s="19" t="n">
        <f aca="false">M29-SUM(M6:M26)</f>
        <v>-104.4</v>
      </c>
    </row>
    <row r="28" customFormat="false" ht="12.75" hidden="false" customHeight="false" outlineLevel="0" collapsed="false">
      <c r="E28" s="19"/>
      <c r="F28" s="19"/>
      <c r="G28" s="19"/>
      <c r="H28" s="19"/>
      <c r="I28" s="19"/>
      <c r="J28" s="19"/>
      <c r="K28" s="19"/>
      <c r="L28" s="19"/>
      <c r="M28" s="19"/>
    </row>
    <row r="29" customFormat="false" ht="13.5" hidden="false" customHeight="false" outlineLevel="0" collapsed="false">
      <c r="A29" s="0" t="s">
        <v>40</v>
      </c>
      <c r="E29" s="90" t="n">
        <v>2564.1</v>
      </c>
      <c r="F29" s="91"/>
      <c r="G29" s="90" t="n">
        <v>106.9</v>
      </c>
      <c r="H29" s="91"/>
      <c r="I29" s="90" t="n">
        <v>2457.2</v>
      </c>
      <c r="J29" s="91"/>
      <c r="K29" s="90" t="n">
        <v>807.63158</v>
      </c>
      <c r="L29" s="26"/>
      <c r="M29" s="92" t="n">
        <v>1649.56842</v>
      </c>
    </row>
    <row r="30" customFormat="false" ht="13.5" hidden="false" customHeight="false" outlineLevel="0" collapsed="false"/>
  </sheetData>
  <mergeCells count="1">
    <mergeCell ref="E1:M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2000-10-09T12:38:51Z</dcterms:created>
  <dc:creator>tlindho</dc:creator>
  <dc:description/>
  <dc:language>en-US</dc:language>
  <cp:lastModifiedBy>mike deville</cp:lastModifiedBy>
  <cp:lastPrinted>2000-11-14T14:09:40Z</cp:lastPrinted>
  <cp:revision>0</cp:revision>
  <dc:subject/>
  <dc:title/>
</cp:coreProperties>
</file>